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dy\Downloads\"/>
    </mc:Choice>
  </mc:AlternateContent>
  <xr:revisionPtr revIDLastSave="0" documentId="13_ncr:1_{828FE909-BD21-4878-8661-29122306E5E3}" xr6:coauthVersionLast="47" xr6:coauthVersionMax="47" xr10:uidLastSave="{00000000-0000-0000-0000-000000000000}"/>
  <bookViews>
    <workbookView xWindow="13980" yWindow="2325" windowWidth="21885" windowHeight="20355" xr2:uid="{00000000-000D-0000-FFFF-FFFF00000000}"/>
  </bookViews>
  <sheets>
    <sheet name="report generated at 0730pm on 2" sheetId="1" r:id="rId1"/>
  </sheets>
  <calcPr calcId="191029"/>
</workbook>
</file>

<file path=xl/calcChain.xml><?xml version="1.0" encoding="utf-8"?>
<calcChain xmlns="http://schemas.openxmlformats.org/spreadsheetml/2006/main">
  <c r="B3689" i="1" l="1"/>
  <c r="A3689" i="1"/>
  <c r="B3688" i="1"/>
  <c r="A3688" i="1"/>
  <c r="B3687" i="1"/>
  <c r="A3687" i="1"/>
  <c r="B3686" i="1"/>
  <c r="A3686" i="1"/>
  <c r="B3685" i="1"/>
  <c r="A3685" i="1"/>
  <c r="B3684" i="1"/>
  <c r="A3684" i="1"/>
  <c r="B3683" i="1"/>
  <c r="A3683" i="1"/>
  <c r="B3682" i="1"/>
  <c r="A3682" i="1"/>
  <c r="B3681" i="1"/>
  <c r="A3681" i="1"/>
  <c r="B3680" i="1"/>
  <c r="A3680" i="1"/>
  <c r="B3679" i="1"/>
  <c r="A3679" i="1"/>
  <c r="B3678" i="1"/>
  <c r="A3678" i="1"/>
  <c r="B3677" i="1"/>
  <c r="A3677" i="1"/>
  <c r="B3676" i="1"/>
  <c r="A3676" i="1"/>
  <c r="B3675" i="1"/>
  <c r="A3675" i="1"/>
  <c r="B3674" i="1"/>
  <c r="A3674" i="1"/>
  <c r="B3673" i="1"/>
  <c r="A3673" i="1"/>
  <c r="B3672" i="1"/>
  <c r="A3672" i="1"/>
  <c r="B3671" i="1"/>
  <c r="A3671" i="1"/>
  <c r="B3670" i="1"/>
  <c r="A3670" i="1"/>
  <c r="B3669" i="1"/>
  <c r="A3669" i="1"/>
  <c r="B3668" i="1"/>
  <c r="A3668" i="1"/>
  <c r="B3667" i="1"/>
  <c r="A3667" i="1"/>
  <c r="B3666" i="1"/>
  <c r="A3666" i="1"/>
  <c r="B3665" i="1"/>
  <c r="A3665" i="1"/>
  <c r="B3664" i="1"/>
  <c r="A3664" i="1"/>
  <c r="B3663" i="1"/>
  <c r="A3663" i="1"/>
  <c r="B3662" i="1"/>
  <c r="A3662" i="1"/>
  <c r="B3661" i="1"/>
  <c r="A3661" i="1"/>
  <c r="B3660" i="1"/>
  <c r="A3660" i="1"/>
  <c r="B3659" i="1"/>
  <c r="A3659" i="1"/>
  <c r="B3658" i="1"/>
  <c r="A3658" i="1"/>
  <c r="B3657" i="1"/>
  <c r="A3657" i="1"/>
  <c r="B3656" i="1"/>
  <c r="A3656" i="1"/>
  <c r="B3655" i="1"/>
  <c r="A3655" i="1"/>
  <c r="B3654" i="1"/>
  <c r="A3654" i="1"/>
  <c r="B3653" i="1"/>
  <c r="A3653" i="1"/>
  <c r="B3652" i="1"/>
  <c r="A3652" i="1"/>
  <c r="B3651" i="1"/>
  <c r="A3651" i="1"/>
  <c r="B3650" i="1"/>
  <c r="A3650" i="1"/>
  <c r="B3649" i="1"/>
  <c r="A3649" i="1"/>
  <c r="B3648" i="1"/>
  <c r="A3648" i="1"/>
  <c r="B3647" i="1"/>
  <c r="A3647" i="1"/>
  <c r="B3646" i="1"/>
  <c r="A3646" i="1"/>
  <c r="B3645" i="1"/>
  <c r="A3645" i="1"/>
  <c r="B3644" i="1"/>
  <c r="A3644" i="1"/>
  <c r="B3643" i="1"/>
  <c r="A3643" i="1"/>
  <c r="B3642" i="1"/>
  <c r="A3642" i="1"/>
  <c r="B3641" i="1"/>
  <c r="A3641" i="1"/>
  <c r="B3640" i="1"/>
  <c r="A3640" i="1"/>
  <c r="B3639" i="1"/>
  <c r="A3639" i="1"/>
  <c r="B3638" i="1"/>
  <c r="A3638" i="1"/>
  <c r="B3637" i="1"/>
  <c r="A3637" i="1"/>
  <c r="B3636" i="1"/>
  <c r="A3636" i="1"/>
  <c r="B3635" i="1"/>
  <c r="A3635" i="1"/>
  <c r="B3634" i="1"/>
  <c r="A3634" i="1"/>
  <c r="B3633" i="1"/>
  <c r="A3633" i="1"/>
  <c r="B3632" i="1"/>
  <c r="A3632" i="1"/>
  <c r="B3631" i="1"/>
  <c r="A3631" i="1"/>
  <c r="B3630" i="1"/>
  <c r="A3630" i="1"/>
  <c r="B3629" i="1"/>
  <c r="A3629" i="1"/>
  <c r="B3628" i="1"/>
  <c r="A3628" i="1"/>
  <c r="B3627" i="1"/>
  <c r="A3627" i="1"/>
  <c r="B3626" i="1"/>
  <c r="A3626" i="1"/>
  <c r="B3625" i="1"/>
  <c r="A3625" i="1"/>
  <c r="B3624" i="1"/>
  <c r="A3624" i="1"/>
  <c r="B3623" i="1"/>
  <c r="A3623" i="1"/>
  <c r="B3622" i="1"/>
  <c r="A3622" i="1"/>
  <c r="B3621" i="1"/>
  <c r="A3621" i="1"/>
  <c r="B3620" i="1"/>
  <c r="A3620" i="1"/>
  <c r="B3619" i="1"/>
  <c r="A3619" i="1"/>
  <c r="B3618" i="1"/>
  <c r="A3618" i="1"/>
  <c r="B3617" i="1"/>
  <c r="A3617" i="1"/>
  <c r="B3616" i="1"/>
  <c r="A3616" i="1"/>
  <c r="B3615" i="1"/>
  <c r="A3615" i="1"/>
  <c r="B3614" i="1"/>
  <c r="A3614" i="1"/>
  <c r="B3613" i="1"/>
  <c r="A3613" i="1"/>
  <c r="B3612" i="1"/>
  <c r="A3612" i="1"/>
  <c r="B3611" i="1"/>
  <c r="A3611" i="1"/>
  <c r="B3610" i="1"/>
  <c r="A3610" i="1"/>
  <c r="B3609" i="1"/>
  <c r="A3609" i="1"/>
  <c r="B3608" i="1"/>
  <c r="A3608" i="1"/>
  <c r="B3607" i="1"/>
  <c r="A3607" i="1"/>
  <c r="B3606" i="1"/>
  <c r="A3606" i="1"/>
  <c r="B3605" i="1"/>
  <c r="A3605" i="1"/>
  <c r="B3604" i="1"/>
  <c r="A3604" i="1"/>
  <c r="B3603" i="1"/>
  <c r="A3603" i="1"/>
  <c r="B3602" i="1"/>
  <c r="A3602" i="1"/>
  <c r="B3601" i="1"/>
  <c r="A3601" i="1"/>
  <c r="B3600" i="1"/>
  <c r="A3600" i="1"/>
  <c r="B3599" i="1"/>
  <c r="A3599" i="1"/>
  <c r="B3598" i="1"/>
  <c r="A3598" i="1"/>
  <c r="B3597" i="1"/>
  <c r="A3597" i="1"/>
  <c r="B3596" i="1"/>
  <c r="A3596" i="1"/>
  <c r="B3595" i="1"/>
  <c r="A3595" i="1"/>
  <c r="B3594" i="1"/>
  <c r="A3594" i="1"/>
  <c r="B3593" i="1"/>
  <c r="A3593" i="1"/>
  <c r="B3592" i="1"/>
  <c r="A3592" i="1"/>
  <c r="B3591" i="1"/>
  <c r="A3591" i="1"/>
  <c r="B3590" i="1"/>
  <c r="A3590" i="1"/>
  <c r="B3589" i="1"/>
  <c r="A3589" i="1"/>
  <c r="B3588" i="1"/>
  <c r="A3588" i="1"/>
  <c r="B3587" i="1"/>
  <c r="A3587" i="1"/>
  <c r="B3586" i="1"/>
  <c r="A3586" i="1"/>
  <c r="B3585" i="1"/>
  <c r="A3585" i="1"/>
  <c r="B3584" i="1"/>
  <c r="A3584" i="1"/>
  <c r="B3583" i="1"/>
  <c r="A3583" i="1"/>
  <c r="B3582" i="1"/>
  <c r="A3582" i="1"/>
  <c r="B3581" i="1"/>
  <c r="A3581" i="1"/>
  <c r="B3580" i="1"/>
  <c r="A3580" i="1"/>
  <c r="B3579" i="1"/>
  <c r="A3579" i="1"/>
  <c r="B3578" i="1"/>
  <c r="A3578" i="1"/>
  <c r="B3577" i="1"/>
  <c r="A3577" i="1"/>
  <c r="B3576" i="1"/>
  <c r="A3576" i="1"/>
  <c r="B3575" i="1"/>
  <c r="A3575" i="1"/>
  <c r="B3574" i="1"/>
  <c r="A3574" i="1"/>
  <c r="B3573" i="1"/>
  <c r="A3573" i="1"/>
  <c r="B3572" i="1"/>
  <c r="A3572" i="1"/>
  <c r="B3571" i="1"/>
  <c r="A3571" i="1"/>
  <c r="B3570" i="1"/>
  <c r="A3570" i="1"/>
  <c r="B3569" i="1"/>
  <c r="A3569" i="1"/>
  <c r="B3568" i="1"/>
  <c r="A3568" i="1"/>
  <c r="B3567" i="1"/>
  <c r="A3567" i="1"/>
  <c r="B3566" i="1"/>
  <c r="A3566" i="1"/>
  <c r="B3565" i="1"/>
  <c r="A3565" i="1"/>
  <c r="B3564" i="1"/>
  <c r="A3564" i="1"/>
  <c r="B3563" i="1"/>
  <c r="A3563" i="1"/>
  <c r="B3562" i="1"/>
  <c r="A3562" i="1"/>
  <c r="B3561" i="1"/>
  <c r="A3561" i="1"/>
  <c r="B3560" i="1"/>
  <c r="A3560" i="1"/>
  <c r="B3559" i="1"/>
  <c r="A3559" i="1"/>
  <c r="B3558" i="1"/>
  <c r="A3558" i="1"/>
  <c r="B3557" i="1"/>
  <c r="A3557" i="1"/>
  <c r="B3556" i="1"/>
  <c r="A3556" i="1"/>
  <c r="B3555" i="1"/>
  <c r="A3555" i="1"/>
  <c r="B3554" i="1"/>
  <c r="A3554" i="1"/>
  <c r="B3553" i="1"/>
  <c r="A3553" i="1"/>
  <c r="B3552" i="1"/>
  <c r="A3552" i="1"/>
  <c r="B3551" i="1"/>
  <c r="A3551" i="1"/>
  <c r="B3550" i="1"/>
  <c r="A3550" i="1"/>
  <c r="B3549" i="1"/>
  <c r="A3549" i="1"/>
  <c r="B3548" i="1"/>
  <c r="A3548" i="1"/>
  <c r="B3547" i="1"/>
  <c r="A3547" i="1"/>
  <c r="B3546" i="1"/>
  <c r="A3546" i="1"/>
  <c r="B3545" i="1"/>
  <c r="A3545" i="1"/>
  <c r="B3544" i="1"/>
  <c r="A3544" i="1"/>
  <c r="B3543" i="1"/>
  <c r="A3543" i="1"/>
  <c r="B3542" i="1"/>
  <c r="A3542" i="1"/>
  <c r="B3541" i="1"/>
  <c r="A3541" i="1"/>
  <c r="B3540" i="1"/>
  <c r="A3540" i="1"/>
  <c r="B3539" i="1"/>
  <c r="A3539" i="1"/>
  <c r="B3538" i="1"/>
  <c r="A3538" i="1"/>
  <c r="B3537" i="1"/>
  <c r="A3537" i="1"/>
  <c r="B3536" i="1"/>
  <c r="A3536" i="1"/>
  <c r="B3535" i="1"/>
  <c r="A3535" i="1"/>
  <c r="B3534" i="1"/>
  <c r="A3534" i="1"/>
  <c r="B3533" i="1"/>
  <c r="A3533" i="1"/>
  <c r="B3532" i="1"/>
  <c r="A3532" i="1"/>
  <c r="B3531" i="1"/>
  <c r="A3531" i="1"/>
  <c r="B3530" i="1"/>
  <c r="A3530" i="1"/>
  <c r="B3529" i="1"/>
  <c r="A3529" i="1"/>
  <c r="B3528" i="1"/>
  <c r="A3528" i="1"/>
  <c r="B3527" i="1"/>
  <c r="A3527" i="1"/>
  <c r="B3526" i="1"/>
  <c r="A3526" i="1"/>
  <c r="B3525" i="1"/>
  <c r="A3525" i="1"/>
  <c r="B3524" i="1"/>
  <c r="A3524" i="1"/>
  <c r="B3523" i="1"/>
  <c r="A3523" i="1"/>
  <c r="B3522" i="1"/>
  <c r="A3522" i="1"/>
  <c r="B3521" i="1"/>
  <c r="A3521" i="1"/>
  <c r="B3520" i="1"/>
  <c r="A3520" i="1"/>
  <c r="B3519" i="1"/>
  <c r="A3519" i="1"/>
  <c r="B3518" i="1"/>
  <c r="A3518" i="1"/>
  <c r="B3517" i="1"/>
  <c r="A3517" i="1"/>
  <c r="B3516" i="1"/>
  <c r="A3516" i="1"/>
  <c r="B3515" i="1"/>
  <c r="A3515" i="1"/>
  <c r="B3514" i="1"/>
  <c r="A3514" i="1"/>
  <c r="B3513" i="1"/>
  <c r="A3513" i="1"/>
  <c r="B3512" i="1"/>
  <c r="A3512" i="1"/>
  <c r="B3511" i="1"/>
  <c r="A3511" i="1"/>
  <c r="B3510" i="1"/>
  <c r="A3510" i="1"/>
  <c r="B3509" i="1"/>
  <c r="A3509" i="1"/>
  <c r="B3508" i="1"/>
  <c r="A3508" i="1"/>
  <c r="B3507" i="1"/>
  <c r="A3507" i="1"/>
  <c r="B3506" i="1"/>
  <c r="A3506" i="1"/>
  <c r="B3505" i="1"/>
  <c r="A3505" i="1"/>
  <c r="B3504" i="1"/>
  <c r="A3504" i="1"/>
  <c r="B3503" i="1"/>
  <c r="A3503" i="1"/>
  <c r="B3502" i="1"/>
  <c r="A3502" i="1"/>
  <c r="B3501" i="1"/>
  <c r="A3501" i="1"/>
  <c r="B3500" i="1"/>
  <c r="A3500" i="1"/>
  <c r="B3499" i="1"/>
  <c r="A3499" i="1"/>
  <c r="B3498" i="1"/>
  <c r="A3498" i="1"/>
  <c r="B3497" i="1"/>
  <c r="A3497" i="1"/>
  <c r="B3496" i="1"/>
  <c r="A3496" i="1"/>
  <c r="B3495" i="1"/>
  <c r="A3495" i="1"/>
  <c r="B3494" i="1"/>
  <c r="A3494" i="1"/>
  <c r="B3493" i="1"/>
  <c r="A3493" i="1"/>
  <c r="B3492" i="1"/>
  <c r="A3492" i="1"/>
  <c r="B3491" i="1"/>
  <c r="A3491" i="1"/>
  <c r="B3490" i="1"/>
  <c r="A3490" i="1"/>
  <c r="B3489" i="1"/>
  <c r="A3489" i="1"/>
  <c r="B3488" i="1"/>
  <c r="A3488" i="1"/>
  <c r="B3487" i="1"/>
  <c r="A3487" i="1"/>
  <c r="B3486" i="1"/>
  <c r="A3486" i="1"/>
  <c r="B3485" i="1"/>
  <c r="A3485" i="1"/>
  <c r="B3484" i="1"/>
  <c r="A3484" i="1"/>
  <c r="B3483" i="1"/>
  <c r="A3483" i="1"/>
  <c r="B3482" i="1"/>
  <c r="A3482" i="1"/>
  <c r="B3481" i="1"/>
  <c r="A3481" i="1"/>
  <c r="B3480" i="1"/>
  <c r="A3480" i="1"/>
  <c r="B3479" i="1"/>
  <c r="A3479" i="1"/>
  <c r="B3478" i="1"/>
  <c r="A3478" i="1"/>
  <c r="B3477" i="1"/>
  <c r="A3477" i="1"/>
  <c r="B3476" i="1"/>
  <c r="A3476" i="1"/>
  <c r="B3475" i="1"/>
  <c r="A3475" i="1"/>
  <c r="B3474" i="1"/>
  <c r="A3474" i="1"/>
  <c r="B3473" i="1"/>
  <c r="A3473" i="1"/>
  <c r="B3472" i="1"/>
  <c r="A3472" i="1"/>
  <c r="B3471" i="1"/>
  <c r="A3471" i="1"/>
  <c r="B3470" i="1"/>
  <c r="A3470" i="1"/>
  <c r="B3469" i="1"/>
  <c r="A3469" i="1"/>
  <c r="B3468" i="1"/>
  <c r="A3468" i="1"/>
  <c r="B3467" i="1"/>
  <c r="A3467" i="1"/>
  <c r="B3466" i="1"/>
  <c r="A3466" i="1"/>
  <c r="B3465" i="1"/>
  <c r="A3465" i="1"/>
  <c r="B3464" i="1"/>
  <c r="A3464" i="1"/>
  <c r="B3463" i="1"/>
  <c r="A3463" i="1"/>
  <c r="B3462" i="1"/>
  <c r="A3462" i="1"/>
  <c r="B3461" i="1"/>
  <c r="A3461" i="1"/>
  <c r="B3460" i="1"/>
  <c r="A3460" i="1"/>
  <c r="B3459" i="1"/>
  <c r="A3459" i="1"/>
  <c r="B3458" i="1"/>
  <c r="A3458" i="1"/>
  <c r="B3457" i="1"/>
  <c r="A3457" i="1"/>
  <c r="B3456" i="1"/>
  <c r="A3456" i="1"/>
  <c r="B3455" i="1"/>
  <c r="A3455" i="1"/>
  <c r="B3454" i="1"/>
  <c r="A3454" i="1"/>
  <c r="B3453" i="1"/>
  <c r="A3453" i="1"/>
  <c r="B3452" i="1"/>
  <c r="A3452" i="1"/>
  <c r="B3451" i="1"/>
  <c r="A3451" i="1"/>
  <c r="B3450" i="1"/>
  <c r="A3450" i="1"/>
  <c r="B3449" i="1"/>
  <c r="A3449" i="1"/>
  <c r="B3448" i="1"/>
  <c r="A3448" i="1"/>
  <c r="B3447" i="1"/>
  <c r="A3447" i="1"/>
  <c r="B3446" i="1"/>
  <c r="A3446" i="1"/>
  <c r="B3445" i="1"/>
  <c r="A3445" i="1"/>
  <c r="B3444" i="1"/>
  <c r="A3444" i="1"/>
  <c r="B3443" i="1"/>
  <c r="A3443" i="1"/>
  <c r="B3442" i="1"/>
  <c r="A3442" i="1"/>
  <c r="B3441" i="1"/>
  <c r="A3441" i="1"/>
  <c r="B3440" i="1"/>
  <c r="A3440" i="1"/>
  <c r="B3439" i="1"/>
  <c r="A3439" i="1"/>
  <c r="B3438" i="1"/>
  <c r="A3438" i="1"/>
  <c r="B3437" i="1"/>
  <c r="A3437" i="1"/>
  <c r="B3436" i="1"/>
  <c r="A3436" i="1"/>
  <c r="B3435" i="1"/>
  <c r="A3435" i="1"/>
  <c r="B3434" i="1"/>
  <c r="A3434" i="1"/>
  <c r="B3433" i="1"/>
  <c r="A3433" i="1"/>
  <c r="B3432" i="1"/>
  <c r="A3432" i="1"/>
  <c r="B3431" i="1"/>
  <c r="A3431" i="1"/>
  <c r="B3430" i="1"/>
  <c r="A3430" i="1"/>
  <c r="B3429" i="1"/>
  <c r="A3429" i="1"/>
  <c r="B3428" i="1"/>
  <c r="A3428" i="1"/>
  <c r="B3427" i="1"/>
  <c r="A3427" i="1"/>
  <c r="B3426" i="1"/>
  <c r="A3426" i="1"/>
  <c r="B3425" i="1"/>
  <c r="A3425" i="1"/>
  <c r="B3424" i="1"/>
  <c r="A3424" i="1"/>
  <c r="B3423" i="1"/>
  <c r="A3423" i="1"/>
  <c r="B3422" i="1"/>
  <c r="A3422" i="1"/>
  <c r="B3421" i="1"/>
  <c r="A3421" i="1"/>
  <c r="B3420" i="1"/>
  <c r="A3420" i="1"/>
  <c r="B3419" i="1"/>
  <c r="A3419" i="1"/>
  <c r="B3418" i="1"/>
  <c r="A3418" i="1"/>
  <c r="B3417" i="1"/>
  <c r="A3417" i="1"/>
  <c r="B3416" i="1"/>
  <c r="A3416" i="1"/>
  <c r="B3415" i="1"/>
  <c r="A3415" i="1"/>
  <c r="B3414" i="1"/>
  <c r="A3414" i="1"/>
  <c r="B3413" i="1"/>
  <c r="A3413" i="1"/>
  <c r="B3412" i="1"/>
  <c r="A3412" i="1"/>
  <c r="B3411" i="1"/>
  <c r="A3411" i="1"/>
  <c r="B3410" i="1"/>
  <c r="A3410" i="1"/>
  <c r="B3409" i="1"/>
  <c r="A3409" i="1"/>
  <c r="B3408" i="1"/>
  <c r="A3408" i="1"/>
  <c r="B3407" i="1"/>
  <c r="A3407" i="1"/>
  <c r="B3406" i="1"/>
  <c r="A3406" i="1"/>
  <c r="B3405" i="1"/>
  <c r="A3405" i="1"/>
  <c r="B3404" i="1"/>
  <c r="A3404" i="1"/>
  <c r="B3403" i="1"/>
  <c r="A3403" i="1"/>
  <c r="B3402" i="1"/>
  <c r="A3402" i="1"/>
  <c r="B3401" i="1"/>
  <c r="A3401" i="1"/>
  <c r="B3400" i="1"/>
  <c r="A3400" i="1"/>
  <c r="B3399" i="1"/>
  <c r="A3399" i="1"/>
  <c r="B3398" i="1"/>
  <c r="A3398" i="1"/>
  <c r="B3397" i="1"/>
  <c r="A3397" i="1"/>
  <c r="B3396" i="1"/>
  <c r="A3396" i="1"/>
  <c r="B3395" i="1"/>
  <c r="A3395" i="1"/>
  <c r="B3394" i="1"/>
  <c r="A3394" i="1"/>
  <c r="B3393" i="1"/>
  <c r="A3393" i="1"/>
  <c r="B3392" i="1"/>
  <c r="A3392" i="1"/>
  <c r="B3391" i="1"/>
  <c r="A3391" i="1"/>
  <c r="B3390" i="1"/>
  <c r="A3390" i="1"/>
  <c r="B3389" i="1"/>
  <c r="A3389" i="1"/>
  <c r="B3388" i="1"/>
  <c r="A3388" i="1"/>
  <c r="B3387" i="1"/>
  <c r="A3387" i="1"/>
  <c r="B3386" i="1"/>
  <c r="A3386" i="1"/>
  <c r="B3385" i="1"/>
  <c r="A3385" i="1"/>
  <c r="B3384" i="1"/>
  <c r="A3384" i="1"/>
  <c r="B3383" i="1"/>
  <c r="A3383" i="1"/>
  <c r="B3382" i="1"/>
  <c r="A3382" i="1"/>
  <c r="B3381" i="1"/>
  <c r="A3381" i="1"/>
  <c r="B3380" i="1"/>
  <c r="A3380" i="1"/>
  <c r="B3379" i="1"/>
  <c r="A3379" i="1"/>
  <c r="B3378" i="1"/>
  <c r="A3378" i="1"/>
  <c r="B3377" i="1"/>
  <c r="A3377" i="1"/>
  <c r="B3376" i="1"/>
  <c r="A3376" i="1"/>
  <c r="B3375" i="1"/>
  <c r="A3375" i="1"/>
  <c r="B3374" i="1"/>
  <c r="A3374" i="1"/>
  <c r="B3373" i="1"/>
  <c r="A3373" i="1"/>
  <c r="B3372" i="1"/>
  <c r="A3372" i="1"/>
  <c r="B3371" i="1"/>
  <c r="A3371" i="1"/>
  <c r="B3370" i="1"/>
  <c r="A3370" i="1"/>
  <c r="B3369" i="1"/>
  <c r="A3369" i="1"/>
  <c r="B3368" i="1"/>
  <c r="A3368" i="1"/>
  <c r="B3367" i="1"/>
  <c r="A3367" i="1"/>
  <c r="B3366" i="1"/>
  <c r="A3366" i="1"/>
  <c r="B3365" i="1"/>
  <c r="A3365" i="1"/>
  <c r="B3364" i="1"/>
  <c r="A3364" i="1"/>
  <c r="B3363" i="1"/>
  <c r="A3363" i="1"/>
  <c r="A3362" i="1"/>
  <c r="A3361" i="1"/>
  <c r="A3360" i="1"/>
  <c r="A3359" i="1"/>
  <c r="A3358" i="1"/>
  <c r="A3357" i="1"/>
  <c r="A3356" i="1"/>
  <c r="A3355" i="1"/>
  <c r="B3354" i="1"/>
  <c r="A3354" i="1"/>
  <c r="B3353" i="1"/>
  <c r="A3353" i="1"/>
  <c r="B3352" i="1"/>
  <c r="A3352" i="1"/>
  <c r="B3351" i="1"/>
  <c r="A3351" i="1"/>
  <c r="B3350" i="1"/>
  <c r="A3350" i="1"/>
  <c r="B3349" i="1"/>
  <c r="A3349" i="1"/>
  <c r="B3348" i="1"/>
  <c r="A3348" i="1"/>
  <c r="B3347" i="1"/>
  <c r="A3347" i="1"/>
  <c r="B3346" i="1"/>
  <c r="A3346" i="1"/>
  <c r="B3345" i="1"/>
  <c r="A3345" i="1"/>
  <c r="B3344" i="1"/>
  <c r="A3344" i="1"/>
  <c r="B3343" i="1"/>
  <c r="A3343" i="1"/>
  <c r="B3342" i="1"/>
  <c r="A3342" i="1"/>
  <c r="B3341" i="1"/>
  <c r="A3341" i="1"/>
  <c r="B3340" i="1"/>
  <c r="A3340" i="1"/>
  <c r="B3339" i="1"/>
  <c r="A3339" i="1"/>
  <c r="B3338" i="1"/>
  <c r="A3338" i="1"/>
  <c r="B3337" i="1"/>
  <c r="A3337" i="1"/>
  <c r="B3336" i="1"/>
  <c r="A3336" i="1"/>
  <c r="B3335" i="1"/>
  <c r="A3335" i="1"/>
  <c r="B3334" i="1"/>
  <c r="A3334" i="1"/>
  <c r="B3333" i="1"/>
  <c r="A3333" i="1"/>
  <c r="B3332" i="1"/>
  <c r="A3332" i="1"/>
  <c r="B3331" i="1"/>
  <c r="A3331" i="1"/>
  <c r="B3330" i="1"/>
  <c r="A3330" i="1"/>
  <c r="B3329" i="1"/>
  <c r="A3329" i="1"/>
  <c r="B3328" i="1"/>
  <c r="A3328" i="1"/>
  <c r="B3327" i="1"/>
  <c r="A3327" i="1"/>
  <c r="B3326" i="1"/>
  <c r="A3326" i="1"/>
  <c r="B3325" i="1"/>
  <c r="A3325" i="1"/>
  <c r="B3324" i="1"/>
  <c r="A3324" i="1"/>
  <c r="B3323" i="1"/>
  <c r="A3323" i="1"/>
  <c r="B3322" i="1"/>
  <c r="A3322" i="1"/>
  <c r="B3321" i="1"/>
  <c r="A3321" i="1"/>
  <c r="B3320" i="1"/>
  <c r="A3320" i="1"/>
  <c r="B3319" i="1"/>
  <c r="A3319" i="1"/>
  <c r="B3318" i="1"/>
  <c r="A3318" i="1"/>
  <c r="B3317" i="1"/>
  <c r="A3317" i="1"/>
  <c r="B3316" i="1"/>
  <c r="A3316" i="1"/>
  <c r="B3315" i="1"/>
  <c r="A3315" i="1"/>
  <c r="B3314" i="1"/>
  <c r="A3314" i="1"/>
  <c r="B3313" i="1"/>
  <c r="A3313" i="1"/>
  <c r="B3312" i="1"/>
  <c r="A3312" i="1"/>
  <c r="B3311" i="1"/>
  <c r="A3311" i="1"/>
  <c r="B3310" i="1"/>
  <c r="A3310" i="1"/>
  <c r="B3309" i="1"/>
  <c r="A3309" i="1"/>
  <c r="B3308" i="1"/>
  <c r="A3308" i="1"/>
  <c r="B3307" i="1"/>
  <c r="A3307" i="1"/>
  <c r="B3306" i="1"/>
  <c r="A3306" i="1"/>
  <c r="B3305" i="1"/>
  <c r="A3305" i="1"/>
  <c r="B3304" i="1"/>
  <c r="A3304" i="1"/>
  <c r="B3303" i="1"/>
  <c r="A3303" i="1"/>
  <c r="B3302" i="1"/>
  <c r="A3302" i="1"/>
  <c r="B3301" i="1"/>
  <c r="A3301" i="1"/>
  <c r="B3300" i="1"/>
  <c r="A3300" i="1"/>
  <c r="B3299" i="1"/>
  <c r="A3299" i="1"/>
  <c r="B3298" i="1"/>
  <c r="A3298" i="1"/>
  <c r="B3297" i="1"/>
  <c r="A3297" i="1"/>
  <c r="B3296" i="1"/>
  <c r="A3296" i="1"/>
  <c r="B3295" i="1"/>
  <c r="A3295" i="1"/>
  <c r="B3294" i="1"/>
  <c r="A3294" i="1"/>
  <c r="B3293" i="1"/>
  <c r="A3293" i="1"/>
  <c r="B3292" i="1"/>
  <c r="A3292" i="1"/>
  <c r="B3291" i="1"/>
  <c r="A3291" i="1"/>
  <c r="B3290" i="1"/>
  <c r="A3290" i="1"/>
  <c r="B3289" i="1"/>
  <c r="A3289" i="1"/>
  <c r="B3288" i="1"/>
  <c r="A3288" i="1"/>
  <c r="B3287" i="1"/>
  <c r="A3287" i="1"/>
  <c r="B3286" i="1"/>
  <c r="A3286" i="1"/>
  <c r="B3285" i="1"/>
  <c r="A3285" i="1"/>
  <c r="B3284" i="1"/>
  <c r="A3284" i="1"/>
  <c r="B3283" i="1"/>
  <c r="A3283" i="1"/>
  <c r="B3282" i="1"/>
  <c r="A3282" i="1"/>
  <c r="B3281" i="1"/>
  <c r="A3281" i="1"/>
  <c r="B3280" i="1"/>
  <c r="A3280" i="1"/>
  <c r="B3279" i="1"/>
  <c r="A3279" i="1"/>
  <c r="B3278" i="1"/>
  <c r="A3278" i="1"/>
  <c r="B3277" i="1"/>
  <c r="A3277" i="1"/>
  <c r="B3276" i="1"/>
  <c r="A3276" i="1"/>
  <c r="B3275" i="1"/>
  <c r="A3275" i="1"/>
  <c r="B3274" i="1"/>
  <c r="A3274" i="1"/>
  <c r="B3273" i="1"/>
  <c r="A3273" i="1"/>
  <c r="B3272" i="1"/>
  <c r="A3272" i="1"/>
  <c r="B3271" i="1"/>
  <c r="A3271" i="1"/>
  <c r="B3270" i="1"/>
  <c r="A3270" i="1"/>
  <c r="B3269" i="1"/>
  <c r="A3269" i="1"/>
  <c r="B3268" i="1"/>
  <c r="A3268" i="1"/>
  <c r="B3267" i="1"/>
  <c r="A3267" i="1"/>
  <c r="B3266" i="1"/>
  <c r="A3266" i="1"/>
  <c r="B3265" i="1"/>
  <c r="A3265" i="1"/>
  <c r="B3264" i="1"/>
  <c r="A3264" i="1"/>
  <c r="B3263" i="1"/>
  <c r="A3263" i="1"/>
  <c r="B3262" i="1"/>
  <c r="A3262" i="1"/>
  <c r="B3261" i="1"/>
  <c r="A3261" i="1"/>
  <c r="B3260" i="1"/>
  <c r="A3260" i="1"/>
  <c r="B3259" i="1"/>
  <c r="A3259" i="1"/>
  <c r="B3258" i="1"/>
  <c r="A3258" i="1"/>
  <c r="B3257" i="1"/>
  <c r="A3257" i="1"/>
  <c r="B3256" i="1"/>
  <c r="A3256" i="1"/>
  <c r="B3255" i="1"/>
  <c r="A3255" i="1"/>
  <c r="B3254" i="1"/>
  <c r="A3254" i="1"/>
  <c r="B3253" i="1"/>
  <c r="A3253" i="1"/>
  <c r="B3252" i="1"/>
  <c r="A3252" i="1"/>
  <c r="B3251" i="1"/>
  <c r="A3251" i="1"/>
  <c r="B3250" i="1"/>
  <c r="A3250" i="1"/>
  <c r="B3249" i="1"/>
  <c r="A3249" i="1"/>
  <c r="B3248" i="1"/>
  <c r="A3248" i="1"/>
  <c r="B3247" i="1"/>
  <c r="A3247" i="1"/>
  <c r="B3246" i="1"/>
  <c r="A3246" i="1"/>
  <c r="B3245" i="1"/>
  <c r="A3245" i="1"/>
  <c r="B3244" i="1"/>
  <c r="A3244" i="1"/>
  <c r="B3243" i="1"/>
  <c r="A3243" i="1"/>
  <c r="B3242" i="1"/>
  <c r="A3242" i="1"/>
  <c r="B3241" i="1"/>
  <c r="A3241" i="1"/>
  <c r="B3240" i="1"/>
  <c r="A3240" i="1"/>
  <c r="B3239" i="1"/>
  <c r="A3239" i="1"/>
  <c r="B3238" i="1"/>
  <c r="A3238" i="1"/>
  <c r="B3237" i="1"/>
  <c r="A3237" i="1"/>
  <c r="B3236" i="1"/>
  <c r="A3236" i="1"/>
  <c r="B3235" i="1"/>
  <c r="A3235" i="1"/>
  <c r="B3234" i="1"/>
  <c r="A3234" i="1"/>
  <c r="B3233" i="1"/>
  <c r="A3233" i="1"/>
  <c r="B3232" i="1"/>
  <c r="A3232" i="1"/>
  <c r="B3231" i="1"/>
  <c r="A3231" i="1"/>
  <c r="B3230" i="1"/>
  <c r="A3230" i="1"/>
  <c r="B3229" i="1"/>
  <c r="A3229" i="1"/>
  <c r="B3228" i="1"/>
  <c r="A3228" i="1"/>
  <c r="B3227" i="1"/>
  <c r="A3227" i="1"/>
  <c r="B3226" i="1"/>
  <c r="A3226" i="1"/>
  <c r="B3225" i="1"/>
  <c r="A3225" i="1"/>
  <c r="B3224" i="1"/>
  <c r="A3224" i="1"/>
  <c r="B3223" i="1"/>
  <c r="A3223" i="1"/>
  <c r="B3222" i="1"/>
  <c r="A3222" i="1"/>
  <c r="B3221" i="1"/>
  <c r="A3221" i="1"/>
  <c r="B3220" i="1"/>
  <c r="A3220" i="1"/>
  <c r="B3219" i="1"/>
  <c r="A3219" i="1"/>
  <c r="B3218" i="1"/>
  <c r="A3218" i="1"/>
  <c r="B3217" i="1"/>
  <c r="A3217" i="1"/>
  <c r="B3216" i="1"/>
  <c r="A3216" i="1"/>
  <c r="B3215" i="1"/>
  <c r="A3215" i="1"/>
  <c r="B3214" i="1"/>
  <c r="A3214" i="1"/>
  <c r="B3213" i="1"/>
  <c r="A3213" i="1"/>
  <c r="B3212" i="1"/>
  <c r="A3212" i="1"/>
  <c r="B3211" i="1"/>
  <c r="A3211" i="1"/>
  <c r="B3210" i="1"/>
  <c r="A3210" i="1"/>
  <c r="B3209" i="1"/>
  <c r="A3209" i="1"/>
  <c r="B3208" i="1"/>
  <c r="A3208" i="1"/>
  <c r="B3207" i="1"/>
  <c r="A3207" i="1"/>
  <c r="B3206" i="1"/>
  <c r="A3206" i="1"/>
  <c r="B3205" i="1"/>
  <c r="A3205" i="1"/>
  <c r="B3204" i="1"/>
  <c r="A3204" i="1"/>
  <c r="B3203" i="1"/>
  <c r="A3203" i="1"/>
  <c r="B3202" i="1"/>
  <c r="A3202" i="1"/>
  <c r="B3201" i="1"/>
  <c r="A3201" i="1"/>
  <c r="B3200" i="1"/>
  <c r="A3200" i="1"/>
  <c r="B3199" i="1"/>
  <c r="A3199" i="1"/>
  <c r="B3198" i="1"/>
  <c r="A3198" i="1"/>
  <c r="B3197" i="1"/>
  <c r="A3197" i="1"/>
  <c r="B3196" i="1"/>
  <c r="A3196" i="1"/>
  <c r="B3195" i="1"/>
  <c r="A3195" i="1"/>
  <c r="B3194" i="1"/>
  <c r="A3194" i="1"/>
  <c r="B3193" i="1"/>
  <c r="A3193" i="1"/>
  <c r="B3192" i="1"/>
  <c r="A3192" i="1"/>
  <c r="B3191" i="1"/>
  <c r="A3191" i="1"/>
  <c r="B3190" i="1"/>
  <c r="A3190" i="1"/>
  <c r="B3189" i="1"/>
  <c r="A3189" i="1"/>
  <c r="B3188" i="1"/>
  <c r="A3188" i="1"/>
  <c r="B3187" i="1"/>
  <c r="A3187" i="1"/>
  <c r="B3186" i="1"/>
  <c r="A3186" i="1"/>
  <c r="B3185" i="1"/>
  <c r="A3185" i="1"/>
  <c r="B3184" i="1"/>
  <c r="A3184" i="1"/>
  <c r="B3183" i="1"/>
  <c r="A3183" i="1"/>
  <c r="B3182" i="1"/>
  <c r="A3182" i="1"/>
  <c r="B3181" i="1"/>
  <c r="A3181" i="1"/>
  <c r="B3180" i="1"/>
  <c r="A3180" i="1"/>
  <c r="B3179" i="1"/>
  <c r="A3179" i="1"/>
  <c r="B3178" i="1"/>
  <c r="A3178" i="1"/>
  <c r="B3177" i="1"/>
  <c r="A3177" i="1"/>
  <c r="B3176" i="1"/>
  <c r="A3176" i="1"/>
  <c r="B3175" i="1"/>
  <c r="A3175" i="1"/>
  <c r="B3174" i="1"/>
  <c r="A3174" i="1"/>
  <c r="B3173" i="1"/>
  <c r="A3173" i="1"/>
  <c r="B3172" i="1"/>
  <c r="A3172" i="1"/>
  <c r="B3171" i="1"/>
  <c r="A3171" i="1"/>
  <c r="B3170" i="1"/>
  <c r="A3170" i="1"/>
  <c r="B3169" i="1"/>
  <c r="A3169" i="1"/>
  <c r="B3168" i="1"/>
  <c r="A3168" i="1"/>
  <c r="B3167" i="1"/>
  <c r="A3167" i="1"/>
  <c r="B3166" i="1"/>
  <c r="A3166" i="1"/>
  <c r="B3165" i="1"/>
  <c r="A3165" i="1"/>
  <c r="B3164" i="1"/>
  <c r="A3164" i="1"/>
  <c r="B3163" i="1"/>
  <c r="A3163" i="1"/>
  <c r="B3162" i="1"/>
  <c r="A3162" i="1"/>
  <c r="B3161" i="1"/>
  <c r="A3161" i="1"/>
  <c r="B3160" i="1"/>
  <c r="A3160" i="1"/>
  <c r="B3159" i="1"/>
  <c r="A3159" i="1"/>
  <c r="B3158" i="1"/>
  <c r="A3158" i="1"/>
  <c r="B3157" i="1"/>
  <c r="A3157" i="1"/>
  <c r="B3156" i="1"/>
  <c r="A3156" i="1"/>
  <c r="B3155" i="1"/>
  <c r="A3155" i="1"/>
  <c r="B3154" i="1"/>
  <c r="A3154" i="1"/>
  <c r="B3153" i="1"/>
  <c r="A3153" i="1"/>
  <c r="B3152" i="1"/>
  <c r="A3152" i="1"/>
  <c r="B3151" i="1"/>
  <c r="A3151" i="1"/>
  <c r="B3150" i="1"/>
  <c r="A3150" i="1"/>
  <c r="B3149" i="1"/>
  <c r="A3149" i="1"/>
  <c r="B3148" i="1"/>
  <c r="A3148" i="1"/>
  <c r="B3147" i="1"/>
  <c r="A3147" i="1"/>
  <c r="B3146" i="1"/>
  <c r="A3146" i="1"/>
  <c r="B3145" i="1"/>
  <c r="A3145" i="1"/>
  <c r="B3144" i="1"/>
  <c r="A3144" i="1"/>
  <c r="B3143" i="1"/>
  <c r="A3143" i="1"/>
  <c r="B3142" i="1"/>
  <c r="A3142" i="1"/>
  <c r="B3141" i="1"/>
  <c r="A3141" i="1"/>
  <c r="B3140" i="1"/>
  <c r="A3140" i="1"/>
  <c r="B3139" i="1"/>
  <c r="A3139" i="1"/>
  <c r="B3138" i="1"/>
  <c r="A3138" i="1"/>
  <c r="B3137" i="1"/>
  <c r="A3137" i="1"/>
  <c r="B3136" i="1"/>
  <c r="A3136" i="1"/>
  <c r="B3135" i="1"/>
  <c r="A3135" i="1"/>
  <c r="B3134" i="1"/>
  <c r="A3134" i="1"/>
  <c r="B3133" i="1"/>
  <c r="A3133" i="1"/>
  <c r="B3132" i="1"/>
  <c r="A3132" i="1"/>
  <c r="B3131" i="1"/>
  <c r="A3131" i="1"/>
  <c r="B3130" i="1"/>
  <c r="A3130" i="1"/>
  <c r="B3129" i="1"/>
  <c r="A3129" i="1"/>
  <c r="B3128" i="1"/>
  <c r="A3128" i="1"/>
  <c r="B3127" i="1"/>
  <c r="A3127" i="1"/>
  <c r="B3126" i="1"/>
  <c r="A3126" i="1"/>
  <c r="B3125" i="1"/>
  <c r="A3125" i="1"/>
  <c r="B3124" i="1"/>
  <c r="A3124" i="1"/>
  <c r="B3123" i="1"/>
  <c r="A3123" i="1"/>
  <c r="B3122" i="1"/>
  <c r="A3122" i="1"/>
  <c r="B3121" i="1"/>
  <c r="A3121" i="1"/>
  <c r="B3120" i="1"/>
  <c r="A3120" i="1"/>
  <c r="B3119" i="1"/>
  <c r="A3119" i="1"/>
  <c r="B3118" i="1"/>
  <c r="A3118" i="1"/>
  <c r="B3117" i="1"/>
  <c r="A3117" i="1"/>
  <c r="B3116" i="1"/>
  <c r="A3116" i="1"/>
  <c r="B3115" i="1"/>
  <c r="A3115" i="1"/>
  <c r="B3114" i="1"/>
  <c r="A3114" i="1"/>
  <c r="B3113" i="1"/>
  <c r="A3113" i="1"/>
  <c r="B3112" i="1"/>
  <c r="A3112" i="1"/>
  <c r="B3111" i="1"/>
  <c r="A3111" i="1"/>
  <c r="B3110" i="1"/>
  <c r="A3110" i="1"/>
  <c r="B3109" i="1"/>
  <c r="A3109" i="1"/>
  <c r="B3108" i="1"/>
  <c r="A3108" i="1"/>
  <c r="B3107" i="1"/>
  <c r="A3107" i="1"/>
  <c r="B3106" i="1"/>
  <c r="A3106" i="1"/>
  <c r="B3105" i="1"/>
  <c r="A3105" i="1"/>
  <c r="B3104" i="1"/>
  <c r="A3104" i="1"/>
  <c r="B3103" i="1"/>
  <c r="A3103" i="1"/>
  <c r="B3102" i="1"/>
  <c r="A3102" i="1"/>
  <c r="B3101" i="1"/>
  <c r="A3101" i="1"/>
  <c r="B3100" i="1"/>
  <c r="A3100" i="1"/>
  <c r="B3099" i="1"/>
  <c r="A3099" i="1"/>
  <c r="B3098" i="1"/>
  <c r="A3098" i="1"/>
  <c r="B3097" i="1"/>
  <c r="A3097" i="1"/>
  <c r="B3096" i="1"/>
  <c r="A3096" i="1"/>
  <c r="B3095" i="1"/>
  <c r="A3095" i="1"/>
  <c r="B3094" i="1"/>
  <c r="A3094" i="1"/>
  <c r="B3093" i="1"/>
  <c r="A3093" i="1"/>
  <c r="B3092" i="1"/>
  <c r="A3092" i="1"/>
  <c r="B3091" i="1"/>
  <c r="A3091" i="1"/>
  <c r="B3090" i="1"/>
  <c r="A3090" i="1"/>
  <c r="B3089" i="1"/>
  <c r="A3089" i="1"/>
  <c r="B3088" i="1"/>
  <c r="A3088" i="1"/>
  <c r="B3087" i="1"/>
  <c r="A3087" i="1"/>
  <c r="B3086" i="1"/>
  <c r="A3086" i="1"/>
  <c r="B3085" i="1"/>
  <c r="A3085" i="1"/>
  <c r="B3084" i="1"/>
  <c r="A3084" i="1"/>
  <c r="B3083" i="1"/>
  <c r="A3083" i="1"/>
  <c r="B3082" i="1"/>
  <c r="A3082" i="1"/>
  <c r="B3081" i="1"/>
  <c r="A3081" i="1"/>
  <c r="B3080" i="1"/>
  <c r="A3080" i="1"/>
  <c r="B3079" i="1"/>
  <c r="A3079" i="1"/>
  <c r="B3078" i="1"/>
  <c r="A3078" i="1"/>
  <c r="B3077" i="1"/>
  <c r="A3077" i="1"/>
  <c r="B3076" i="1"/>
  <c r="A3076" i="1"/>
  <c r="B3075" i="1"/>
  <c r="A3075" i="1"/>
  <c r="B3074" i="1"/>
  <c r="A3074" i="1"/>
  <c r="B3073" i="1"/>
  <c r="A3073" i="1"/>
  <c r="B3072" i="1"/>
  <c r="A3072" i="1"/>
  <c r="B3071" i="1"/>
  <c r="A3071" i="1"/>
  <c r="B3070" i="1"/>
  <c r="A3070" i="1"/>
  <c r="B3069" i="1"/>
  <c r="A3069" i="1"/>
  <c r="B3068" i="1"/>
  <c r="A3068" i="1"/>
  <c r="B3067" i="1"/>
  <c r="A3067" i="1"/>
  <c r="B3066" i="1"/>
  <c r="A3066" i="1"/>
  <c r="B3065" i="1"/>
  <c r="A3065" i="1"/>
  <c r="B3064" i="1"/>
  <c r="A3064" i="1"/>
  <c r="B3063" i="1"/>
  <c r="A3063" i="1"/>
  <c r="B3062" i="1"/>
  <c r="A3062" i="1"/>
  <c r="B3061" i="1"/>
  <c r="A3061" i="1"/>
  <c r="B3060" i="1"/>
  <c r="A3060" i="1"/>
  <c r="B3059" i="1"/>
  <c r="A3059" i="1"/>
  <c r="B3058" i="1"/>
  <c r="A3058" i="1"/>
  <c r="B3057" i="1"/>
  <c r="A3057" i="1"/>
  <c r="B3056" i="1"/>
  <c r="A3056" i="1"/>
  <c r="B3055" i="1"/>
  <c r="A3055" i="1"/>
  <c r="B3054" i="1"/>
  <c r="A3054" i="1"/>
  <c r="B3053" i="1"/>
  <c r="A3053" i="1"/>
  <c r="B3052" i="1"/>
  <c r="A3052" i="1"/>
  <c r="B3051" i="1"/>
  <c r="A3051" i="1"/>
  <c r="B3050" i="1"/>
  <c r="A3050" i="1"/>
  <c r="B3049" i="1"/>
  <c r="A3049" i="1"/>
  <c r="B3048" i="1"/>
  <c r="A3048" i="1"/>
  <c r="B3047" i="1"/>
  <c r="A3047" i="1"/>
  <c r="B3046" i="1"/>
  <c r="A3046" i="1"/>
  <c r="B3045" i="1"/>
  <c r="A3045" i="1"/>
  <c r="B3044" i="1"/>
  <c r="A3044" i="1"/>
  <c r="B3043" i="1"/>
  <c r="A3043" i="1"/>
  <c r="B3042" i="1"/>
  <c r="A3042" i="1"/>
  <c r="B3041" i="1"/>
  <c r="A3041" i="1"/>
  <c r="B3040" i="1"/>
  <c r="A3040" i="1"/>
  <c r="B3039" i="1"/>
  <c r="A3039" i="1"/>
  <c r="B3038" i="1"/>
  <c r="A3038" i="1"/>
  <c r="B3037" i="1"/>
  <c r="A3037" i="1"/>
  <c r="B3036" i="1"/>
  <c r="A3036" i="1"/>
  <c r="B3035" i="1"/>
  <c r="A3035" i="1"/>
  <c r="B3034" i="1"/>
  <c r="A3034" i="1"/>
  <c r="B3033" i="1"/>
  <c r="A3033" i="1"/>
  <c r="B3032" i="1"/>
  <c r="A3032" i="1"/>
  <c r="B3031" i="1"/>
  <c r="A3031" i="1"/>
  <c r="B3030" i="1"/>
  <c r="A3030" i="1"/>
  <c r="B3029" i="1"/>
  <c r="A3029" i="1"/>
  <c r="B3028" i="1"/>
  <c r="A3028" i="1"/>
  <c r="B3027" i="1"/>
  <c r="A3027" i="1"/>
  <c r="B3026" i="1"/>
  <c r="A3026" i="1"/>
  <c r="B3025" i="1"/>
  <c r="A3025" i="1"/>
  <c r="B3024" i="1"/>
  <c r="A3024" i="1"/>
  <c r="B3023" i="1"/>
  <c r="A3023" i="1"/>
  <c r="B3022" i="1"/>
  <c r="A3022" i="1"/>
  <c r="B3021" i="1"/>
  <c r="A3021" i="1"/>
  <c r="B3020" i="1"/>
  <c r="A3020" i="1"/>
  <c r="B3019" i="1"/>
  <c r="A3019" i="1"/>
  <c r="B3018" i="1"/>
  <c r="A3018" i="1"/>
  <c r="B3017" i="1"/>
  <c r="A3017" i="1"/>
  <c r="B3016" i="1"/>
  <c r="A3016" i="1"/>
  <c r="B3015" i="1"/>
  <c r="A3015" i="1"/>
  <c r="B3014" i="1"/>
  <c r="A3014" i="1"/>
  <c r="B3013" i="1"/>
  <c r="A3013" i="1"/>
  <c r="B3012" i="1"/>
  <c r="A3012" i="1"/>
  <c r="B3011" i="1"/>
  <c r="A3011" i="1"/>
  <c r="B3010" i="1"/>
  <c r="A3010" i="1"/>
  <c r="B3009" i="1"/>
  <c r="A3009" i="1"/>
  <c r="B3008" i="1"/>
  <c r="A3008" i="1"/>
  <c r="B3007" i="1"/>
  <c r="A3007" i="1"/>
  <c r="B3006" i="1"/>
  <c r="A3006" i="1"/>
  <c r="B3005" i="1"/>
  <c r="A3005" i="1"/>
  <c r="B3004" i="1"/>
  <c r="A3004" i="1"/>
  <c r="B3003" i="1"/>
  <c r="A3003" i="1"/>
  <c r="B3002" i="1"/>
  <c r="A3002" i="1"/>
  <c r="B3001" i="1"/>
  <c r="A3001" i="1"/>
  <c r="B3000" i="1"/>
  <c r="A3000" i="1"/>
  <c r="B2999" i="1"/>
  <c r="A2999" i="1"/>
  <c r="B2998" i="1"/>
  <c r="A2998" i="1"/>
  <c r="B2997" i="1"/>
  <c r="A2997" i="1"/>
  <c r="B2996" i="1"/>
  <c r="A2996" i="1"/>
  <c r="B2995" i="1"/>
  <c r="A2995" i="1"/>
  <c r="B2994" i="1"/>
  <c r="A2994" i="1"/>
  <c r="B2993" i="1"/>
  <c r="A2993" i="1"/>
  <c r="B2992" i="1"/>
  <c r="A2992" i="1"/>
  <c r="B2991" i="1"/>
  <c r="A2991" i="1"/>
  <c r="B2990" i="1"/>
  <c r="A2990" i="1"/>
  <c r="B2989" i="1"/>
  <c r="A2989" i="1"/>
  <c r="B2988" i="1"/>
  <c r="A2988" i="1"/>
  <c r="B2987" i="1"/>
  <c r="A2987" i="1"/>
  <c r="B2986" i="1"/>
  <c r="A2986" i="1"/>
  <c r="B2985" i="1"/>
  <c r="A2985" i="1"/>
  <c r="B2984" i="1"/>
  <c r="A2984" i="1"/>
  <c r="B2983" i="1"/>
  <c r="A2983" i="1"/>
  <c r="B2982" i="1"/>
  <c r="A2982" i="1"/>
  <c r="B2981" i="1"/>
  <c r="A2981" i="1"/>
  <c r="B2980" i="1"/>
  <c r="A2980" i="1"/>
  <c r="B2979" i="1"/>
  <c r="A2979" i="1"/>
  <c r="B2978" i="1"/>
  <c r="A2978" i="1"/>
  <c r="B2977" i="1"/>
  <c r="A2977" i="1"/>
  <c r="B2976" i="1"/>
  <c r="A2976" i="1"/>
  <c r="B2975" i="1"/>
  <c r="A2975" i="1"/>
  <c r="B2974" i="1"/>
  <c r="A2974" i="1"/>
  <c r="B2973" i="1"/>
  <c r="A2973" i="1"/>
  <c r="B2972" i="1"/>
  <c r="A2972" i="1"/>
  <c r="B2971" i="1"/>
  <c r="A2971" i="1"/>
  <c r="B2970" i="1"/>
  <c r="A2970" i="1"/>
  <c r="B2969" i="1"/>
  <c r="A2969" i="1"/>
  <c r="B2968" i="1"/>
  <c r="A2968" i="1"/>
  <c r="B2967" i="1"/>
  <c r="A2967" i="1"/>
  <c r="B2966" i="1"/>
  <c r="A2966" i="1"/>
  <c r="B2965" i="1"/>
  <c r="A2965" i="1"/>
  <c r="B2964" i="1"/>
  <c r="A2964" i="1"/>
  <c r="B2963" i="1"/>
  <c r="A2963" i="1"/>
  <c r="B2962" i="1"/>
  <c r="A2962" i="1"/>
  <c r="B2961" i="1"/>
  <c r="A2961" i="1"/>
  <c r="B2960" i="1"/>
  <c r="A2960" i="1"/>
  <c r="B2959" i="1"/>
  <c r="A2959" i="1"/>
  <c r="B2958" i="1"/>
  <c r="A2958" i="1"/>
  <c r="B2957" i="1"/>
  <c r="A2957" i="1"/>
  <c r="B2956" i="1"/>
  <c r="A2956" i="1"/>
  <c r="B2955" i="1"/>
  <c r="A2955" i="1"/>
  <c r="B2954" i="1"/>
  <c r="A2954" i="1"/>
  <c r="B2953" i="1"/>
  <c r="A2953" i="1"/>
  <c r="B2952" i="1"/>
  <c r="A2952" i="1"/>
  <c r="B2951" i="1"/>
  <c r="A2951" i="1"/>
  <c r="B2950" i="1"/>
  <c r="A2950" i="1"/>
  <c r="B2949" i="1"/>
  <c r="A2949" i="1"/>
  <c r="B2948" i="1"/>
  <c r="A2948" i="1"/>
  <c r="B2947" i="1"/>
  <c r="A2947" i="1"/>
  <c r="B2946" i="1"/>
  <c r="A2946" i="1"/>
  <c r="B2945" i="1"/>
  <c r="A2945" i="1"/>
  <c r="B2944" i="1"/>
  <c r="A2944" i="1"/>
  <c r="B2943" i="1"/>
  <c r="A2943" i="1"/>
  <c r="B2942" i="1"/>
  <c r="A2942" i="1"/>
  <c r="B2941" i="1"/>
  <c r="A2941" i="1"/>
  <c r="B2940" i="1"/>
  <c r="A2940" i="1"/>
  <c r="B2939" i="1"/>
  <c r="A2939" i="1"/>
  <c r="B2938" i="1"/>
  <c r="A2938" i="1"/>
  <c r="B2937" i="1"/>
  <c r="A2937" i="1"/>
  <c r="B2936" i="1"/>
  <c r="A2936" i="1"/>
  <c r="B2935" i="1"/>
  <c r="A2935" i="1"/>
  <c r="B2934" i="1"/>
  <c r="A2934" i="1"/>
  <c r="B2933" i="1"/>
  <c r="A2933" i="1"/>
  <c r="B2932" i="1"/>
  <c r="A2932" i="1"/>
  <c r="B2931" i="1"/>
  <c r="A2931" i="1"/>
  <c r="B2930" i="1"/>
  <c r="A2930" i="1"/>
  <c r="B2929" i="1"/>
  <c r="A2929" i="1"/>
  <c r="B2928" i="1"/>
  <c r="A2928" i="1"/>
  <c r="B2927" i="1"/>
  <c r="A2927" i="1"/>
  <c r="B2926" i="1"/>
  <c r="A2926" i="1"/>
  <c r="B2925" i="1"/>
  <c r="A2925" i="1"/>
  <c r="B2924" i="1"/>
  <c r="A2924" i="1"/>
  <c r="B2923" i="1"/>
  <c r="A2923" i="1"/>
  <c r="B2922" i="1"/>
  <c r="A2922" i="1"/>
  <c r="B2921" i="1"/>
  <c r="A2921" i="1"/>
  <c r="B2920" i="1"/>
  <c r="A2920" i="1"/>
  <c r="B2919" i="1"/>
  <c r="A2919" i="1"/>
  <c r="B2918" i="1"/>
  <c r="A2918" i="1"/>
  <c r="B2917" i="1"/>
  <c r="A2917" i="1"/>
  <c r="B2916" i="1"/>
  <c r="A2916" i="1"/>
  <c r="B2915" i="1"/>
  <c r="A2915" i="1"/>
  <c r="B2914" i="1"/>
  <c r="A2914" i="1"/>
  <c r="B2913" i="1"/>
  <c r="A2913" i="1"/>
  <c r="B2912" i="1"/>
  <c r="A2912" i="1"/>
  <c r="B2911" i="1"/>
  <c r="A2911" i="1"/>
  <c r="B2910" i="1"/>
  <c r="A2910" i="1"/>
  <c r="B2909" i="1"/>
  <c r="A2909" i="1"/>
  <c r="B2908" i="1"/>
  <c r="A2908" i="1"/>
  <c r="B2907" i="1"/>
  <c r="A2907" i="1"/>
  <c r="B2906" i="1"/>
  <c r="A2906" i="1"/>
  <c r="B2905" i="1"/>
  <c r="A2905" i="1"/>
  <c r="B2904" i="1"/>
  <c r="A2904" i="1"/>
  <c r="B2903" i="1"/>
  <c r="A2903" i="1"/>
  <c r="B2902" i="1"/>
  <c r="A2902" i="1"/>
  <c r="B2901" i="1"/>
  <c r="A2901" i="1"/>
  <c r="B2900" i="1"/>
  <c r="A2900" i="1"/>
  <c r="B2899" i="1"/>
  <c r="A2899" i="1"/>
  <c r="B2898" i="1"/>
  <c r="A2898" i="1"/>
  <c r="B2897" i="1"/>
  <c r="A2897" i="1"/>
  <c r="B2896" i="1"/>
  <c r="A2896" i="1"/>
  <c r="B2895" i="1"/>
  <c r="A2895" i="1"/>
  <c r="B2894" i="1"/>
  <c r="A2894" i="1"/>
  <c r="B2893" i="1"/>
  <c r="A2893" i="1"/>
  <c r="B2892" i="1"/>
  <c r="A2892" i="1"/>
  <c r="B2891" i="1"/>
  <c r="A2891" i="1"/>
  <c r="B2890" i="1"/>
  <c r="A2890" i="1"/>
  <c r="B2889" i="1"/>
  <c r="A2889" i="1"/>
  <c r="B2888" i="1"/>
  <c r="A2888" i="1"/>
  <c r="B2887" i="1"/>
  <c r="A2887" i="1"/>
  <c r="B2886" i="1"/>
  <c r="A2886" i="1"/>
  <c r="B2885" i="1"/>
  <c r="A2885" i="1"/>
  <c r="B2884" i="1"/>
  <c r="A2884" i="1"/>
  <c r="B2883" i="1"/>
  <c r="A2883" i="1"/>
  <c r="B2882" i="1"/>
  <c r="A2882" i="1"/>
  <c r="B2881" i="1"/>
  <c r="A2881" i="1"/>
  <c r="B2880" i="1"/>
  <c r="A2880" i="1"/>
  <c r="B2879" i="1"/>
  <c r="A2879" i="1"/>
  <c r="B2878" i="1"/>
  <c r="A2878" i="1"/>
  <c r="B2877" i="1"/>
  <c r="A2877" i="1"/>
  <c r="B2876" i="1"/>
  <c r="A2876" i="1"/>
  <c r="B2875" i="1"/>
  <c r="A2875" i="1"/>
  <c r="B2874" i="1"/>
  <c r="A2874" i="1"/>
  <c r="B2873" i="1"/>
  <c r="A2873" i="1"/>
  <c r="B2872" i="1"/>
  <c r="A2872" i="1"/>
  <c r="B2871" i="1"/>
  <c r="A2871" i="1"/>
  <c r="B2870" i="1"/>
  <c r="A2870" i="1"/>
  <c r="B2869" i="1"/>
  <c r="A2869" i="1"/>
  <c r="B2868" i="1"/>
  <c r="A2868" i="1"/>
  <c r="B2867" i="1"/>
  <c r="A2867" i="1"/>
  <c r="B2866" i="1"/>
  <c r="A2866" i="1"/>
  <c r="B2865" i="1"/>
  <c r="A2865" i="1"/>
  <c r="B2864" i="1"/>
  <c r="A2864" i="1"/>
  <c r="B2863" i="1"/>
  <c r="A2863" i="1"/>
  <c r="B2862" i="1"/>
  <c r="A2862" i="1"/>
  <c r="B2861" i="1"/>
  <c r="A2861" i="1"/>
  <c r="B2860" i="1"/>
  <c r="A2860" i="1"/>
  <c r="B2859" i="1"/>
  <c r="A2859" i="1"/>
  <c r="B2858" i="1"/>
  <c r="A2858" i="1"/>
  <c r="B2857" i="1"/>
  <c r="A2857" i="1"/>
  <c r="B2856" i="1"/>
  <c r="A2856" i="1"/>
  <c r="B2855" i="1"/>
  <c r="A2855" i="1"/>
  <c r="B2854" i="1"/>
  <c r="A2854" i="1"/>
  <c r="B2853" i="1"/>
  <c r="A2853" i="1"/>
  <c r="B2852" i="1"/>
  <c r="A2852" i="1"/>
  <c r="B2851" i="1"/>
  <c r="A2851" i="1"/>
  <c r="B2850" i="1"/>
  <c r="A2850" i="1"/>
  <c r="B2849" i="1"/>
  <c r="A2849" i="1"/>
  <c r="B2848" i="1"/>
  <c r="A2848" i="1"/>
  <c r="B2847" i="1"/>
  <c r="A2847" i="1"/>
  <c r="B2846" i="1"/>
  <c r="A2846" i="1"/>
  <c r="B2845" i="1"/>
  <c r="A2845" i="1"/>
  <c r="B2844" i="1"/>
  <c r="A2844" i="1"/>
  <c r="B2843" i="1"/>
  <c r="A2843" i="1"/>
  <c r="B2842" i="1"/>
  <c r="A2842" i="1"/>
  <c r="B2841" i="1"/>
  <c r="A2841" i="1"/>
  <c r="B2840" i="1"/>
  <c r="A2840" i="1"/>
  <c r="B2839" i="1"/>
  <c r="A2839" i="1"/>
  <c r="B2838" i="1"/>
  <c r="A2838" i="1"/>
  <c r="B2837" i="1"/>
  <c r="A2837" i="1"/>
  <c r="B2836" i="1"/>
  <c r="A2836" i="1"/>
  <c r="B2835" i="1"/>
  <c r="A2835" i="1"/>
  <c r="B2834" i="1"/>
  <c r="A2834" i="1"/>
  <c r="B2833" i="1"/>
  <c r="A2833" i="1"/>
  <c r="B2832" i="1"/>
  <c r="A2832" i="1"/>
  <c r="B2831" i="1"/>
  <c r="A2831" i="1"/>
  <c r="B2830" i="1"/>
  <c r="A2830" i="1"/>
  <c r="B2829" i="1"/>
  <c r="A2829" i="1"/>
  <c r="B2828" i="1"/>
  <c r="A2828" i="1"/>
  <c r="B2827" i="1"/>
  <c r="A2827" i="1"/>
  <c r="B2826" i="1"/>
  <c r="A2826" i="1"/>
  <c r="B2825" i="1"/>
  <c r="A2825" i="1"/>
  <c r="B2824" i="1"/>
  <c r="A2824" i="1"/>
  <c r="B2823" i="1"/>
  <c r="A2823" i="1"/>
  <c r="B2822" i="1"/>
  <c r="A2822" i="1"/>
  <c r="B2821" i="1"/>
  <c r="A2821" i="1"/>
  <c r="B2820" i="1"/>
  <c r="A2820" i="1"/>
  <c r="B2819" i="1"/>
  <c r="A2819" i="1"/>
  <c r="B2818" i="1"/>
  <c r="A2818" i="1"/>
  <c r="B2817" i="1"/>
  <c r="A2817" i="1"/>
  <c r="B2816" i="1"/>
  <c r="A2816" i="1"/>
  <c r="B2815" i="1"/>
  <c r="A2815" i="1"/>
  <c r="B2814" i="1"/>
  <c r="A2814" i="1"/>
  <c r="B2813" i="1"/>
  <c r="A2813" i="1"/>
  <c r="B2812" i="1"/>
  <c r="A2812" i="1"/>
  <c r="B2811" i="1"/>
  <c r="A2811" i="1"/>
  <c r="B2810" i="1"/>
  <c r="A2810" i="1"/>
  <c r="B2809" i="1"/>
  <c r="A2809" i="1"/>
  <c r="B2808" i="1"/>
  <c r="A2808" i="1"/>
  <c r="B2807" i="1"/>
  <c r="A2807" i="1"/>
  <c r="B2806" i="1"/>
  <c r="A2806" i="1"/>
  <c r="B2805" i="1"/>
  <c r="A2805" i="1"/>
  <c r="B2804" i="1"/>
  <c r="A2804" i="1"/>
  <c r="B2803" i="1"/>
  <c r="A2803" i="1"/>
  <c r="B2802" i="1"/>
  <c r="A2802" i="1"/>
  <c r="B2801" i="1"/>
  <c r="A2801" i="1"/>
  <c r="B2800" i="1"/>
  <c r="A2800" i="1"/>
  <c r="B2799" i="1"/>
  <c r="A2799" i="1"/>
  <c r="B2798" i="1"/>
  <c r="A2798" i="1"/>
  <c r="B2797" i="1"/>
  <c r="A2797" i="1"/>
  <c r="B2796" i="1"/>
  <c r="A2796" i="1"/>
  <c r="B2795" i="1"/>
  <c r="A2795" i="1"/>
  <c r="B2794" i="1"/>
  <c r="A2794" i="1"/>
  <c r="B2793" i="1"/>
  <c r="A2793" i="1"/>
  <c r="B2792" i="1"/>
  <c r="A2792" i="1"/>
  <c r="B2791" i="1"/>
  <c r="A2791" i="1"/>
  <c r="B2790" i="1"/>
  <c r="A2790" i="1"/>
  <c r="B2789" i="1"/>
  <c r="A2789" i="1"/>
  <c r="B2788" i="1"/>
  <c r="A2788" i="1"/>
  <c r="B2787" i="1"/>
  <c r="A2787" i="1"/>
  <c r="B2786" i="1"/>
  <c r="A2786" i="1"/>
  <c r="B2785" i="1"/>
  <c r="A2785" i="1"/>
  <c r="B2784" i="1"/>
  <c r="A2784" i="1"/>
  <c r="B2783" i="1"/>
  <c r="A2783" i="1"/>
  <c r="B2782" i="1"/>
  <c r="A2782" i="1"/>
  <c r="B2781" i="1"/>
  <c r="A2781" i="1"/>
  <c r="B2780" i="1"/>
  <c r="A2780" i="1"/>
  <c r="B2779" i="1"/>
  <c r="A2779" i="1"/>
  <c r="B2778" i="1"/>
  <c r="A2778" i="1"/>
  <c r="B2777" i="1"/>
  <c r="A2777" i="1"/>
  <c r="B2776" i="1"/>
  <c r="A2776" i="1"/>
  <c r="B2775" i="1"/>
  <c r="A2775" i="1"/>
  <c r="B2774" i="1"/>
  <c r="A2774" i="1"/>
  <c r="B2773" i="1"/>
  <c r="A2773" i="1"/>
  <c r="B2772" i="1"/>
  <c r="A2772" i="1"/>
  <c r="B2771" i="1"/>
  <c r="A2771" i="1"/>
  <c r="B2770" i="1"/>
  <c r="A2770" i="1"/>
  <c r="B2769" i="1"/>
  <c r="A2769" i="1"/>
  <c r="B2768" i="1"/>
  <c r="A2768" i="1"/>
  <c r="B2767" i="1"/>
  <c r="A2767" i="1"/>
  <c r="B2766" i="1"/>
  <c r="A2766" i="1"/>
  <c r="B2765" i="1"/>
  <c r="A2765" i="1"/>
  <c r="B2764" i="1"/>
  <c r="A2764" i="1"/>
  <c r="B2763" i="1"/>
  <c r="A2763" i="1"/>
  <c r="B2762" i="1"/>
  <c r="A2762" i="1"/>
  <c r="B2761" i="1"/>
  <c r="A2761" i="1"/>
  <c r="B2760" i="1"/>
  <c r="A2760" i="1"/>
  <c r="B2759" i="1"/>
  <c r="A2759" i="1"/>
  <c r="B2758" i="1"/>
  <c r="A2758" i="1"/>
  <c r="B2757" i="1"/>
  <c r="A2757" i="1"/>
  <c r="B2756" i="1"/>
  <c r="A2756" i="1"/>
  <c r="B2755" i="1"/>
  <c r="A2755" i="1"/>
  <c r="B2754" i="1"/>
  <c r="A2754" i="1"/>
  <c r="B2753" i="1"/>
  <c r="A2753" i="1"/>
  <c r="B2752" i="1"/>
  <c r="A2752" i="1"/>
  <c r="B2751" i="1"/>
  <c r="A2751" i="1"/>
  <c r="B2750" i="1"/>
  <c r="A2750" i="1"/>
  <c r="B2749" i="1"/>
  <c r="A2749" i="1"/>
  <c r="B2748" i="1"/>
  <c r="A2748" i="1"/>
  <c r="B2747" i="1"/>
  <c r="A2747" i="1"/>
  <c r="B2746" i="1"/>
  <c r="A2746" i="1"/>
  <c r="B2745" i="1"/>
  <c r="A2745" i="1"/>
  <c r="B2744" i="1"/>
  <c r="A2744" i="1"/>
  <c r="B2743" i="1"/>
  <c r="A2743" i="1"/>
  <c r="B2742" i="1"/>
  <c r="A2742" i="1"/>
  <c r="B2741" i="1"/>
  <c r="A2741" i="1"/>
  <c r="B2740" i="1"/>
  <c r="A2740" i="1"/>
  <c r="B2739" i="1"/>
  <c r="A2739" i="1"/>
  <c r="B2738" i="1"/>
  <c r="A2738" i="1"/>
  <c r="B2737" i="1"/>
  <c r="A2737" i="1"/>
  <c r="B2736" i="1"/>
  <c r="A2736" i="1"/>
  <c r="B2735" i="1"/>
  <c r="A2735" i="1"/>
  <c r="B2734" i="1"/>
  <c r="A2734" i="1"/>
  <c r="B2733" i="1"/>
  <c r="A2733" i="1"/>
  <c r="B2732" i="1"/>
  <c r="A2732" i="1"/>
  <c r="B2731" i="1"/>
  <c r="A2731" i="1"/>
  <c r="B2730" i="1"/>
  <c r="A2730" i="1"/>
  <c r="B2729" i="1"/>
  <c r="A2729" i="1"/>
  <c r="B2728" i="1"/>
  <c r="A2728" i="1"/>
  <c r="B2727" i="1"/>
  <c r="A2727" i="1"/>
  <c r="B2726" i="1"/>
  <c r="A2726" i="1"/>
  <c r="B2725" i="1"/>
  <c r="A2725" i="1"/>
  <c r="B2724" i="1"/>
  <c r="A2724" i="1"/>
  <c r="B2723" i="1"/>
  <c r="A2723" i="1"/>
  <c r="B2722" i="1"/>
  <c r="A2722" i="1"/>
  <c r="B2721" i="1"/>
  <c r="A2721" i="1"/>
  <c r="B2720" i="1"/>
  <c r="A2720" i="1"/>
  <c r="B2719" i="1"/>
  <c r="A2719" i="1"/>
  <c r="B2718" i="1"/>
  <c r="A2718" i="1"/>
  <c r="B2717" i="1"/>
  <c r="A2717" i="1"/>
  <c r="B2716" i="1"/>
  <c r="A2716" i="1"/>
  <c r="B2715" i="1"/>
  <c r="A2715" i="1"/>
  <c r="B2714" i="1"/>
  <c r="A2714" i="1"/>
  <c r="B2713" i="1"/>
  <c r="A2713" i="1"/>
  <c r="B2712" i="1"/>
  <c r="A2712" i="1"/>
  <c r="B2711" i="1"/>
  <c r="A2711" i="1"/>
  <c r="B2710" i="1"/>
  <c r="A2710" i="1"/>
  <c r="B2709" i="1"/>
  <c r="A2709" i="1"/>
  <c r="B2708" i="1"/>
  <c r="A2708" i="1"/>
  <c r="B2707" i="1"/>
  <c r="A2707" i="1"/>
  <c r="B2706" i="1"/>
  <c r="A2706" i="1"/>
  <c r="B2705" i="1"/>
  <c r="A2705" i="1"/>
  <c r="B2704" i="1"/>
  <c r="A2704" i="1"/>
  <c r="B2703" i="1"/>
  <c r="A2703" i="1"/>
  <c r="B2702" i="1"/>
  <c r="A2702" i="1"/>
  <c r="B2701" i="1"/>
  <c r="A2701" i="1"/>
  <c r="B2700" i="1"/>
  <c r="A2700" i="1"/>
  <c r="B2699" i="1"/>
  <c r="A2699" i="1"/>
  <c r="B2698" i="1"/>
  <c r="A2698" i="1"/>
  <c r="B2697" i="1"/>
  <c r="A2697" i="1"/>
  <c r="B2696" i="1"/>
  <c r="A2696" i="1"/>
  <c r="B2695" i="1"/>
  <c r="A2695" i="1"/>
  <c r="B2694" i="1"/>
  <c r="A2694" i="1"/>
  <c r="B2693" i="1"/>
  <c r="A2693" i="1"/>
  <c r="B2692" i="1"/>
  <c r="A2692" i="1"/>
  <c r="B2691" i="1"/>
  <c r="A2691" i="1"/>
  <c r="B2690" i="1"/>
  <c r="A2690" i="1"/>
  <c r="B2689" i="1"/>
  <c r="A2689" i="1"/>
  <c r="B2688" i="1"/>
  <c r="A2688" i="1"/>
  <c r="B2687" i="1"/>
  <c r="A2687" i="1"/>
  <c r="B2686" i="1"/>
  <c r="A2686" i="1"/>
  <c r="B2685" i="1"/>
  <c r="A2685" i="1"/>
  <c r="B2684" i="1"/>
  <c r="A2684" i="1"/>
  <c r="B2683" i="1"/>
  <c r="A2683" i="1"/>
  <c r="B2682" i="1"/>
  <c r="A2682" i="1"/>
  <c r="B2681" i="1"/>
  <c r="A2681" i="1"/>
  <c r="B2680" i="1"/>
  <c r="A2680" i="1"/>
  <c r="B2679" i="1"/>
  <c r="A2679" i="1"/>
  <c r="B2678" i="1"/>
  <c r="A2678" i="1"/>
  <c r="B2677" i="1"/>
  <c r="A2677" i="1"/>
  <c r="B2676" i="1"/>
  <c r="A2676" i="1"/>
  <c r="B2675" i="1"/>
  <c r="A2675" i="1"/>
  <c r="B2674" i="1"/>
  <c r="A2674" i="1"/>
  <c r="B2673" i="1"/>
  <c r="A2673" i="1"/>
  <c r="B2672" i="1"/>
  <c r="A2672" i="1"/>
  <c r="B2671" i="1"/>
  <c r="A2671" i="1"/>
  <c r="B2670" i="1"/>
  <c r="A2670" i="1"/>
  <c r="B2669" i="1"/>
  <c r="A2669" i="1"/>
  <c r="B2668" i="1"/>
  <c r="A2668" i="1"/>
  <c r="B2667" i="1"/>
  <c r="A2667" i="1"/>
  <c r="B2666" i="1"/>
  <c r="A2666" i="1"/>
  <c r="B2665" i="1"/>
  <c r="A2665" i="1"/>
  <c r="B2664" i="1"/>
  <c r="A2664" i="1"/>
  <c r="B2663" i="1"/>
  <c r="A2663" i="1"/>
  <c r="B2662" i="1"/>
  <c r="A2662" i="1"/>
  <c r="B2661" i="1"/>
  <c r="A2661" i="1"/>
  <c r="B2660" i="1"/>
  <c r="A2660" i="1"/>
  <c r="B2659" i="1"/>
  <c r="A2659" i="1"/>
  <c r="B2658" i="1"/>
  <c r="A2658" i="1"/>
  <c r="B2657" i="1"/>
  <c r="A2657" i="1"/>
  <c r="B2656" i="1"/>
  <c r="A2656" i="1"/>
  <c r="B2655" i="1"/>
  <c r="A2655" i="1"/>
  <c r="B2654" i="1"/>
  <c r="A2654" i="1"/>
  <c r="B2653" i="1"/>
  <c r="A2653" i="1"/>
  <c r="B2652" i="1"/>
  <c r="A2652" i="1"/>
  <c r="B2651" i="1"/>
  <c r="A2651" i="1"/>
  <c r="B2650" i="1"/>
  <c r="A2650" i="1"/>
  <c r="B2649" i="1"/>
  <c r="A2649" i="1"/>
  <c r="B2648" i="1"/>
  <c r="A2648" i="1"/>
  <c r="B2647" i="1"/>
  <c r="A2647" i="1"/>
  <c r="B2646" i="1"/>
  <c r="A2646" i="1"/>
  <c r="B2645" i="1"/>
  <c r="A2645" i="1"/>
  <c r="B2644" i="1"/>
  <c r="A2644" i="1"/>
  <c r="B2643" i="1"/>
  <c r="A2643" i="1"/>
  <c r="B2642" i="1"/>
  <c r="A2642" i="1"/>
  <c r="B2641" i="1"/>
  <c r="A2641" i="1"/>
  <c r="B2640" i="1"/>
  <c r="A2640" i="1"/>
  <c r="B2639" i="1"/>
  <c r="A2639" i="1"/>
  <c r="B2638" i="1"/>
  <c r="A2638" i="1"/>
  <c r="B2637" i="1"/>
  <c r="A2637" i="1"/>
  <c r="B2636" i="1"/>
  <c r="A2636" i="1"/>
  <c r="B2635" i="1"/>
  <c r="A2635" i="1"/>
  <c r="B2634" i="1"/>
  <c r="A2634" i="1"/>
  <c r="B2633" i="1"/>
  <c r="A2633" i="1"/>
  <c r="B2632" i="1"/>
  <c r="A2632" i="1"/>
  <c r="B2631" i="1"/>
  <c r="A2631" i="1"/>
  <c r="B2630" i="1"/>
  <c r="A2630" i="1"/>
  <c r="B2629" i="1"/>
  <c r="A2629" i="1"/>
  <c r="B2628" i="1"/>
  <c r="A2628" i="1"/>
  <c r="B2627" i="1"/>
  <c r="A2627" i="1"/>
  <c r="B2626" i="1"/>
  <c r="A2626" i="1"/>
  <c r="B2625" i="1"/>
  <c r="A2625" i="1"/>
  <c r="B2624" i="1"/>
  <c r="A2624" i="1"/>
  <c r="B2623" i="1"/>
  <c r="A2623" i="1"/>
  <c r="B2622" i="1"/>
  <c r="A2622" i="1"/>
  <c r="B2621" i="1"/>
  <c r="A2621" i="1"/>
  <c r="B2620" i="1"/>
  <c r="A2620" i="1"/>
  <c r="B2619" i="1"/>
  <c r="A2619" i="1"/>
  <c r="B2618" i="1"/>
  <c r="A2618" i="1"/>
  <c r="B2617" i="1"/>
  <c r="A2617" i="1"/>
  <c r="B2616" i="1"/>
  <c r="A2616" i="1"/>
  <c r="B2615" i="1"/>
  <c r="A2615" i="1"/>
  <c r="B2614" i="1"/>
  <c r="A2614" i="1"/>
  <c r="B2613" i="1"/>
  <c r="A2613" i="1"/>
  <c r="B2612" i="1"/>
  <c r="A2612" i="1"/>
  <c r="B2611" i="1"/>
  <c r="A2611" i="1"/>
  <c r="B2610" i="1"/>
  <c r="A2610" i="1"/>
  <c r="B2609" i="1"/>
  <c r="A2609" i="1"/>
  <c r="B2608" i="1"/>
  <c r="A2608" i="1"/>
  <c r="B2607" i="1"/>
  <c r="A2607" i="1"/>
  <c r="B2606" i="1"/>
  <c r="A2606" i="1"/>
  <c r="B2605" i="1"/>
  <c r="A2605" i="1"/>
  <c r="B2604" i="1"/>
  <c r="A2604" i="1"/>
  <c r="B2603" i="1"/>
  <c r="A2603" i="1"/>
  <c r="B2602" i="1"/>
  <c r="A2602" i="1"/>
  <c r="B2601" i="1"/>
  <c r="A2601" i="1"/>
  <c r="B2600" i="1"/>
  <c r="A2600" i="1"/>
  <c r="B2599" i="1"/>
  <c r="A2599" i="1"/>
  <c r="B2598" i="1"/>
  <c r="A2598" i="1"/>
  <c r="B2597" i="1"/>
  <c r="A2597" i="1"/>
  <c r="B2596" i="1"/>
  <c r="A2596" i="1"/>
  <c r="B2595" i="1"/>
  <c r="A2595" i="1"/>
  <c r="B2594" i="1"/>
  <c r="A2594" i="1"/>
  <c r="B2593" i="1"/>
  <c r="A2593" i="1"/>
  <c r="B2592" i="1"/>
  <c r="A2592" i="1"/>
  <c r="B2591" i="1"/>
  <c r="A2591" i="1"/>
  <c r="B2590" i="1"/>
  <c r="A2590" i="1"/>
  <c r="B2589" i="1"/>
  <c r="A2589" i="1"/>
  <c r="B2588" i="1"/>
  <c r="A2588" i="1"/>
  <c r="B2587" i="1"/>
  <c r="A2587" i="1"/>
  <c r="B2586" i="1"/>
  <c r="A2586" i="1"/>
  <c r="B2585" i="1"/>
  <c r="A2585" i="1"/>
  <c r="B2584" i="1"/>
  <c r="A2584" i="1"/>
  <c r="B2583" i="1"/>
  <c r="A2583" i="1"/>
  <c r="B2582" i="1"/>
  <c r="A2582" i="1"/>
  <c r="B2581" i="1"/>
  <c r="A2581" i="1"/>
  <c r="B2580" i="1"/>
  <c r="A2580" i="1"/>
  <c r="B2579" i="1"/>
  <c r="A2579" i="1"/>
  <c r="B2578" i="1"/>
  <c r="A2578" i="1"/>
  <c r="B2577" i="1"/>
  <c r="A2577" i="1"/>
  <c r="B2576" i="1"/>
  <c r="A2576" i="1"/>
  <c r="B2575" i="1"/>
  <c r="A2575" i="1"/>
  <c r="B2574" i="1"/>
  <c r="A2574" i="1"/>
  <c r="B2573" i="1"/>
  <c r="A2573" i="1"/>
  <c r="B2572" i="1"/>
  <c r="A2572" i="1"/>
  <c r="B2571" i="1"/>
  <c r="A2571" i="1"/>
  <c r="B2570" i="1"/>
  <c r="A2570" i="1"/>
  <c r="B2569" i="1"/>
  <c r="A2569" i="1"/>
  <c r="B2568" i="1"/>
  <c r="A2568" i="1"/>
  <c r="B2567" i="1"/>
  <c r="A2567" i="1"/>
  <c r="B2566" i="1"/>
  <c r="A2566" i="1"/>
  <c r="B2565" i="1"/>
  <c r="A2565" i="1"/>
  <c r="B2564" i="1"/>
  <c r="A2564" i="1"/>
  <c r="B2563" i="1"/>
  <c r="A2563" i="1"/>
  <c r="B2562" i="1"/>
  <c r="A2562" i="1"/>
  <c r="B2561" i="1"/>
  <c r="A2561" i="1"/>
  <c r="B2560" i="1"/>
  <c r="A2560" i="1"/>
  <c r="B2559" i="1"/>
  <c r="A2559" i="1"/>
  <c r="B2558" i="1"/>
  <c r="A2558" i="1"/>
  <c r="B2557" i="1"/>
  <c r="A2557" i="1"/>
  <c r="B2556" i="1"/>
  <c r="A2556" i="1"/>
  <c r="B2555" i="1"/>
  <c r="A2555" i="1"/>
  <c r="B2554" i="1"/>
  <c r="A2554" i="1"/>
  <c r="B2553" i="1"/>
  <c r="A2553" i="1"/>
  <c r="B2552" i="1"/>
  <c r="A2552" i="1"/>
  <c r="B2551" i="1"/>
  <c r="A2551" i="1"/>
  <c r="B2550" i="1"/>
  <c r="A2550" i="1"/>
  <c r="B2549" i="1"/>
  <c r="A2549" i="1"/>
  <c r="B2548" i="1"/>
  <c r="A2548" i="1"/>
  <c r="B2547" i="1"/>
  <c r="A2547" i="1"/>
  <c r="B2546" i="1"/>
  <c r="A2546" i="1"/>
  <c r="B2545" i="1"/>
  <c r="A2545" i="1"/>
  <c r="B2544" i="1"/>
  <c r="A2544" i="1"/>
  <c r="B2543" i="1"/>
  <c r="A2543" i="1"/>
  <c r="B2542" i="1"/>
  <c r="A2542" i="1"/>
  <c r="B2541" i="1"/>
  <c r="A2541" i="1"/>
  <c r="B2540" i="1"/>
  <c r="A2540" i="1"/>
  <c r="B2539" i="1"/>
  <c r="A2539" i="1"/>
  <c r="B2538" i="1"/>
  <c r="A2538" i="1"/>
  <c r="B2537" i="1"/>
  <c r="A2537" i="1"/>
  <c r="B2536" i="1"/>
  <c r="A2536" i="1"/>
  <c r="B2535" i="1"/>
  <c r="A2535" i="1"/>
  <c r="B2534" i="1"/>
  <c r="A2534" i="1"/>
  <c r="B2533" i="1"/>
  <c r="A2533" i="1"/>
  <c r="B2532" i="1"/>
  <c r="A2532" i="1"/>
  <c r="B2531" i="1"/>
  <c r="A2531" i="1"/>
  <c r="B2530" i="1"/>
  <c r="A2530" i="1"/>
  <c r="B2529" i="1"/>
  <c r="A2529" i="1"/>
  <c r="B2528" i="1"/>
  <c r="A2528" i="1"/>
  <c r="B2527" i="1"/>
  <c r="A2527" i="1"/>
  <c r="B2526" i="1"/>
  <c r="A2526" i="1"/>
  <c r="B2525" i="1"/>
  <c r="A2525" i="1"/>
  <c r="B2524" i="1"/>
  <c r="A2524" i="1"/>
  <c r="B2523" i="1"/>
  <c r="A2523" i="1"/>
  <c r="B2522" i="1"/>
  <c r="A2522" i="1"/>
  <c r="B2521" i="1"/>
  <c r="A2521" i="1"/>
  <c r="B2520" i="1"/>
  <c r="A2520" i="1"/>
  <c r="B2519" i="1"/>
  <c r="A2519" i="1"/>
  <c r="B2518" i="1"/>
  <c r="A2518" i="1"/>
  <c r="B2517" i="1"/>
  <c r="A2517" i="1"/>
  <c r="B2516" i="1"/>
  <c r="A2516" i="1"/>
  <c r="B2515" i="1"/>
  <c r="A2515" i="1"/>
  <c r="B2514" i="1"/>
  <c r="A2514" i="1"/>
  <c r="B2513" i="1"/>
  <c r="A2513" i="1"/>
  <c r="B2512" i="1"/>
  <c r="A2512" i="1"/>
  <c r="B2511" i="1"/>
  <c r="A2511" i="1"/>
  <c r="B2510" i="1"/>
  <c r="A2510" i="1"/>
  <c r="B2509" i="1"/>
  <c r="A2509" i="1"/>
  <c r="B2508" i="1"/>
  <c r="A2508" i="1"/>
  <c r="B2507" i="1"/>
  <c r="A2507" i="1"/>
  <c r="B2506" i="1"/>
  <c r="A2506" i="1"/>
  <c r="B2505" i="1"/>
  <c r="A2505" i="1"/>
  <c r="B2504" i="1"/>
  <c r="A2504" i="1"/>
  <c r="B2503" i="1"/>
  <c r="A2503" i="1"/>
  <c r="B2502" i="1"/>
  <c r="A2502" i="1"/>
  <c r="B2501" i="1"/>
  <c r="A2501" i="1"/>
  <c r="B2500" i="1"/>
  <c r="A2500" i="1"/>
  <c r="B2499" i="1"/>
  <c r="A2499" i="1"/>
  <c r="B2498" i="1"/>
  <c r="A2498" i="1"/>
  <c r="B2497" i="1"/>
  <c r="A2497" i="1"/>
  <c r="B2496" i="1"/>
  <c r="A2496" i="1"/>
  <c r="B2495" i="1"/>
  <c r="A2495" i="1"/>
  <c r="B2494" i="1"/>
  <c r="A2494" i="1"/>
  <c r="B2493" i="1"/>
  <c r="A2493" i="1"/>
  <c r="B2492" i="1"/>
  <c r="A2492" i="1"/>
  <c r="B2491" i="1"/>
  <c r="A2491" i="1"/>
  <c r="B2490" i="1"/>
  <c r="A2490" i="1"/>
  <c r="B2489" i="1"/>
  <c r="A2489" i="1"/>
  <c r="B2488" i="1"/>
  <c r="A2488" i="1"/>
  <c r="B2487" i="1"/>
  <c r="A2487" i="1"/>
  <c r="B2486" i="1"/>
  <c r="A2486" i="1"/>
  <c r="B2485" i="1"/>
  <c r="A2485" i="1"/>
  <c r="B2484" i="1"/>
  <c r="A2484" i="1"/>
  <c r="B2483" i="1"/>
  <c r="A2483" i="1"/>
  <c r="B2482" i="1"/>
  <c r="A2482" i="1"/>
  <c r="B2481" i="1"/>
  <c r="A2481" i="1"/>
  <c r="B2480" i="1"/>
  <c r="A2480" i="1"/>
  <c r="B2479" i="1"/>
  <c r="A2479" i="1"/>
  <c r="B2478" i="1"/>
  <c r="A2478" i="1"/>
  <c r="B2477" i="1"/>
  <c r="A2477" i="1"/>
  <c r="B2476" i="1"/>
  <c r="A2476" i="1"/>
  <c r="B2475" i="1"/>
  <c r="A2475" i="1"/>
  <c r="B2474" i="1"/>
  <c r="A2474" i="1"/>
  <c r="B2473" i="1"/>
  <c r="A2473" i="1"/>
  <c r="B2472" i="1"/>
  <c r="A2472" i="1"/>
  <c r="B2471" i="1"/>
  <c r="A2471" i="1"/>
  <c r="B2470" i="1"/>
  <c r="A2470" i="1"/>
  <c r="B2469" i="1"/>
  <c r="A2469" i="1"/>
  <c r="B2468" i="1"/>
  <c r="A2468" i="1"/>
  <c r="B2467" i="1"/>
  <c r="A2467" i="1"/>
  <c r="B2466" i="1"/>
  <c r="A2466" i="1"/>
  <c r="B2465" i="1"/>
  <c r="A2465" i="1"/>
  <c r="B2464" i="1"/>
  <c r="A2464" i="1"/>
  <c r="B2463" i="1"/>
  <c r="A2463" i="1"/>
  <c r="B2462" i="1"/>
  <c r="A2462" i="1"/>
  <c r="B2461" i="1"/>
  <c r="A2461" i="1"/>
  <c r="B2460" i="1"/>
  <c r="A2460" i="1"/>
  <c r="B2459" i="1"/>
  <c r="A2459" i="1"/>
  <c r="B2458" i="1"/>
  <c r="A2458" i="1"/>
  <c r="B2457" i="1"/>
  <c r="A2457" i="1"/>
  <c r="B2456" i="1"/>
  <c r="A2456" i="1"/>
  <c r="B2455" i="1"/>
  <c r="A2455" i="1"/>
  <c r="B2454" i="1"/>
  <c r="A2454" i="1"/>
  <c r="B2453" i="1"/>
  <c r="A2453" i="1"/>
  <c r="B2452" i="1"/>
  <c r="A2452" i="1"/>
  <c r="B2451" i="1"/>
  <c r="A2451" i="1"/>
  <c r="B2450" i="1"/>
  <c r="A2450" i="1"/>
  <c r="B2449" i="1"/>
  <c r="A2449" i="1"/>
  <c r="B2448" i="1"/>
  <c r="A2448" i="1"/>
  <c r="B2447" i="1"/>
  <c r="A2447" i="1"/>
  <c r="B2446" i="1"/>
  <c r="A2446" i="1"/>
  <c r="B2445" i="1"/>
  <c r="A2445" i="1"/>
  <c r="B2444" i="1"/>
  <c r="A2444" i="1"/>
  <c r="B2443" i="1"/>
  <c r="A2443" i="1"/>
  <c r="B2442" i="1"/>
  <c r="A2442" i="1"/>
  <c r="B2441" i="1"/>
  <c r="A2441" i="1"/>
  <c r="B2440" i="1"/>
  <c r="A2440" i="1"/>
  <c r="B2439" i="1"/>
  <c r="A2439" i="1"/>
  <c r="B2438" i="1"/>
  <c r="A2438" i="1"/>
  <c r="B2437" i="1"/>
  <c r="A2437" i="1"/>
  <c r="B2436" i="1"/>
  <c r="A2436" i="1"/>
  <c r="B2435" i="1"/>
  <c r="A2435" i="1"/>
  <c r="B2434" i="1"/>
  <c r="A2434" i="1"/>
  <c r="B2433" i="1"/>
  <c r="A2433" i="1"/>
  <c r="B2432" i="1"/>
  <c r="A2432" i="1"/>
  <c r="B2431" i="1"/>
  <c r="A2431" i="1"/>
  <c r="B2430" i="1"/>
  <c r="A2430" i="1"/>
  <c r="B2429" i="1"/>
  <c r="A2429" i="1"/>
  <c r="B2428" i="1"/>
  <c r="A2428" i="1"/>
  <c r="B2427" i="1"/>
  <c r="A2427" i="1"/>
  <c r="B2426" i="1"/>
  <c r="A2426" i="1"/>
  <c r="B2425" i="1"/>
  <c r="A2425" i="1"/>
  <c r="B2424" i="1"/>
  <c r="A2424" i="1"/>
  <c r="B2423" i="1"/>
  <c r="A2423" i="1"/>
  <c r="B2422" i="1"/>
  <c r="A2422" i="1"/>
  <c r="B2421" i="1"/>
  <c r="A2421" i="1"/>
  <c r="B2420" i="1"/>
  <c r="A2420" i="1"/>
  <c r="B2419" i="1"/>
  <c r="A2419" i="1"/>
  <c r="B2418" i="1"/>
  <c r="A2418" i="1"/>
  <c r="B2417" i="1"/>
  <c r="A2417" i="1"/>
  <c r="B2416" i="1"/>
  <c r="A2416" i="1"/>
  <c r="B2415" i="1"/>
  <c r="A2415" i="1"/>
  <c r="B2414" i="1"/>
  <c r="A2414" i="1"/>
  <c r="B2413" i="1"/>
  <c r="A2413" i="1"/>
  <c r="B2412" i="1"/>
  <c r="A2412" i="1"/>
  <c r="B2411" i="1"/>
  <c r="A2411" i="1"/>
  <c r="B2410" i="1"/>
  <c r="A2410" i="1"/>
  <c r="B2409" i="1"/>
  <c r="A2409" i="1"/>
  <c r="B2408" i="1"/>
  <c r="A2408" i="1"/>
  <c r="B2407" i="1"/>
  <c r="A2407" i="1"/>
  <c r="B2406" i="1"/>
  <c r="A2406" i="1"/>
  <c r="B2405" i="1"/>
  <c r="A2405" i="1"/>
  <c r="B2404" i="1"/>
  <c r="A2404" i="1"/>
  <c r="B2403" i="1"/>
  <c r="A2403" i="1"/>
  <c r="B2402" i="1"/>
  <c r="A2402" i="1"/>
  <c r="B2401" i="1"/>
  <c r="A2401" i="1"/>
  <c r="B2400" i="1"/>
  <c r="A2400" i="1"/>
  <c r="B2399" i="1"/>
  <c r="A2399" i="1"/>
  <c r="B2398" i="1"/>
  <c r="A2398" i="1"/>
  <c r="B2397" i="1"/>
  <c r="A2397" i="1"/>
  <c r="B2396" i="1"/>
  <c r="A2396" i="1"/>
  <c r="B2395" i="1"/>
  <c r="A2395" i="1"/>
  <c r="B2394" i="1"/>
  <c r="A2394" i="1"/>
  <c r="B2393" i="1"/>
  <c r="A2393" i="1"/>
  <c r="B2392" i="1"/>
  <c r="A2392" i="1"/>
  <c r="B2391" i="1"/>
  <c r="A2391" i="1"/>
  <c r="B2390" i="1"/>
  <c r="A2390" i="1"/>
  <c r="B2389" i="1"/>
  <c r="A2389" i="1"/>
  <c r="B2388" i="1"/>
  <c r="A2388" i="1"/>
  <c r="B2387" i="1"/>
  <c r="A2387" i="1"/>
  <c r="B2386" i="1"/>
  <c r="A2386" i="1"/>
  <c r="B2385" i="1"/>
  <c r="A2385" i="1"/>
  <c r="B2384" i="1"/>
  <c r="A2384" i="1"/>
  <c r="B2383" i="1"/>
  <c r="A2383" i="1"/>
  <c r="B2382" i="1"/>
  <c r="A2382" i="1"/>
  <c r="B2381" i="1"/>
  <c r="A2381" i="1"/>
  <c r="B2380" i="1"/>
  <c r="A2380" i="1"/>
  <c r="B2379" i="1"/>
  <c r="A2379" i="1"/>
  <c r="B2378" i="1"/>
  <c r="A2378" i="1"/>
  <c r="B2377" i="1"/>
  <c r="A2377" i="1"/>
  <c r="B2376" i="1"/>
  <c r="A2376" i="1"/>
  <c r="B2375" i="1"/>
  <c r="A2375" i="1"/>
  <c r="B2374" i="1"/>
  <c r="A2374" i="1"/>
  <c r="B2373" i="1"/>
  <c r="A2373" i="1"/>
  <c r="B2372" i="1"/>
  <c r="A2372" i="1"/>
  <c r="B2371" i="1"/>
  <c r="A2371" i="1"/>
  <c r="B2370" i="1"/>
  <c r="A2370" i="1"/>
  <c r="B2369" i="1"/>
  <c r="A2369" i="1"/>
  <c r="B2368" i="1"/>
  <c r="A2368" i="1"/>
  <c r="B2367" i="1"/>
  <c r="A2367" i="1"/>
  <c r="B2366" i="1"/>
  <c r="A2366" i="1"/>
  <c r="B2365" i="1"/>
  <c r="A2365" i="1"/>
  <c r="B2364" i="1"/>
  <c r="A2364" i="1"/>
  <c r="B2363" i="1"/>
  <c r="A2363" i="1"/>
  <c r="B2362" i="1"/>
  <c r="A2362" i="1"/>
  <c r="B2361" i="1"/>
  <c r="A2361" i="1"/>
  <c r="B2360" i="1"/>
  <c r="A2360" i="1"/>
  <c r="B2359" i="1"/>
  <c r="A2359" i="1"/>
  <c r="B2358" i="1"/>
  <c r="A2358" i="1"/>
  <c r="B2357" i="1"/>
  <c r="A2357" i="1"/>
  <c r="B2356" i="1"/>
  <c r="A2356" i="1"/>
  <c r="B2355" i="1"/>
  <c r="A2355" i="1"/>
  <c r="B2354" i="1"/>
  <c r="A2354" i="1"/>
  <c r="B2353" i="1"/>
  <c r="A2353" i="1"/>
  <c r="B2352" i="1"/>
  <c r="A2352" i="1"/>
  <c r="B2351" i="1"/>
  <c r="A2351" i="1"/>
  <c r="B2350" i="1"/>
  <c r="A2350" i="1"/>
  <c r="B2349" i="1"/>
  <c r="A2349" i="1"/>
  <c r="B2348" i="1"/>
  <c r="A2348" i="1"/>
  <c r="B2347" i="1"/>
  <c r="A2347" i="1"/>
  <c r="B2346" i="1"/>
  <c r="A2346" i="1"/>
  <c r="B2345" i="1"/>
  <c r="A2345" i="1"/>
  <c r="B2344" i="1"/>
  <c r="A2344" i="1"/>
  <c r="B2343" i="1"/>
  <c r="A2343" i="1"/>
  <c r="B2342" i="1"/>
  <c r="A2342" i="1"/>
  <c r="B2341" i="1"/>
  <c r="A2341" i="1"/>
  <c r="B2340" i="1"/>
  <c r="A2340" i="1"/>
  <c r="B2339" i="1"/>
  <c r="A2339" i="1"/>
  <c r="B2338" i="1"/>
  <c r="A2338" i="1"/>
  <c r="B2337" i="1"/>
  <c r="A2337" i="1"/>
  <c r="B2336" i="1"/>
  <c r="A2336" i="1"/>
  <c r="B2335" i="1"/>
  <c r="A2335" i="1"/>
  <c r="B2334" i="1"/>
  <c r="A2334" i="1"/>
  <c r="B2333" i="1"/>
  <c r="A2333" i="1"/>
  <c r="B2332" i="1"/>
  <c r="A2332" i="1"/>
  <c r="B2331" i="1"/>
  <c r="A2331" i="1"/>
  <c r="B2330" i="1"/>
  <c r="A2330" i="1"/>
  <c r="B2329" i="1"/>
  <c r="A2329" i="1"/>
  <c r="B2328" i="1"/>
  <c r="A2328" i="1"/>
  <c r="B2327" i="1"/>
  <c r="A2327" i="1"/>
  <c r="B2326" i="1"/>
  <c r="A2326" i="1"/>
  <c r="B2325" i="1"/>
  <c r="A2325" i="1"/>
  <c r="B2324" i="1"/>
  <c r="A2324" i="1"/>
  <c r="B2323" i="1"/>
  <c r="A2323" i="1"/>
  <c r="B2322" i="1"/>
  <c r="A2322" i="1"/>
  <c r="B2321" i="1"/>
  <c r="A2321" i="1"/>
  <c r="B2320" i="1"/>
  <c r="A2320" i="1"/>
  <c r="B2319" i="1"/>
  <c r="A2319" i="1"/>
  <c r="B2318" i="1"/>
  <c r="A2318" i="1"/>
  <c r="B2317" i="1"/>
  <c r="A2317" i="1"/>
  <c r="B2316" i="1"/>
  <c r="A2316" i="1"/>
  <c r="B2315" i="1"/>
  <c r="A2315" i="1"/>
  <c r="B2314" i="1"/>
  <c r="A2314" i="1"/>
  <c r="B2313" i="1"/>
  <c r="A2313" i="1"/>
  <c r="B2312" i="1"/>
  <c r="A2312" i="1"/>
  <c r="B2311" i="1"/>
  <c r="A2311" i="1"/>
  <c r="B2310" i="1"/>
  <c r="A2310" i="1"/>
  <c r="B2309" i="1"/>
  <c r="A2309" i="1"/>
  <c r="B2308" i="1"/>
  <c r="A2308" i="1"/>
  <c r="B2307" i="1"/>
  <c r="A2307" i="1"/>
  <c r="B2306" i="1"/>
  <c r="A2306" i="1"/>
  <c r="B2305" i="1"/>
  <c r="A2305" i="1"/>
  <c r="B2304" i="1"/>
  <c r="A2304" i="1"/>
  <c r="B2303" i="1"/>
  <c r="A2303" i="1"/>
  <c r="B2302" i="1"/>
  <c r="A2302" i="1"/>
  <c r="B2301" i="1"/>
  <c r="A2301" i="1"/>
  <c r="B2300" i="1"/>
  <c r="A2300" i="1"/>
  <c r="B2299" i="1"/>
  <c r="A2299" i="1"/>
  <c r="B2298" i="1"/>
  <c r="A2298" i="1"/>
  <c r="B2297" i="1"/>
  <c r="A2297" i="1"/>
  <c r="B2296" i="1"/>
  <c r="A2296" i="1"/>
  <c r="B2295" i="1"/>
  <c r="A2295" i="1"/>
  <c r="B2294" i="1"/>
  <c r="A2294" i="1"/>
  <c r="B2293" i="1"/>
  <c r="A2293" i="1"/>
  <c r="B2292" i="1"/>
  <c r="A2292" i="1"/>
  <c r="B2291" i="1"/>
  <c r="A2291" i="1"/>
  <c r="B2290" i="1"/>
  <c r="A2290" i="1"/>
  <c r="B2289" i="1"/>
  <c r="A2289" i="1"/>
  <c r="B2288" i="1"/>
  <c r="A2288" i="1"/>
  <c r="B2287" i="1"/>
  <c r="A2287" i="1"/>
  <c r="B2286" i="1"/>
  <c r="A2286" i="1"/>
  <c r="B2285" i="1"/>
  <c r="A2285" i="1"/>
  <c r="B2284" i="1"/>
  <c r="A2284" i="1"/>
  <c r="B2283" i="1"/>
  <c r="A2283" i="1"/>
  <c r="B2282" i="1"/>
  <c r="A2282" i="1"/>
  <c r="B2281" i="1"/>
  <c r="A2281" i="1"/>
  <c r="B2280" i="1"/>
  <c r="A2280" i="1"/>
  <c r="B2279" i="1"/>
  <c r="A2279" i="1"/>
  <c r="B2278" i="1"/>
  <c r="A2278" i="1"/>
  <c r="B2277" i="1"/>
  <c r="A2277" i="1"/>
  <c r="B2276" i="1"/>
  <c r="A2276" i="1"/>
  <c r="B2275" i="1"/>
  <c r="A2275" i="1"/>
  <c r="B2274" i="1"/>
  <c r="A2274" i="1"/>
  <c r="B2273" i="1"/>
  <c r="A2273" i="1"/>
  <c r="B2272" i="1"/>
  <c r="A2272" i="1"/>
  <c r="B2271" i="1"/>
  <c r="A2271" i="1"/>
  <c r="B2270" i="1"/>
  <c r="A2270" i="1"/>
  <c r="B2269" i="1"/>
  <c r="A2269" i="1"/>
  <c r="B2268" i="1"/>
  <c r="A2268" i="1"/>
  <c r="B2267" i="1"/>
  <c r="A2267" i="1"/>
  <c r="B2266" i="1"/>
  <c r="A2266" i="1"/>
  <c r="B2265" i="1"/>
  <c r="A2265" i="1"/>
  <c r="B2264" i="1"/>
  <c r="A2264" i="1"/>
  <c r="B2263" i="1"/>
  <c r="A2263" i="1"/>
  <c r="B2262" i="1"/>
  <c r="A2262" i="1"/>
  <c r="B2261" i="1"/>
  <c r="A2261" i="1"/>
  <c r="B2260" i="1"/>
  <c r="A2260" i="1"/>
  <c r="B2259" i="1"/>
  <c r="A2259" i="1"/>
  <c r="B2258" i="1"/>
  <c r="A2258" i="1"/>
  <c r="B2257" i="1"/>
  <c r="A2257" i="1"/>
  <c r="B2256" i="1"/>
  <c r="A2256" i="1"/>
  <c r="B2255" i="1"/>
  <c r="A2255" i="1"/>
  <c r="B2254" i="1"/>
  <c r="A2254" i="1"/>
  <c r="B2253" i="1"/>
  <c r="A2253" i="1"/>
  <c r="B2252" i="1"/>
  <c r="A2252" i="1"/>
  <c r="B2251" i="1"/>
  <c r="A2251" i="1"/>
  <c r="B2250" i="1"/>
  <c r="A2250" i="1"/>
  <c r="B2249" i="1"/>
  <c r="A2249" i="1"/>
  <c r="B2248" i="1"/>
  <c r="A2248" i="1"/>
  <c r="B2247" i="1"/>
  <c r="A2247" i="1"/>
  <c r="B2246" i="1"/>
  <c r="A2246" i="1"/>
  <c r="B2245" i="1"/>
  <c r="A2245" i="1"/>
  <c r="B2244" i="1"/>
  <c r="A2244" i="1"/>
  <c r="B2243" i="1"/>
  <c r="A2243" i="1"/>
  <c r="B2242" i="1"/>
  <c r="A2242" i="1"/>
  <c r="B2241" i="1"/>
  <c r="A2241" i="1"/>
  <c r="B2240" i="1"/>
  <c r="A2240" i="1"/>
  <c r="B2239" i="1"/>
  <c r="A2239" i="1"/>
  <c r="B2238" i="1"/>
  <c r="A2238" i="1"/>
  <c r="B2237" i="1"/>
  <c r="A2237" i="1"/>
  <c r="B2236" i="1"/>
  <c r="A2236" i="1"/>
  <c r="B2235" i="1"/>
  <c r="A2235" i="1"/>
  <c r="B2234" i="1"/>
  <c r="A2234" i="1"/>
  <c r="B2233" i="1"/>
  <c r="A2233" i="1"/>
  <c r="B2232" i="1"/>
  <c r="A2232" i="1"/>
  <c r="B2231" i="1"/>
  <c r="A2231" i="1"/>
  <c r="B2230" i="1"/>
  <c r="A2230" i="1"/>
  <c r="B2229" i="1"/>
  <c r="A2229" i="1"/>
  <c r="B2228" i="1"/>
  <c r="A2228" i="1"/>
  <c r="B2227" i="1"/>
  <c r="A2227" i="1"/>
  <c r="B2226" i="1"/>
  <c r="A2226" i="1"/>
  <c r="B2225" i="1"/>
  <c r="A2225" i="1"/>
  <c r="B2224" i="1"/>
  <c r="A2224" i="1"/>
  <c r="B2223" i="1"/>
  <c r="A2223" i="1"/>
  <c r="B2222" i="1"/>
  <c r="A2222" i="1"/>
  <c r="B2221" i="1"/>
  <c r="A2221" i="1"/>
  <c r="B2220" i="1"/>
  <c r="A2220" i="1"/>
  <c r="B2219" i="1"/>
  <c r="A2219" i="1"/>
  <c r="B2218" i="1"/>
  <c r="A2218" i="1"/>
  <c r="B2217" i="1"/>
  <c r="A2217" i="1"/>
  <c r="B2216" i="1"/>
  <c r="A2216" i="1"/>
  <c r="B2215" i="1"/>
  <c r="A2215" i="1"/>
  <c r="B2214" i="1"/>
  <c r="A2214" i="1"/>
  <c r="B2213" i="1"/>
  <c r="A2213" i="1"/>
  <c r="B2212" i="1"/>
  <c r="A2212" i="1"/>
  <c r="B2211" i="1"/>
  <c r="A2211" i="1"/>
  <c r="B2210" i="1"/>
  <c r="A2210" i="1"/>
  <c r="B2209" i="1"/>
  <c r="A2209" i="1"/>
  <c r="B2208" i="1"/>
  <c r="A2208" i="1"/>
  <c r="B2207" i="1"/>
  <c r="A2207" i="1"/>
  <c r="B2206" i="1"/>
  <c r="A2206" i="1"/>
  <c r="B2205" i="1"/>
  <c r="A2205" i="1"/>
  <c r="B2204" i="1"/>
  <c r="A2204" i="1"/>
  <c r="B2203" i="1"/>
  <c r="A2203" i="1"/>
  <c r="B2202" i="1"/>
  <c r="A2202" i="1"/>
  <c r="B2201" i="1"/>
  <c r="A2201" i="1"/>
  <c r="B2200" i="1"/>
  <c r="A2200" i="1"/>
  <c r="B2199" i="1"/>
  <c r="A2199" i="1"/>
  <c r="B2198" i="1"/>
  <c r="A2198" i="1"/>
  <c r="B2197" i="1"/>
  <c r="A2197" i="1"/>
  <c r="B2196" i="1"/>
  <c r="A2196" i="1"/>
  <c r="B2195" i="1"/>
  <c r="A2195" i="1"/>
  <c r="B2194" i="1"/>
  <c r="A2194" i="1"/>
  <c r="B2193" i="1"/>
  <c r="A2193" i="1"/>
  <c r="B2192" i="1"/>
  <c r="A2192" i="1"/>
  <c r="B2191" i="1"/>
  <c r="A2191" i="1"/>
  <c r="B2190" i="1"/>
  <c r="A2190" i="1"/>
  <c r="B2189" i="1"/>
  <c r="A2189" i="1"/>
  <c r="B2188" i="1"/>
  <c r="A2188" i="1"/>
  <c r="B2187" i="1"/>
  <c r="A2187" i="1"/>
  <c r="B2186" i="1"/>
  <c r="A2186" i="1"/>
  <c r="B2185" i="1"/>
  <c r="A2185" i="1"/>
  <c r="B2184" i="1"/>
  <c r="A2184" i="1"/>
  <c r="B2183" i="1"/>
  <c r="A2183" i="1"/>
  <c r="B2182" i="1"/>
  <c r="A2182" i="1"/>
  <c r="B2181" i="1"/>
  <c r="A2181" i="1"/>
  <c r="B2180" i="1"/>
  <c r="A2180" i="1"/>
  <c r="B2179" i="1"/>
  <c r="A2179" i="1"/>
  <c r="B2178" i="1"/>
  <c r="A2178" i="1"/>
  <c r="B2177" i="1"/>
  <c r="A2177" i="1"/>
  <c r="B2176" i="1"/>
  <c r="A2176" i="1"/>
  <c r="B2175" i="1"/>
  <c r="A2175" i="1"/>
  <c r="B2174" i="1"/>
  <c r="A2174" i="1"/>
  <c r="B2173" i="1"/>
  <c r="A2173" i="1"/>
  <c r="B2172" i="1"/>
  <c r="A2172" i="1"/>
  <c r="B2171" i="1"/>
  <c r="A2171" i="1"/>
  <c r="B2170" i="1"/>
  <c r="A2170" i="1"/>
  <c r="B2169" i="1"/>
  <c r="A2169" i="1"/>
  <c r="B2168" i="1"/>
  <c r="A2168" i="1"/>
  <c r="B2167" i="1"/>
  <c r="A2167" i="1"/>
  <c r="B2166" i="1"/>
  <c r="A2166" i="1"/>
  <c r="B2165" i="1"/>
  <c r="A2165" i="1"/>
  <c r="B2164" i="1"/>
  <c r="A2164" i="1"/>
  <c r="B2163" i="1"/>
  <c r="A2163" i="1"/>
  <c r="B2162" i="1"/>
  <c r="A2162" i="1"/>
  <c r="B2161" i="1"/>
  <c r="A2161" i="1"/>
  <c r="B2160" i="1"/>
  <c r="A2160" i="1"/>
  <c r="B2159" i="1"/>
  <c r="A2159" i="1"/>
  <c r="B2158" i="1"/>
  <c r="A2158" i="1"/>
  <c r="B2157" i="1"/>
  <c r="A2157" i="1"/>
  <c r="B2156" i="1"/>
  <c r="A2156" i="1"/>
  <c r="B2155" i="1"/>
  <c r="A2155" i="1"/>
  <c r="B2154" i="1"/>
  <c r="A2154" i="1"/>
  <c r="B2153" i="1"/>
  <c r="A2153" i="1"/>
  <c r="B2152" i="1"/>
  <c r="A2152" i="1"/>
  <c r="B2151" i="1"/>
  <c r="A2151" i="1"/>
  <c r="B2150" i="1"/>
  <c r="A2150" i="1"/>
  <c r="B2149" i="1"/>
  <c r="A2149" i="1"/>
  <c r="B2148" i="1"/>
  <c r="A2148" i="1"/>
  <c r="B2147" i="1"/>
  <c r="A2147" i="1"/>
  <c r="B2146" i="1"/>
  <c r="A2146" i="1"/>
  <c r="B2145" i="1"/>
  <c r="A2145" i="1"/>
  <c r="B2144" i="1"/>
  <c r="A2144" i="1"/>
  <c r="B2143" i="1"/>
  <c r="A2143" i="1"/>
  <c r="B2142" i="1"/>
  <c r="A2142" i="1"/>
  <c r="B2141" i="1"/>
  <c r="A2141" i="1"/>
  <c r="B2140" i="1"/>
  <c r="A2140" i="1"/>
  <c r="B2139" i="1"/>
  <c r="A2139" i="1"/>
  <c r="B2138" i="1"/>
  <c r="A2138" i="1"/>
  <c r="B2137" i="1"/>
  <c r="A2137" i="1"/>
  <c r="B2136" i="1"/>
  <c r="A2136" i="1"/>
  <c r="B2135" i="1"/>
  <c r="A2135" i="1"/>
  <c r="B2134" i="1"/>
  <c r="A2134" i="1"/>
  <c r="B2133" i="1"/>
  <c r="A2133" i="1"/>
  <c r="B2132" i="1"/>
  <c r="A2132" i="1"/>
  <c r="B2131" i="1"/>
  <c r="A2131" i="1"/>
  <c r="B2130" i="1"/>
  <c r="A2130" i="1"/>
  <c r="B2129" i="1"/>
  <c r="A2129" i="1"/>
  <c r="B2128" i="1"/>
  <c r="A2128" i="1"/>
  <c r="B2127" i="1"/>
  <c r="A2127" i="1"/>
  <c r="B2126" i="1"/>
  <c r="A2126" i="1"/>
  <c r="B2125" i="1"/>
  <c r="A2125" i="1"/>
  <c r="B2124" i="1"/>
  <c r="A2124" i="1"/>
  <c r="B2123" i="1"/>
  <c r="A2123" i="1"/>
  <c r="B2122" i="1"/>
  <c r="A2122" i="1"/>
  <c r="B2121" i="1"/>
  <c r="A2121" i="1"/>
  <c r="B2120" i="1"/>
  <c r="A2120" i="1"/>
  <c r="B2119" i="1"/>
  <c r="A2119" i="1"/>
  <c r="B2118" i="1"/>
  <c r="A2118" i="1"/>
  <c r="B2117" i="1"/>
  <c r="A2117" i="1"/>
  <c r="B2116" i="1"/>
  <c r="A2116" i="1"/>
  <c r="B2115" i="1"/>
  <c r="A2115" i="1"/>
  <c r="B2114" i="1"/>
  <c r="A2114" i="1"/>
  <c r="B2113" i="1"/>
  <c r="A2113" i="1"/>
  <c r="B2112" i="1"/>
  <c r="A2112" i="1"/>
  <c r="B2111" i="1"/>
  <c r="A2111" i="1"/>
  <c r="B2110" i="1"/>
  <c r="A2110" i="1"/>
  <c r="B2109" i="1"/>
  <c r="A2109" i="1"/>
  <c r="B2108" i="1"/>
  <c r="A2108" i="1"/>
  <c r="B2107" i="1"/>
  <c r="A2107" i="1"/>
  <c r="B2106" i="1"/>
  <c r="A2106" i="1"/>
  <c r="B2105" i="1"/>
  <c r="A2105" i="1"/>
  <c r="B2104" i="1"/>
  <c r="A2104" i="1"/>
  <c r="B2103" i="1"/>
  <c r="A2103" i="1"/>
  <c r="B2102" i="1"/>
  <c r="A2102" i="1"/>
  <c r="B2101" i="1"/>
  <c r="A2101" i="1"/>
  <c r="B2100" i="1"/>
  <c r="A2100" i="1"/>
  <c r="B2099" i="1"/>
  <c r="A2099" i="1"/>
  <c r="B2098" i="1"/>
  <c r="A2098" i="1"/>
  <c r="B2097" i="1"/>
  <c r="A2097" i="1"/>
  <c r="B2096" i="1"/>
  <c r="A2096" i="1"/>
  <c r="B2095" i="1"/>
  <c r="A2095" i="1"/>
  <c r="B2094" i="1"/>
  <c r="A2094" i="1"/>
  <c r="B2093" i="1"/>
  <c r="A2093" i="1"/>
  <c r="B2092" i="1"/>
  <c r="A2092" i="1"/>
  <c r="B2091" i="1"/>
  <c r="A2091" i="1"/>
  <c r="B2090" i="1"/>
  <c r="A2090" i="1"/>
  <c r="B2089" i="1"/>
  <c r="A2089" i="1"/>
  <c r="B2088" i="1"/>
  <c r="A2088" i="1"/>
  <c r="B2087" i="1"/>
  <c r="A2087" i="1"/>
  <c r="B2086" i="1"/>
  <c r="A2086" i="1"/>
  <c r="B2085" i="1"/>
  <c r="A2085" i="1"/>
  <c r="B2084" i="1"/>
  <c r="A2084" i="1"/>
  <c r="B2083" i="1"/>
  <c r="A2083" i="1"/>
  <c r="B2082" i="1"/>
  <c r="A2082" i="1"/>
  <c r="B2081" i="1"/>
  <c r="A2081" i="1"/>
  <c r="B2080" i="1"/>
  <c r="A2080" i="1"/>
  <c r="B2079" i="1"/>
  <c r="A2079" i="1"/>
  <c r="B2078" i="1"/>
  <c r="A2078" i="1"/>
  <c r="B2077" i="1"/>
  <c r="A2077" i="1"/>
  <c r="B2076" i="1"/>
  <c r="A2076" i="1"/>
  <c r="B2075" i="1"/>
  <c r="A2075" i="1"/>
  <c r="B2074" i="1"/>
  <c r="A2074" i="1"/>
  <c r="B2073" i="1"/>
  <c r="A2073" i="1"/>
  <c r="B2072" i="1"/>
  <c r="A2072" i="1"/>
  <c r="B2071" i="1"/>
  <c r="A2071" i="1"/>
  <c r="B2070" i="1"/>
  <c r="A2070" i="1"/>
  <c r="B2069" i="1"/>
  <c r="A2069" i="1"/>
  <c r="B2068" i="1"/>
  <c r="A2068" i="1"/>
  <c r="B2067" i="1"/>
  <c r="A2067" i="1"/>
  <c r="B2066" i="1"/>
  <c r="A2066" i="1"/>
  <c r="B2065" i="1"/>
  <c r="A2065" i="1"/>
  <c r="B2064" i="1"/>
  <c r="A2064" i="1"/>
  <c r="B2063" i="1"/>
  <c r="A2063" i="1"/>
  <c r="B2062" i="1"/>
  <c r="A2062" i="1"/>
  <c r="B2061" i="1"/>
  <c r="A2061" i="1"/>
  <c r="B2060" i="1"/>
  <c r="A2060" i="1"/>
  <c r="B2059" i="1"/>
  <c r="A2059" i="1"/>
  <c r="B2058" i="1"/>
  <c r="A2058" i="1"/>
  <c r="B2057" i="1"/>
  <c r="A2057" i="1"/>
  <c r="B2056" i="1"/>
  <c r="A2056" i="1"/>
  <c r="B2055" i="1"/>
  <c r="A2055" i="1"/>
  <c r="B2054" i="1"/>
  <c r="A2054" i="1"/>
  <c r="B2053" i="1"/>
  <c r="A2053" i="1"/>
  <c r="B2052" i="1"/>
  <c r="A2052" i="1"/>
  <c r="B2051" i="1"/>
  <c r="A2051" i="1"/>
  <c r="B2050" i="1"/>
  <c r="A2050" i="1"/>
  <c r="B2049" i="1"/>
  <c r="A2049" i="1"/>
  <c r="B2048" i="1"/>
  <c r="A2048" i="1"/>
  <c r="B2047" i="1"/>
  <c r="A2047" i="1"/>
  <c r="B2046" i="1"/>
  <c r="A2046" i="1"/>
  <c r="B2045" i="1"/>
  <c r="A2045" i="1"/>
  <c r="B2044" i="1"/>
  <c r="A2044" i="1"/>
  <c r="B2043" i="1"/>
  <c r="A2043" i="1"/>
  <c r="B2042" i="1"/>
  <c r="A2042" i="1"/>
  <c r="B2041" i="1"/>
  <c r="A2041" i="1"/>
  <c r="B2040" i="1"/>
  <c r="A2040" i="1"/>
  <c r="B2039" i="1"/>
  <c r="A2039" i="1"/>
  <c r="B2038" i="1"/>
  <c r="A2038" i="1"/>
  <c r="B2037" i="1"/>
  <c r="A2037" i="1"/>
  <c r="B2036" i="1"/>
  <c r="A2036" i="1"/>
  <c r="B2035" i="1"/>
  <c r="A2035" i="1"/>
  <c r="B2034" i="1"/>
  <c r="A2034" i="1"/>
  <c r="B2033" i="1"/>
  <c r="A2033" i="1"/>
  <c r="B2032" i="1"/>
  <c r="A2032" i="1"/>
  <c r="B2031" i="1"/>
  <c r="A2031" i="1"/>
  <c r="B2030" i="1"/>
  <c r="A2030" i="1"/>
  <c r="B2029" i="1"/>
  <c r="A2029" i="1"/>
  <c r="B2028" i="1"/>
  <c r="A2028" i="1"/>
  <c r="B2027" i="1"/>
  <c r="A2027" i="1"/>
  <c r="B2026" i="1"/>
  <c r="A2026" i="1"/>
  <c r="B2025" i="1"/>
  <c r="A2025" i="1"/>
  <c r="B2024" i="1"/>
  <c r="A2024" i="1"/>
  <c r="B2023" i="1"/>
  <c r="A2023" i="1"/>
  <c r="B2022" i="1"/>
  <c r="A2022" i="1"/>
  <c r="B2021" i="1"/>
  <c r="A2021" i="1"/>
  <c r="B2020" i="1"/>
  <c r="A2020" i="1"/>
  <c r="B2019" i="1"/>
  <c r="A2019" i="1"/>
  <c r="B2018" i="1"/>
  <c r="A2018" i="1"/>
  <c r="B2017" i="1"/>
  <c r="A2017" i="1"/>
  <c r="B2016" i="1"/>
  <c r="A2016" i="1"/>
  <c r="B2015" i="1"/>
  <c r="A2015" i="1"/>
  <c r="B2014" i="1"/>
  <c r="A2014" i="1"/>
  <c r="B2013" i="1"/>
  <c r="A2013" i="1"/>
  <c r="B2012" i="1"/>
  <c r="A2012" i="1"/>
  <c r="B2011" i="1"/>
  <c r="A2011" i="1"/>
  <c r="B2010" i="1"/>
  <c r="A2010" i="1"/>
  <c r="B2009" i="1"/>
  <c r="A2009" i="1"/>
  <c r="B2008" i="1"/>
  <c r="A2008" i="1"/>
  <c r="B2007" i="1"/>
  <c r="A2007" i="1"/>
  <c r="B2006" i="1"/>
  <c r="A2006" i="1"/>
  <c r="B2005" i="1"/>
  <c r="A2005" i="1"/>
  <c r="B2004" i="1"/>
  <c r="A2004" i="1"/>
  <c r="B2003" i="1"/>
  <c r="A2003" i="1"/>
  <c r="B2002" i="1"/>
  <c r="A2002" i="1"/>
  <c r="B2001" i="1"/>
  <c r="A2001" i="1"/>
  <c r="B2000" i="1"/>
  <c r="A2000" i="1"/>
  <c r="B1999" i="1"/>
  <c r="A1999" i="1"/>
  <c r="B1998" i="1"/>
  <c r="A1998" i="1"/>
  <c r="B1997" i="1"/>
  <c r="A1997" i="1"/>
  <c r="B1996" i="1"/>
  <c r="A1996" i="1"/>
  <c r="B1995" i="1"/>
  <c r="A1995" i="1"/>
  <c r="B1994" i="1"/>
  <c r="A1994" i="1"/>
  <c r="B1993" i="1"/>
  <c r="A1993" i="1"/>
  <c r="B1992" i="1"/>
  <c r="A1992" i="1"/>
  <c r="B1991" i="1"/>
  <c r="A1991" i="1"/>
  <c r="B1990" i="1"/>
  <c r="A1990" i="1"/>
  <c r="B1989" i="1"/>
  <c r="A1989" i="1"/>
  <c r="B1988" i="1"/>
  <c r="A1988" i="1"/>
  <c r="B1987" i="1"/>
  <c r="A1987" i="1"/>
  <c r="B1986" i="1"/>
  <c r="A1986" i="1"/>
  <c r="B1985" i="1"/>
  <c r="A1985" i="1"/>
  <c r="B1984" i="1"/>
  <c r="A1984" i="1"/>
  <c r="B1983" i="1"/>
  <c r="A1983" i="1"/>
  <c r="B1982" i="1"/>
  <c r="A1982" i="1"/>
  <c r="B1981" i="1"/>
  <c r="A1981" i="1"/>
  <c r="B1980" i="1"/>
  <c r="A1980" i="1"/>
  <c r="B1979" i="1"/>
  <c r="A1979" i="1"/>
  <c r="B1978" i="1"/>
  <c r="A1978" i="1"/>
  <c r="B1977" i="1"/>
  <c r="A1977" i="1"/>
  <c r="B1976" i="1"/>
  <c r="A1976" i="1"/>
  <c r="B1975" i="1"/>
  <c r="A1975" i="1"/>
  <c r="B1974" i="1"/>
  <c r="A1974" i="1"/>
  <c r="B1973" i="1"/>
  <c r="A1973" i="1"/>
  <c r="B1972" i="1"/>
  <c r="A1972" i="1"/>
  <c r="B1971" i="1"/>
  <c r="A1971" i="1"/>
  <c r="B1970" i="1"/>
  <c r="A1970" i="1"/>
  <c r="B1969" i="1"/>
  <c r="A1969" i="1"/>
  <c r="B1968" i="1"/>
  <c r="A1968" i="1"/>
  <c r="B1967" i="1"/>
  <c r="A1967" i="1"/>
  <c r="B1966" i="1"/>
  <c r="A1966" i="1"/>
  <c r="B1965" i="1"/>
  <c r="A1965" i="1"/>
  <c r="B1964" i="1"/>
  <c r="A1964" i="1"/>
  <c r="B1963" i="1"/>
  <c r="A1963" i="1"/>
  <c r="B1962" i="1"/>
  <c r="A1962" i="1"/>
  <c r="B1961" i="1"/>
  <c r="A1961" i="1"/>
  <c r="B1960" i="1"/>
  <c r="A1960" i="1"/>
  <c r="B1959" i="1"/>
  <c r="A1959" i="1"/>
  <c r="B1958" i="1"/>
  <c r="A1958" i="1"/>
  <c r="B1957" i="1"/>
  <c r="A1957" i="1"/>
  <c r="B1956" i="1"/>
  <c r="A1956" i="1"/>
  <c r="B1955" i="1"/>
  <c r="A1955" i="1"/>
  <c r="B1954" i="1"/>
  <c r="A1954" i="1"/>
  <c r="B1953" i="1"/>
  <c r="A1953" i="1"/>
  <c r="B1952" i="1"/>
  <c r="A1952" i="1"/>
  <c r="B1951" i="1"/>
  <c r="A1951" i="1"/>
  <c r="B1950" i="1"/>
  <c r="A1950" i="1"/>
  <c r="B1949" i="1"/>
  <c r="A1949" i="1"/>
  <c r="B1948" i="1"/>
  <c r="A1948" i="1"/>
  <c r="B1947" i="1"/>
  <c r="A1947" i="1"/>
  <c r="B1946" i="1"/>
  <c r="A1946" i="1"/>
  <c r="B1945" i="1"/>
  <c r="A1945" i="1"/>
  <c r="B1944" i="1"/>
  <c r="A1944" i="1"/>
  <c r="B1943" i="1"/>
  <c r="A1943" i="1"/>
  <c r="B1942" i="1"/>
  <c r="A1942" i="1"/>
  <c r="B1941" i="1"/>
  <c r="A1941" i="1"/>
  <c r="B1940" i="1"/>
  <c r="A1940" i="1"/>
  <c r="B1939" i="1"/>
  <c r="A1939" i="1"/>
  <c r="B1938" i="1"/>
  <c r="A1938" i="1"/>
  <c r="B1937" i="1"/>
  <c r="A1937" i="1"/>
  <c r="B1936" i="1"/>
  <c r="A1936" i="1"/>
  <c r="B1935" i="1"/>
  <c r="A1935" i="1"/>
  <c r="B1934" i="1"/>
  <c r="A1934" i="1"/>
  <c r="B1933" i="1"/>
  <c r="A1933" i="1"/>
  <c r="B1932" i="1"/>
  <c r="A1932" i="1"/>
  <c r="B1931" i="1"/>
  <c r="A1931" i="1"/>
  <c r="B1930" i="1"/>
  <c r="A1930" i="1"/>
  <c r="B1929" i="1"/>
  <c r="A1929" i="1"/>
  <c r="B1928" i="1"/>
  <c r="A1928" i="1"/>
  <c r="B1927" i="1"/>
  <c r="A1927" i="1"/>
  <c r="B1926" i="1"/>
  <c r="A1926" i="1"/>
  <c r="B1925" i="1"/>
  <c r="A1925" i="1"/>
  <c r="B1924" i="1"/>
  <c r="A1924" i="1"/>
  <c r="B1923" i="1"/>
  <c r="A1923" i="1"/>
  <c r="B1922" i="1"/>
  <c r="A1922" i="1"/>
  <c r="B1921" i="1"/>
  <c r="A1921" i="1"/>
  <c r="B1920" i="1"/>
  <c r="A1920" i="1"/>
  <c r="B1919" i="1"/>
  <c r="A1919" i="1"/>
  <c r="B1918" i="1"/>
  <c r="A1918" i="1"/>
  <c r="B1917" i="1"/>
  <c r="A1917" i="1"/>
  <c r="B1916" i="1"/>
  <c r="A1916" i="1"/>
  <c r="B1915" i="1"/>
  <c r="A1915" i="1"/>
  <c r="B1914" i="1"/>
  <c r="A1914" i="1"/>
  <c r="B1913" i="1"/>
  <c r="A1913" i="1"/>
  <c r="B1912" i="1"/>
  <c r="A1912" i="1"/>
  <c r="B1911" i="1"/>
  <c r="A1911" i="1"/>
  <c r="B1910" i="1"/>
  <c r="A1910" i="1"/>
  <c r="B1909" i="1"/>
  <c r="A1909" i="1"/>
  <c r="B1908" i="1"/>
  <c r="A1908" i="1"/>
  <c r="B1907" i="1"/>
  <c r="A1907" i="1"/>
  <c r="B1906" i="1"/>
  <c r="A1906" i="1"/>
  <c r="B1905" i="1"/>
  <c r="A1905" i="1"/>
  <c r="B1904" i="1"/>
  <c r="A1904" i="1"/>
  <c r="B1903" i="1"/>
  <c r="A1903" i="1"/>
  <c r="B1902" i="1"/>
  <c r="A1902" i="1"/>
  <c r="B1901" i="1"/>
  <c r="A1901" i="1"/>
  <c r="B1900" i="1"/>
  <c r="A1900" i="1"/>
  <c r="B1899" i="1"/>
  <c r="A1899" i="1"/>
  <c r="B1898" i="1"/>
  <c r="A1898" i="1"/>
  <c r="B1897" i="1"/>
  <c r="A1897" i="1"/>
  <c r="B1896" i="1"/>
  <c r="A1896" i="1"/>
  <c r="B1895" i="1"/>
  <c r="A1895" i="1"/>
  <c r="B1894" i="1"/>
  <c r="A1894" i="1"/>
  <c r="B1893" i="1"/>
  <c r="A1893" i="1"/>
  <c r="B1892" i="1"/>
  <c r="A1892" i="1"/>
  <c r="B1891" i="1"/>
  <c r="A1891" i="1"/>
  <c r="B1890" i="1"/>
  <c r="A1890" i="1"/>
  <c r="B1889" i="1"/>
  <c r="A1889" i="1"/>
  <c r="B1888" i="1"/>
  <c r="A1888" i="1"/>
  <c r="B1887" i="1"/>
  <c r="A1887" i="1"/>
  <c r="B1886" i="1"/>
  <c r="A1886" i="1"/>
  <c r="B1885" i="1"/>
  <c r="A1885" i="1"/>
  <c r="B1884" i="1"/>
  <c r="A1884" i="1"/>
  <c r="B1883" i="1"/>
  <c r="A1883" i="1"/>
  <c r="B1882" i="1"/>
  <c r="A1882" i="1"/>
  <c r="B1881" i="1"/>
  <c r="A1881" i="1"/>
  <c r="B1880" i="1"/>
  <c r="A1880" i="1"/>
  <c r="B1879" i="1"/>
  <c r="A1879" i="1"/>
  <c r="B1878" i="1"/>
  <c r="A1878" i="1"/>
  <c r="B1877" i="1"/>
  <c r="A1877" i="1"/>
  <c r="B1876" i="1"/>
  <c r="A1876" i="1"/>
  <c r="B1875" i="1"/>
  <c r="A1875" i="1"/>
  <c r="B1874" i="1"/>
  <c r="A1874" i="1"/>
  <c r="B1873" i="1"/>
  <c r="A1873" i="1"/>
  <c r="B1872" i="1"/>
  <c r="A1872" i="1"/>
  <c r="B1871" i="1"/>
  <c r="A1871" i="1"/>
  <c r="B1870" i="1"/>
  <c r="A1870" i="1"/>
  <c r="B1869" i="1"/>
  <c r="A1869" i="1"/>
  <c r="B1868" i="1"/>
  <c r="A1868" i="1"/>
  <c r="B1867" i="1"/>
  <c r="A1867" i="1"/>
  <c r="B1866" i="1"/>
  <c r="A1866" i="1"/>
  <c r="B1865" i="1"/>
  <c r="A1865" i="1"/>
  <c r="B1864" i="1"/>
  <c r="A1864" i="1"/>
  <c r="B1863" i="1"/>
  <c r="A1863" i="1"/>
  <c r="B1862" i="1"/>
  <c r="A1862" i="1"/>
  <c r="B1861" i="1"/>
  <c r="A1861" i="1"/>
  <c r="B1860" i="1"/>
  <c r="A1860" i="1"/>
  <c r="B1859" i="1"/>
  <c r="A1859" i="1"/>
  <c r="B1858" i="1"/>
  <c r="A1858" i="1"/>
  <c r="B1857" i="1"/>
  <c r="A1857" i="1"/>
  <c r="B1856" i="1"/>
  <c r="A1856" i="1"/>
  <c r="B1855" i="1"/>
  <c r="A1855" i="1"/>
  <c r="B1854" i="1"/>
  <c r="A1854" i="1"/>
  <c r="B1853" i="1"/>
  <c r="A1853" i="1"/>
  <c r="B1852" i="1"/>
  <c r="A1852" i="1"/>
  <c r="B1851" i="1"/>
  <c r="A1851" i="1"/>
  <c r="B1850" i="1"/>
  <c r="A1850" i="1"/>
  <c r="B1849" i="1"/>
  <c r="A1849" i="1"/>
  <c r="B1848" i="1"/>
  <c r="A1848" i="1"/>
  <c r="B1847" i="1"/>
  <c r="A1847" i="1"/>
  <c r="B1846" i="1"/>
  <c r="A1846" i="1"/>
  <c r="B1845" i="1"/>
  <c r="A1845" i="1"/>
  <c r="B1844" i="1"/>
  <c r="A1844" i="1"/>
  <c r="B1843" i="1"/>
  <c r="A1843" i="1"/>
  <c r="B1842" i="1"/>
  <c r="A1842" i="1"/>
  <c r="B1841" i="1"/>
  <c r="A1841" i="1"/>
  <c r="B1840" i="1"/>
  <c r="A1840" i="1"/>
  <c r="B1839" i="1"/>
  <c r="A1839" i="1"/>
  <c r="B1838" i="1"/>
  <c r="A1838" i="1"/>
  <c r="B1837" i="1"/>
  <c r="A1837" i="1"/>
  <c r="B1836" i="1"/>
  <c r="A1836" i="1"/>
  <c r="B1835" i="1"/>
  <c r="A1835" i="1"/>
  <c r="B1834" i="1"/>
  <c r="A1834" i="1"/>
  <c r="B1833" i="1"/>
  <c r="A1833" i="1"/>
  <c r="B1832" i="1"/>
  <c r="A1832" i="1"/>
  <c r="B1831" i="1"/>
  <c r="A1831" i="1"/>
  <c r="B1830" i="1"/>
  <c r="A1830" i="1"/>
  <c r="B1829" i="1"/>
  <c r="A1829" i="1"/>
  <c r="B1828" i="1"/>
  <c r="A1828" i="1"/>
  <c r="B1827" i="1"/>
  <c r="A1827" i="1"/>
  <c r="B1826" i="1"/>
  <c r="A1826" i="1"/>
  <c r="B1825" i="1"/>
  <c r="A1825" i="1"/>
  <c r="B1824" i="1"/>
  <c r="A1824" i="1"/>
  <c r="B1823" i="1"/>
  <c r="A1823" i="1"/>
  <c r="B1822" i="1"/>
  <c r="A1822" i="1"/>
  <c r="B1821" i="1"/>
  <c r="A1821" i="1"/>
  <c r="B1820" i="1"/>
  <c r="A1820" i="1"/>
  <c r="B1819" i="1"/>
  <c r="A1819" i="1"/>
  <c r="B1818" i="1"/>
  <c r="A1818" i="1"/>
  <c r="B1817" i="1"/>
  <c r="A1817" i="1"/>
  <c r="B1816" i="1"/>
  <c r="A1816" i="1"/>
  <c r="B1815" i="1"/>
  <c r="A1815" i="1"/>
  <c r="B1814" i="1"/>
  <c r="A1814" i="1"/>
  <c r="B1813" i="1"/>
  <c r="A1813" i="1"/>
  <c r="B1812" i="1"/>
  <c r="A1812" i="1"/>
  <c r="B1811" i="1"/>
  <c r="A1811" i="1"/>
  <c r="B1810" i="1"/>
  <c r="A1810" i="1"/>
  <c r="B1809" i="1"/>
  <c r="A1809" i="1"/>
  <c r="B1808" i="1"/>
  <c r="A1808" i="1"/>
  <c r="B1807" i="1"/>
  <c r="A1807" i="1"/>
  <c r="B1806" i="1"/>
  <c r="A1806" i="1"/>
  <c r="B1805" i="1"/>
  <c r="A1805" i="1"/>
  <c r="B1804" i="1"/>
  <c r="A1804" i="1"/>
  <c r="B1803" i="1"/>
  <c r="A1803" i="1"/>
  <c r="B1802" i="1"/>
  <c r="A1802" i="1"/>
  <c r="B1801" i="1"/>
  <c r="A1801" i="1"/>
  <c r="B1800" i="1"/>
  <c r="A1800" i="1"/>
  <c r="B1799" i="1"/>
  <c r="A1799" i="1"/>
  <c r="B1798" i="1"/>
  <c r="A1798" i="1"/>
  <c r="B1797" i="1"/>
  <c r="A1797" i="1"/>
  <c r="B1796" i="1"/>
  <c r="A1796" i="1"/>
  <c r="B1795" i="1"/>
  <c r="A1795" i="1"/>
  <c r="B1794" i="1"/>
  <c r="A1794" i="1"/>
  <c r="B1793" i="1"/>
  <c r="A1793" i="1"/>
  <c r="B1792" i="1"/>
  <c r="A1792" i="1"/>
  <c r="B1791" i="1"/>
  <c r="A1791" i="1"/>
  <c r="B1790" i="1"/>
  <c r="A1790" i="1"/>
  <c r="B1789" i="1"/>
  <c r="A1789" i="1"/>
  <c r="B1788" i="1"/>
  <c r="A1788" i="1"/>
  <c r="B1787" i="1"/>
  <c r="A1787" i="1"/>
  <c r="B1786" i="1"/>
  <c r="A1786" i="1"/>
  <c r="B1785" i="1"/>
  <c r="A1785" i="1"/>
  <c r="B1784" i="1"/>
  <c r="A1784" i="1"/>
  <c r="B1783" i="1"/>
  <c r="A1783" i="1"/>
  <c r="B1782" i="1"/>
  <c r="A1782" i="1"/>
  <c r="B1781" i="1"/>
  <c r="A1781" i="1"/>
  <c r="B1780" i="1"/>
  <c r="A1780" i="1"/>
  <c r="B1779" i="1"/>
  <c r="A1779" i="1"/>
  <c r="B1778" i="1"/>
  <c r="A1778" i="1"/>
  <c r="B1777" i="1"/>
  <c r="A1777" i="1"/>
  <c r="B1776" i="1"/>
  <c r="A1776" i="1"/>
  <c r="B1775" i="1"/>
  <c r="A1775" i="1"/>
  <c r="B1774" i="1"/>
  <c r="A1774" i="1"/>
  <c r="B1773" i="1"/>
  <c r="A1773" i="1"/>
  <c r="B1772" i="1"/>
  <c r="A1772" i="1"/>
  <c r="B1771" i="1"/>
  <c r="A1771" i="1"/>
  <c r="B1770" i="1"/>
  <c r="A1770" i="1"/>
  <c r="B1769" i="1"/>
  <c r="A1769" i="1"/>
  <c r="B1768" i="1"/>
  <c r="A1768" i="1"/>
  <c r="B1767" i="1"/>
  <c r="A1767" i="1"/>
  <c r="B1766" i="1"/>
  <c r="A1766" i="1"/>
  <c r="B1765" i="1"/>
  <c r="A1765" i="1"/>
  <c r="B1764" i="1"/>
  <c r="A1764" i="1"/>
  <c r="B1763" i="1"/>
  <c r="A1763" i="1"/>
  <c r="B1762" i="1"/>
  <c r="A1762" i="1"/>
  <c r="B1761" i="1"/>
  <c r="A1761" i="1"/>
  <c r="B1760" i="1"/>
  <c r="A1760" i="1"/>
  <c r="B1759" i="1"/>
  <c r="A1759" i="1"/>
  <c r="B1758" i="1"/>
  <c r="A1758" i="1"/>
  <c r="B1757" i="1"/>
  <c r="A1757" i="1"/>
  <c r="B1756" i="1"/>
  <c r="A1756" i="1"/>
  <c r="B1755" i="1"/>
  <c r="A1755" i="1"/>
  <c r="B1754" i="1"/>
  <c r="A1754" i="1"/>
  <c r="B1753" i="1"/>
  <c r="A1753" i="1"/>
  <c r="B1752" i="1"/>
  <c r="A1752" i="1"/>
  <c r="B1751" i="1"/>
  <c r="A1751" i="1"/>
  <c r="B1750" i="1"/>
  <c r="A1750" i="1"/>
  <c r="B1749" i="1"/>
  <c r="A1749" i="1"/>
  <c r="B1748" i="1"/>
  <c r="A1748" i="1"/>
  <c r="B1747" i="1"/>
  <c r="A1747" i="1"/>
  <c r="B1746" i="1"/>
  <c r="A1746" i="1"/>
  <c r="B1745" i="1"/>
  <c r="A1745" i="1"/>
  <c r="B1744" i="1"/>
  <c r="A1744" i="1"/>
  <c r="B1743" i="1"/>
  <c r="A1743" i="1"/>
  <c r="B1742" i="1"/>
  <c r="A1742" i="1"/>
  <c r="B1741" i="1"/>
  <c r="A1741" i="1"/>
  <c r="B1740" i="1"/>
  <c r="A1740" i="1"/>
  <c r="B1739" i="1"/>
  <c r="A1739" i="1"/>
  <c r="B1738" i="1"/>
  <c r="A1738" i="1"/>
  <c r="B1737" i="1"/>
  <c r="A1737" i="1"/>
  <c r="B1736" i="1"/>
  <c r="A1736" i="1"/>
  <c r="B1735" i="1"/>
  <c r="A1735" i="1"/>
  <c r="B1734" i="1"/>
  <c r="A1734" i="1"/>
  <c r="B1733" i="1"/>
  <c r="A1733" i="1"/>
  <c r="B1732" i="1"/>
  <c r="A1732" i="1"/>
  <c r="B1731" i="1"/>
  <c r="A1731" i="1"/>
  <c r="B1730" i="1"/>
  <c r="A1730" i="1"/>
  <c r="B1729" i="1"/>
  <c r="A1729" i="1"/>
  <c r="B1728" i="1"/>
  <c r="A1728" i="1"/>
  <c r="B1727" i="1"/>
  <c r="A1727" i="1"/>
  <c r="B1726" i="1"/>
  <c r="A1726" i="1"/>
  <c r="B1725" i="1"/>
  <c r="A1725" i="1"/>
  <c r="B1724" i="1"/>
  <c r="A1724" i="1"/>
  <c r="B1723" i="1"/>
  <c r="A1723" i="1"/>
  <c r="B1722" i="1"/>
  <c r="A1722" i="1"/>
  <c r="B1721" i="1"/>
  <c r="A1721" i="1"/>
  <c r="B1720" i="1"/>
  <c r="A1720" i="1"/>
  <c r="B1719" i="1"/>
  <c r="A1719" i="1"/>
  <c r="B1718" i="1"/>
  <c r="A1718" i="1"/>
  <c r="B1717" i="1"/>
  <c r="A1717" i="1"/>
  <c r="B1716" i="1"/>
  <c r="A1716" i="1"/>
  <c r="B1715" i="1"/>
  <c r="A1715" i="1"/>
  <c r="B1714" i="1"/>
  <c r="A1714" i="1"/>
  <c r="B1713" i="1"/>
  <c r="A1713" i="1"/>
  <c r="B1712" i="1"/>
  <c r="A1712" i="1"/>
  <c r="B1711" i="1"/>
  <c r="A1711" i="1"/>
  <c r="B1710" i="1"/>
  <c r="A1710" i="1"/>
  <c r="B1709" i="1"/>
  <c r="A1709" i="1"/>
  <c r="B1708" i="1"/>
  <c r="A1708" i="1"/>
  <c r="B1707" i="1"/>
  <c r="A1707" i="1"/>
  <c r="B1706" i="1"/>
  <c r="A1706" i="1"/>
  <c r="B1705" i="1"/>
  <c r="A1705" i="1"/>
  <c r="B1704" i="1"/>
  <c r="A1704" i="1"/>
  <c r="B1703" i="1"/>
  <c r="A1703" i="1"/>
  <c r="B1702" i="1"/>
  <c r="A1702" i="1"/>
  <c r="B1701" i="1"/>
  <c r="A1701" i="1"/>
  <c r="B1700" i="1"/>
  <c r="A1700" i="1"/>
  <c r="B1699" i="1"/>
  <c r="A1699" i="1"/>
  <c r="B1698" i="1"/>
  <c r="A1698" i="1"/>
  <c r="B1697" i="1"/>
  <c r="A1697" i="1"/>
  <c r="B1696" i="1"/>
  <c r="A1696" i="1"/>
  <c r="B1695" i="1"/>
  <c r="A1695" i="1"/>
  <c r="B1694" i="1"/>
  <c r="A1694" i="1"/>
  <c r="B1693" i="1"/>
  <c r="A1693" i="1"/>
  <c r="B1692" i="1"/>
  <c r="A1692" i="1"/>
  <c r="B1691" i="1"/>
  <c r="A1691" i="1"/>
  <c r="B1690" i="1"/>
  <c r="A1690" i="1"/>
  <c r="B1689" i="1"/>
  <c r="A1689" i="1"/>
  <c r="B1688" i="1"/>
  <c r="A1688" i="1"/>
  <c r="B1687" i="1"/>
  <c r="A1687" i="1"/>
  <c r="B1686" i="1"/>
  <c r="A1686" i="1"/>
  <c r="B1685" i="1"/>
  <c r="A1685" i="1"/>
  <c r="B1684" i="1"/>
  <c r="A1684" i="1"/>
  <c r="B1683" i="1"/>
  <c r="A1683" i="1"/>
  <c r="B1682" i="1"/>
  <c r="A1682" i="1"/>
  <c r="B1681" i="1"/>
  <c r="A1681" i="1"/>
  <c r="B1680" i="1"/>
  <c r="A1680" i="1"/>
  <c r="B1679" i="1"/>
  <c r="A1679" i="1"/>
  <c r="B1678" i="1"/>
  <c r="A1678" i="1"/>
  <c r="B1677" i="1"/>
  <c r="A1677" i="1"/>
  <c r="B1676" i="1"/>
  <c r="A1676" i="1"/>
  <c r="B1675" i="1"/>
  <c r="A1675" i="1"/>
  <c r="B1674" i="1"/>
  <c r="A1674" i="1"/>
  <c r="B1673" i="1"/>
  <c r="A1673" i="1"/>
  <c r="B1672" i="1"/>
  <c r="A1672" i="1"/>
  <c r="B1671" i="1"/>
  <c r="A1671" i="1"/>
  <c r="B1670" i="1"/>
  <c r="A1670" i="1"/>
  <c r="B1669" i="1"/>
  <c r="A1669" i="1"/>
  <c r="B1668" i="1"/>
  <c r="A1668" i="1"/>
  <c r="B1667" i="1"/>
  <c r="A1667" i="1"/>
  <c r="B1666" i="1"/>
  <c r="A1666" i="1"/>
  <c r="B1665" i="1"/>
  <c r="A1665" i="1"/>
  <c r="B1664" i="1"/>
  <c r="A1664" i="1"/>
  <c r="B1663" i="1"/>
  <c r="A1663" i="1"/>
  <c r="B1662" i="1"/>
  <c r="A1662" i="1"/>
  <c r="B1661" i="1"/>
  <c r="A1661" i="1"/>
  <c r="B1660" i="1"/>
  <c r="A1660" i="1"/>
  <c r="B1659" i="1"/>
  <c r="A1659" i="1"/>
  <c r="B1658" i="1"/>
  <c r="A1658" i="1"/>
  <c r="B1657" i="1"/>
  <c r="A1657" i="1"/>
  <c r="B1656" i="1"/>
  <c r="A1656" i="1"/>
  <c r="B1655" i="1"/>
  <c r="A1655" i="1"/>
  <c r="B1654" i="1"/>
  <c r="A1654" i="1"/>
  <c r="B1653" i="1"/>
  <c r="A1653" i="1"/>
  <c r="B1652" i="1"/>
  <c r="A1652" i="1"/>
  <c r="B1651" i="1"/>
  <c r="A1651" i="1"/>
  <c r="B1650" i="1"/>
  <c r="A1650" i="1"/>
  <c r="B1649" i="1"/>
  <c r="A1649" i="1"/>
  <c r="B1648" i="1"/>
  <c r="A1648" i="1"/>
  <c r="B1647" i="1"/>
  <c r="A1647" i="1"/>
  <c r="B1646" i="1"/>
  <c r="A1646" i="1"/>
  <c r="B1645" i="1"/>
  <c r="A1645" i="1"/>
  <c r="B1644" i="1"/>
  <c r="A1644" i="1"/>
  <c r="B1643" i="1"/>
  <c r="A1643" i="1"/>
  <c r="B1642" i="1"/>
  <c r="A1642" i="1"/>
  <c r="B1641" i="1"/>
  <c r="A1641" i="1"/>
  <c r="B1640" i="1"/>
  <c r="A1640" i="1"/>
  <c r="B1639" i="1"/>
  <c r="A1639" i="1"/>
  <c r="B1638" i="1"/>
  <c r="A1638" i="1"/>
  <c r="B1637" i="1"/>
  <c r="A1637" i="1"/>
  <c r="B1636" i="1"/>
  <c r="A1636" i="1"/>
  <c r="B1635" i="1"/>
  <c r="A1635" i="1"/>
  <c r="B1634" i="1"/>
  <c r="A1634" i="1"/>
  <c r="B1633" i="1"/>
  <c r="A1633" i="1"/>
  <c r="B1632" i="1"/>
  <c r="A1632" i="1"/>
  <c r="B1631" i="1"/>
  <c r="A1631" i="1"/>
  <c r="B1630" i="1"/>
  <c r="A1630" i="1"/>
  <c r="B1629" i="1"/>
  <c r="A1629" i="1"/>
  <c r="B1628" i="1"/>
  <c r="A1628" i="1"/>
  <c r="B1627" i="1"/>
  <c r="A1627" i="1"/>
  <c r="B1626" i="1"/>
  <c r="A1626" i="1"/>
  <c r="B1625" i="1"/>
  <c r="A1625" i="1"/>
  <c r="B1624" i="1"/>
  <c r="A1624" i="1"/>
  <c r="B1623" i="1"/>
  <c r="A1623" i="1"/>
  <c r="B1622" i="1"/>
  <c r="A1622" i="1"/>
  <c r="B1621" i="1"/>
  <c r="A1621" i="1"/>
  <c r="B1620" i="1"/>
  <c r="A1620" i="1"/>
  <c r="B1619" i="1"/>
  <c r="A1619" i="1"/>
  <c r="B1618" i="1"/>
  <c r="A1618" i="1"/>
  <c r="B1617" i="1"/>
  <c r="A1617" i="1"/>
  <c r="B1616" i="1"/>
  <c r="A1616" i="1"/>
  <c r="B1615" i="1"/>
  <c r="A1615" i="1"/>
  <c r="B1614" i="1"/>
  <c r="A1614" i="1"/>
  <c r="B1613" i="1"/>
  <c r="A1613" i="1"/>
  <c r="B1612" i="1"/>
  <c r="A1612" i="1"/>
  <c r="B1611" i="1"/>
  <c r="A1611" i="1"/>
  <c r="B1610" i="1"/>
  <c r="A1610" i="1"/>
  <c r="B1609" i="1"/>
  <c r="A1609" i="1"/>
  <c r="B1608" i="1"/>
  <c r="A1608" i="1"/>
  <c r="B1607" i="1"/>
  <c r="A1607" i="1"/>
  <c r="B1606" i="1"/>
  <c r="A1606" i="1"/>
  <c r="B1605" i="1"/>
  <c r="A1605" i="1"/>
  <c r="B1604" i="1"/>
  <c r="A1604" i="1"/>
  <c r="B1603" i="1"/>
  <c r="A1603" i="1"/>
  <c r="B1602" i="1"/>
  <c r="A1602" i="1"/>
  <c r="B1601" i="1"/>
  <c r="A1601" i="1"/>
  <c r="B1600" i="1"/>
  <c r="A1600" i="1"/>
  <c r="B1599" i="1"/>
  <c r="A1599" i="1"/>
  <c r="B1598" i="1"/>
  <c r="A1598" i="1"/>
  <c r="B1597" i="1"/>
  <c r="A1597" i="1"/>
  <c r="B1596" i="1"/>
  <c r="A1596" i="1"/>
  <c r="B1595" i="1"/>
  <c r="A1595" i="1"/>
  <c r="B1594" i="1"/>
  <c r="A1594" i="1"/>
  <c r="B1593" i="1"/>
  <c r="A1593" i="1"/>
  <c r="B1592" i="1"/>
  <c r="A1592" i="1"/>
  <c r="B1591" i="1"/>
  <c r="A1591" i="1"/>
  <c r="B1590" i="1"/>
  <c r="A1590" i="1"/>
  <c r="B1589" i="1"/>
  <c r="A1589" i="1"/>
  <c r="B1588" i="1"/>
  <c r="A1588" i="1"/>
  <c r="B1587" i="1"/>
  <c r="A1587" i="1"/>
  <c r="B1586" i="1"/>
  <c r="A1586" i="1"/>
  <c r="B1585" i="1"/>
  <c r="A1585" i="1"/>
  <c r="B1584" i="1"/>
  <c r="A1584" i="1"/>
  <c r="B1583" i="1"/>
  <c r="A1583" i="1"/>
  <c r="B1582" i="1"/>
  <c r="A1582" i="1"/>
  <c r="B1581" i="1"/>
  <c r="A1581" i="1"/>
  <c r="B1580" i="1"/>
  <c r="A1580" i="1"/>
  <c r="B1579" i="1"/>
  <c r="A1579" i="1"/>
  <c r="B1578" i="1"/>
  <c r="A1578" i="1"/>
  <c r="B1577" i="1"/>
  <c r="A1577" i="1"/>
  <c r="B1576" i="1"/>
  <c r="A1576" i="1"/>
  <c r="B1575" i="1"/>
  <c r="A1575" i="1"/>
  <c r="B1574" i="1"/>
  <c r="A1574" i="1"/>
  <c r="B1573" i="1"/>
  <c r="A1573" i="1"/>
  <c r="B1572" i="1"/>
  <c r="A1572" i="1"/>
  <c r="B1571" i="1"/>
  <c r="A1571" i="1"/>
  <c r="B1570" i="1"/>
  <c r="A1570" i="1"/>
  <c r="B1569" i="1"/>
  <c r="A1569" i="1"/>
  <c r="B1568" i="1"/>
  <c r="A1568" i="1"/>
  <c r="B1567" i="1"/>
  <c r="A1567" i="1"/>
  <c r="B1566" i="1"/>
  <c r="A1566" i="1"/>
  <c r="B1565" i="1"/>
  <c r="A1565" i="1"/>
  <c r="B1564" i="1"/>
  <c r="A1564" i="1"/>
  <c r="B1563" i="1"/>
  <c r="A1563" i="1"/>
  <c r="B1562" i="1"/>
  <c r="A1562" i="1"/>
  <c r="B1561" i="1"/>
  <c r="A1561" i="1"/>
  <c r="B1560" i="1"/>
  <c r="A1560" i="1"/>
  <c r="B1559" i="1"/>
  <c r="A1559" i="1"/>
  <c r="B1558" i="1"/>
  <c r="A1558" i="1"/>
  <c r="B1557" i="1"/>
  <c r="A1557" i="1"/>
  <c r="B1556" i="1"/>
  <c r="A1556" i="1"/>
  <c r="B1555" i="1"/>
  <c r="A1555" i="1"/>
  <c r="B1554" i="1"/>
  <c r="A1554" i="1"/>
  <c r="B1553" i="1"/>
  <c r="A1553" i="1"/>
  <c r="B1552" i="1"/>
  <c r="A1552" i="1"/>
  <c r="B1551" i="1"/>
  <c r="A1551" i="1"/>
  <c r="B1550" i="1"/>
  <c r="A1550" i="1"/>
  <c r="B1549" i="1"/>
  <c r="A1549" i="1"/>
  <c r="B1548" i="1"/>
  <c r="A1548" i="1"/>
  <c r="B1547" i="1"/>
  <c r="A1547" i="1"/>
  <c r="B1546" i="1"/>
  <c r="A1546" i="1"/>
  <c r="B1545" i="1"/>
  <c r="A1545" i="1"/>
  <c r="B1544" i="1"/>
  <c r="A1544" i="1"/>
  <c r="B1543" i="1"/>
  <c r="A1543" i="1"/>
  <c r="B1542" i="1"/>
  <c r="A1542" i="1"/>
  <c r="B1541" i="1"/>
  <c r="A1541" i="1"/>
  <c r="B1540" i="1"/>
  <c r="A1540" i="1"/>
  <c r="B1539" i="1"/>
  <c r="A1539" i="1"/>
  <c r="B1538" i="1"/>
  <c r="A1538" i="1"/>
  <c r="B1537" i="1"/>
  <c r="A1537" i="1"/>
  <c r="B1536" i="1"/>
  <c r="A1536" i="1"/>
  <c r="B1535" i="1"/>
  <c r="A1535" i="1"/>
  <c r="B1534" i="1"/>
  <c r="A1534" i="1"/>
  <c r="B1533" i="1"/>
  <c r="A1533" i="1"/>
  <c r="B1532" i="1"/>
  <c r="A1532" i="1"/>
  <c r="B1531" i="1"/>
  <c r="A1531" i="1"/>
  <c r="B1530" i="1"/>
  <c r="A1530" i="1"/>
  <c r="B1529" i="1"/>
  <c r="A1529" i="1"/>
  <c r="B1528" i="1"/>
  <c r="A1528" i="1"/>
  <c r="B1527" i="1"/>
  <c r="A1527" i="1"/>
  <c r="B1526" i="1"/>
  <c r="A1526" i="1"/>
  <c r="B1525" i="1"/>
  <c r="A1525" i="1"/>
  <c r="B1524" i="1"/>
  <c r="A1524" i="1"/>
  <c r="B1523" i="1"/>
  <c r="A1523" i="1"/>
  <c r="B1522" i="1"/>
  <c r="A1522" i="1"/>
  <c r="B1521" i="1"/>
  <c r="A1521" i="1"/>
  <c r="B1520" i="1"/>
  <c r="A1520" i="1"/>
  <c r="B1519" i="1"/>
  <c r="A1519" i="1"/>
  <c r="B1518" i="1"/>
  <c r="A1518" i="1"/>
  <c r="B1517" i="1"/>
  <c r="A1517" i="1"/>
  <c r="B1516" i="1"/>
  <c r="A1516" i="1"/>
  <c r="B1515" i="1"/>
  <c r="A1515" i="1"/>
  <c r="B1514" i="1"/>
  <c r="A1514" i="1"/>
  <c r="B1513" i="1"/>
  <c r="A1513" i="1"/>
  <c r="B1512" i="1"/>
  <c r="A1512" i="1"/>
  <c r="B1511" i="1"/>
  <c r="A1511" i="1"/>
  <c r="B1510" i="1"/>
  <c r="A1510" i="1"/>
  <c r="B1509" i="1"/>
  <c r="A1509" i="1"/>
  <c r="B1508" i="1"/>
  <c r="A1508" i="1"/>
  <c r="B1507" i="1"/>
  <c r="A1507" i="1"/>
  <c r="B1506" i="1"/>
  <c r="A1506" i="1"/>
  <c r="B1505" i="1"/>
  <c r="A1505" i="1"/>
  <c r="B1504" i="1"/>
  <c r="A1504" i="1"/>
  <c r="B1503" i="1"/>
  <c r="A1503" i="1"/>
  <c r="B1502" i="1"/>
  <c r="A1502" i="1"/>
  <c r="B1501" i="1"/>
  <c r="A1501" i="1"/>
  <c r="B1500" i="1"/>
  <c r="A1500" i="1"/>
  <c r="B1499" i="1"/>
  <c r="A1499" i="1"/>
  <c r="B1498" i="1"/>
  <c r="A1498" i="1"/>
  <c r="B1497" i="1"/>
  <c r="A1497" i="1"/>
  <c r="B1496" i="1"/>
  <c r="A1496" i="1"/>
  <c r="B1495" i="1"/>
  <c r="A1495" i="1"/>
  <c r="B1494" i="1"/>
  <c r="A1494" i="1"/>
  <c r="B1493" i="1"/>
  <c r="A1493" i="1"/>
  <c r="B1492" i="1"/>
  <c r="A1492" i="1"/>
  <c r="B1491" i="1"/>
  <c r="A1491" i="1"/>
  <c r="B1490" i="1"/>
  <c r="A1490" i="1"/>
  <c r="B1489" i="1"/>
  <c r="A1489" i="1"/>
  <c r="B1488" i="1"/>
  <c r="A1488" i="1"/>
  <c r="B1487" i="1"/>
  <c r="A1487" i="1"/>
  <c r="B1486" i="1"/>
  <c r="A1486" i="1"/>
  <c r="B1485" i="1"/>
  <c r="A1485" i="1"/>
  <c r="B1484" i="1"/>
  <c r="A1484" i="1"/>
  <c r="B1483" i="1"/>
  <c r="A1483" i="1"/>
  <c r="B1482" i="1"/>
  <c r="A1482" i="1"/>
  <c r="B1481" i="1"/>
  <c r="A1481" i="1"/>
  <c r="B1480" i="1"/>
  <c r="A1480" i="1"/>
  <c r="B1479" i="1"/>
  <c r="A1479" i="1"/>
  <c r="B1478" i="1"/>
  <c r="A1478" i="1"/>
  <c r="B1477" i="1"/>
  <c r="A1477" i="1"/>
  <c r="B1476" i="1"/>
  <c r="A1476" i="1"/>
  <c r="B1475" i="1"/>
  <c r="A1475" i="1"/>
  <c r="B1474" i="1"/>
  <c r="A1474" i="1"/>
  <c r="B1473" i="1"/>
  <c r="A1473" i="1"/>
  <c r="B1472" i="1"/>
  <c r="A1472" i="1"/>
  <c r="B1471" i="1"/>
  <c r="A1471" i="1"/>
  <c r="B1470" i="1"/>
  <c r="A1470" i="1"/>
  <c r="B1469" i="1"/>
  <c r="A1469" i="1"/>
  <c r="B1468" i="1"/>
  <c r="A1468" i="1"/>
  <c r="B1467" i="1"/>
  <c r="A1467" i="1"/>
  <c r="B1466" i="1"/>
  <c r="A1466" i="1"/>
  <c r="B1465" i="1"/>
  <c r="A1465" i="1"/>
  <c r="B1464" i="1"/>
  <c r="A1464" i="1"/>
  <c r="B1463" i="1"/>
  <c r="A1463" i="1"/>
  <c r="B1462" i="1"/>
  <c r="A1462" i="1"/>
  <c r="B1461" i="1"/>
  <c r="A1461" i="1"/>
  <c r="B1460" i="1"/>
  <c r="A1460" i="1"/>
  <c r="B1459" i="1"/>
  <c r="A1459" i="1"/>
  <c r="B1458" i="1"/>
  <c r="A1458" i="1"/>
  <c r="B1457" i="1"/>
  <c r="A1457" i="1"/>
  <c r="B1456" i="1"/>
  <c r="A1456" i="1"/>
  <c r="B1455" i="1"/>
  <c r="A1455" i="1"/>
  <c r="B1454" i="1"/>
  <c r="A1454" i="1"/>
  <c r="B1453" i="1"/>
  <c r="A1453" i="1"/>
  <c r="B1452" i="1"/>
  <c r="A1452" i="1"/>
  <c r="B1451" i="1"/>
  <c r="A1451" i="1"/>
  <c r="B1450" i="1"/>
  <c r="A1450" i="1"/>
  <c r="B1449" i="1"/>
  <c r="A1449" i="1"/>
  <c r="B1448" i="1"/>
  <c r="A1448" i="1"/>
  <c r="B1447" i="1"/>
  <c r="A1447" i="1"/>
  <c r="B1446" i="1"/>
  <c r="A1446" i="1"/>
  <c r="B1445" i="1"/>
  <c r="A1445" i="1"/>
  <c r="B1444" i="1"/>
  <c r="A1444" i="1"/>
  <c r="B1443" i="1"/>
  <c r="A1443" i="1"/>
  <c r="B1442" i="1"/>
  <c r="A1442" i="1"/>
  <c r="B1441" i="1"/>
  <c r="A1441" i="1"/>
  <c r="B1440" i="1"/>
  <c r="A1440" i="1"/>
  <c r="B1439" i="1"/>
  <c r="A1439" i="1"/>
  <c r="B1438" i="1"/>
  <c r="A1438" i="1"/>
  <c r="B1437" i="1"/>
  <c r="A1437" i="1"/>
  <c r="B1436" i="1"/>
  <c r="A1436" i="1"/>
  <c r="B1435" i="1"/>
  <c r="A1435" i="1"/>
  <c r="B1434" i="1"/>
  <c r="A1434" i="1"/>
  <c r="B1433" i="1"/>
  <c r="A1433" i="1"/>
  <c r="B1432" i="1"/>
  <c r="A1432" i="1"/>
  <c r="B1431" i="1"/>
  <c r="A1431" i="1"/>
  <c r="B1430" i="1"/>
  <c r="A1430" i="1"/>
  <c r="B1429" i="1"/>
  <c r="A1429" i="1"/>
  <c r="B1428" i="1"/>
  <c r="A1428" i="1"/>
  <c r="B1427" i="1"/>
  <c r="A1427" i="1"/>
  <c r="B1426" i="1"/>
  <c r="A1426" i="1"/>
  <c r="B1425" i="1"/>
  <c r="A1425" i="1"/>
  <c r="B1424" i="1"/>
  <c r="A1424" i="1"/>
  <c r="B1423" i="1"/>
  <c r="A1423" i="1"/>
  <c r="B1422" i="1"/>
  <c r="A1422" i="1"/>
  <c r="B1421" i="1"/>
  <c r="A1421" i="1"/>
  <c r="B1420" i="1"/>
  <c r="A1420" i="1"/>
  <c r="B1419" i="1"/>
  <c r="A1419" i="1"/>
  <c r="B1418" i="1"/>
  <c r="A1418" i="1"/>
  <c r="B1417" i="1"/>
  <c r="A1417" i="1"/>
  <c r="B1416" i="1"/>
  <c r="A1416" i="1"/>
  <c r="B1415" i="1"/>
  <c r="A1415" i="1"/>
  <c r="B1414" i="1"/>
  <c r="A1414" i="1"/>
  <c r="B1413" i="1"/>
  <c r="A1413" i="1"/>
  <c r="B1412" i="1"/>
  <c r="A1412" i="1"/>
  <c r="B1411" i="1"/>
  <c r="A1411" i="1"/>
  <c r="B1410" i="1"/>
  <c r="A1410" i="1"/>
  <c r="B1409" i="1"/>
  <c r="A1409" i="1"/>
  <c r="B1408" i="1"/>
  <c r="A1408" i="1"/>
  <c r="B1407" i="1"/>
  <c r="A1407" i="1"/>
  <c r="B1406" i="1"/>
  <c r="A1406" i="1"/>
  <c r="B1405" i="1"/>
  <c r="A1405" i="1"/>
  <c r="B1404" i="1"/>
  <c r="A1404" i="1"/>
  <c r="B1403" i="1"/>
  <c r="A1403" i="1"/>
  <c r="B1402" i="1"/>
  <c r="A1402" i="1"/>
  <c r="B1401" i="1"/>
  <c r="A1401" i="1"/>
  <c r="B1400" i="1"/>
  <c r="A1400" i="1"/>
  <c r="B1399" i="1"/>
  <c r="A1399" i="1"/>
  <c r="B1398" i="1"/>
  <c r="A1398" i="1"/>
  <c r="B1397" i="1"/>
  <c r="A1397" i="1"/>
  <c r="B1396" i="1"/>
  <c r="A1396" i="1"/>
  <c r="B1395" i="1"/>
  <c r="A1395" i="1"/>
  <c r="B1394" i="1"/>
  <c r="A1394" i="1"/>
  <c r="B1393" i="1"/>
  <c r="A1393" i="1"/>
  <c r="B1392" i="1"/>
  <c r="A1392" i="1"/>
  <c r="B1391" i="1"/>
  <c r="A1391" i="1"/>
  <c r="B1390" i="1"/>
  <c r="A1390" i="1"/>
  <c r="B1389" i="1"/>
  <c r="A1389" i="1"/>
  <c r="B1388" i="1"/>
  <c r="A1388" i="1"/>
  <c r="B1387" i="1"/>
  <c r="A1387" i="1"/>
  <c r="B1386" i="1"/>
  <c r="A1386" i="1"/>
  <c r="B1385" i="1"/>
  <c r="A1385" i="1"/>
  <c r="B1384" i="1"/>
  <c r="A1384" i="1"/>
  <c r="B1383" i="1"/>
  <c r="A1383" i="1"/>
  <c r="B1382" i="1"/>
  <c r="A1382" i="1"/>
  <c r="B1381" i="1"/>
  <c r="A1381" i="1"/>
  <c r="B1380" i="1"/>
  <c r="A1380" i="1"/>
  <c r="B1379" i="1"/>
  <c r="A1379" i="1"/>
  <c r="B1378" i="1"/>
  <c r="A1378" i="1"/>
  <c r="B1377" i="1"/>
  <c r="A1377" i="1"/>
  <c r="B1376" i="1"/>
  <c r="A1376" i="1"/>
  <c r="B1375" i="1"/>
  <c r="A1375" i="1"/>
  <c r="B1374" i="1"/>
  <c r="A1374" i="1"/>
  <c r="B1373" i="1"/>
  <c r="A1373" i="1"/>
  <c r="B1372" i="1"/>
  <c r="A1372" i="1"/>
  <c r="B1371" i="1"/>
  <c r="A1371" i="1"/>
  <c r="B1370" i="1"/>
  <c r="A1370" i="1"/>
  <c r="B1369" i="1"/>
  <c r="A1369" i="1"/>
  <c r="B1368" i="1"/>
  <c r="A1368" i="1"/>
  <c r="B1367" i="1"/>
  <c r="A1367" i="1"/>
  <c r="B1366" i="1"/>
  <c r="A1366" i="1"/>
  <c r="B1365" i="1"/>
  <c r="A1365" i="1"/>
  <c r="B1364" i="1"/>
  <c r="A1364" i="1"/>
  <c r="B1363" i="1"/>
  <c r="A1363" i="1"/>
  <c r="B1362" i="1"/>
  <c r="A1362" i="1"/>
  <c r="B1361" i="1"/>
  <c r="A1361" i="1"/>
  <c r="B1360" i="1"/>
  <c r="A1360" i="1"/>
  <c r="B1359" i="1"/>
  <c r="A1359" i="1"/>
  <c r="B1358" i="1"/>
  <c r="A1358" i="1"/>
  <c r="B1357" i="1"/>
  <c r="A1357" i="1"/>
  <c r="B1356" i="1"/>
  <c r="A1356" i="1"/>
  <c r="B1355" i="1"/>
  <c r="A1355" i="1"/>
  <c r="B1354" i="1"/>
  <c r="A1354" i="1"/>
  <c r="B1353" i="1"/>
  <c r="A1353" i="1"/>
  <c r="B1352" i="1"/>
  <c r="A1352" i="1"/>
  <c r="B1351" i="1"/>
  <c r="A1351" i="1"/>
  <c r="B1350" i="1"/>
  <c r="A1350" i="1"/>
  <c r="B1349" i="1"/>
  <c r="A1349" i="1"/>
  <c r="B1348" i="1"/>
  <c r="A1348" i="1"/>
  <c r="B1347" i="1"/>
  <c r="A1347" i="1"/>
  <c r="B1346" i="1"/>
  <c r="A1346" i="1"/>
  <c r="B1345" i="1"/>
  <c r="A1345" i="1"/>
  <c r="B1344" i="1"/>
  <c r="A1344" i="1"/>
  <c r="B1343" i="1"/>
  <c r="A1343" i="1"/>
  <c r="B1342" i="1"/>
  <c r="A1342" i="1"/>
  <c r="B1341" i="1"/>
  <c r="A1341" i="1"/>
  <c r="B1340" i="1"/>
  <c r="A1340" i="1"/>
  <c r="B1339" i="1"/>
  <c r="A1339" i="1"/>
  <c r="B1338" i="1"/>
  <c r="A1338" i="1"/>
  <c r="B1337" i="1"/>
  <c r="A1337" i="1"/>
  <c r="B1336" i="1"/>
  <c r="A1336" i="1"/>
  <c r="B1335" i="1"/>
  <c r="A1335" i="1"/>
  <c r="B1334" i="1"/>
  <c r="A1334" i="1"/>
  <c r="B1333" i="1"/>
  <c r="A1333" i="1"/>
  <c r="B1332" i="1"/>
  <c r="A1332" i="1"/>
  <c r="B1331" i="1"/>
  <c r="A1331" i="1"/>
  <c r="B1330" i="1"/>
  <c r="A1330" i="1"/>
  <c r="B1329" i="1"/>
  <c r="A1329" i="1"/>
  <c r="B1328" i="1"/>
  <c r="A1328" i="1"/>
  <c r="B1327" i="1"/>
  <c r="A1327" i="1"/>
  <c r="B1326" i="1"/>
  <c r="A1326" i="1"/>
  <c r="B1325" i="1"/>
  <c r="A1325" i="1"/>
  <c r="B1324" i="1"/>
  <c r="A1324" i="1"/>
  <c r="B1323" i="1"/>
  <c r="A1323" i="1"/>
  <c r="B1322" i="1"/>
  <c r="A1322" i="1"/>
  <c r="B1321" i="1"/>
  <c r="A1321" i="1"/>
  <c r="B1320" i="1"/>
  <c r="A1320" i="1"/>
  <c r="B1319" i="1"/>
  <c r="A1319" i="1"/>
  <c r="B1318" i="1"/>
  <c r="A1318" i="1"/>
  <c r="B1317" i="1"/>
  <c r="A1317" i="1"/>
  <c r="B1316" i="1"/>
  <c r="A1316" i="1"/>
  <c r="B1315" i="1"/>
  <c r="A1315" i="1"/>
  <c r="B1314" i="1"/>
  <c r="A1314" i="1"/>
  <c r="B1313" i="1"/>
  <c r="A1313" i="1"/>
  <c r="B1312" i="1"/>
  <c r="A1312" i="1"/>
  <c r="B1311" i="1"/>
  <c r="A1311" i="1"/>
  <c r="B1310" i="1"/>
  <c r="A1310" i="1"/>
  <c r="B1309" i="1"/>
  <c r="A1309" i="1"/>
  <c r="B1308" i="1"/>
  <c r="A1308" i="1"/>
  <c r="B1307" i="1"/>
  <c r="A1307" i="1"/>
  <c r="B1306" i="1"/>
  <c r="A1306" i="1"/>
  <c r="B1305" i="1"/>
  <c r="A1305" i="1"/>
  <c r="B1304" i="1"/>
  <c r="A1304" i="1"/>
  <c r="B1303" i="1"/>
  <c r="A1303" i="1"/>
  <c r="B1302" i="1"/>
  <c r="A1302" i="1"/>
  <c r="B1301" i="1"/>
  <c r="A1301" i="1"/>
  <c r="B1300" i="1"/>
  <c r="A1300" i="1"/>
  <c r="B1299" i="1"/>
  <c r="A1299" i="1"/>
  <c r="B1298" i="1"/>
  <c r="A1298" i="1"/>
  <c r="B1297" i="1"/>
  <c r="A1297" i="1"/>
  <c r="B1296" i="1"/>
  <c r="A1296" i="1"/>
  <c r="B1295" i="1"/>
  <c r="A1295" i="1"/>
  <c r="B1294" i="1"/>
  <c r="A1294" i="1"/>
  <c r="B1293" i="1"/>
  <c r="A1293" i="1"/>
  <c r="B1292" i="1"/>
  <c r="A1292" i="1"/>
  <c r="B1291" i="1"/>
  <c r="A1291" i="1"/>
  <c r="B1290" i="1"/>
  <c r="A1290" i="1"/>
  <c r="B1289" i="1"/>
  <c r="A1289" i="1"/>
  <c r="B1288" i="1"/>
  <c r="A1288" i="1"/>
  <c r="B1287" i="1"/>
  <c r="A1287" i="1"/>
  <c r="B1286" i="1"/>
  <c r="A1286" i="1"/>
  <c r="B1285" i="1"/>
  <c r="A1285" i="1"/>
  <c r="B1284" i="1"/>
  <c r="A1284" i="1"/>
  <c r="B1283" i="1"/>
  <c r="A1283" i="1"/>
  <c r="B1282" i="1"/>
  <c r="A1282" i="1"/>
  <c r="B1281" i="1"/>
  <c r="A1281" i="1"/>
  <c r="B1280" i="1"/>
  <c r="A1280" i="1"/>
  <c r="B1279" i="1"/>
  <c r="A1279" i="1"/>
  <c r="B1278" i="1"/>
  <c r="A1278" i="1"/>
  <c r="B1277" i="1"/>
  <c r="A1277" i="1"/>
  <c r="B1276" i="1"/>
  <c r="A1276" i="1"/>
  <c r="B1275" i="1"/>
  <c r="A1275" i="1"/>
  <c r="B1274" i="1"/>
  <c r="A1274" i="1"/>
  <c r="B1273" i="1"/>
  <c r="A1273" i="1"/>
  <c r="B1272" i="1"/>
  <c r="A1272" i="1"/>
  <c r="B1271" i="1"/>
  <c r="A1271" i="1"/>
  <c r="B1270" i="1"/>
  <c r="A1270" i="1"/>
  <c r="B1269" i="1"/>
  <c r="A1269" i="1"/>
  <c r="B1268" i="1"/>
  <c r="A1268" i="1"/>
  <c r="B1267" i="1"/>
  <c r="A1267" i="1"/>
  <c r="B1266" i="1"/>
  <c r="A1266" i="1"/>
  <c r="B1265" i="1"/>
  <c r="A1265" i="1"/>
  <c r="B1264" i="1"/>
  <c r="A1264" i="1"/>
  <c r="B1263" i="1"/>
  <c r="A1263" i="1"/>
  <c r="B1262" i="1"/>
  <c r="A1262" i="1"/>
  <c r="B1261" i="1"/>
  <c r="A1261" i="1"/>
  <c r="B1260" i="1"/>
  <c r="A1260" i="1"/>
  <c r="B1259" i="1"/>
  <c r="A1259" i="1"/>
  <c r="B1258" i="1"/>
  <c r="A1258" i="1"/>
  <c r="B1257" i="1"/>
  <c r="A1257" i="1"/>
  <c r="B1256" i="1"/>
  <c r="A1256" i="1"/>
  <c r="B1255" i="1"/>
  <c r="A1255" i="1"/>
  <c r="B1254" i="1"/>
  <c r="A1254" i="1"/>
  <c r="B1253" i="1"/>
  <c r="A1253" i="1"/>
  <c r="B1252" i="1"/>
  <c r="A1252" i="1"/>
  <c r="B1251" i="1"/>
  <c r="A1251" i="1"/>
  <c r="B1250" i="1"/>
  <c r="A1250" i="1"/>
  <c r="B1249" i="1"/>
  <c r="A1249" i="1"/>
  <c r="B1248" i="1"/>
  <c r="A1248" i="1"/>
  <c r="B1247" i="1"/>
  <c r="A1247" i="1"/>
  <c r="B1246" i="1"/>
  <c r="A1246" i="1"/>
  <c r="B1245" i="1"/>
  <c r="A1245" i="1"/>
  <c r="B1244" i="1"/>
  <c r="A1244" i="1"/>
  <c r="B1243" i="1"/>
  <c r="A1243" i="1"/>
  <c r="B1242" i="1"/>
  <c r="A1242" i="1"/>
  <c r="B1241" i="1"/>
  <c r="A1241" i="1"/>
  <c r="B1240" i="1"/>
  <c r="A1240" i="1"/>
  <c r="B1239" i="1"/>
  <c r="A1239" i="1"/>
  <c r="B1238" i="1"/>
  <c r="A1238" i="1"/>
  <c r="B1237" i="1"/>
  <c r="A1237" i="1"/>
  <c r="B1236" i="1"/>
  <c r="A1236" i="1"/>
  <c r="B1235" i="1"/>
  <c r="A1235" i="1"/>
  <c r="B1234" i="1"/>
  <c r="A1234" i="1"/>
  <c r="B1233" i="1"/>
  <c r="A1233" i="1"/>
  <c r="B1232" i="1"/>
  <c r="A1232" i="1"/>
  <c r="B1231" i="1"/>
  <c r="A1231" i="1"/>
  <c r="B1230" i="1"/>
  <c r="A1230" i="1"/>
  <c r="B1229" i="1"/>
  <c r="A1229" i="1"/>
  <c r="B1228" i="1"/>
  <c r="A1228" i="1"/>
  <c r="B1227" i="1"/>
  <c r="A1227" i="1"/>
  <c r="B1226" i="1"/>
  <c r="A1226" i="1"/>
  <c r="B1225" i="1"/>
  <c r="A1225" i="1"/>
  <c r="B1224" i="1"/>
  <c r="A1224" i="1"/>
  <c r="B1223" i="1"/>
  <c r="A1223" i="1"/>
  <c r="B1222" i="1"/>
  <c r="A1222" i="1"/>
  <c r="B1221" i="1"/>
  <c r="A1221" i="1"/>
  <c r="B1220" i="1"/>
  <c r="A1220" i="1"/>
  <c r="B1219" i="1"/>
  <c r="A1219" i="1"/>
  <c r="B1218" i="1"/>
  <c r="A1218" i="1"/>
  <c r="B1217" i="1"/>
  <c r="A1217" i="1"/>
  <c r="B1216" i="1"/>
  <c r="A1216" i="1"/>
  <c r="B1215" i="1"/>
  <c r="A1215" i="1"/>
  <c r="B1214" i="1"/>
  <c r="A1214" i="1"/>
  <c r="B1213" i="1"/>
  <c r="A1213" i="1"/>
  <c r="B1212" i="1"/>
  <c r="A1212" i="1"/>
  <c r="B1211" i="1"/>
  <c r="A1211" i="1"/>
  <c r="B1210" i="1"/>
  <c r="A1210" i="1"/>
  <c r="B1209" i="1"/>
  <c r="A1209" i="1"/>
  <c r="B1208" i="1"/>
  <c r="A1208" i="1"/>
  <c r="B1207" i="1"/>
  <c r="A1207" i="1"/>
  <c r="B1206" i="1"/>
  <c r="A1206" i="1"/>
  <c r="B1205" i="1"/>
  <c r="A1205" i="1"/>
  <c r="B1204" i="1"/>
  <c r="A1204" i="1"/>
  <c r="B1203" i="1"/>
  <c r="A1203" i="1"/>
  <c r="B1202" i="1"/>
  <c r="A1202" i="1"/>
  <c r="B1201" i="1"/>
  <c r="A1201" i="1"/>
  <c r="B1200" i="1"/>
  <c r="A1200" i="1"/>
  <c r="B1199" i="1"/>
  <c r="A1199" i="1"/>
  <c r="B1198" i="1"/>
  <c r="A1198" i="1"/>
  <c r="B1197" i="1"/>
  <c r="A1197" i="1"/>
  <c r="B1196" i="1"/>
  <c r="A1196" i="1"/>
  <c r="B1195" i="1"/>
  <c r="A1195" i="1"/>
  <c r="B1194" i="1"/>
  <c r="A1194" i="1"/>
  <c r="B1193" i="1"/>
  <c r="A1193" i="1"/>
  <c r="B1192" i="1"/>
  <c r="A1192" i="1"/>
  <c r="B1191" i="1"/>
  <c r="A1191" i="1"/>
  <c r="B1190" i="1"/>
  <c r="A1190" i="1"/>
  <c r="B1189" i="1"/>
  <c r="A1189" i="1"/>
  <c r="B1188" i="1"/>
  <c r="A1188" i="1"/>
  <c r="B1187" i="1"/>
  <c r="A1187" i="1"/>
  <c r="B1186" i="1"/>
  <c r="A1186" i="1"/>
  <c r="B1185" i="1"/>
  <c r="A1185" i="1"/>
  <c r="B1184" i="1"/>
  <c r="A1184" i="1"/>
  <c r="B1183" i="1"/>
  <c r="A1183" i="1"/>
  <c r="B1182" i="1"/>
  <c r="A1182" i="1"/>
  <c r="B1181" i="1"/>
  <c r="A1181" i="1"/>
  <c r="B1180" i="1"/>
  <c r="A1180" i="1"/>
  <c r="B1179" i="1"/>
  <c r="A1179" i="1"/>
  <c r="B1178" i="1"/>
  <c r="A1178" i="1"/>
  <c r="B1177" i="1"/>
  <c r="A1177" i="1"/>
  <c r="B1176" i="1"/>
  <c r="A1176" i="1"/>
  <c r="B1175" i="1"/>
  <c r="A1175" i="1"/>
  <c r="B1174" i="1"/>
  <c r="A1174" i="1"/>
  <c r="B1173" i="1"/>
  <c r="A1173" i="1"/>
  <c r="B1172" i="1"/>
  <c r="A1172" i="1"/>
  <c r="B1171" i="1"/>
  <c r="A1171" i="1"/>
  <c r="B1170" i="1"/>
  <c r="A1170" i="1"/>
  <c r="B1169" i="1"/>
  <c r="A1169" i="1"/>
  <c r="B1168" i="1"/>
  <c r="A1168" i="1"/>
  <c r="B1167" i="1"/>
  <c r="A1167" i="1"/>
  <c r="B1166" i="1"/>
  <c r="A1166" i="1"/>
  <c r="B1165" i="1"/>
  <c r="A1165" i="1"/>
  <c r="B1164" i="1"/>
  <c r="A1164" i="1"/>
  <c r="B1163" i="1"/>
  <c r="A1163" i="1"/>
  <c r="B1162" i="1"/>
  <c r="A1162" i="1"/>
  <c r="B1161" i="1"/>
  <c r="A1161" i="1"/>
  <c r="B1160" i="1"/>
  <c r="A1160" i="1"/>
  <c r="B1159" i="1"/>
  <c r="A1159" i="1"/>
  <c r="B1158" i="1"/>
  <c r="A1158" i="1"/>
  <c r="B1157" i="1"/>
  <c r="A1157" i="1"/>
  <c r="B1156" i="1"/>
  <c r="A1156" i="1"/>
  <c r="B1155" i="1"/>
  <c r="A1155" i="1"/>
  <c r="B1154" i="1"/>
  <c r="A1154" i="1"/>
  <c r="B1153" i="1"/>
  <c r="A1153" i="1"/>
  <c r="B1152" i="1"/>
  <c r="A1152" i="1"/>
  <c r="B1151" i="1"/>
  <c r="A1151" i="1"/>
  <c r="B1150" i="1"/>
  <c r="A1150" i="1"/>
  <c r="B1149" i="1"/>
  <c r="A1149" i="1"/>
  <c r="B1148" i="1"/>
  <c r="A1148" i="1"/>
  <c r="B1147" i="1"/>
  <c r="A1147" i="1"/>
  <c r="B1146" i="1"/>
  <c r="A1146" i="1"/>
  <c r="B1145" i="1"/>
  <c r="A1145" i="1"/>
  <c r="B1144" i="1"/>
  <c r="A1144" i="1"/>
  <c r="B1143" i="1"/>
  <c r="A1143" i="1"/>
  <c r="B1142" i="1"/>
  <c r="A1142" i="1"/>
  <c r="B1141" i="1"/>
  <c r="A1141" i="1"/>
  <c r="B1140" i="1"/>
  <c r="A1140" i="1"/>
  <c r="B1139" i="1"/>
  <c r="A1139" i="1"/>
  <c r="B1138" i="1"/>
  <c r="A1138" i="1"/>
  <c r="B1137" i="1"/>
  <c r="A1137" i="1"/>
  <c r="B1136" i="1"/>
  <c r="A1136" i="1"/>
  <c r="B1135" i="1"/>
  <c r="A1135" i="1"/>
  <c r="B1134" i="1"/>
  <c r="A1134" i="1"/>
  <c r="B1133" i="1"/>
  <c r="A1133" i="1"/>
  <c r="B1132" i="1"/>
  <c r="A1132" i="1"/>
  <c r="B1131" i="1"/>
  <c r="A1131" i="1"/>
  <c r="B1130" i="1"/>
  <c r="A1130" i="1"/>
  <c r="B1129" i="1"/>
  <c r="A1129" i="1"/>
  <c r="B1128" i="1"/>
  <c r="A1128" i="1"/>
  <c r="B1127" i="1"/>
  <c r="A1127" i="1"/>
  <c r="B1126" i="1"/>
  <c r="A1126" i="1"/>
  <c r="B1125" i="1"/>
  <c r="A1125" i="1"/>
  <c r="B1124" i="1"/>
  <c r="A1124" i="1"/>
  <c r="B1123" i="1"/>
  <c r="A1123" i="1"/>
  <c r="B1122" i="1"/>
  <c r="A1122" i="1"/>
  <c r="B1121" i="1"/>
  <c r="A1121" i="1"/>
  <c r="B1120" i="1"/>
  <c r="A1120" i="1"/>
  <c r="B1119" i="1"/>
  <c r="A1119" i="1"/>
  <c r="B1118" i="1"/>
  <c r="A1118" i="1"/>
  <c r="B1117" i="1"/>
  <c r="A1117" i="1"/>
  <c r="B1116" i="1"/>
  <c r="A1116" i="1"/>
  <c r="B1115" i="1"/>
  <c r="A1115" i="1"/>
  <c r="B1114" i="1"/>
  <c r="A1114" i="1"/>
  <c r="B1113" i="1"/>
  <c r="A1113" i="1"/>
  <c r="B1112" i="1"/>
  <c r="A1112" i="1"/>
  <c r="B1111" i="1"/>
  <c r="A1111" i="1"/>
  <c r="B1110" i="1"/>
  <c r="A1110" i="1"/>
  <c r="B1109" i="1"/>
  <c r="A1109" i="1"/>
  <c r="B1108" i="1"/>
  <c r="A1108" i="1"/>
  <c r="B1107" i="1"/>
  <c r="A1107" i="1"/>
  <c r="B1106" i="1"/>
  <c r="A1106" i="1"/>
  <c r="B1105" i="1"/>
  <c r="A1105" i="1"/>
  <c r="B1104" i="1"/>
  <c r="A1104" i="1"/>
  <c r="B1103" i="1"/>
  <c r="A1103" i="1"/>
  <c r="B1102" i="1"/>
  <c r="A1102" i="1"/>
  <c r="B1101" i="1"/>
  <c r="A1101" i="1"/>
  <c r="B1100" i="1"/>
  <c r="A1100" i="1"/>
  <c r="B1099" i="1"/>
  <c r="A1099" i="1"/>
  <c r="B1098" i="1"/>
  <c r="A1098" i="1"/>
  <c r="B1097" i="1"/>
  <c r="A1097" i="1"/>
  <c r="B1096" i="1"/>
  <c r="A1096" i="1"/>
  <c r="B1095" i="1"/>
  <c r="A1095" i="1"/>
  <c r="B1094" i="1"/>
  <c r="A1094" i="1"/>
  <c r="B1093" i="1"/>
  <c r="A1093" i="1"/>
  <c r="B1092" i="1"/>
  <c r="A1092" i="1"/>
  <c r="B1091" i="1"/>
  <c r="A1091" i="1"/>
  <c r="B1090" i="1"/>
  <c r="A1090" i="1"/>
  <c r="B1089" i="1"/>
  <c r="A1089" i="1"/>
  <c r="B1088" i="1"/>
  <c r="A1088" i="1"/>
  <c r="B1087" i="1"/>
  <c r="A1087" i="1"/>
  <c r="B1086" i="1"/>
  <c r="A1086" i="1"/>
  <c r="B1085" i="1"/>
  <c r="A1085" i="1"/>
  <c r="B1084" i="1"/>
  <c r="A1084" i="1"/>
  <c r="B1083" i="1"/>
  <c r="A1083" i="1"/>
  <c r="B1082" i="1"/>
  <c r="A1082" i="1"/>
  <c r="B1081" i="1"/>
  <c r="A1081" i="1"/>
  <c r="B1080" i="1"/>
  <c r="A1080" i="1"/>
  <c r="B1079" i="1"/>
  <c r="A1079" i="1"/>
  <c r="B1078" i="1"/>
  <c r="A1078" i="1"/>
  <c r="B1077" i="1"/>
  <c r="A1077" i="1"/>
  <c r="B1076" i="1"/>
  <c r="A1076" i="1"/>
  <c r="B1075" i="1"/>
  <c r="A1075" i="1"/>
  <c r="B1074" i="1"/>
  <c r="A1074" i="1"/>
  <c r="B1073" i="1"/>
  <c r="A1073" i="1"/>
  <c r="B1072" i="1"/>
  <c r="A1072" i="1"/>
  <c r="B1071" i="1"/>
  <c r="A1071" i="1"/>
  <c r="B1070" i="1"/>
  <c r="A1070" i="1"/>
  <c r="B1069" i="1"/>
  <c r="A1069" i="1"/>
  <c r="B1068" i="1"/>
  <c r="A1068" i="1"/>
  <c r="B1067" i="1"/>
  <c r="A1067" i="1"/>
  <c r="B1066" i="1"/>
  <c r="A1066" i="1"/>
  <c r="B1065" i="1"/>
  <c r="A1065" i="1"/>
  <c r="B1064" i="1"/>
  <c r="A1064" i="1"/>
  <c r="B1063" i="1"/>
  <c r="A1063" i="1"/>
  <c r="B1062" i="1"/>
  <c r="A1062" i="1"/>
  <c r="B1061" i="1"/>
  <c r="A1061" i="1"/>
  <c r="B1060" i="1"/>
  <c r="A1060" i="1"/>
  <c r="B1059" i="1"/>
  <c r="A1059" i="1"/>
  <c r="B1058" i="1"/>
  <c r="A1058" i="1"/>
  <c r="B1057" i="1"/>
  <c r="A1057" i="1"/>
  <c r="B1056" i="1"/>
  <c r="A1056" i="1"/>
  <c r="B1055" i="1"/>
  <c r="A1055" i="1"/>
  <c r="B1054" i="1"/>
  <c r="A1054" i="1"/>
  <c r="B1053" i="1"/>
  <c r="A1053" i="1"/>
  <c r="B1052" i="1"/>
  <c r="A1052" i="1"/>
  <c r="B1051" i="1"/>
  <c r="A1051" i="1"/>
  <c r="B1050" i="1"/>
  <c r="A1050" i="1"/>
  <c r="B1049" i="1"/>
  <c r="A1049" i="1"/>
  <c r="B1048" i="1"/>
  <c r="A1048" i="1"/>
  <c r="B1047" i="1"/>
  <c r="A1047" i="1"/>
  <c r="B1046" i="1"/>
  <c r="A1046" i="1"/>
  <c r="B1045" i="1"/>
  <c r="A1045" i="1"/>
  <c r="B1044" i="1"/>
  <c r="A1044" i="1"/>
  <c r="B1043" i="1"/>
  <c r="A1043" i="1"/>
  <c r="B1042" i="1"/>
  <c r="A1042" i="1"/>
  <c r="B1041" i="1"/>
  <c r="A1041" i="1"/>
  <c r="B1040" i="1"/>
  <c r="A1040" i="1"/>
  <c r="B1039" i="1"/>
  <c r="A1039" i="1"/>
  <c r="B1038" i="1"/>
  <c r="A1038" i="1"/>
  <c r="B1037" i="1"/>
  <c r="A1037" i="1"/>
  <c r="B1036" i="1"/>
  <c r="A1036" i="1"/>
  <c r="B1035" i="1"/>
  <c r="A1035" i="1"/>
  <c r="B1034" i="1"/>
  <c r="A1034" i="1"/>
  <c r="B1033" i="1"/>
  <c r="A1033" i="1"/>
  <c r="B1032" i="1"/>
  <c r="A1032" i="1"/>
  <c r="B1031" i="1"/>
  <c r="A1031" i="1"/>
  <c r="B1030" i="1"/>
  <c r="A1030" i="1"/>
  <c r="B1029" i="1"/>
  <c r="A1029" i="1"/>
  <c r="B1028" i="1"/>
  <c r="A1028" i="1"/>
  <c r="B1027" i="1"/>
  <c r="A1027" i="1"/>
  <c r="B1026" i="1"/>
  <c r="A1026" i="1"/>
  <c r="B1025" i="1"/>
  <c r="A1025" i="1"/>
  <c r="B1024" i="1"/>
  <c r="A1024" i="1"/>
  <c r="B1023" i="1"/>
  <c r="A1023" i="1"/>
  <c r="B1022" i="1"/>
  <c r="A1022" i="1"/>
  <c r="B1021" i="1"/>
  <c r="A1021" i="1"/>
  <c r="B1020" i="1"/>
  <c r="A1020" i="1"/>
  <c r="B1019" i="1"/>
  <c r="A1019" i="1"/>
  <c r="B1018" i="1"/>
  <c r="A1018" i="1"/>
  <c r="B1017" i="1"/>
  <c r="A1017" i="1"/>
  <c r="B1016" i="1"/>
  <c r="A1016" i="1"/>
  <c r="B1015" i="1"/>
  <c r="A1015" i="1"/>
  <c r="B1014" i="1"/>
  <c r="A1014" i="1"/>
  <c r="B1013" i="1"/>
  <c r="A1013" i="1"/>
  <c r="B1012" i="1"/>
  <c r="A1012" i="1"/>
  <c r="B1011" i="1"/>
  <c r="A1011" i="1"/>
  <c r="B1010" i="1"/>
  <c r="A1010" i="1"/>
  <c r="B1009" i="1"/>
  <c r="A1009" i="1"/>
  <c r="B1008" i="1"/>
  <c r="A1008" i="1"/>
  <c r="B1007" i="1"/>
  <c r="A1007" i="1"/>
  <c r="B1006" i="1"/>
  <c r="A1006" i="1"/>
  <c r="B1005" i="1"/>
  <c r="A1005" i="1"/>
  <c r="B1004" i="1"/>
  <c r="A1004" i="1"/>
  <c r="B1003" i="1"/>
  <c r="A1003" i="1"/>
  <c r="B1002" i="1"/>
  <c r="A1002" i="1"/>
  <c r="B1001" i="1"/>
  <c r="A1001" i="1"/>
  <c r="B1000" i="1"/>
  <c r="A1000" i="1"/>
  <c r="B999" i="1"/>
  <c r="A999" i="1"/>
  <c r="B998" i="1"/>
  <c r="A998" i="1"/>
  <c r="B997" i="1"/>
  <c r="A997" i="1"/>
  <c r="B996" i="1"/>
  <c r="A996" i="1"/>
  <c r="B995" i="1"/>
  <c r="A995" i="1"/>
  <c r="B994" i="1"/>
  <c r="A994" i="1"/>
  <c r="B993" i="1"/>
  <c r="A993" i="1"/>
  <c r="B992" i="1"/>
  <c r="A992" i="1"/>
  <c r="B991" i="1"/>
  <c r="A991" i="1"/>
  <c r="B990" i="1"/>
  <c r="A990" i="1"/>
  <c r="B989" i="1"/>
  <c r="A989" i="1"/>
  <c r="B988" i="1"/>
  <c r="A988" i="1"/>
  <c r="B987" i="1"/>
  <c r="A987" i="1"/>
  <c r="B986" i="1"/>
  <c r="A986" i="1"/>
  <c r="B985" i="1"/>
  <c r="A985" i="1"/>
  <c r="B984" i="1"/>
  <c r="A984" i="1"/>
  <c r="B983" i="1"/>
  <c r="A983" i="1"/>
  <c r="B982" i="1"/>
  <c r="A982" i="1"/>
  <c r="B981" i="1"/>
  <c r="A981" i="1"/>
  <c r="B980" i="1"/>
  <c r="A980" i="1"/>
  <c r="B979" i="1"/>
  <c r="A979" i="1"/>
  <c r="B978" i="1"/>
  <c r="A978" i="1"/>
  <c r="B977" i="1"/>
  <c r="A977" i="1"/>
  <c r="B976" i="1"/>
  <c r="A976" i="1"/>
  <c r="B975" i="1"/>
  <c r="A975" i="1"/>
  <c r="B974" i="1"/>
  <c r="A974" i="1"/>
  <c r="B973" i="1"/>
  <c r="A973" i="1"/>
  <c r="B972" i="1"/>
  <c r="A972" i="1"/>
  <c r="B971" i="1"/>
  <c r="A971" i="1"/>
  <c r="B970" i="1"/>
  <c r="A970" i="1"/>
  <c r="B969" i="1"/>
  <c r="A969" i="1"/>
  <c r="B968" i="1"/>
  <c r="A968" i="1"/>
  <c r="B967" i="1"/>
  <c r="A967" i="1"/>
  <c r="B966" i="1"/>
  <c r="A966" i="1"/>
  <c r="B965" i="1"/>
  <c r="A965" i="1"/>
  <c r="B964" i="1"/>
  <c r="A964" i="1"/>
  <c r="B963" i="1"/>
  <c r="A963" i="1"/>
  <c r="B962" i="1"/>
  <c r="A962" i="1"/>
  <c r="B961" i="1"/>
  <c r="A961" i="1"/>
  <c r="B960" i="1"/>
  <c r="A960" i="1"/>
  <c r="B959" i="1"/>
  <c r="A959" i="1"/>
  <c r="B958" i="1"/>
  <c r="A958" i="1"/>
  <c r="B957" i="1"/>
  <c r="A957" i="1"/>
  <c r="B956" i="1"/>
  <c r="A956" i="1"/>
  <c r="B955" i="1"/>
  <c r="A955" i="1"/>
  <c r="B954" i="1"/>
  <c r="A954" i="1"/>
  <c r="B953" i="1"/>
  <c r="A953" i="1"/>
  <c r="B952" i="1"/>
  <c r="A952" i="1"/>
  <c r="B951" i="1"/>
  <c r="A951" i="1"/>
  <c r="B950" i="1"/>
  <c r="A950" i="1"/>
  <c r="B949" i="1"/>
  <c r="A949" i="1"/>
  <c r="B948" i="1"/>
  <c r="A948" i="1"/>
  <c r="B947" i="1"/>
  <c r="A947" i="1"/>
  <c r="B946" i="1"/>
  <c r="A946" i="1"/>
  <c r="B945" i="1"/>
  <c r="A945" i="1"/>
  <c r="B944" i="1"/>
  <c r="A944" i="1"/>
  <c r="B943" i="1"/>
  <c r="A943" i="1"/>
  <c r="B942" i="1"/>
  <c r="A942" i="1"/>
  <c r="B941" i="1"/>
  <c r="A941" i="1"/>
  <c r="B940" i="1"/>
  <c r="A940" i="1"/>
  <c r="B939" i="1"/>
  <c r="A939" i="1"/>
  <c r="B938" i="1"/>
  <c r="A938" i="1"/>
  <c r="B937" i="1"/>
  <c r="A937" i="1"/>
  <c r="B936" i="1"/>
  <c r="A936" i="1"/>
  <c r="B935" i="1"/>
  <c r="A935" i="1"/>
  <c r="B934" i="1"/>
  <c r="A934" i="1"/>
  <c r="B933" i="1"/>
  <c r="A933" i="1"/>
  <c r="B932" i="1"/>
  <c r="A932" i="1"/>
  <c r="B931" i="1"/>
  <c r="A931" i="1"/>
  <c r="B930" i="1"/>
  <c r="A930" i="1"/>
  <c r="B929" i="1"/>
  <c r="A929" i="1"/>
  <c r="B928" i="1"/>
  <c r="A928" i="1"/>
  <c r="B927" i="1"/>
  <c r="A927" i="1"/>
  <c r="B926" i="1"/>
  <c r="A926" i="1"/>
  <c r="B925" i="1"/>
  <c r="A925" i="1"/>
  <c r="B924" i="1"/>
  <c r="A924" i="1"/>
  <c r="B923" i="1"/>
  <c r="A923" i="1"/>
  <c r="B922" i="1"/>
  <c r="A922" i="1"/>
  <c r="B921" i="1"/>
  <c r="A921" i="1"/>
  <c r="B920" i="1"/>
  <c r="A920" i="1"/>
  <c r="B919" i="1"/>
  <c r="A919" i="1"/>
  <c r="B918" i="1"/>
  <c r="A918" i="1"/>
  <c r="B917" i="1"/>
  <c r="A917" i="1"/>
  <c r="B916" i="1"/>
  <c r="A916" i="1"/>
  <c r="B915" i="1"/>
  <c r="A915" i="1"/>
  <c r="B914" i="1"/>
  <c r="A914" i="1"/>
  <c r="B913" i="1"/>
  <c r="A913" i="1"/>
  <c r="B912" i="1"/>
  <c r="A912" i="1"/>
  <c r="B911" i="1"/>
  <c r="A911" i="1"/>
  <c r="B910" i="1"/>
  <c r="A910" i="1"/>
  <c r="B909" i="1"/>
  <c r="A909" i="1"/>
  <c r="B908" i="1"/>
  <c r="A908" i="1"/>
  <c r="B907" i="1"/>
  <c r="A907" i="1"/>
  <c r="B906" i="1"/>
  <c r="A906" i="1"/>
  <c r="B905" i="1"/>
  <c r="A905" i="1"/>
  <c r="B904" i="1"/>
  <c r="A904" i="1"/>
  <c r="B903" i="1"/>
  <c r="A903" i="1"/>
  <c r="B902" i="1"/>
  <c r="A902" i="1"/>
  <c r="B901" i="1"/>
  <c r="A901" i="1"/>
  <c r="B900" i="1"/>
  <c r="A900" i="1"/>
  <c r="B899" i="1"/>
  <c r="A899" i="1"/>
  <c r="B898" i="1"/>
  <c r="A898" i="1"/>
  <c r="B897" i="1"/>
  <c r="A897" i="1"/>
  <c r="B896" i="1"/>
  <c r="A896" i="1"/>
  <c r="B895" i="1"/>
  <c r="A895" i="1"/>
  <c r="B894" i="1"/>
  <c r="A894" i="1"/>
  <c r="B893" i="1"/>
  <c r="A893" i="1"/>
  <c r="B892" i="1"/>
  <c r="A892" i="1"/>
  <c r="B891" i="1"/>
  <c r="A891" i="1"/>
  <c r="B890" i="1"/>
  <c r="A890" i="1"/>
  <c r="B889" i="1"/>
  <c r="A889" i="1"/>
  <c r="B888" i="1"/>
  <c r="A888" i="1"/>
  <c r="B887" i="1"/>
  <c r="A887" i="1"/>
  <c r="B886" i="1"/>
  <c r="A886" i="1"/>
  <c r="B885" i="1"/>
  <c r="A885" i="1"/>
  <c r="B884" i="1"/>
  <c r="A884" i="1"/>
  <c r="B883" i="1"/>
  <c r="A883" i="1"/>
  <c r="B882" i="1"/>
  <c r="A882" i="1"/>
  <c r="B881" i="1"/>
  <c r="A881" i="1"/>
  <c r="B880" i="1"/>
  <c r="A880" i="1"/>
  <c r="B879" i="1"/>
  <c r="A879" i="1"/>
  <c r="B878" i="1"/>
  <c r="A878" i="1"/>
  <c r="B877" i="1"/>
  <c r="A877" i="1"/>
  <c r="B876" i="1"/>
  <c r="A876" i="1"/>
  <c r="B875" i="1"/>
  <c r="A875" i="1"/>
  <c r="B874" i="1"/>
  <c r="A874" i="1"/>
  <c r="B873" i="1"/>
  <c r="A873" i="1"/>
  <c r="B872" i="1"/>
  <c r="A872" i="1"/>
  <c r="B871" i="1"/>
  <c r="A871" i="1"/>
  <c r="B870" i="1"/>
  <c r="A870" i="1"/>
  <c r="B869" i="1"/>
  <c r="A869" i="1"/>
  <c r="B868" i="1"/>
  <c r="A868" i="1"/>
  <c r="B867" i="1"/>
  <c r="A867" i="1"/>
  <c r="B866" i="1"/>
  <c r="A866" i="1"/>
  <c r="B865" i="1"/>
  <c r="A865" i="1"/>
  <c r="B864" i="1"/>
  <c r="A864" i="1"/>
  <c r="B863" i="1"/>
  <c r="A863" i="1"/>
  <c r="B862" i="1"/>
  <c r="A862" i="1"/>
  <c r="B861" i="1"/>
  <c r="A861" i="1"/>
  <c r="B860" i="1"/>
  <c r="A860" i="1"/>
  <c r="B859" i="1"/>
  <c r="A859" i="1"/>
  <c r="B858" i="1"/>
  <c r="A858" i="1"/>
  <c r="B857" i="1"/>
  <c r="A857" i="1"/>
  <c r="B856" i="1"/>
  <c r="A856" i="1"/>
  <c r="B855" i="1"/>
  <c r="A855" i="1"/>
  <c r="B854" i="1"/>
  <c r="A854" i="1"/>
  <c r="B853" i="1"/>
  <c r="A853" i="1"/>
  <c r="B852" i="1"/>
  <c r="A852" i="1"/>
  <c r="B851" i="1"/>
  <c r="A851" i="1"/>
  <c r="B850" i="1"/>
  <c r="A850" i="1"/>
  <c r="B849" i="1"/>
  <c r="A849" i="1"/>
  <c r="B848" i="1"/>
  <c r="A848" i="1"/>
  <c r="B847" i="1"/>
  <c r="A847" i="1"/>
  <c r="B846" i="1"/>
  <c r="A846" i="1"/>
  <c r="B845" i="1"/>
  <c r="A845" i="1"/>
  <c r="B844" i="1"/>
  <c r="A844" i="1"/>
  <c r="B843" i="1"/>
  <c r="A843" i="1"/>
  <c r="B842" i="1"/>
  <c r="A842" i="1"/>
  <c r="B841" i="1"/>
  <c r="A841" i="1"/>
  <c r="B840" i="1"/>
  <c r="A840" i="1"/>
  <c r="B839" i="1"/>
  <c r="A839" i="1"/>
  <c r="B838" i="1"/>
  <c r="A838" i="1"/>
  <c r="B837" i="1"/>
  <c r="A837" i="1"/>
  <c r="B836" i="1"/>
  <c r="A836" i="1"/>
  <c r="B835" i="1"/>
  <c r="A835" i="1"/>
  <c r="B834" i="1"/>
  <c r="A834" i="1"/>
  <c r="B833" i="1"/>
  <c r="A833" i="1"/>
  <c r="B832" i="1"/>
  <c r="A832" i="1"/>
  <c r="B831" i="1"/>
  <c r="A831" i="1"/>
  <c r="B830" i="1"/>
  <c r="A830" i="1"/>
  <c r="B829" i="1"/>
  <c r="A829" i="1"/>
  <c r="B828" i="1"/>
  <c r="A828" i="1"/>
  <c r="B827" i="1"/>
  <c r="A827" i="1"/>
  <c r="B826" i="1"/>
  <c r="A826" i="1"/>
  <c r="B825" i="1"/>
  <c r="A825" i="1"/>
  <c r="B824" i="1"/>
  <c r="A824" i="1"/>
  <c r="B823" i="1"/>
  <c r="A823" i="1"/>
  <c r="B822" i="1"/>
  <c r="A822" i="1"/>
  <c r="B821" i="1"/>
  <c r="A821" i="1"/>
  <c r="B820" i="1"/>
  <c r="A820" i="1"/>
  <c r="B819" i="1"/>
  <c r="A819" i="1"/>
  <c r="B818" i="1"/>
  <c r="A818" i="1"/>
  <c r="B817" i="1"/>
  <c r="A817" i="1"/>
  <c r="B816" i="1"/>
  <c r="A816" i="1"/>
  <c r="B815" i="1"/>
  <c r="A815" i="1"/>
  <c r="B814" i="1"/>
  <c r="A814" i="1"/>
  <c r="B813" i="1"/>
  <c r="A813" i="1"/>
  <c r="B812" i="1"/>
  <c r="A812" i="1"/>
  <c r="B811" i="1"/>
  <c r="A811" i="1"/>
  <c r="B810" i="1"/>
  <c r="A810" i="1"/>
  <c r="B809" i="1"/>
  <c r="A809" i="1"/>
  <c r="B808" i="1"/>
  <c r="A808" i="1"/>
  <c r="B807" i="1"/>
  <c r="A807" i="1"/>
  <c r="B806" i="1"/>
  <c r="A806" i="1"/>
  <c r="B805" i="1"/>
  <c r="A805" i="1"/>
  <c r="B804" i="1"/>
  <c r="A804" i="1"/>
  <c r="B803" i="1"/>
  <c r="A803" i="1"/>
  <c r="B802" i="1"/>
  <c r="A802" i="1"/>
  <c r="B801" i="1"/>
  <c r="A801" i="1"/>
  <c r="B800" i="1"/>
  <c r="A800" i="1"/>
  <c r="B799" i="1"/>
  <c r="A799" i="1"/>
  <c r="B798" i="1"/>
  <c r="A798" i="1"/>
  <c r="B797" i="1"/>
  <c r="A797" i="1"/>
  <c r="B796" i="1"/>
  <c r="A796" i="1"/>
  <c r="B795" i="1"/>
  <c r="A795" i="1"/>
  <c r="B794" i="1"/>
  <c r="A794" i="1"/>
  <c r="B793" i="1"/>
  <c r="A793" i="1"/>
  <c r="B792" i="1"/>
  <c r="A792" i="1"/>
  <c r="B791" i="1"/>
  <c r="A791" i="1"/>
  <c r="B790" i="1"/>
  <c r="A790" i="1"/>
  <c r="B789" i="1"/>
  <c r="A789" i="1"/>
  <c r="B788" i="1"/>
  <c r="A788" i="1"/>
  <c r="B787" i="1"/>
  <c r="A787" i="1"/>
  <c r="B786" i="1"/>
  <c r="A786" i="1"/>
  <c r="B785" i="1"/>
  <c r="A785" i="1"/>
  <c r="B784" i="1"/>
  <c r="A784" i="1"/>
  <c r="B783" i="1"/>
  <c r="A783" i="1"/>
  <c r="B782" i="1"/>
  <c r="A782" i="1"/>
  <c r="B781" i="1"/>
  <c r="A781" i="1"/>
  <c r="B780" i="1"/>
  <c r="A780" i="1"/>
  <c r="B779" i="1"/>
  <c r="A779" i="1"/>
  <c r="B778" i="1"/>
  <c r="A778" i="1"/>
  <c r="B777" i="1"/>
  <c r="A777" i="1"/>
  <c r="B776" i="1"/>
  <c r="A776" i="1"/>
  <c r="B775" i="1"/>
  <c r="A775" i="1"/>
  <c r="B774" i="1"/>
  <c r="A774" i="1"/>
  <c r="B773" i="1"/>
  <c r="A773" i="1"/>
  <c r="B772" i="1"/>
  <c r="A772" i="1"/>
  <c r="B771" i="1"/>
  <c r="A771" i="1"/>
  <c r="B770" i="1"/>
  <c r="A770" i="1"/>
  <c r="B769" i="1"/>
  <c r="A769" i="1"/>
  <c r="B768" i="1"/>
  <c r="A768" i="1"/>
  <c r="B767" i="1"/>
  <c r="A767" i="1"/>
  <c r="B766" i="1"/>
  <c r="A766" i="1"/>
  <c r="B765" i="1"/>
  <c r="A765" i="1"/>
  <c r="B764" i="1"/>
  <c r="A764" i="1"/>
  <c r="B763" i="1"/>
  <c r="A763" i="1"/>
  <c r="B762" i="1"/>
  <c r="A762" i="1"/>
  <c r="B761" i="1"/>
  <c r="A761" i="1"/>
  <c r="B760" i="1"/>
  <c r="A760" i="1"/>
  <c r="B759" i="1"/>
  <c r="A759" i="1"/>
  <c r="B758" i="1"/>
  <c r="A758" i="1"/>
  <c r="B757" i="1"/>
  <c r="A757" i="1"/>
  <c r="B756" i="1"/>
  <c r="A756" i="1"/>
  <c r="B755" i="1"/>
  <c r="A755" i="1"/>
  <c r="B754" i="1"/>
  <c r="A754" i="1"/>
  <c r="B753" i="1"/>
  <c r="A753" i="1"/>
  <c r="B752" i="1"/>
  <c r="A752" i="1"/>
  <c r="B751" i="1"/>
  <c r="A751" i="1"/>
  <c r="B750" i="1"/>
  <c r="A750" i="1"/>
  <c r="B749" i="1"/>
  <c r="A749" i="1"/>
  <c r="B748" i="1"/>
  <c r="A748" i="1"/>
  <c r="B747" i="1"/>
  <c r="A747" i="1"/>
  <c r="B746" i="1"/>
  <c r="A746" i="1"/>
  <c r="B745" i="1"/>
  <c r="A745" i="1"/>
  <c r="B744" i="1"/>
  <c r="A744" i="1"/>
  <c r="B743" i="1"/>
  <c r="A743" i="1"/>
  <c r="B742" i="1"/>
  <c r="A742" i="1"/>
  <c r="B741" i="1"/>
  <c r="A741" i="1"/>
  <c r="B740" i="1"/>
  <c r="A740" i="1"/>
  <c r="B739" i="1"/>
  <c r="A739" i="1"/>
  <c r="B738" i="1"/>
  <c r="A738" i="1"/>
  <c r="B737" i="1"/>
  <c r="A737" i="1"/>
  <c r="B736" i="1"/>
  <c r="A736" i="1"/>
  <c r="B735" i="1"/>
  <c r="A735" i="1"/>
  <c r="B734" i="1"/>
  <c r="A734" i="1"/>
  <c r="B733" i="1"/>
  <c r="A733" i="1"/>
  <c r="B732" i="1"/>
  <c r="A732" i="1"/>
  <c r="B731" i="1"/>
  <c r="A731" i="1"/>
  <c r="B730" i="1"/>
  <c r="A730" i="1"/>
  <c r="B729" i="1"/>
  <c r="A729" i="1"/>
  <c r="B728" i="1"/>
  <c r="A728" i="1"/>
  <c r="B727" i="1"/>
  <c r="A727" i="1"/>
  <c r="B726" i="1"/>
  <c r="A726" i="1"/>
  <c r="B725" i="1"/>
  <c r="A725" i="1"/>
  <c r="B724" i="1"/>
  <c r="A724" i="1"/>
  <c r="B723" i="1"/>
  <c r="A723" i="1"/>
  <c r="B722" i="1"/>
  <c r="A722" i="1"/>
  <c r="B721" i="1"/>
  <c r="A721" i="1"/>
  <c r="B720" i="1"/>
  <c r="A720" i="1"/>
  <c r="B719" i="1"/>
  <c r="A719" i="1"/>
  <c r="B718" i="1"/>
  <c r="A718" i="1"/>
  <c r="B717" i="1"/>
  <c r="A717" i="1"/>
  <c r="B716" i="1"/>
  <c r="A716" i="1"/>
  <c r="B715" i="1"/>
  <c r="A715" i="1"/>
  <c r="B714" i="1"/>
  <c r="A714" i="1"/>
  <c r="B713" i="1"/>
  <c r="A713" i="1"/>
  <c r="B712" i="1"/>
  <c r="A712" i="1"/>
  <c r="B711" i="1"/>
  <c r="A711" i="1"/>
  <c r="B710" i="1"/>
  <c r="A710" i="1"/>
  <c r="B709" i="1"/>
  <c r="A709" i="1"/>
  <c r="B708" i="1"/>
  <c r="A708" i="1"/>
  <c r="B707" i="1"/>
  <c r="A707" i="1"/>
  <c r="B706" i="1"/>
  <c r="A706" i="1"/>
  <c r="B705" i="1"/>
  <c r="A705" i="1"/>
  <c r="B704" i="1"/>
  <c r="A704" i="1"/>
  <c r="B703" i="1"/>
  <c r="A703" i="1"/>
  <c r="B702" i="1"/>
  <c r="A702" i="1"/>
  <c r="B701" i="1"/>
  <c r="A701" i="1"/>
  <c r="B700" i="1"/>
  <c r="A700" i="1"/>
  <c r="B699" i="1"/>
  <c r="A699" i="1"/>
  <c r="B698" i="1"/>
  <c r="A698" i="1"/>
  <c r="B697" i="1"/>
  <c r="A697" i="1"/>
  <c r="B696" i="1"/>
  <c r="A696" i="1"/>
  <c r="B695" i="1"/>
  <c r="A695" i="1"/>
  <c r="B694" i="1"/>
  <c r="A694" i="1"/>
  <c r="B693" i="1"/>
  <c r="A693" i="1"/>
  <c r="B692" i="1"/>
  <c r="A692" i="1"/>
  <c r="B691" i="1"/>
  <c r="A691" i="1"/>
  <c r="B690" i="1"/>
  <c r="A690" i="1"/>
  <c r="B689" i="1"/>
  <c r="A689" i="1"/>
  <c r="B688" i="1"/>
  <c r="A688" i="1"/>
  <c r="B687" i="1"/>
  <c r="A687" i="1"/>
  <c r="B686" i="1"/>
  <c r="A686" i="1"/>
  <c r="B685" i="1"/>
  <c r="A685" i="1"/>
  <c r="B684" i="1"/>
  <c r="A684" i="1"/>
  <c r="B683" i="1"/>
  <c r="A683" i="1"/>
  <c r="B682" i="1"/>
  <c r="A682" i="1"/>
  <c r="B681" i="1"/>
  <c r="A681" i="1"/>
  <c r="B680" i="1"/>
  <c r="A680" i="1"/>
  <c r="B679" i="1"/>
  <c r="A679" i="1"/>
  <c r="B678" i="1"/>
  <c r="A678" i="1"/>
  <c r="B677" i="1"/>
  <c r="A677" i="1"/>
  <c r="B676" i="1"/>
  <c r="A676" i="1"/>
  <c r="B675" i="1"/>
  <c r="A675" i="1"/>
  <c r="B674" i="1"/>
  <c r="A674" i="1"/>
  <c r="B673" i="1"/>
  <c r="A673" i="1"/>
  <c r="B672" i="1"/>
  <c r="A672" i="1"/>
  <c r="B671" i="1"/>
  <c r="A671" i="1"/>
  <c r="B670" i="1"/>
  <c r="A670" i="1"/>
  <c r="B669" i="1"/>
  <c r="A669" i="1"/>
  <c r="B668" i="1"/>
  <c r="A668" i="1"/>
  <c r="B667" i="1"/>
  <c r="A667" i="1"/>
  <c r="B666" i="1"/>
  <c r="A666" i="1"/>
  <c r="B665" i="1"/>
  <c r="A665" i="1"/>
  <c r="B664" i="1"/>
  <c r="A664" i="1"/>
  <c r="B663" i="1"/>
  <c r="A663" i="1"/>
  <c r="B662" i="1"/>
  <c r="A662" i="1"/>
  <c r="B661" i="1"/>
  <c r="A661" i="1"/>
  <c r="B660" i="1"/>
  <c r="A660" i="1"/>
  <c r="B659" i="1"/>
  <c r="A659" i="1"/>
  <c r="B658" i="1"/>
  <c r="A658" i="1"/>
  <c r="B657" i="1"/>
  <c r="A657" i="1"/>
  <c r="B656" i="1"/>
  <c r="A656" i="1"/>
  <c r="B655" i="1"/>
  <c r="A655" i="1"/>
  <c r="B654" i="1"/>
  <c r="A654" i="1"/>
  <c r="B653" i="1"/>
  <c r="A653" i="1"/>
  <c r="B652" i="1"/>
  <c r="A652" i="1"/>
  <c r="B651" i="1"/>
  <c r="A651" i="1"/>
  <c r="B650" i="1"/>
  <c r="A650" i="1"/>
  <c r="B649" i="1"/>
  <c r="A649" i="1"/>
  <c r="B648" i="1"/>
  <c r="A648" i="1"/>
  <c r="B647" i="1"/>
  <c r="A647" i="1"/>
  <c r="B646" i="1"/>
  <c r="A646" i="1"/>
  <c r="B645" i="1"/>
  <c r="A645" i="1"/>
  <c r="B644" i="1"/>
  <c r="A644" i="1"/>
  <c r="B643" i="1"/>
  <c r="A643" i="1"/>
  <c r="B642" i="1"/>
  <c r="A642" i="1"/>
  <c r="B641" i="1"/>
  <c r="A641" i="1"/>
  <c r="B640" i="1"/>
  <c r="A640" i="1"/>
  <c r="B639" i="1"/>
  <c r="A639" i="1"/>
  <c r="B638" i="1"/>
  <c r="A638" i="1"/>
  <c r="B637" i="1"/>
  <c r="A637" i="1"/>
  <c r="B636" i="1"/>
  <c r="A636" i="1"/>
  <c r="B635" i="1"/>
  <c r="A635" i="1"/>
  <c r="B634" i="1"/>
  <c r="A634" i="1"/>
  <c r="B633" i="1"/>
  <c r="A633" i="1"/>
  <c r="B632" i="1"/>
  <c r="A632" i="1"/>
  <c r="B631" i="1"/>
  <c r="A631" i="1"/>
  <c r="B630" i="1"/>
  <c r="A630" i="1"/>
  <c r="B629" i="1"/>
  <c r="A629" i="1"/>
  <c r="B628" i="1"/>
  <c r="A628" i="1"/>
  <c r="B627" i="1"/>
  <c r="A627" i="1"/>
  <c r="B626" i="1"/>
  <c r="A626" i="1"/>
  <c r="B625" i="1"/>
  <c r="A625" i="1"/>
  <c r="B624" i="1"/>
  <c r="A624" i="1"/>
  <c r="B623" i="1"/>
  <c r="A623" i="1"/>
  <c r="B622" i="1"/>
  <c r="A622" i="1"/>
  <c r="B621" i="1"/>
  <c r="A621" i="1"/>
  <c r="B620" i="1"/>
  <c r="A620" i="1"/>
  <c r="B619" i="1"/>
  <c r="A619" i="1"/>
  <c r="B618" i="1"/>
  <c r="A618" i="1"/>
  <c r="B617" i="1"/>
  <c r="A617" i="1"/>
  <c r="B616" i="1"/>
  <c r="A616" i="1"/>
  <c r="B615" i="1"/>
  <c r="A615" i="1"/>
  <c r="B614" i="1"/>
  <c r="A614" i="1"/>
  <c r="B613" i="1"/>
  <c r="A613" i="1"/>
  <c r="B612" i="1"/>
  <c r="A612" i="1"/>
  <c r="B611" i="1"/>
  <c r="A611" i="1"/>
  <c r="B610" i="1"/>
  <c r="A610" i="1"/>
  <c r="B609" i="1"/>
  <c r="A609" i="1"/>
  <c r="B608" i="1"/>
  <c r="A608" i="1"/>
  <c r="B607" i="1"/>
  <c r="A607" i="1"/>
  <c r="B606" i="1"/>
  <c r="A606" i="1"/>
  <c r="B605" i="1"/>
  <c r="A605" i="1"/>
  <c r="B604" i="1"/>
  <c r="A604" i="1"/>
  <c r="B603" i="1"/>
  <c r="A603" i="1"/>
  <c r="B602" i="1"/>
  <c r="A602" i="1"/>
  <c r="B601" i="1"/>
  <c r="A601" i="1"/>
  <c r="B600" i="1"/>
  <c r="A600" i="1"/>
  <c r="B599" i="1"/>
  <c r="A599" i="1"/>
  <c r="B598" i="1"/>
  <c r="A598" i="1"/>
  <c r="B597" i="1"/>
  <c r="A597" i="1"/>
  <c r="B596" i="1"/>
  <c r="A596" i="1"/>
  <c r="B595" i="1"/>
  <c r="A595" i="1"/>
  <c r="B594" i="1"/>
  <c r="A594" i="1"/>
  <c r="B593" i="1"/>
  <c r="A593" i="1"/>
  <c r="B592" i="1"/>
  <c r="A592" i="1"/>
  <c r="B591" i="1"/>
  <c r="A591" i="1"/>
  <c r="B590" i="1"/>
  <c r="A590" i="1"/>
  <c r="B589" i="1"/>
  <c r="A589" i="1"/>
  <c r="B588" i="1"/>
  <c r="A588" i="1"/>
  <c r="B587" i="1"/>
  <c r="A587" i="1"/>
  <c r="B586" i="1"/>
  <c r="A586" i="1"/>
  <c r="B585" i="1"/>
  <c r="A585" i="1"/>
  <c r="B584" i="1"/>
  <c r="A584" i="1"/>
  <c r="B583" i="1"/>
  <c r="A583" i="1"/>
  <c r="B582" i="1"/>
  <c r="A582" i="1"/>
  <c r="B581" i="1"/>
  <c r="A581" i="1"/>
  <c r="B580" i="1"/>
  <c r="A580" i="1"/>
  <c r="B579" i="1"/>
  <c r="A579" i="1"/>
  <c r="B578" i="1"/>
  <c r="A578" i="1"/>
  <c r="B577" i="1"/>
  <c r="A577" i="1"/>
  <c r="B576" i="1"/>
  <c r="A576" i="1"/>
  <c r="B575" i="1"/>
  <c r="A575" i="1"/>
  <c r="B574" i="1"/>
  <c r="A574" i="1"/>
  <c r="B573" i="1"/>
  <c r="A573" i="1"/>
  <c r="B572" i="1"/>
  <c r="A572" i="1"/>
  <c r="B571" i="1"/>
  <c r="A571" i="1"/>
  <c r="B570" i="1"/>
  <c r="A570" i="1"/>
  <c r="B569" i="1"/>
  <c r="A569" i="1"/>
  <c r="B568" i="1"/>
  <c r="A568" i="1"/>
  <c r="B567" i="1"/>
  <c r="A567" i="1"/>
  <c r="B566" i="1"/>
  <c r="A566" i="1"/>
  <c r="B565" i="1"/>
  <c r="A565" i="1"/>
  <c r="B564" i="1"/>
  <c r="A564" i="1"/>
  <c r="B563" i="1"/>
  <c r="A563" i="1"/>
  <c r="B562" i="1"/>
  <c r="A562" i="1"/>
  <c r="B561" i="1"/>
  <c r="A561" i="1"/>
  <c r="B560" i="1"/>
  <c r="A560" i="1"/>
  <c r="B559" i="1"/>
  <c r="A559" i="1"/>
  <c r="B558" i="1"/>
  <c r="A558" i="1"/>
  <c r="B557" i="1"/>
  <c r="A557" i="1"/>
  <c r="B556" i="1"/>
  <c r="A556" i="1"/>
  <c r="B555" i="1"/>
  <c r="A555" i="1"/>
  <c r="B554" i="1"/>
  <c r="A554" i="1"/>
  <c r="B553" i="1"/>
  <c r="A553" i="1"/>
  <c r="B552" i="1"/>
  <c r="A552" i="1"/>
  <c r="B551" i="1"/>
  <c r="A551" i="1"/>
  <c r="B550" i="1"/>
  <c r="A550" i="1"/>
  <c r="B549" i="1"/>
  <c r="A549" i="1"/>
  <c r="B548" i="1"/>
  <c r="A548" i="1"/>
  <c r="B547" i="1"/>
  <c r="A547" i="1"/>
  <c r="B546" i="1"/>
  <c r="A546" i="1"/>
  <c r="B545" i="1"/>
  <c r="A545" i="1"/>
  <c r="B544" i="1"/>
  <c r="A544" i="1"/>
  <c r="B543" i="1"/>
  <c r="A543" i="1"/>
  <c r="B542" i="1"/>
  <c r="A542" i="1"/>
  <c r="B541" i="1"/>
  <c r="A541" i="1"/>
  <c r="B540" i="1"/>
  <c r="A540" i="1"/>
  <c r="B539" i="1"/>
  <c r="A539" i="1"/>
  <c r="B538" i="1"/>
  <c r="A538" i="1"/>
  <c r="B537" i="1"/>
  <c r="A537" i="1"/>
  <c r="B536" i="1"/>
  <c r="A536" i="1"/>
  <c r="B535" i="1"/>
  <c r="A535" i="1"/>
  <c r="B534" i="1"/>
  <c r="A534" i="1"/>
  <c r="B533" i="1"/>
  <c r="A533" i="1"/>
  <c r="B532" i="1"/>
  <c r="A532" i="1"/>
  <c r="B531" i="1"/>
  <c r="A531" i="1"/>
  <c r="B530" i="1"/>
  <c r="A530" i="1"/>
  <c r="B529" i="1"/>
  <c r="A529" i="1"/>
  <c r="B528" i="1"/>
  <c r="A528" i="1"/>
  <c r="B527" i="1"/>
  <c r="A527" i="1"/>
  <c r="B526" i="1"/>
  <c r="A526" i="1"/>
  <c r="B525" i="1"/>
  <c r="A525" i="1"/>
  <c r="B524" i="1"/>
  <c r="A524" i="1"/>
  <c r="B523" i="1"/>
  <c r="A523" i="1"/>
  <c r="B522" i="1"/>
  <c r="A522" i="1"/>
  <c r="B521" i="1"/>
  <c r="A521" i="1"/>
  <c r="B520" i="1"/>
  <c r="A520" i="1"/>
  <c r="B519" i="1"/>
  <c r="A519" i="1"/>
  <c r="B518" i="1"/>
  <c r="A518" i="1"/>
  <c r="B517" i="1"/>
  <c r="A517" i="1"/>
  <c r="B516" i="1"/>
  <c r="A516" i="1"/>
  <c r="B515" i="1"/>
  <c r="A515" i="1"/>
  <c r="B514" i="1"/>
  <c r="A514" i="1"/>
  <c r="B513" i="1"/>
  <c r="A513" i="1"/>
  <c r="B512" i="1"/>
  <c r="A512" i="1"/>
  <c r="B511" i="1"/>
  <c r="A511" i="1"/>
  <c r="B510" i="1"/>
  <c r="A510" i="1"/>
  <c r="B509" i="1"/>
  <c r="A509" i="1"/>
  <c r="B508" i="1"/>
  <c r="A508" i="1"/>
  <c r="B507" i="1"/>
  <c r="A507" i="1"/>
  <c r="B506" i="1"/>
  <c r="A506" i="1"/>
  <c r="B505" i="1"/>
  <c r="A505" i="1"/>
  <c r="B504" i="1"/>
  <c r="A504" i="1"/>
  <c r="B503" i="1"/>
  <c r="A503" i="1"/>
  <c r="B502" i="1"/>
  <c r="A502" i="1"/>
  <c r="B501" i="1"/>
  <c r="A501" i="1"/>
  <c r="B500" i="1"/>
  <c r="A500" i="1"/>
  <c r="B499" i="1"/>
  <c r="A499" i="1"/>
  <c r="B498" i="1"/>
  <c r="A498" i="1"/>
  <c r="B497" i="1"/>
  <c r="A497" i="1"/>
  <c r="B496" i="1"/>
  <c r="A496" i="1"/>
  <c r="B495" i="1"/>
  <c r="A495" i="1"/>
  <c r="B494" i="1"/>
  <c r="A494" i="1"/>
  <c r="B493" i="1"/>
  <c r="A493" i="1"/>
  <c r="B492" i="1"/>
  <c r="A492" i="1"/>
  <c r="B491" i="1"/>
  <c r="A491" i="1"/>
  <c r="B490" i="1"/>
  <c r="A490" i="1"/>
  <c r="B489" i="1"/>
  <c r="A489" i="1"/>
  <c r="B488" i="1"/>
  <c r="A488" i="1"/>
  <c r="B487" i="1"/>
  <c r="A487" i="1"/>
  <c r="B486" i="1"/>
  <c r="A486" i="1"/>
  <c r="B485" i="1"/>
  <c r="A485" i="1"/>
  <c r="B484" i="1"/>
  <c r="A484" i="1"/>
  <c r="B483" i="1"/>
  <c r="A483" i="1"/>
  <c r="B482" i="1"/>
  <c r="A482" i="1"/>
  <c r="B481" i="1"/>
  <c r="A481" i="1"/>
  <c r="B480" i="1"/>
  <c r="A480" i="1"/>
  <c r="B479" i="1"/>
  <c r="A479" i="1"/>
  <c r="B478" i="1"/>
  <c r="A478" i="1"/>
  <c r="B477" i="1"/>
  <c r="A477" i="1"/>
  <c r="B476" i="1"/>
  <c r="A476" i="1"/>
  <c r="B475" i="1"/>
  <c r="A475" i="1"/>
  <c r="B474" i="1"/>
  <c r="A474" i="1"/>
  <c r="B473" i="1"/>
  <c r="A473" i="1"/>
  <c r="B472" i="1"/>
  <c r="A472" i="1"/>
  <c r="B471" i="1"/>
  <c r="A471" i="1"/>
  <c r="B470" i="1"/>
  <c r="A470" i="1"/>
  <c r="B469" i="1"/>
  <c r="A469" i="1"/>
  <c r="B468" i="1"/>
  <c r="A468" i="1"/>
  <c r="B467" i="1"/>
  <c r="A467" i="1"/>
  <c r="B466" i="1"/>
  <c r="A466" i="1"/>
  <c r="B465" i="1"/>
  <c r="A465" i="1"/>
  <c r="B464" i="1"/>
  <c r="A464" i="1"/>
  <c r="B463" i="1"/>
  <c r="A463" i="1"/>
  <c r="B462" i="1"/>
  <c r="A462" i="1"/>
  <c r="B461" i="1"/>
  <c r="A461" i="1"/>
  <c r="B460" i="1"/>
  <c r="A460" i="1"/>
  <c r="B459" i="1"/>
  <c r="A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3" i="1"/>
  <c r="A443" i="1"/>
  <c r="B442" i="1"/>
  <c r="A442" i="1"/>
  <c r="B441" i="1"/>
  <c r="A441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432" i="1"/>
  <c r="A432" i="1"/>
  <c r="B431" i="1"/>
  <c r="A431" i="1"/>
  <c r="B430" i="1"/>
  <c r="A430" i="1"/>
  <c r="B429" i="1"/>
  <c r="A429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399" i="1"/>
  <c r="A399" i="1"/>
  <c r="B398" i="1"/>
  <c r="A398" i="1"/>
  <c r="B397" i="1"/>
  <c r="A397" i="1"/>
  <c r="B396" i="1"/>
  <c r="A396" i="1"/>
  <c r="B395" i="1"/>
  <c r="A395" i="1"/>
  <c r="B394" i="1"/>
  <c r="A394" i="1"/>
  <c r="B393" i="1"/>
  <c r="A393" i="1"/>
  <c r="B392" i="1"/>
  <c r="A392" i="1"/>
  <c r="B391" i="1"/>
  <c r="A391" i="1"/>
  <c r="B390" i="1"/>
  <c r="A390" i="1"/>
  <c r="B389" i="1"/>
  <c r="A389" i="1"/>
  <c r="B388" i="1"/>
  <c r="A388" i="1"/>
  <c r="B387" i="1"/>
  <c r="A387" i="1"/>
  <c r="B386" i="1"/>
  <c r="A386" i="1"/>
  <c r="B385" i="1"/>
  <c r="A385" i="1"/>
  <c r="B384" i="1"/>
  <c r="A384" i="1"/>
  <c r="B383" i="1"/>
  <c r="A383" i="1"/>
  <c r="B382" i="1"/>
  <c r="A382" i="1"/>
  <c r="B381" i="1"/>
  <c r="A381" i="1"/>
  <c r="B380" i="1"/>
  <c r="A380" i="1"/>
  <c r="B379" i="1"/>
  <c r="A379" i="1"/>
  <c r="B378" i="1"/>
  <c r="A378" i="1"/>
  <c r="B377" i="1"/>
  <c r="A377" i="1"/>
  <c r="B376" i="1"/>
  <c r="A376" i="1"/>
  <c r="B375" i="1"/>
  <c r="A375" i="1"/>
  <c r="B374" i="1"/>
  <c r="A374" i="1"/>
  <c r="B373" i="1"/>
  <c r="A373" i="1"/>
  <c r="B372" i="1"/>
  <c r="A372" i="1"/>
  <c r="B371" i="1"/>
  <c r="A371" i="1"/>
  <c r="B370" i="1"/>
  <c r="A370" i="1"/>
  <c r="B369" i="1"/>
  <c r="A369" i="1"/>
  <c r="B368" i="1"/>
  <c r="A368" i="1"/>
  <c r="B367" i="1"/>
  <c r="A367" i="1"/>
  <c r="B366" i="1"/>
  <c r="A366" i="1"/>
  <c r="B365" i="1"/>
  <c r="A365" i="1"/>
  <c r="B364" i="1"/>
  <c r="A364" i="1"/>
  <c r="B363" i="1"/>
  <c r="A363" i="1"/>
  <c r="B362" i="1"/>
  <c r="A362" i="1"/>
  <c r="B361" i="1"/>
  <c r="A361" i="1"/>
  <c r="B360" i="1"/>
  <c r="A360" i="1"/>
  <c r="B359" i="1"/>
  <c r="A359" i="1"/>
  <c r="B358" i="1"/>
  <c r="A358" i="1"/>
  <c r="B357" i="1"/>
  <c r="A357" i="1"/>
  <c r="B356" i="1"/>
  <c r="A356" i="1"/>
  <c r="B355" i="1"/>
  <c r="A355" i="1"/>
  <c r="B354" i="1"/>
  <c r="A354" i="1"/>
  <c r="B353" i="1"/>
  <c r="A353" i="1"/>
  <c r="B352" i="1"/>
  <c r="A352" i="1"/>
  <c r="B351" i="1"/>
  <c r="A351" i="1"/>
  <c r="B350" i="1"/>
  <c r="A350" i="1"/>
  <c r="B349" i="1"/>
  <c r="A349" i="1"/>
  <c r="B348" i="1"/>
  <c r="A348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B341" i="1"/>
  <c r="A341" i="1"/>
  <c r="B336" i="1"/>
  <c r="A336" i="1"/>
  <c r="B335" i="1"/>
  <c r="A335" i="1"/>
  <c r="B334" i="1"/>
  <c r="A334" i="1"/>
  <c r="B333" i="1"/>
  <c r="A333" i="1"/>
  <c r="B332" i="1"/>
  <c r="A332" i="1"/>
  <c r="B331" i="1"/>
  <c r="A331" i="1"/>
  <c r="B330" i="1"/>
  <c r="A330" i="1"/>
  <c r="B329" i="1"/>
  <c r="A329" i="1"/>
  <c r="B328" i="1"/>
  <c r="A328" i="1"/>
  <c r="B327" i="1"/>
  <c r="A327" i="1"/>
  <c r="B326" i="1"/>
  <c r="A326" i="1"/>
  <c r="B325" i="1"/>
  <c r="A325" i="1"/>
  <c r="B324" i="1"/>
  <c r="A324" i="1"/>
  <c r="B323" i="1"/>
  <c r="A323" i="1"/>
  <c r="B322" i="1"/>
  <c r="A322" i="1"/>
  <c r="B321" i="1"/>
  <c r="A321" i="1"/>
  <c r="B320" i="1"/>
  <c r="A320" i="1"/>
  <c r="B319" i="1"/>
  <c r="A319" i="1"/>
  <c r="B318" i="1"/>
  <c r="A318" i="1"/>
  <c r="B317" i="1"/>
  <c r="A317" i="1"/>
  <c r="B316" i="1"/>
  <c r="A316" i="1"/>
  <c r="B315" i="1"/>
  <c r="A315" i="1"/>
  <c r="B314" i="1"/>
  <c r="A314" i="1"/>
  <c r="B313" i="1"/>
  <c r="A313" i="1"/>
  <c r="B312" i="1"/>
  <c r="A312" i="1"/>
  <c r="B311" i="1"/>
  <c r="A311" i="1"/>
  <c r="B310" i="1"/>
  <c r="A310" i="1"/>
  <c r="B309" i="1"/>
  <c r="A309" i="1"/>
  <c r="B308" i="1"/>
  <c r="A308" i="1"/>
  <c r="B307" i="1"/>
  <c r="A307" i="1"/>
  <c r="B306" i="1"/>
  <c r="A306" i="1"/>
  <c r="B305" i="1"/>
  <c r="A305" i="1"/>
  <c r="B304" i="1"/>
  <c r="A304" i="1"/>
  <c r="B303" i="1"/>
  <c r="A303" i="1"/>
  <c r="B302" i="1"/>
  <c r="A302" i="1"/>
  <c r="B301" i="1"/>
  <c r="A301" i="1"/>
  <c r="B300" i="1"/>
  <c r="A300" i="1"/>
  <c r="B299" i="1"/>
  <c r="A299" i="1"/>
  <c r="B298" i="1"/>
  <c r="A298" i="1"/>
  <c r="B297" i="1"/>
  <c r="A297" i="1"/>
  <c r="B296" i="1"/>
  <c r="A296" i="1"/>
  <c r="B295" i="1"/>
  <c r="A295" i="1"/>
  <c r="B294" i="1"/>
  <c r="A294" i="1"/>
  <c r="B293" i="1"/>
  <c r="A293" i="1"/>
  <c r="B292" i="1"/>
  <c r="A292" i="1"/>
  <c r="B291" i="1"/>
  <c r="A291" i="1"/>
  <c r="B290" i="1"/>
  <c r="A290" i="1"/>
  <c r="B289" i="1"/>
  <c r="A289" i="1"/>
  <c r="B288" i="1"/>
  <c r="A288" i="1"/>
  <c r="B287" i="1"/>
  <c r="A287" i="1"/>
  <c r="B286" i="1"/>
  <c r="A286" i="1"/>
  <c r="B285" i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7" i="1"/>
  <c r="A277" i="1"/>
  <c r="B276" i="1"/>
  <c r="A276" i="1"/>
  <c r="B275" i="1"/>
  <c r="A275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</calcChain>
</file>

<file path=xl/sharedStrings.xml><?xml version="1.0" encoding="utf-8"?>
<sst xmlns="http://schemas.openxmlformats.org/spreadsheetml/2006/main" count="28294" uniqueCount="2878">
  <si>
    <t>Active Listings</t>
  </si>
  <si>
    <t>Address</t>
  </si>
  <si>
    <t>Building Name</t>
  </si>
  <si>
    <t>Neighborhood</t>
  </si>
  <si>
    <t>City</t>
  </si>
  <si>
    <t>Price (Last Known)</t>
  </si>
  <si>
    <t>PPSF</t>
  </si>
  <si>
    <t>R</t>
  </si>
  <si>
    <t>Bd</t>
  </si>
  <si>
    <t>Total Ba</t>
  </si>
  <si>
    <t>MLS Ba</t>
  </si>
  <si>
    <t>Full Ba</t>
  </si>
  <si>
    <t>HBa</t>
  </si>
  <si>
    <t>Sq Ft</t>
  </si>
  <si>
    <t>Monthly Fees</t>
  </si>
  <si>
    <t>Monthly Fees &amp; Taxes</t>
  </si>
  <si>
    <t>Taxes Per Mo.</t>
  </si>
  <si>
    <t>MLS Property Type</t>
  </si>
  <si>
    <t>MLS Property Subtype</t>
  </si>
  <si>
    <t>Compass Property Type</t>
  </si>
  <si>
    <t>Status</t>
  </si>
  <si>
    <t>DOM</t>
  </si>
  <si>
    <t>Updated Date</t>
  </si>
  <si>
    <t>Listed Date</t>
  </si>
  <si>
    <t>Listed Price</t>
  </si>
  <si>
    <t>Last Asking</t>
  </si>
  <si>
    <t>Contract Date</t>
  </si>
  <si>
    <t>Sold Price</t>
  </si>
  <si>
    <t>Closed Price Verification</t>
  </si>
  <si>
    <t>Sold Date</t>
  </si>
  <si>
    <t>Open House</t>
  </si>
  <si>
    <t>Open House Type</t>
  </si>
  <si>
    <t>ZIP</t>
  </si>
  <si>
    <t>Building Size</t>
  </si>
  <si>
    <t>Lot Size</t>
  </si>
  <si>
    <t>Outdoor Space</t>
  </si>
  <si>
    <t>Year Built</t>
  </si>
  <si>
    <t>Service Level</t>
  </si>
  <si>
    <t>Building Units</t>
  </si>
  <si>
    <t>Notes</t>
  </si>
  <si>
    <t>TriBeCa</t>
  </si>
  <si>
    <t>Manhattan</t>
  </si>
  <si>
    <t>Condo</t>
  </si>
  <si>
    <t>Active</t>
  </si>
  <si>
    <t>Unknown</t>
  </si>
  <si>
    <t>Common Roof Deck
Common Outdoor Space</t>
  </si>
  <si>
    <t>Full-Time Doorman, Concierge</t>
  </si>
  <si>
    <t>Hudson Square</t>
  </si>
  <si>
    <t>Common Garden</t>
  </si>
  <si>
    <t>Full-Time Doorman</t>
  </si>
  <si>
    <t>Upper West Side</t>
  </si>
  <si>
    <t>Juliet Balcony
Roof Deck
Common Roof Deck
Common Outdoor Space</t>
  </si>
  <si>
    <t>Private Terrace
Roof Deck
Common Roof Deck
Common Outdoor Space</t>
  </si>
  <si>
    <t>Roof Deck
Common Roof Deck
Common Outdoor Space</t>
  </si>
  <si>
    <t>Gramercy</t>
  </si>
  <si>
    <t>Common Roof Deck
Barbecue Area
Common Garden</t>
  </si>
  <si>
    <t>New York</t>
  </si>
  <si>
    <t>Private Terrace</t>
  </si>
  <si>
    <t>Private Terrace
Private Roof Deck</t>
  </si>
  <si>
    <t>Common Garden
Common Outdoor Space</t>
  </si>
  <si>
    <t>Common Roof Deck
Barbecue Area
Common Garden
Common Outdoor Space</t>
  </si>
  <si>
    <t>Central Harlem</t>
  </si>
  <si>
    <t>Balcony
Common Garden
Common Outdoor Space</t>
  </si>
  <si>
    <t>Remote Doorman</t>
  </si>
  <si>
    <t>Midtown East</t>
  </si>
  <si>
    <t>Balcony
Common Outdoor Space</t>
  </si>
  <si>
    <t>Lower East Side</t>
  </si>
  <si>
    <t>Balcony
Private Terrace
Private Roof Deck
Roof Deck</t>
  </si>
  <si>
    <t>Aug 22, 3:00pm - 4:00pm - By Appt</t>
  </si>
  <si>
    <t>Public</t>
  </si>
  <si>
    <t>Balcony
Roof Deck
Common Roof Deck
Common Outdoor Space</t>
  </si>
  <si>
    <t>West Village</t>
  </si>
  <si>
    <t>Private Terrace
Common Garden
Common Outdoor Space
Private Outdoor Space</t>
  </si>
  <si>
    <t>Doorman, Full-Time Doorman, Concierge</t>
  </si>
  <si>
    <t>Private Terrace
Common Roof Deck
Common Outdoor Space
Private Outdoor Space</t>
  </si>
  <si>
    <t>Deck
Common Roof Deck
Barbecue Area
Common Garden
Common Outdoor Space
Private Outdoor Space</t>
  </si>
  <si>
    <t>Roof Deck
Common Roof Deck
Common Garden
Common Outdoor Space</t>
  </si>
  <si>
    <t>Doorman, Full-Time Doorman</t>
  </si>
  <si>
    <t>Balcony
Deck
Common Roof Deck
Barbecue Area
Common Garden
Common Outdoor Space
Private Outdoor Space</t>
  </si>
  <si>
    <t>Studio</t>
  </si>
  <si>
    <t>Deck
Roof Deck
Common Roof Deck
Common Outdoor Space</t>
  </si>
  <si>
    <t>NoMad</t>
  </si>
  <si>
    <t>Roof Deck
Common Outdoor Space</t>
  </si>
  <si>
    <t>Private Terrace
Roof Deck
Common Outdoor Space
Private Outdoor Space</t>
  </si>
  <si>
    <t>Common Outdoor Space</t>
  </si>
  <si>
    <t>Private Terrace
Common Outdoor Space</t>
  </si>
  <si>
    <t>Private Terrace
Roof Deck
Common Outdoor Space</t>
  </si>
  <si>
    <t>Full-Time Doorman, Part-Time Doorman</t>
  </si>
  <si>
    <t>Private Terrace
Common Roof Deck
Common Outdoor Space</t>
  </si>
  <si>
    <t>East Village</t>
  </si>
  <si>
    <t>Private Terrace
Private Roof Deck
Roof Deck
Common Roof Deck
Common Outdoor Space
Private Outdoor Space</t>
  </si>
  <si>
    <t>Private Terrace
Deck
Common Roof Deck
Barbecue Area
Common Garden
Common Outdoor Space
Private Outdoor Space</t>
  </si>
  <si>
    <t>Balcony
Private Terrace
Deck
Common Roof Deck
Barbecue Area
Common Garden
Common Outdoor Space
Private Outdoor Space</t>
  </si>
  <si>
    <t>Private Wrap Around Terrace
Deck
Common Roof Deck
Barbecue Area
Common Garden
Common Outdoor Space
Private Outdoor Space</t>
  </si>
  <si>
    <t>Private Roof Deck
Deck
Common Roof Deck
Barbecue Area
Common Garden
Common Outdoor Space
Private Outdoor Space</t>
  </si>
  <si>
    <t>Private Terrace
Roof Deck
Common Roof Deck
Common Outdoor Space
Private Outdoor Space</t>
  </si>
  <si>
    <t>Balcony
Private Terrace
Roof Deck
Common Roof Deck
Common Outdoor Space
Private Outdoor Space</t>
  </si>
  <si>
    <t>Alcove</t>
  </si>
  <si>
    <t>Full-Time Doorman, Part-Time Doorman, Concierge</t>
  </si>
  <si>
    <t>Chelsea</t>
  </si>
  <si>
    <t>Aug 22, 12:00pm - 2:00pm - By Appt</t>
  </si>
  <si>
    <t>Common Roof Deck
Playground
Common Outdoor Space</t>
  </si>
  <si>
    <t>Private Terrace
Roof Deck
Common Roof Deck
Common Garden
Common Outdoor Space
Private Outdoor Space</t>
  </si>
  <si>
    <t>Roof Deck
Common Roof Deck
Common Garden
Common Outdoor Space
Private Outdoor Space</t>
  </si>
  <si>
    <t>SoHo</t>
  </si>
  <si>
    <t>Private Roof Deck
Common Outdoor Space
Private Outdoor Space</t>
  </si>
  <si>
    <t>Harlem</t>
  </si>
  <si>
    <t>Private Terrace
Deck
Common Roof Deck</t>
  </si>
  <si>
    <t>Doorman, Part-Time Doorman, Concierge</t>
  </si>
  <si>
    <t>Balcony
Common Roof Deck
Common Outdoor Space</t>
  </si>
  <si>
    <t>Common Outdoor Space
Private Outdoor Space</t>
  </si>
  <si>
    <t>Condominium/Condo</t>
  </si>
  <si>
    <t>Balcony
Roof Deck
Common Roof Deck
Common Garden
Common Outdoor Space
Private Outdoor Space</t>
  </si>
  <si>
    <t>Common Roof Deck
Barbecue Area
Playground
Common Garden
Common Outdoor Space</t>
  </si>
  <si>
    <t>Roof Deck
Common Outdoor Space
Private Outdoor Space</t>
  </si>
  <si>
    <t>Upper East Side</t>
  </si>
  <si>
    <t>Private Terrace
Common Outdoor Space
Private Outdoor Space</t>
  </si>
  <si>
    <t>Financial District</t>
  </si>
  <si>
    <t>Balcony
Private Terrace
Common Garden
Private Outdoor Space</t>
  </si>
  <si>
    <t>Aug 21, 12:00pm - 2:00pm - By Appt</t>
  </si>
  <si>
    <t>Aug 21, 12:00pm - 2:00pm - By Appt
Aug 22, 12:00pm - 2:00pm</t>
  </si>
  <si>
    <t>Public
Public</t>
  </si>
  <si>
    <t>Private Terrace
Deck
Common Roof Deck
Private Outdoor Space</t>
  </si>
  <si>
    <t>Balcony
Juliet Balcony
Common Roof Deck
Common Outdoor Space</t>
  </si>
  <si>
    <t>Juliet Balcony
Common Roof Deck
Common Outdoor Space</t>
  </si>
  <si>
    <t>Balcony
Private Patio
Roof Deck
Common Roof Deck
Common Outdoor Space</t>
  </si>
  <si>
    <t>Balcony
Private Terrace
Deck
Common Roof Deck</t>
  </si>
  <si>
    <t>Deck
Common Roof Deck
Barbecue Area
Playground
Common Garden
Common Outdoor Space</t>
  </si>
  <si>
    <t>Roosevelt Island</t>
  </si>
  <si>
    <t>Co-op</t>
  </si>
  <si>
    <t>Aug 20, 2:00pm - 3:00pm - By Appt
Aug 21, 10:00am - 11:00am - By Appt
Aug 22, 3:00pm - 4:00pm - By Appt</t>
  </si>
  <si>
    <t>Public
Public
Public</t>
  </si>
  <si>
    <t>Playground
Common Outdoor Space</t>
  </si>
  <si>
    <t>Balcony
Private Terrace
Common Roof Deck
Common Outdoor Space
Private Outdoor Space</t>
  </si>
  <si>
    <t>Patio
Deck
Common Roof Deck
Barbecue Area
Common Garden</t>
  </si>
  <si>
    <t>Private Terrace
Private Wrap Around Terrace
Common Outdoor Space</t>
  </si>
  <si>
    <t>Private Wrap Around Terrace
Common Outdoor Space</t>
  </si>
  <si>
    <t>Private Wrap Around Terrace
Common Outdoor Space
Private Outdoor Space</t>
  </si>
  <si>
    <t>Balcony
Common Outdoor Space
Private Outdoor Space</t>
  </si>
  <si>
    <t>Doorman, Full-Time Doorman, Part-Time Doorman</t>
  </si>
  <si>
    <t>Condo/Co-Operative</t>
  </si>
  <si>
    <t>Co-op/Condo</t>
  </si>
  <si>
    <t>Private Outdoor Space</t>
  </si>
  <si>
    <t>Balcony
Juliet Balcony
Common Outdoor Space</t>
  </si>
  <si>
    <t>Juliet Balcony
Common Outdoor Space</t>
  </si>
  <si>
    <t>Private Terrace
Private Wrap Around Terrace
Common Outdoor Space
Private Outdoor Space</t>
  </si>
  <si>
    <t>Juliet Balcony
Patio
Common Garden
Common Outdoor Space</t>
  </si>
  <si>
    <t>Balcony
Juliet Balcony
Patio
Common Garden
Common Outdoor Space</t>
  </si>
  <si>
    <t>Balcony
Juliet Balcony
Common Outdoor Space
Private Outdoor Space</t>
  </si>
  <si>
    <t>Balcony
Juliet Balcony
Private Terrace
Common Outdoor Space
Private Outdoor Space</t>
  </si>
  <si>
    <t>Juliet Balcony
Private Terrace
Common Outdoor Space
Private Outdoor Space</t>
  </si>
  <si>
    <t>Condominium</t>
  </si>
  <si>
    <t>Full-Time Doorman, Full-Service Building</t>
  </si>
  <si>
    <t>Private Terrace
Common Roof Deck
Barbecue Area
Playground
Common Garden</t>
  </si>
  <si>
    <t>Flatiron</t>
  </si>
  <si>
    <t>Condo/Other</t>
  </si>
  <si>
    <t>Contract Listings</t>
  </si>
  <si>
    <t>Contract Signed</t>
  </si>
  <si>
    <t>Patio
Common Roof Deck
Common Outdoor Space</t>
  </si>
  <si>
    <t>Common Roof Deck
Barbecue Area
Common Garden
Common Outdoor Space
Private Outdoor Space</t>
  </si>
  <si>
    <t>Balcony
Roof Deck
Common Roof Deck
Common Outdoor Space
Private Outdoor Space</t>
  </si>
  <si>
    <t>Deck
Roof Deck
Common Roof Deck
Common Garden
Common Outdoor Space
Private Outdoor Space</t>
  </si>
  <si>
    <t>Juliet Balcony
Deck
Roof Deck
Common Roof Deck
Common Outdoor Space</t>
  </si>
  <si>
    <t>Common Roof Deck
Barbecue Area
Playground
Common Garden</t>
  </si>
  <si>
    <t>Balcony
Common Roof Deck
Common Outdoor Space
Private Outdoor Space</t>
  </si>
  <si>
    <t>Barbecue Area</t>
  </si>
  <si>
    <t>Doorman, Part-Time Doorman</t>
  </si>
  <si>
    <t>Balcony
Private Terrace
Patio
Common Roof Deck
Common Outdoor Space</t>
  </si>
  <si>
    <t>Sold Listings</t>
  </si>
  <si>
    <t>Co-op/Condop</t>
  </si>
  <si>
    <t>Sold</t>
  </si>
  <si>
    <t>&lt;a href="http://a836-acris.nyc.gov/DS/DocumentSearch/DocumentDetail?doc_id=2021031001085001" target="_blank"&gt;Verified by Public Record&lt;/a&gt;</t>
  </si>
  <si>
    <t>Concierge</t>
  </si>
  <si>
    <t>Verified by Compass</t>
  </si>
  <si>
    <t>&lt;a href="http://a836-acris.nyc.gov/DS/DocumentSearch/DocumentDetail?doc_id=2021060700352005" target="_blank"&gt;Verified by Public Record&lt;/a&gt;</t>
  </si>
  <si>
    <t>&lt;a href="http://a836-acris.nyc.gov/DS/DocumentSearch/DocumentDetail?doc_id=2019060400046001" target="_blank"&gt;Verified by Public Record&lt;/a&gt;</t>
  </si>
  <si>
    <t>&lt;a href="http://a836-acris.nyc.gov/DS/DocumentSearch/DocumentDetail?doc_id=2021061500252001" target="_blank"&gt;Verified by Public Record&lt;/a&gt;</t>
  </si>
  <si>
    <t>&lt;a href="http://a836-acris.nyc.gov/DS/DocumentSearch/DocumentDetail?doc_id=2017021300193001" target="_blank"&gt;Verified by Public Record&lt;/a&gt;</t>
  </si>
  <si>
    <t>&lt;a href="http://a836-acris.nyc.gov/DS/DocumentSearch/DocumentDetail?doc_id=2019091901055002" target="_blank"&gt;Verified by Public Record&lt;/a&gt;</t>
  </si>
  <si>
    <t>&lt;a href="http://a836-acris.nyc.gov/DS/DocumentSearch/DocumentDetail?doc_id=2020072100426003" target="_blank"&gt;Verified by Public Record&lt;/a&gt;</t>
  </si>
  <si>
    <t>&lt;a href="http://a836-acris.nyc.gov/DS/DocumentSearch/DocumentDetail?doc_id=2021061100179003" target="_blank"&gt;Verified by Public Record&lt;/a&gt;</t>
  </si>
  <si>
    <t>Unverified</t>
  </si>
  <si>
    <t>&lt;a href="http://a836-acris.nyc.gov/DS/DocumentSearch/DocumentDetail?doc_id=2019062500210001" target="_blank"&gt;Verified by Public Record&lt;/a&gt;</t>
  </si>
  <si>
    <t>&lt;a href="http://a836-acris.nyc.gov/DS/DocumentSearch/DocumentDetail?doc_id=2019092400955001" target="_blank"&gt;Verified by Public Record&lt;/a&gt;</t>
  </si>
  <si>
    <t>&lt;a href="http://a836-acris.nyc.gov/DS/DocumentSearch/DocumentDetail?doc_id=2018030500878005" target="_blank"&gt;Verified by Public Record&lt;/a&gt;</t>
  </si>
  <si>
    <t>&lt;a href="http://a836-acris.nyc.gov/DS/DocumentSearch/DocumentDetail?doc_id=2017050800932001" target="_blank"&gt;Verified by Public Record&lt;/a&gt;</t>
  </si>
  <si>
    <t>&lt;a href="http://a836-acris.nyc.gov/DS/DocumentSearch/DocumentDetail?doc_id=2021041400689003" target="_blank"&gt;Verified by Public Record&lt;/a&gt;</t>
  </si>
  <si>
    <t>&lt;a href="http://a836-acris.nyc.gov/DS/DocumentSearch/DocumentDetail?doc_id=2021072600304004" target="_blank"&gt;Verified by Public Record&lt;/a&gt;</t>
  </si>
  <si>
    <t>&lt;a href="http://a836-acris.nyc.gov/DS/DocumentSearch/DocumentDetail?doc_id=2019121800844001" target="_blank"&gt;Verified by Public Record&lt;/a&gt;</t>
  </si>
  <si>
    <t>Common Roof Deck
Common Garden
Common Outdoor Space</t>
  </si>
  <si>
    <t>&lt;a href="http://a836-acris.nyc.gov/DS/DocumentSearch/DocumentDetail?doc_id=2019121700016001" target="_blank"&gt;Verified by Public Record&lt;/a&gt;</t>
  </si>
  <si>
    <t>&lt;a href="http://a836-acris.nyc.gov/DS/DocumentSearch/DocumentDetail?doc_id=2020041500434001" target="_blank"&gt;Verified by Public Record&lt;/a&gt;</t>
  </si>
  <si>
    <t>&lt;a href="http://a836-acris.nyc.gov/DS/DocumentSearch/DocumentDetail?doc_id=2020011500030001" target="_blank"&gt;Verified by Public Record&lt;/a&gt;</t>
  </si>
  <si>
    <t>&lt;a href="http://a836-acris.nyc.gov/DS/DocumentSearch/DocumentDetail?doc_id=2019122300103001" target="_blank"&gt;Verified by Public Record&lt;/a&gt;</t>
  </si>
  <si>
    <t>&lt;a href="http://a836-acris.nyc.gov/DS/DocumentSearch/DocumentDetail?doc_id=2020041400110001" target="_blank"&gt;Verified by Public Record&lt;/a&gt;</t>
  </si>
  <si>
    <t>&lt;a href="http://a836-acris.nyc.gov/DS/DocumentSearch/DocumentDetail?doc_id=2020012401017001" target="_blank"&gt;Verified by Public Record&lt;/a&gt;</t>
  </si>
  <si>
    <t>&lt;a href="http://a836-acris.nyc.gov/DS/DocumentSearch/DocumentDetail?doc_id=2020070200293002" target="_blank"&gt;Verified by Public Record&lt;/a&gt;</t>
  </si>
  <si>
    <t>&lt;a href="http://a836-acris.nyc.gov/DS/DocumentSearch/DocumentDetail?doc_id=2019122601198001" target="_blank"&gt;Verified by Public Record&lt;/a&gt;</t>
  </si>
  <si>
    <t>&lt;a href="http://a836-acris.nyc.gov/DS/DocumentSearch/DocumentDetail?doc_id=2020011700761006" target="_blank"&gt;Verified by Public Record&lt;/a&gt;</t>
  </si>
  <si>
    <t>&lt;a href="http://a836-acris.nyc.gov/DS/DocumentSearch/DocumentDetail?doc_id=2020021200337002" target="_blank"&gt;Verified by Public Record&lt;/a&gt;</t>
  </si>
  <si>
    <t>Private Terrace
Common Garden
Common Outdoor Space</t>
  </si>
  <si>
    <t>&lt;a href="http://a836-acris.nyc.gov/DS/DocumentSearch/DocumentDetail?doc_id=2020010200235001" target="_blank"&gt;Verified by Public Record&lt;/a&gt;</t>
  </si>
  <si>
    <t>&lt;a href="http://a836-acris.nyc.gov/DS/DocumentSearch/DocumentDetail?doc_id=2020012400634001" target="_blank"&gt;Verified by Public Record&lt;/a&gt;</t>
  </si>
  <si>
    <t>&lt;a href="http://a836-acris.nyc.gov/DS/DocumentSearch/DocumentDetail?doc_id=2020012101311001" target="_blank"&gt;Verified by Public Record&lt;/a&gt;</t>
  </si>
  <si>
    <t>&lt;a href="http://a836-acris.nyc.gov/DS/DocumentSearch/DocumentDetail?doc_id=2019123001447001" target="_blank"&gt;Verified by Public Record&lt;/a&gt;</t>
  </si>
  <si>
    <t>&lt;a href="http://a836-acris.nyc.gov/DS/DocumentSearch/DocumentDetail?doc_id=2019120300043001" target="_blank"&gt;Verified by Public Record&lt;/a&gt;</t>
  </si>
  <si>
    <t>&lt;a href="http://a836-acris.nyc.gov/DS/DocumentSearch/DocumentDetail?doc_id=2019123000760002" target="_blank"&gt;Verified by Public Record&lt;/a&gt;</t>
  </si>
  <si>
    <t>&lt;a href="http://a836-acris.nyc.gov/DS/DocumentSearch/DocumentDetail?doc_id=2019120900698001" target="_blank"&gt;Verified by Public Record&lt;/a&gt;</t>
  </si>
  <si>
    <t>&lt;a href="http://a836-acris.nyc.gov/DS/DocumentSearch/DocumentDetail?doc_id=2019120201267001" target="_blank"&gt;Verified by Public Record&lt;/a&gt;</t>
  </si>
  <si>
    <t>&lt;a href="http://a836-acris.nyc.gov/DS/DocumentSearch/DocumentDetail?doc_id=2019120200921002" target="_blank"&gt;Verified by Public Record&lt;/a&gt;</t>
  </si>
  <si>
    <t>&lt;a href="http://a836-acris.nyc.gov/DS/DocumentSearch/DocumentDetail?doc_id=2020071900022001" target="_blank"&gt;Verified by Public Record&lt;/a&gt;</t>
  </si>
  <si>
    <t>&lt;a href="http://a836-acris.nyc.gov/DS/DocumentSearch/DocumentDetail?doc_id=2019122700560006" target="_blank"&gt;Verified by Public Record&lt;/a&gt;</t>
  </si>
  <si>
    <t>&lt;a href="http://a836-acris.nyc.gov/DS/DocumentSearch/DocumentDetail?doc_id=2020040300768001" target="_blank"&gt;Verified by Public Record&lt;/a&gt;</t>
  </si>
  <si>
    <t>Other</t>
  </si>
  <si>
    <t>&lt;a href="http://a836-acris.nyc.gov/DS/DocumentSearch/DocumentDetail?doc_id=2020010300266001" target="_blank"&gt;Verified by Public Record&lt;/a&gt;</t>
  </si>
  <si>
    <t>&lt;a href="http://a836-acris.nyc.gov/DS/DocumentSearch/DocumentDetail?doc_id=2019120401211001" target="_blank"&gt;Verified by Public Record&lt;/a&gt;</t>
  </si>
  <si>
    <t>&lt;a href="http://a836-acris.nyc.gov/DS/DocumentSearch/DocumentDetail?doc_id=2020041300174001" target="_blank"&gt;Verified by Public Record&lt;/a&gt;</t>
  </si>
  <si>
    <t>&lt;a href="http://a836-acris.nyc.gov/DS/DocumentSearch/DocumentDetail?doc_id=2020022000269006" target="_blank"&gt;Verified by Public Record&lt;/a&gt;</t>
  </si>
  <si>
    <t>&lt;a href="http://a836-acris.nyc.gov/DS/DocumentSearch/DocumentDetail?doc_id=2020011000857002" target="_blank"&gt;Verified by Public Record&lt;/a&gt;</t>
  </si>
  <si>
    <t>&lt;a href="http://a836-acris.nyc.gov/DS/DocumentSearch/DocumentDetail?doc_id=2020010900442001" target="_blank"&gt;Verified by Public Record&lt;/a&gt;</t>
  </si>
  <si>
    <t>&lt;a href="http://a836-acris.nyc.gov/DS/DocumentSearch/DocumentDetail?doc_id=2019120500691001" target="_blank"&gt;Verified by Public Record&lt;/a&gt;</t>
  </si>
  <si>
    <t>&lt;a href="http://a836-acris.nyc.gov/DS/DocumentSearch/DocumentDetail?doc_id=2020010200221001" target="_blank"&gt;Verified by Public Record&lt;/a&gt;</t>
  </si>
  <si>
    <t>&lt;a href="http://a836-acris.nyc.gov/DS/DocumentSearch/DocumentDetail?doc_id=2020010200478001" target="_blank"&gt;Verified by Public Record&lt;/a&gt;</t>
  </si>
  <si>
    <t>&lt;a href="http://a836-acris.nyc.gov/DS/DocumentSearch/DocumentDetail?doc_id=2020021801428001" target="_blank"&gt;Verified by Public Record&lt;/a&gt;</t>
  </si>
  <si>
    <t>&lt;a href="http://a836-acris.nyc.gov/DS/DocumentSearch/DocumentDetail?doc_id=2019121800847001" target="_blank"&gt;Verified by Public Record&lt;/a&gt;</t>
  </si>
  <si>
    <t>&lt;a href="http://a836-acris.nyc.gov/DS/DocumentSearch/DocumentDetail?doc_id=2020022100319001" target="_blank"&gt;Verified by Public Record&lt;/a&gt;</t>
  </si>
  <si>
    <t>&lt;a href="http://a836-acris.nyc.gov/DS/DocumentSearch/DocumentDetail?doc_id=2020032500168001" target="_blank"&gt;Verified by Public Record&lt;/a&gt;</t>
  </si>
  <si>
    <t>&lt;a href="http://a836-acris.nyc.gov/DS/DocumentSearch/DocumentDetail?doc_id=2020010201222001" target="_blank"&gt;Verified by Public Record&lt;/a&gt;</t>
  </si>
  <si>
    <t>&lt;a href="http://a836-acris.nyc.gov/DS/DocumentSearch/DocumentDetail?doc_id=2020021900157001" target="_blank"&gt;Verified by Public Record&lt;/a&gt;</t>
  </si>
  <si>
    <t>&lt;a href="http://a836-acris.nyc.gov/DS/DocumentSearch/DocumentDetail?doc_id=2021060401041001" target="_blank"&gt;Verified by Public Record&lt;/a&gt;</t>
  </si>
  <si>
    <t>&lt;a href="http://a836-acris.nyc.gov/DS/DocumentSearch/DocumentDetail?doc_id=2020073100505001" target="_blank"&gt;Verified by Public Record&lt;/a&gt;</t>
  </si>
  <si>
    <t>&lt;a href="http://a836-acris.nyc.gov/DS/DocumentSearch/DocumentDetail?doc_id=2021040500187001" target="_blank"&gt;Verified by Public Record&lt;/a&gt;</t>
  </si>
  <si>
    <t>&lt;a href="http://a836-acris.nyc.gov/DS/DocumentSearch/DocumentDetail?doc_id=2020081800942001" target="_blank"&gt;Verified by Public Record&lt;/a&gt;</t>
  </si>
  <si>
    <t>&lt;a href="http://a836-acris.nyc.gov/DS/DocumentSearch/DocumentDetail?doc_id=2020040300464008" target="_blank"&gt;Verified by Public Record&lt;/a&gt;</t>
  </si>
  <si>
    <t>&lt;a href="http://a836-acris.nyc.gov/DS/DocumentSearch/DocumentDetail?doc_id=2021052601196001" target="_blank"&gt;Verified by Public Record&lt;/a&gt;</t>
  </si>
  <si>
    <t>&lt;a href="http://a836-acris.nyc.gov/DS/DocumentSearch/DocumentDetail?doc_id=2019121701273002" target="_blank"&gt;Verified by Public Record&lt;/a&gt;</t>
  </si>
  <si>
    <t>&lt;a href="http://a836-acris.nyc.gov/DS/DocumentSearch/DocumentDetail?doc_id=2020040700266001" target="_blank"&gt;Verified by Public Record&lt;/a&gt;</t>
  </si>
  <si>
    <t>&lt;a href="http://a836-acris.nyc.gov/DS/DocumentSearch/DocumentDetail?doc_id=2020032300318001" target="_blank"&gt;Verified by Public Record&lt;/a&gt;</t>
  </si>
  <si>
    <t>&lt;a href="http://a836-acris.nyc.gov/DS/DocumentSearch/DocumentDetail?doc_id=2021021101288001" target="_blank"&gt;Verified by Public Record&lt;/a&gt;</t>
  </si>
  <si>
    <t>&lt;a href="http://a836-acris.nyc.gov/DS/DocumentSearch/DocumentDetail?doc_id=2021070700805001" target="_blank"&gt;Verified by Public Record&lt;/a&gt;</t>
  </si>
  <si>
    <t>&lt;a href="http://a836-acris.nyc.gov/DS/DocumentSearch/DocumentDetail?doc_id=2020111800279001" target="_blank"&gt;Verified by Public Record&lt;/a&gt;</t>
  </si>
  <si>
    <t>&lt;a href="http://a836-acris.nyc.gov/DS/DocumentSearch/DocumentDetail?doc_id=2017041800267001" target="_blank"&gt;Verified by Public Record&lt;/a&gt;</t>
  </si>
  <si>
    <t>Common Roof Deck</t>
  </si>
  <si>
    <t>&lt;a href="http://a836-acris.nyc.gov/DS/DocumentSearch/DocumentDetail?doc_id=2020022400135002" target="_blank"&gt;Verified by Public Record&lt;/a&gt;</t>
  </si>
  <si>
    <t>Balcony
Common Roof Deck</t>
  </si>
  <si>
    <t>&lt;a href="http://a836-acris.nyc.gov/DS/DocumentSearch/DocumentDetail?doc_id=2019082200892001" target="_blank"&gt;Verified by Public Record&lt;/a&gt;</t>
  </si>
  <si>
    <t>Patio
Common Roof Deck
Common Garden
Common Outdoor Space</t>
  </si>
  <si>
    <t>&lt;a href="http://a836-acris.nyc.gov/DS/DocumentSearch/DocumentDetail?doc_id=2021051801320001" target="_blank"&gt;Verified by Public Record&lt;/a&gt;</t>
  </si>
  <si>
    <t>Juliet Balcony
Common Roof Deck
Barbecue Area
Common Outdoor Space</t>
  </si>
  <si>
    <t>&lt;a href="http://a836-acris.nyc.gov/DS/DocumentSearch/DocumentDetail?doc_id=2021071300298001" target="_blank"&gt;Verified by Public Record&lt;/a&gt;</t>
  </si>
  <si>
    <t>&lt;a href="http://a836-acris.nyc.gov/DS/DocumentSearch/DocumentDetail?doc_id=2020011501603001" target="_blank"&gt;Verified by Public Record&lt;/a&gt;</t>
  </si>
  <si>
    <t>&lt;a href="http://a836-acris.nyc.gov/DS/DocumentSearch/DocumentDetail?doc_id=2020072300171001" target="_blank"&gt;Verified by Public Record&lt;/a&gt;</t>
  </si>
  <si>
    <t>&lt;a href="http://a836-acris.nyc.gov/DS/DocumentSearch/DocumentDetail?doc_id=2021050301497001" target="_blank"&gt;Verified by Public Record&lt;/a&gt;</t>
  </si>
  <si>
    <t>Doorman</t>
  </si>
  <si>
    <t>&lt;a href="http://a836-acris.nyc.gov/DS/DocumentSearch/DocumentDetail?doc_id=2020010200633001" target="_blank"&gt;Verified by Public Record&lt;/a&gt;</t>
  </si>
  <si>
    <t>&lt;a href="http://a836-acris.nyc.gov/DS/DocumentSearch/DocumentDetail?doc_id=2021080300956002" target="_blank"&gt;Verified by Public Record&lt;/a&gt;</t>
  </si>
  <si>
    <t>Common Garden
Common Outdoor Space
Private Outdoor Space</t>
  </si>
  <si>
    <t>&lt;a href="http://a836-acris.nyc.gov/DS/DocumentSearch/DocumentDetail?doc_id=2021071301325001" target="_blank"&gt;Verified by Public Record&lt;/a&gt;</t>
  </si>
  <si>
    <t>Private Terrace
Private Outdoor Space</t>
  </si>
  <si>
    <t>&lt;a href="http://a836-acris.nyc.gov/DS/DocumentSearch/DocumentDetail?doc_id=2017102400595001" target="_blank"&gt;Verified by Public Record&lt;/a&gt;</t>
  </si>
  <si>
    <t>&lt;a href="http://a836-acris.nyc.gov/DS/DocumentSearch/DocumentDetail?doc_id=2018040200824001" target="_blank"&gt;Verified by Public Record&lt;/a&gt;</t>
  </si>
  <si>
    <t>&lt;a href="http://a836-acris.nyc.gov/DS/DocumentSearch/DocumentDetail?doc_id=2018042601178001" target="_blank"&gt;Verified by Public Record&lt;/a&gt;</t>
  </si>
  <si>
    <t>&lt;a href="http://a836-acris.nyc.gov/DS/DocumentSearch/DocumentDetail?doc_id=2018122101013001" target="_blank"&gt;Verified by Public Record&lt;/a&gt;</t>
  </si>
  <si>
    <t>&lt;a href="http://a836-acris.nyc.gov/DS/DocumentSearch/DocumentDetail?doc_id=2017120400463001" target="_blank"&gt;Verified by Public Record&lt;/a&gt;</t>
  </si>
  <si>
    <t>&lt;a href="http://a836-acris.nyc.gov/DS/DocumentSearch/DocumentDetail?doc_id=2018051601006001" target="_blank"&gt;Verified by Public Record&lt;/a&gt;</t>
  </si>
  <si>
    <t>&lt;a href="http://a836-acris.nyc.gov/DS/DocumentSearch/DocumentDetail?doc_id=2017111501320001" target="_blank"&gt;Verified by Public Record&lt;/a&gt;</t>
  </si>
  <si>
    <t>&lt;a href="http://a836-acris.nyc.gov/DS/DocumentSearch/DocumentDetail?doc_id=2017110600557001" target="_blank"&gt;Verified by Public Record&lt;/a&gt;</t>
  </si>
  <si>
    <t>&lt;a href="http://a836-acris.nyc.gov/DS/DocumentSearch/DocumentDetail?doc_id=2017111600533001" target="_blank"&gt;Verified by Public Record&lt;/a&gt;</t>
  </si>
  <si>
    <t>&lt;a href="http://a836-acris.nyc.gov/DS/DocumentSearch/DocumentDetail?doc_id=2017122200211001" target="_blank"&gt;Verified by Public Record&lt;/a&gt;</t>
  </si>
  <si>
    <t>&lt;a href="http://a836-acris.nyc.gov/DS/DocumentSearch/DocumentDetail?doc_id=2018110100430001" target="_blank"&gt;Verified by Public Record&lt;/a&gt;</t>
  </si>
  <si>
    <t>&lt;a href="http://a836-acris.nyc.gov/DS/DocumentSearch/DocumentDetail?doc_id=2018080200409001" target="_blank"&gt;Verified by Public Record&lt;/a&gt;</t>
  </si>
  <si>
    <t>&lt;a href="http://a836-acris.nyc.gov/DS/DocumentSearch/DocumentDetail?doc_id=2018051800243001" target="_blank"&gt;Verified by Public Record&lt;/a&gt;</t>
  </si>
  <si>
    <t>&lt;a href="http://a836-acris.nyc.gov/DS/DocumentSearch/DocumentDetail?doc_id=2018032100335001" target="_blank"&gt;Verified by Public Record&lt;/a&gt;</t>
  </si>
  <si>
    <t>&lt;a href="http://a836-acris.nyc.gov/DS/DocumentSearch/DocumentDetail?doc_id=2018033000476001" target="_blank"&gt;Verified by Public Record&lt;/a&gt;</t>
  </si>
  <si>
    <t>&lt;a href="http://a836-acris.nyc.gov/DS/DocumentSearch/DocumentDetail?doc_id=2018031200672001" target="_blank"&gt;Verified by Public Record&lt;/a&gt;</t>
  </si>
  <si>
    <t>&lt;a href="http://a836-acris.nyc.gov/DS/DocumentSearch/DocumentDetail?doc_id=2018071300516002" target="_blank"&gt;Verified by Public Record&lt;/a&gt;</t>
  </si>
  <si>
    <t>&lt;a href="http://a836-acris.nyc.gov/DS/DocumentSearch/DocumentDetail?doc_id=2018072001133001" target="_blank"&gt;Verified by Public Record&lt;/a&gt;</t>
  </si>
  <si>
    <t>&lt;a href="http://a836-acris.nyc.gov/DS/DocumentSearch/DocumentDetail?doc_id=2018070100006001" target="_blank"&gt;Verified by Public Record&lt;/a&gt;</t>
  </si>
  <si>
    <t>Co-op/Condop/Condo</t>
  </si>
  <si>
    <t>&lt;a href="http://a836-acris.nyc.gov/DS/DocumentSearch/DocumentDetail?doc_id=2020050500482001" target="_blank"&gt;Verified by Public Record&lt;/a&gt;</t>
  </si>
  <si>
    <t>&lt;a href="http://a836-acris.nyc.gov/DS/DocumentSearch/DocumentDetail?doc_id=2018062901225001" target="_blank"&gt;Verified by Public Record&lt;/a&gt;</t>
  </si>
  <si>
    <t>Roof Deck
Common Roof Deck
Common Outdoor Space
Private Outdoor Space</t>
  </si>
  <si>
    <t>&lt;a href="http://a836-acris.nyc.gov/DS/DocumentSearch/DocumentDetail?doc_id=2018071100499002" target="_blank"&gt;Verified by Public Record&lt;/a&gt;</t>
  </si>
  <si>
    <t>&lt;a href="http://a836-acris.nyc.gov/DS/DocumentSearch/DocumentDetail?doc_id=2017101801091001" target="_blank"&gt;Verified by Public Record&lt;/a&gt;</t>
  </si>
  <si>
    <t>&lt;a href="http://a836-acris.nyc.gov/DS/DocumentSearch/DocumentDetail?doc_id=2017102500553001" target="_blank"&gt;Verified by Public Record&lt;/a&gt;</t>
  </si>
  <si>
    <t>&lt;a href="http://a836-acris.nyc.gov/DS/DocumentSearch/DocumentDetail?doc_id=2018080901103001" target="_blank"&gt;Verified by Public Record&lt;/a&gt;</t>
  </si>
  <si>
    <t>&lt;a href="http://a836-acris.nyc.gov/DS/DocumentSearch/DocumentDetail?doc_id=2020070800396001" target="_blank"&gt;Verified by Public Record&lt;/a&gt;</t>
  </si>
  <si>
    <t>&lt;a href="http://a836-acris.nyc.gov/DS/DocumentSearch/DocumentDetail?doc_id=2017121200349001" target="_blank"&gt;Verified by Public Record&lt;/a&gt;</t>
  </si>
  <si>
    <t>Private Wrap Around Terrace
Barbecue Area</t>
  </si>
  <si>
    <t>&lt;a href="http://a836-acris.nyc.gov/DS/DocumentSearch/DocumentDetail?doc_id=2018100100956001" target="_blank"&gt;Verified by Public Record&lt;/a&gt;</t>
  </si>
  <si>
    <t>Private Terrace
Barbecue Area
Common Outdoor Space
Private Outdoor Space</t>
  </si>
  <si>
    <t>&lt;a href="http://a836-acris.nyc.gov/DS/DocumentSearch/DocumentDetail?doc_id=2018091001095001" target="_blank"&gt;Verified by Public Record&lt;/a&gt;</t>
  </si>
  <si>
    <t>&lt;a href="http://a836-acris.nyc.gov/DS/DocumentSearch/DocumentDetail?doc_id=2021031600685001" target="_blank"&gt;Verified by Public Record&lt;/a&gt;</t>
  </si>
  <si>
    <t>&lt;a href="http://a836-acris.nyc.gov/DS/DocumentSearch/DocumentDetail?doc_id=2019120301227001" target="_blank"&gt;Verified by Public Record&lt;/a&gt;</t>
  </si>
  <si>
    <t>&lt;a href="http://a836-acris.nyc.gov/DS/DocumentSearch/DocumentDetail?doc_id=2019101400414001" target="_blank"&gt;Verified by Public Record&lt;/a&gt;</t>
  </si>
  <si>
    <t>&lt;a href="http://a836-acris.nyc.gov/DS/DocumentSearch/DocumentDetail?doc_id=2019081900682001" target="_blank"&gt;Verified by Public Record&lt;/a&gt;</t>
  </si>
  <si>
    <t>&lt;a href="http://a836-acris.nyc.gov/DS/DocumentSearch/DocumentDetail?doc_id=2020012100700001" target="_blank"&gt;Verified by Public Record&lt;/a&gt;</t>
  </si>
  <si>
    <t>&lt;a href="http://a836-acris.nyc.gov/DS/DocumentSearch/DocumentDetail?doc_id=2021051900237001" target="_blank"&gt;Verified by Public Record&lt;/a&gt;</t>
  </si>
  <si>
    <t>&lt;a href="http://a836-acris.nyc.gov/DS/DocumentSearch/DocumentDetail?doc_id=2017112101536002" target="_blank"&gt;Verified by Public Record&lt;/a&gt;</t>
  </si>
  <si>
    <t>&lt;a href="http://a836-acris.nyc.gov/DS/DocumentSearch/DocumentDetail?doc_id=2018091101018001" target="_blank"&gt;Verified by Public Record&lt;/a&gt;</t>
  </si>
  <si>
    <t>&lt;a href="http://a836-acris.nyc.gov/DS/DocumentSearch/DocumentDetail?doc_id=2020021100935002" target="_blank"&gt;Verified by Public Record&lt;/a&gt;</t>
  </si>
  <si>
    <t>&lt;a href="http://a836-acris.nyc.gov/DS/DocumentSearch/DocumentDetail?doc_id=2016120901198002" target="_blank"&gt;Verified by Public Record&lt;/a&gt;</t>
  </si>
  <si>
    <t>&lt;a href="http://a836-acris.nyc.gov/DS/DocumentSearch/DocumentDetail?doc_id=2016112300335007" target="_blank"&gt;Verified by Public Record&lt;/a&gt;</t>
  </si>
  <si>
    <t>Common Roof Deck
Common Outdoor Space
Private Outdoor Space</t>
  </si>
  <si>
    <t>&lt;a href="http://a836-acris.nyc.gov/DS/DocumentSearch/DocumentDetail?doc_id=2016120500299001" target="_blank"&gt;Verified by Public Record&lt;/a&gt;</t>
  </si>
  <si>
    <t>&lt;a href="http://a836-acris.nyc.gov/DS/DocumentSearch/DocumentDetail?doc_id=2019100801015001" target="_blank"&gt;Verified by Public Record&lt;/a&gt;</t>
  </si>
  <si>
    <t>&lt;a href="http://a836-acris.nyc.gov/DS/DocumentSearch/DocumentDetail?doc_id=2016120100848001" target="_blank"&gt;Verified by Public Record&lt;/a&gt;</t>
  </si>
  <si>
    <t>&lt;a href="http://a836-acris.nyc.gov/DS/DocumentSearch/DocumentDetail?doc_id=2017011600438002" target="_blank"&gt;Verified by Public Record&lt;/a&gt;</t>
  </si>
  <si>
    <t>&lt;a href="http://a836-acris.nyc.gov/DS/DocumentSearch/DocumentDetail?doc_id=2018062901017001" target="_blank"&gt;Verified by Public Record&lt;/a&gt;</t>
  </si>
  <si>
    <t>&lt;a href="http://a836-acris.nyc.gov/DS/DocumentSearch/DocumentDetail?doc_id=2018083000113001" target="_blank"&gt;Verified by Public Record&lt;/a&gt;</t>
  </si>
  <si>
    <t>&lt;a href="http://a836-acris.nyc.gov/DS/DocumentSearch/DocumentDetail?doc_id=2019110600286001" target="_blank"&gt;Verified by Public Record&lt;/a&gt;</t>
  </si>
  <si>
    <t>&lt;a href="http://a836-acris.nyc.gov/DS/DocumentSearch/DocumentDetail?doc_id=2016121901398001" target="_blank"&gt;Verified by Public Record&lt;/a&gt;</t>
  </si>
  <si>
    <t>&lt;a href="http://a836-acris.nyc.gov/DS/DocumentSearch/DocumentDetail?doc_id=2017011901294001" target="_blank"&gt;Verified by Public Record&lt;/a&gt;</t>
  </si>
  <si>
    <t>&lt;a href="http://a836-acris.nyc.gov/DS/DocumentSearch/DocumentDetail?doc_id=2016111800873001" target="_blank"&gt;Verified by Public Record&lt;/a&gt;</t>
  </si>
  <si>
    <t>&lt;a href="http://a836-acris.nyc.gov/DS/DocumentSearch/DocumentDetail?doc_id=2016112800888001" target="_blank"&gt;Verified by Public Record&lt;/a&gt;</t>
  </si>
  <si>
    <t>&lt;a href="http://a836-acris.nyc.gov/DS/DocumentSearch/DocumentDetail?doc_id=2017012400325001" target="_blank"&gt;Verified by Public Record&lt;/a&gt;</t>
  </si>
  <si>
    <t>&lt;a href="http://a836-acris.nyc.gov/DS/DocumentSearch/DocumentDetail?doc_id=2017012700429001" target="_blank"&gt;Verified by Public Record&lt;/a&gt;</t>
  </si>
  <si>
    <t>&lt;a href="http://a836-acris.nyc.gov/DS/DocumentSearch/DocumentDetail?doc_id=2018082201159001" target="_blank"&gt;Verified by Public Record&lt;/a&gt;</t>
  </si>
  <si>
    <t>&lt;a href="http://a836-acris.nyc.gov/DS/DocumentSearch/DocumentDetail?doc_id=2018083100498001" target="_blank"&gt;Verified by Public Record&lt;/a&gt;</t>
  </si>
  <si>
    <t>&lt;a href="http://a836-acris.nyc.gov/DS/DocumentSearch/DocumentDetail?doc_id=2018082200910001" target="_blank"&gt;Verified by Public Record&lt;/a&gt;</t>
  </si>
  <si>
    <t>&lt;a href="http://a836-acris.nyc.gov/DS/DocumentSearch/DocumentDetail?doc_id=2018092700381001" target="_blank"&gt;Verified by Public Record&lt;/a&gt;</t>
  </si>
  <si>
    <t>&lt;a href="http://a836-acris.nyc.gov/DS/DocumentSearch/DocumentDetail?doc_id=2017020101346001" target="_blank"&gt;Verified by Public Record&lt;/a&gt;</t>
  </si>
  <si>
    <t>&lt;a href="http://a836-acris.nyc.gov/DS/DocumentSearch/DocumentDetail?doc_id=2016113000348001" target="_blank"&gt;Verified by Public Record&lt;/a&gt;</t>
  </si>
  <si>
    <t>&lt;a href="http://a836-acris.nyc.gov/DS/DocumentSearch/DocumentDetail?doc_id=2016122202113001" target="_blank"&gt;Verified by Public Record&lt;/a&gt;</t>
  </si>
  <si>
    <t>&lt;a href="http://a836-acris.nyc.gov/DS/DocumentSearch/DocumentDetail?doc_id=2017013100689001" target="_blank"&gt;Verified by Public Record&lt;/a&gt;</t>
  </si>
  <si>
    <t>&lt;a href="http://a836-acris.nyc.gov/DS/DocumentSearch/DocumentDetail?doc_id=2017012700888001" target="_blank"&gt;Verified by Public Record&lt;/a&gt;</t>
  </si>
  <si>
    <t>&lt;a href="http://a836-acris.nyc.gov/DS/DocumentSearch/DocumentDetail?doc_id=2016092300343001" target="_blank"&gt;Verified by Public Record&lt;/a&gt;</t>
  </si>
  <si>
    <t>&lt;a href="http://a836-acris.nyc.gov/DS/DocumentSearch/DocumentDetail?doc_id=2016102400885001" target="_blank"&gt;Verified by Public Record&lt;/a&gt;</t>
  </si>
  <si>
    <t>&lt;a href="http://a836-acris.nyc.gov/DS/DocumentSearch/DocumentDetail?doc_id=2016092001472001" target="_blank"&gt;Verified by Public Record&lt;/a&gt;</t>
  </si>
  <si>
    <t>&lt;a href="http://a836-acris.nyc.gov/DS/DocumentSearch/DocumentDetail?doc_id=2016100300996001" target="_blank"&gt;Verified by Public Record&lt;/a&gt;</t>
  </si>
  <si>
    <t>&lt;a href="http://a836-acris.nyc.gov/DS/DocumentSearch/DocumentDetail?doc_id=2017110600306001" target="_blank"&gt;Verified by Public Record&lt;/a&gt;</t>
  </si>
  <si>
    <t>&lt;a href="http://a836-acris.nyc.gov/DS/DocumentSearch/DocumentDetail?doc_id=2016122900370001" target="_blank"&gt;Verified by Public Record&lt;/a&gt;</t>
  </si>
  <si>
    <t>&lt;a href="http://a836-acris.nyc.gov/DS/DocumentSearch/DocumentDetail?doc_id=2016122701489001" target="_blank"&gt;Verified by Public Record&lt;/a&gt;</t>
  </si>
  <si>
    <t>&lt;a href="http://a836-acris.nyc.gov/DS/DocumentSearch/DocumentDetail?doc_id=2017022400079001" target="_blank"&gt;Verified by Public Record&lt;/a&gt;</t>
  </si>
  <si>
    <t>&lt;a href="http://a836-acris.nyc.gov/DS/DocumentSearch/DocumentDetail?doc_id=2018102200819001" target="_blank"&gt;Verified by Public Record&lt;/a&gt;</t>
  </si>
  <si>
    <t>&lt;a href="http://a836-acris.nyc.gov/DS/DocumentSearch/DocumentDetail?doc_id=2017062601236001" target="_blank"&gt;Verified by Public Record&lt;/a&gt;</t>
  </si>
  <si>
    <t>&lt;a href="http://a836-acris.nyc.gov/DS/DocumentSearch/DocumentDetail?doc_id=2017062200068002" target="_blank"&gt;Verified by Public Record&lt;/a&gt;</t>
  </si>
  <si>
    <t>&lt;a href="http://a836-acris.nyc.gov/DS/DocumentSearch/DocumentDetail?doc_id=2020081300937001" target="_blank"&gt;Verified by Public Record&lt;/a&gt;</t>
  </si>
  <si>
    <t>&lt;a href="http://a836-acris.nyc.gov/DS/DocumentSearch/DocumentDetail?doc_id=2017071400432001" target="_blank"&gt;Verified by Public Record&lt;/a&gt;</t>
  </si>
  <si>
    <t>&lt;a href="http://a836-acris.nyc.gov/DS/DocumentSearch/DocumentDetail?doc_id=2017112101574001" target="_blank"&gt;Verified by Public Record&lt;/a&gt;</t>
  </si>
  <si>
    <t>&lt;a href="http://a836-acris.nyc.gov/DS/DocumentSearch/DocumentDetail?doc_id=2017012700323001" target="_blank"&gt;Verified by Public Record&lt;/a&gt;</t>
  </si>
  <si>
    <t>&lt;a href="http://a836-acris.nyc.gov/DS/DocumentSearch/DocumentDetail?doc_id=2016121200672001" target="_blank"&gt;Verified by Public Record&lt;/a&gt;</t>
  </si>
  <si>
    <t>&lt;a href="http://a836-acris.nyc.gov/DS/DocumentSearch/DocumentDetail?doc_id=2017012300632001" target="_blank"&gt;Verified by Public Record&lt;/a&gt;</t>
  </si>
  <si>
    <t>&lt;a href="http://a836-acris.nyc.gov/DS/DocumentSearch/DocumentDetail?doc_id=2017013000360002" target="_blank"&gt;Verified by Public Record&lt;/a&gt;</t>
  </si>
  <si>
    <t>&lt;a href="http://a836-acris.nyc.gov/DS/DocumentSearch/DocumentDetail?doc_id=2017011800853001" target="_blank"&gt;Verified by Public Record&lt;/a&gt;</t>
  </si>
  <si>
    <t>&lt;a href="http://a836-acris.nyc.gov/DS/DocumentSearch/DocumentDetail?doc_id=2017011900623002" target="_blank"&gt;Verified by Public Record&lt;/a&gt;</t>
  </si>
  <si>
    <t>&lt;a href="http://a836-acris.nyc.gov/DS/DocumentSearch/DocumentDetail?doc_id=2020010801328001" target="_blank"&gt;Verified by Public Record&lt;/a&gt;</t>
  </si>
  <si>
    <t>&lt;a href="http://a836-acris.nyc.gov/DS/DocumentSearch/DocumentDetail?doc_id=2017042600973005" target="_blank"&gt;Verified by Public Record&lt;/a&gt;</t>
  </si>
  <si>
    <t>&lt;a href="http://a836-acris.nyc.gov/DS/DocumentSearch/DocumentDetail?doc_id=2020092200337003" target="_blank"&gt;Verified by Public Record&lt;/a&gt;</t>
  </si>
  <si>
    <t>&lt;a href="http://a836-acris.nyc.gov/DS/DocumentSearch/DocumentDetail?doc_id=2016081200145001" target="_blank"&gt;Verified by Public Record&lt;/a&gt;</t>
  </si>
  <si>
    <t>&lt;a href="http://a836-acris.nyc.gov/DS/DocumentSearch/DocumentDetail?doc_id=2016072600446001" target="_blank"&gt;Verified by Public Record&lt;/a&gt;</t>
  </si>
  <si>
    <t>&lt;a href="http://a836-acris.nyc.gov/DS/DocumentSearch/DocumentDetail?doc_id=2016081200773001" target="_blank"&gt;Verified by Public Record&lt;/a&gt;</t>
  </si>
  <si>
    <t>&lt;a href="http://a836-acris.nyc.gov/DS/DocumentSearch/DocumentDetail?doc_id=2016112300581002" target="_blank"&gt;Verified by Public Record&lt;/a&gt;</t>
  </si>
  <si>
    <t>&lt;a href="http://a836-acris.nyc.gov/DS/DocumentSearch/DocumentDetail?doc_id=2017031600182003" target="_blank"&gt;Verified by Public Record&lt;/a&gt;</t>
  </si>
  <si>
    <t>&lt;a href="http://a836-acris.nyc.gov/DS/DocumentSearch/DocumentDetail?doc_id=2017011701416001" target="_blank"&gt;Verified by Public Record&lt;/a&gt;</t>
  </si>
  <si>
    <t>&lt;a href="http://a836-acris.nyc.gov/DS/DocumentSearch/DocumentDetail?doc_id=2017031701105001" target="_blank"&gt;Verified by Public Record&lt;/a&gt;</t>
  </si>
  <si>
    <t>&lt;a href="http://a836-acris.nyc.gov/DS/DocumentSearch/DocumentDetail?doc_id=2017031600230001" target="_blank"&gt;Verified by Public Record&lt;/a&gt;</t>
  </si>
  <si>
    <t>&lt;a href="http://a836-acris.nyc.gov/DS/DocumentSearch/DocumentDetail?doc_id=2016101101193002" target="_blank"&gt;Verified by Public Record&lt;/a&gt;</t>
  </si>
  <si>
    <t>&lt;a href="http://a836-acris.nyc.gov/DS/DocumentSearch/DocumentDetail?doc_id=2016102100725003" target="_blank"&gt;Verified by Public Record&lt;/a&gt;</t>
  </si>
  <si>
    <t>&lt;a href="http://a836-acris.nyc.gov/DS/DocumentSearch/DocumentDetail?doc_id=2017011000480001" target="_blank"&gt;Verified by Public Record&lt;/a&gt;</t>
  </si>
  <si>
    <t>&lt;a href="http://a836-acris.nyc.gov/DS/DocumentSearch/DocumentDetail?doc_id=2017012300839005" target="_blank"&gt;Verified by Public Record&lt;/a&gt;</t>
  </si>
  <si>
    <t>&lt;a href="http://a836-acris.nyc.gov/DS/DocumentSearch/DocumentDetail?doc_id=2016091301400001" target="_blank"&gt;Verified by Public Record&lt;/a&gt;</t>
  </si>
  <si>
    <t>&lt;a href="http://a836-acris.nyc.gov/DS/DocumentSearch/DocumentDetail?doc_id=2017080101315002" target="_blank"&gt;Verified by Public Record&lt;/a&gt;</t>
  </si>
  <si>
    <t>&lt;a href="http://a836-acris.nyc.gov/DS/DocumentSearch/DocumentDetail?doc_id=2019071100958001" target="_blank"&gt;Verified by Public Record&lt;/a&gt;</t>
  </si>
  <si>
    <t>Private Wrap Around Terrace
Common Roof Deck
Common Outdoor Space</t>
  </si>
  <si>
    <t>&lt;a href="http://a836-acris.nyc.gov/DS/DocumentSearch/DocumentDetail?doc_id=2019041100404001" target="_blank"&gt;Verified by Public Record&lt;/a&gt;</t>
  </si>
  <si>
    <t>&lt;a href="http://a836-acris.nyc.gov/DS/DocumentSearch/DocumentDetail?doc_id=2019011800626001" target="_blank"&gt;Verified by Public Record&lt;/a&gt;</t>
  </si>
  <si>
    <t>&lt;a href="http://a836-acris.nyc.gov/DS/DocumentSearch/DocumentDetail?doc_id=2016101701013001" target="_blank"&gt;Verified by Public Record&lt;/a&gt;</t>
  </si>
  <si>
    <t>&lt;a href="http://a836-acris.nyc.gov/DS/DocumentSearch/DocumentDetail?doc_id=2016101201020001" target="_blank"&gt;Verified by Public Record&lt;/a&gt;</t>
  </si>
  <si>
    <t>&lt;a href="http://a836-acris.nyc.gov/DS/DocumentSearch/DocumentDetail?doc_id=2017011100172001" target="_blank"&gt;Verified by Public Record&lt;/a&gt;</t>
  </si>
  <si>
    <t>Greenwich Village</t>
  </si>
  <si>
    <t>&lt;a href="http://a836-acris.nyc.gov/DS/DocumentSearch/DocumentDetail?doc_id=2019071500863001" target="_blank"&gt;Verified by Public Record&lt;/a&gt;</t>
  </si>
  <si>
    <t>&lt;a href="http://a836-acris.nyc.gov/DS/DocumentSearch/DocumentDetail?doc_id=2019053100237001" target="_blank"&gt;Verified by Public Record&lt;/a&gt;</t>
  </si>
  <si>
    <t>&lt;a href="http://a836-acris.nyc.gov/DS/DocumentSearch/DocumentDetail?doc_id=2016110400501001" target="_blank"&gt;Verified by Public Record&lt;/a&gt;</t>
  </si>
  <si>
    <t>&lt;a href="http://a836-acris.nyc.gov/DS/DocumentSearch/DocumentDetail?doc_id=2018100200490001" target="_blank"&gt;Verified by Public Record&lt;/a&gt;</t>
  </si>
  <si>
    <t>&lt;a href="http://a836-acris.nyc.gov/DS/DocumentSearch/DocumentDetail?doc_id=2019061400239001" target="_blank"&gt;Verified by Public Record&lt;/a&gt;</t>
  </si>
  <si>
    <t>&lt;a href="http://a836-acris.nyc.gov/DS/DocumentSearch/DocumentDetail?doc_id=2016120600938002" target="_blank"&gt;Verified by Public Record&lt;/a&gt;</t>
  </si>
  <si>
    <t>&lt;a href="http://a836-acris.nyc.gov/DS/DocumentSearch/DocumentDetail?doc_id=2017030200223001" target="_blank"&gt;Verified by Public Record&lt;/a&gt;</t>
  </si>
  <si>
    <t>&lt;a href="http://a836-acris.nyc.gov/DS/DocumentSearch/DocumentDetail?doc_id=2017032700829003" target="_blank"&gt;Verified by Public Record&lt;/a&gt;</t>
  </si>
  <si>
    <t>&lt;a href="http://a836-acris.nyc.gov/DS/DocumentSearch/DocumentDetail?doc_id=2017040900059001" target="_blank"&gt;Verified by Public Record&lt;/a&gt;</t>
  </si>
  <si>
    <t>&lt;a href="http://a836-acris.nyc.gov/DS/DocumentSearch/DocumentDetail?doc_id=2017021701020002" target="_blank"&gt;Verified by Public Record&lt;/a&gt;</t>
  </si>
  <si>
    <t>&lt;a href="http://a836-acris.nyc.gov/DS/DocumentSearch/DocumentDetail?doc_id=2017051500440001" target="_blank"&gt;Verified by Public Record&lt;/a&gt;</t>
  </si>
  <si>
    <t>&lt;a href="http://a836-acris.nyc.gov/DS/DocumentSearch/DocumentDetail?doc_id=2016110201491001" target="_blank"&gt;Verified by Public Record&lt;/a&gt;</t>
  </si>
  <si>
    <t>&lt;a href="http://a836-acris.nyc.gov/DS/DocumentSearch/DocumentDetail?doc_id=2016120600620001" target="_blank"&gt;Verified by Public Record&lt;/a&gt;</t>
  </si>
  <si>
    <t>&lt;a href="http://a836-acris.nyc.gov/DS/DocumentSearch/DocumentDetail?doc_id=2017050800091001" target="_blank"&gt;Verified by Public Record&lt;/a&gt;</t>
  </si>
  <si>
    <t>&lt;a href="http://a836-acris.nyc.gov/DS/DocumentSearch/DocumentDetail?doc_id=2020091500893001" target="_blank"&gt;Verified by Public Record&lt;/a&gt;</t>
  </si>
  <si>
    <t>&lt;a href="http://a836-acris.nyc.gov/DS/DocumentSearch/DocumentDetail?doc_id=2016122300478001" target="_blank"&gt;Verified by Public Record&lt;/a&gt;</t>
  </si>
  <si>
    <t>&lt;a href="http://a836-acris.nyc.gov/DS/DocumentSearch/DocumentDetail?doc_id=2017013101113001" target="_blank"&gt;Verified by Public Record&lt;/a&gt;</t>
  </si>
  <si>
    <t>&lt;a href="http://a836-acris.nyc.gov/DS/DocumentSearch/DocumentDetail?doc_id=2017012500446001" target="_blank"&gt;Verified by Public Record&lt;/a&gt;</t>
  </si>
  <si>
    <t>&lt;a href="http://a836-acris.nyc.gov/DS/DocumentSearch/DocumentDetail?doc_id=2016121201086001" target="_blank"&gt;Verified by Public Record&lt;/a&gt;</t>
  </si>
  <si>
    <t>&lt;a href="http://a836-acris.nyc.gov/DS/DocumentSearch/DocumentDetail?doc_id=2017030800977001" target="_blank"&gt;Verified by Public Record&lt;/a&gt;</t>
  </si>
  <si>
    <t>&lt;a href="http://a836-acris.nyc.gov/DS/DocumentSearch/DocumentDetail?doc_id=2016112200794007" target="_blank"&gt;Verified by Public Record&lt;/a&gt;</t>
  </si>
  <si>
    <t>&lt;a href="http://a836-acris.nyc.gov/DS/DocumentSearch/DocumentDetail?doc_id=2018122801071003" target="_blank"&gt;Verified by Public Record&lt;/a&gt;</t>
  </si>
  <si>
    <t>&lt;a href="http://a836-acris.nyc.gov/DS/DocumentSearch/DocumentDetail?doc_id=2017042601128001" target="_blank"&gt;Verified by Public Record&lt;/a&gt;</t>
  </si>
  <si>
    <t>&lt;a href="http://a836-acris.nyc.gov/DS/DocumentSearch/DocumentDetail?doc_id=2017113000544001" target="_blank"&gt;Verified by Public Record&lt;/a&gt;</t>
  </si>
  <si>
    <t>&lt;a href="http://a836-acris.nyc.gov/DS/DocumentSearch/DocumentDetail?doc_id=2019070801265001" target="_blank"&gt;Verified by Public Record&lt;/a&gt;</t>
  </si>
  <si>
    <t>&lt;a href="http://a836-acris.nyc.gov/DS/DocumentSearch/DocumentDetail?doc_id=2017072001424001" target="_blank"&gt;Verified by Public Record&lt;/a&gt;</t>
  </si>
  <si>
    <t>&lt;a href="http://a836-acris.nyc.gov/DS/DocumentSearch/DocumentDetail?doc_id=2018021300972002" target="_blank"&gt;Verified by Public Record&lt;/a&gt;</t>
  </si>
  <si>
    <t>&lt;a href="http://a836-acris.nyc.gov/DS/DocumentSearch/DocumentDetail?doc_id=2017090800488001" target="_blank"&gt;Verified by Public Record&lt;/a&gt;</t>
  </si>
  <si>
    <t>&lt;a href="http://a836-acris.nyc.gov/DS/DocumentSearch/DocumentDetail?doc_id=2017053000631001" target="_blank"&gt;Verified by Public Record&lt;/a&gt;</t>
  </si>
  <si>
    <t>&lt;a href="http://a836-acris.nyc.gov/DS/DocumentSearch/DocumentDetail?doc_id=2017030101109001" target="_blank"&gt;Verified by Public Record&lt;/a&gt;</t>
  </si>
  <si>
    <t>&lt;a href="http://a836-acris.nyc.gov/DS/DocumentSearch/DocumentDetail?doc_id=2019020600114001" target="_blank"&gt;Verified by Public Record&lt;/a&gt;</t>
  </si>
  <si>
    <t>&lt;a href="http://a836-acris.nyc.gov/DS/DocumentSearch/DocumentDetail?doc_id=2019010700691001" target="_blank"&gt;Verified by Public Record&lt;/a&gt;</t>
  </si>
  <si>
    <t>&lt;a href="http://a836-acris.nyc.gov/DS/DocumentSearch/DocumentDetail?doc_id=2017040200030001" target="_blank"&gt;Verified by Public Record&lt;/a&gt;</t>
  </si>
  <si>
    <t>&lt;a href="http://a836-acris.nyc.gov/DS/DocumentSearch/DocumentDetail?doc_id=2016100400538001" target="_blank"&gt;Verified by Public Record&lt;/a&gt;</t>
  </si>
  <si>
    <t>&lt;a href="http://a836-acris.nyc.gov/DS/DocumentSearch/DocumentDetail?doc_id=2016092800499001" target="_blank"&gt;Verified by Public Record&lt;/a&gt;</t>
  </si>
  <si>
    <t>&lt;a href="http://a836-acris.nyc.gov/DS/DocumentSearch/DocumentDetail?doc_id=2017011901101001" target="_blank"&gt;Verified by Public Record&lt;/a&gt;</t>
  </si>
  <si>
    <t>&lt;a href="http://a836-acris.nyc.gov/DS/DocumentSearch/DocumentDetail?doc_id=2016090100734001" target="_blank"&gt;Verified by Public Record&lt;/a&gt;</t>
  </si>
  <si>
    <t>&lt;a href="http://a836-acris.nyc.gov/DS/DocumentSearch/DocumentDetail?doc_id=2016072700839001" target="_blank"&gt;Verified by Public Record&lt;/a&gt;</t>
  </si>
  <si>
    <t>&lt;a href="http://a836-acris.nyc.gov/DS/DocumentSearch/DocumentDetail?doc_id=2016080400774001" target="_blank"&gt;Verified by Public Record&lt;/a&gt;</t>
  </si>
  <si>
    <t>&lt;a href="http://a836-acris.nyc.gov/DS/DocumentSearch/DocumentDetail?doc_id=2016120100810001" target="_blank"&gt;Verified by Public Record&lt;/a&gt;</t>
  </si>
  <si>
    <t>&lt;a href="http://a836-acris.nyc.gov/DS/DocumentSearch/DocumentDetail?doc_id=2016121501333001" target="_blank"&gt;Verified by Public Record&lt;/a&gt;</t>
  </si>
  <si>
    <t>&lt;a href="http://a836-acris.nyc.gov/DS/DocumentSearch/DocumentDetail?doc_id=2017071200188002" target="_blank"&gt;Verified by Public Record&lt;/a&gt;</t>
  </si>
  <si>
    <t>&lt;a href="http://a836-acris.nyc.gov/DS/DocumentSearch/DocumentDetail?doc_id=2017053100592001" target="_blank"&gt;Verified by Public Record&lt;/a&gt;</t>
  </si>
  <si>
    <t>&lt;a href="http://a836-acris.nyc.gov/DS/DocumentSearch/DocumentDetail?doc_id=2017062300672001" target="_blank"&gt;Verified by Public Record&lt;/a&gt;</t>
  </si>
  <si>
    <t>&lt;a href="http://a836-acris.nyc.gov/DS/DocumentSearch/DocumentDetail?doc_id=2017041200616003" target="_blank"&gt;Verified by Public Record&lt;/a&gt;</t>
  </si>
  <si>
    <t>&lt;a href="http://a836-acris.nyc.gov/DS/DocumentSearch/DocumentDetail?doc_id=2016091200670001" target="_blank"&gt;Verified by Public Record&lt;/a&gt;</t>
  </si>
  <si>
    <t>&lt;a href="http://a836-acris.nyc.gov/DS/DocumentSearch/DocumentDetail?doc_id=2017010901442001" target="_blank"&gt;Verified by Public Record&lt;/a&gt;</t>
  </si>
  <si>
    <t>&lt;a href="http://a836-acris.nyc.gov/DS/DocumentSearch/DocumentDetail?doc_id=2017020100086002" target="_blank"&gt;Verified by Public Record&lt;/a&gt;</t>
  </si>
  <si>
    <t>&lt;a href="http://a836-acris.nyc.gov/DS/DocumentSearch/DocumentDetail?doc_id=2017032000124002" target="_blank"&gt;Verified by Public Record&lt;/a&gt;</t>
  </si>
  <si>
    <t>&lt;a href="http://a836-acris.nyc.gov/DS/DocumentSearch/DocumentDetail?doc_id=2017032800251001" target="_blank"&gt;Verified by Public Record&lt;/a&gt;</t>
  </si>
  <si>
    <t>&lt;a href="http://a836-acris.nyc.gov/DS/DocumentSearch/DocumentDetail?doc_id=2017042400111003" target="_blank"&gt;Verified by Public Record&lt;/a&gt;</t>
  </si>
  <si>
    <t>&lt;a href="http://a836-acris.nyc.gov/DS/DocumentSearch/DocumentDetail?doc_id=2017052600170001" target="_blank"&gt;Verified by Public Record&lt;/a&gt;</t>
  </si>
  <si>
    <t>&lt;a href="http://a836-acris.nyc.gov/DS/DocumentSearch/DocumentDetail?doc_id=2018041100876001" target="_blank"&gt;Verified by Public Record&lt;/a&gt;</t>
  </si>
  <si>
    <t>&lt;a href="http://a836-acris.nyc.gov/DS/DocumentSearch/DocumentDetail?doc_id=2017032901377001" target="_blank"&gt;Verified by Public Record&lt;/a&gt;</t>
  </si>
  <si>
    <t>&lt;a href="http://a836-acris.nyc.gov/DS/DocumentSearch/DocumentDetail?doc_id=2021060300357001" target="_blank"&gt;Verified by Public Record&lt;/a&gt;</t>
  </si>
  <si>
    <t>&lt;a href="http://a836-acris.nyc.gov/DS/DocumentSearch/DocumentDetail?doc_id=2019062601195001" target="_blank"&gt;Verified by Public Record&lt;/a&gt;</t>
  </si>
  <si>
    <t>&lt;a href="http://a836-acris.nyc.gov/DS/DocumentSearch/DocumentDetail?doc_id=2016110900178001" target="_blank"&gt;Verified by Public Record&lt;/a&gt;</t>
  </si>
  <si>
    <t>&lt;a href="http://a836-acris.nyc.gov/DS/DocumentSearch/DocumentDetail?doc_id=2021070200124002" target="_blank"&gt;Verified by Public Record&lt;/a&gt;</t>
  </si>
  <si>
    <t>&lt;a href="http://a836-acris.nyc.gov/DS/DocumentSearch/DocumentDetail?doc_id=2017060800602001" target="_blank"&gt;Verified by Public Record&lt;/a&gt;</t>
  </si>
  <si>
    <t>&lt;a href="http://a836-acris.nyc.gov/DS/DocumentSearch/DocumentDetail?doc_id=2016081600658005" target="_blank"&gt;Verified by Public Record&lt;/a&gt;</t>
  </si>
  <si>
    <t>&lt;a href="http://a836-acris.nyc.gov/DS/DocumentSearch/DocumentDetail?doc_id=2020123000358001" target="_blank"&gt;Verified by Public Record&lt;/a&gt;</t>
  </si>
  <si>
    <t>Private Terrace
Private Wrap Around Terrace
Common Roof Deck
Common Outdoor Space
Private Outdoor Space</t>
  </si>
  <si>
    <t>&lt;a href="http://a836-acris.nyc.gov/DS/DocumentSearch/DocumentDetail?doc_id=2020022800973001" target="_blank"&gt;Verified by Public Record&lt;/a&gt;</t>
  </si>
  <si>
    <t>&lt;a href="http://a836-acris.nyc.gov/DS/DocumentSearch/DocumentDetail?doc_id=2019071700327003" target="_blank"&gt;Verified by Public Record&lt;/a&gt;</t>
  </si>
  <si>
    <t>&lt;a href="http://a836-acris.nyc.gov/DS/DocumentSearch/DocumentDetail?doc_id=2020060200663010" target="_blank"&gt;Verified by Public Record&lt;/a&gt;</t>
  </si>
  <si>
    <t>&lt;a href="http://a836-acris.nyc.gov/DS/DocumentSearch/DocumentDetail?doc_id=2019092000008008" target="_blank"&gt;Verified by Public Record&lt;/a&gt;</t>
  </si>
  <si>
    <t>&lt;a href="http://a836-acris.nyc.gov/DS/DocumentSearch/DocumentDetail?doc_id=2020042200171002" target="_blank"&gt;Verified by Public Record&lt;/a&gt;</t>
  </si>
  <si>
    <t>Condop/Condo</t>
  </si>
  <si>
    <t>&lt;a href="http://a836-acris.nyc.gov/DS/DocumentSearch/DocumentDetail?doc_id=2016122800894001" target="_blank"&gt;Verified by Public Record&lt;/a&gt;</t>
  </si>
  <si>
    <t>&lt;a href="http://a836-acris.nyc.gov/DS/DocumentSearch/DocumentDetail?doc_id=2017041200078001" target="_blank"&gt;Verified by Public Record&lt;/a&gt;</t>
  </si>
  <si>
    <t>&lt;a href="http://a836-acris.nyc.gov/DS/DocumentSearch/DocumentDetail?doc_id=2016120901006003" target="_blank"&gt;Verified by Public Record&lt;/a&gt;</t>
  </si>
  <si>
    <t>&lt;a href="http://a836-acris.nyc.gov/DS/DocumentSearch/DocumentDetail?doc_id=2017032400901001" target="_blank"&gt;Verified by Public Record&lt;/a&gt;</t>
  </si>
  <si>
    <t>&lt;a href="http://a836-acris.nyc.gov/DS/DocumentSearch/DocumentDetail?doc_id=2016121301534001" target="_blank"&gt;Verified by Public Record&lt;/a&gt;</t>
  </si>
  <si>
    <t>&lt;a href="http://a836-acris.nyc.gov/DS/DocumentSearch/DocumentDetail?doc_id=2016082500631001" target="_blank"&gt;Verified by Public Record&lt;/a&gt;</t>
  </si>
  <si>
    <t>&lt;a href="http://a836-acris.nyc.gov/DS/DocumentSearch/DocumentDetail?doc_id=2016081001003004" target="_blank"&gt;Verified by Public Record&lt;/a&gt;</t>
  </si>
  <si>
    <t>&lt;a href="http://a836-acris.nyc.gov/DS/DocumentSearch/DocumentDetail?doc_id=2016082400158001" target="_blank"&gt;Verified by Public Record&lt;/a&gt;</t>
  </si>
  <si>
    <t>&lt;a href="http://a836-acris.nyc.gov/DS/DocumentSearch/DocumentDetail?doc_id=2016122100134001" target="_blank"&gt;Verified by Public Record&lt;/a&gt;</t>
  </si>
  <si>
    <t>&lt;a href="http://a836-acris.nyc.gov/DS/DocumentSearch/DocumentDetail?doc_id=2017011300491007" target="_blank"&gt;Verified by Public Record&lt;/a&gt;</t>
  </si>
  <si>
    <t>&lt;a href="http://a836-acris.nyc.gov/DS/DocumentSearch/DocumentDetail?doc_id=2016091900705002" target="_blank"&gt;Verified by Public Record&lt;/a&gt;</t>
  </si>
  <si>
    <t>&lt;a href="http://a836-acris.nyc.gov/DS/DocumentSearch/DocumentDetail?doc_id=2017043000085001" target="_blank"&gt;Verified by Public Record&lt;/a&gt;</t>
  </si>
  <si>
    <t>&lt;a href="http://a836-acris.nyc.gov/DS/DocumentSearch/DocumentDetail?doc_id=2016110300616001" target="_blank"&gt;Verified by Public Record&lt;/a&gt;</t>
  </si>
  <si>
    <t>&lt;a href="http://a836-acris.nyc.gov/DS/DocumentSearch/DocumentDetail?doc_id=2016110701219001" target="_blank"&gt;Verified by Public Record&lt;/a&gt;</t>
  </si>
  <si>
    <t>&lt;a href="http://a836-acris.nyc.gov/DS/DocumentSearch/DocumentDetail?doc_id=2016081901208001" target="_blank"&gt;Verified by Public Record&lt;/a&gt;</t>
  </si>
  <si>
    <t>&lt;a href="http://a836-acris.nyc.gov/DS/DocumentSearch/DocumentDetail?doc_id=2016090601059001" target="_blank"&gt;Verified by Public Record&lt;/a&gt;</t>
  </si>
  <si>
    <t>&lt;a href="http://a836-acris.nyc.gov/DS/DocumentSearch/DocumentDetail?doc_id=2016102400190003" target="_blank"&gt;Verified by Public Record&lt;/a&gt;</t>
  </si>
  <si>
    <t>&lt;a href="http://a836-acris.nyc.gov/DS/DocumentSearch/DocumentDetail?doc_id=2016082600164001" target="_blank"&gt;Verified by Public Record&lt;/a&gt;</t>
  </si>
  <si>
    <t>&lt;a href="http://a836-acris.nyc.gov/DS/DocumentSearch/DocumentDetail?doc_id=2017031300776002" target="_blank"&gt;Verified by Public Record&lt;/a&gt;</t>
  </si>
  <si>
    <t>&lt;a href="http://a836-acris.nyc.gov/DS/DocumentSearch/DocumentDetail?doc_id=2018110900868001" target="_blank"&gt;Verified by Public Record&lt;/a&gt;</t>
  </si>
  <si>
    <t>&lt;a href="http://a836-acris.nyc.gov/DS/DocumentSearch/DocumentDetail?doc_id=2017032100484001" target="_blank"&gt;Verified by Public Record&lt;/a&gt;</t>
  </si>
  <si>
    <t>&lt;a href="http://a836-acris.nyc.gov/DS/DocumentSearch/DocumentDetail?doc_id=2017041800838002" target="_blank"&gt;Verified by Public Record&lt;/a&gt;</t>
  </si>
  <si>
    <t>&lt;a href="http://a836-acris.nyc.gov/DS/DocumentSearch/DocumentDetail?doc_id=2016101800558001" target="_blank"&gt;Verified by Public Record&lt;/a&gt;</t>
  </si>
  <si>
    <t>&lt;a href="http://a836-acris.nyc.gov/DS/DocumentSearch/DocumentDetail?doc_id=2017041100966001" target="_blank"&gt;Verified by Public Record&lt;/a&gt;</t>
  </si>
  <si>
    <t>&lt;a href="http://a836-acris.nyc.gov/DS/DocumentSearch/DocumentDetail?doc_id=2017020600179002" target="_blank"&gt;Verified by Public Record&lt;/a&gt;</t>
  </si>
  <si>
    <t>&lt;a href="http://a836-acris.nyc.gov/DS/DocumentSearch/DocumentDetail?doc_id=2017021501119001" target="_blank"&gt;Verified by Public Record&lt;/a&gt;</t>
  </si>
  <si>
    <t>&lt;a href="http://a836-acris.nyc.gov/DS/DocumentSearch/DocumentDetail?doc_id=2017020701097001" target="_blank"&gt;Verified by Public Record&lt;/a&gt;</t>
  </si>
  <si>
    <t>&lt;a href="http://a836-acris.nyc.gov/DS/DocumentSearch/DocumentDetail?doc_id=2016112901229001" target="_blank"&gt;Verified by Public Record&lt;/a&gt;</t>
  </si>
  <si>
    <t>&lt;a href="http://a836-acris.nyc.gov/DS/DocumentSearch/DocumentDetail?doc_id=2021010900147001" target="_blank"&gt;Verified by Public Record&lt;/a&gt;</t>
  </si>
  <si>
    <t>&lt;a href="http://a836-acris.nyc.gov/DS/DocumentSearch/DocumentDetail?doc_id=2018050900812001" target="_blank"&gt;Verified by Public Record&lt;/a&gt;</t>
  </si>
  <si>
    <t>&lt;a href="http://a836-acris.nyc.gov/DS/DocumentSearch/DocumentDetail?doc_id=2016121300326001" target="_blank"&gt;Verified by Public Record&lt;/a&gt;</t>
  </si>
  <si>
    <t>&lt;a href="http://a836-acris.nyc.gov/DS/DocumentSearch/DocumentDetail?doc_id=2016012800112001" target="_blank"&gt;Verified by Public Record&lt;/a&gt;</t>
  </si>
  <si>
    <t>&lt;a href="http://a836-acris.nyc.gov/DS/DocumentSearch/DocumentDetail?doc_id=2017062600448001" target="_blank"&gt;Verified by Public Record&lt;/a&gt;</t>
  </si>
  <si>
    <t>&lt;a href="http://a836-acris.nyc.gov/DS/DocumentSearch/DocumentDetail?doc_id=2021020900389001" target="_blank"&gt;Verified by Public Record&lt;/a&gt;</t>
  </si>
  <si>
    <t>&lt;a href="http://a836-acris.nyc.gov/DS/DocumentSearch/DocumentDetail?doc_id=2016110101102001" target="_blank"&gt;Verified by Public Record&lt;/a&gt;</t>
  </si>
  <si>
    <t>&lt;a href="http://a836-acris.nyc.gov/DS/DocumentSearch/DocumentDetail?doc_id=2019060600927001" target="_blank"&gt;Verified by Public Record&lt;/a&gt;</t>
  </si>
  <si>
    <t>&lt;a href="http://a836-acris.nyc.gov/DS/DocumentSearch/DocumentDetail?doc_id=2021061701447003" target="_blank"&gt;Verified by Public Record&lt;/a&gt;</t>
  </si>
  <si>
    <t>&lt;a href="http://a836-acris.nyc.gov/DS/DocumentSearch/DocumentDetail?doc_id=2017050300282001" target="_blank"&gt;Verified by Public Record&lt;/a&gt;</t>
  </si>
  <si>
    <t>&lt;a href="http://a836-acris.nyc.gov/DS/DocumentSearch/DocumentDetail?doc_id=2017032101118003" target="_blank"&gt;Verified by Public Record&lt;/a&gt;</t>
  </si>
  <si>
    <t>&lt;a href="http://a836-acris.nyc.gov/DS/DocumentSearch/DocumentDetail?doc_id=2017042000390001" target="_blank"&gt;Verified by Public Record&lt;/a&gt;</t>
  </si>
  <si>
    <t>&lt;a href="http://a836-acris.nyc.gov/DS/DocumentSearch/DocumentDetail?doc_id=2017040301387001" target="_blank"&gt;Verified by Public Record&lt;/a&gt;</t>
  </si>
  <si>
    <t>&lt;a href="http://a836-acris.nyc.gov/DS/DocumentSearch/DocumentDetail?doc_id=2018100500257002" target="_blank"&gt;Verified by Public Record&lt;/a&gt;</t>
  </si>
  <si>
    <t>&lt;a href="http://a836-acris.nyc.gov/DS/DocumentSearch/DocumentDetail?doc_id=2019070300776001" target="_blank"&gt;Verified by Public Record&lt;/a&gt;</t>
  </si>
  <si>
    <t>&lt;a href="http://a836-acris.nyc.gov/DS/DocumentSearch/DocumentDetail?doc_id=2017071000214001" target="_blank"&gt;Verified by Public Record&lt;/a&gt;</t>
  </si>
  <si>
    <t>&lt;a href="http://a836-acris.nyc.gov/DS/DocumentSearch/DocumentDetail?doc_id=2017072700231001" target="_blank"&gt;Verified by Public Record&lt;/a&gt;</t>
  </si>
  <si>
    <t>&lt;a href="http://a836-acris.nyc.gov/DS/DocumentSearch/DocumentDetail?doc_id=2017051600538001" target="_blank"&gt;Verified by Public Record&lt;/a&gt;</t>
  </si>
  <si>
    <t>&lt;a href="http://a836-acris.nyc.gov/DS/DocumentSearch/DocumentDetail?doc_id=2021020300874002" target="_blank"&gt;Verified by Public Record&lt;/a&gt;</t>
  </si>
  <si>
    <t>&lt;a href="http://a836-acris.nyc.gov/DS/DocumentSearch/DocumentDetail?doc_id=2016092700778001" target="_blank"&gt;Verified by Public Record&lt;/a&gt;</t>
  </si>
  <si>
    <t>&lt;a href="http://a836-acris.nyc.gov/DS/DocumentSearch/DocumentDetail?doc_id=2017031301001001" target="_blank"&gt;Verified by Public Record&lt;/a&gt;</t>
  </si>
  <si>
    <t>&lt;a href="http://a836-acris.nyc.gov/DS/DocumentSearch/DocumentDetail?doc_id=2019041000934001" target="_blank"&gt;Verified by Public Record&lt;/a&gt;</t>
  </si>
  <si>
    <t>&lt;a href="http://a836-acris.nyc.gov/DS/DocumentSearch/DocumentDetail?doc_id=2017091501036001" target="_blank"&gt;Verified by Public Record&lt;/a&gt;</t>
  </si>
  <si>
    <t>&lt;a href="http://a836-acris.nyc.gov/DS/DocumentSearch/DocumentDetail?doc_id=2019032500925001" target="_blank"&gt;Verified by Public Record&lt;/a&gt;</t>
  </si>
  <si>
    <t>Balcony</t>
  </si>
  <si>
    <t>&lt;a href="http://a836-acris.nyc.gov/DS/DocumentSearch/DocumentDetail?doc_id=2017012401513001" target="_blank"&gt;Verified by Public Record&lt;/a&gt;</t>
  </si>
  <si>
    <t>&lt;a href="http://a836-acris.nyc.gov/DS/DocumentSearch/DocumentDetail?doc_id=2019032500163001" target="_blank"&gt;Verified by Public Record&lt;/a&gt;</t>
  </si>
  <si>
    <t>&lt;a href="http://a836-acris.nyc.gov/DS/DocumentSearch/DocumentDetail?doc_id=2019082800713001" target="_blank"&gt;Verified by Public Record&lt;/a&gt;</t>
  </si>
  <si>
    <t>&lt;a href="http://a836-acris.nyc.gov/DS/DocumentSearch/DocumentDetail?doc_id=2021071900844001" target="_blank"&gt;Verified by Public Record&lt;/a&gt;</t>
  </si>
  <si>
    <t>&lt;a href="http://a836-acris.nyc.gov/DS/DocumentSearch/DocumentDetail?doc_id=2016112901094002" target="_blank"&gt;Verified by Public Record&lt;/a&gt;</t>
  </si>
  <si>
    <t>&lt;a href="http://a836-acris.nyc.gov/DS/DocumentSearch/DocumentDetail?doc_id=2016101400294003" target="_blank"&gt;Verified by Public Record&lt;/a&gt;</t>
  </si>
  <si>
    <t>&lt;a href="http://a836-acris.nyc.gov/DS/DocumentSearch/DocumentDetail?doc_id=2017102401203001" target="_blank"&gt;Verified by Public Record&lt;/a&gt;</t>
  </si>
  <si>
    <t>&lt;a href="http://a836-acris.nyc.gov/DS/DocumentSearch/DocumentDetail?doc_id=2018032801392003" target="_blank"&gt;Verified by Public Record&lt;/a&gt;</t>
  </si>
  <si>
    <t>&lt;a href="http://a836-acris.nyc.gov/DS/DocumentSearch/DocumentDetail?doc_id=2019070200308002" target="_blank"&gt;Verified by Public Record&lt;/a&gt;</t>
  </si>
  <si>
    <t>&lt;a href="http://a836-acris.nyc.gov/DS/DocumentSearch/DocumentDetail?doc_id=2017033000962001" target="_blank"&gt;Verified by Public Record&lt;/a&gt;</t>
  </si>
  <si>
    <t>&lt;a href="http://a836-acris.nyc.gov/DS/DocumentSearch/DocumentDetail?doc_id=2017042600973002" target="_blank"&gt;Verified by Public Record&lt;/a&gt;</t>
  </si>
  <si>
    <t>&lt;a href="http://a836-acris.nyc.gov/DS/DocumentSearch/DocumentDetail?doc_id=2019031200244001" target="_blank"&gt;Verified by Public Record&lt;/a&gt;</t>
  </si>
  <si>
    <t>&lt;a href="http://a836-acris.nyc.gov/DS/DocumentSearch/DocumentDetail?doc_id=2019070500179002" target="_blank"&gt;Verified by Public Record&lt;/a&gt;</t>
  </si>
  <si>
    <t>&lt;a href="http://a836-acris.nyc.gov/DS/DocumentSearch/DocumentDetail?doc_id=2019070100338001" target="_blank"&gt;Verified by Public Record&lt;/a&gt;</t>
  </si>
  <si>
    <t>&lt;a href="http://a836-acris.nyc.gov/DS/DocumentSearch/DocumentDetail?doc_id=2018121700257002" target="_blank"&gt;Verified by Public Record&lt;/a&gt;</t>
  </si>
  <si>
    <t>&lt;a href="http://a836-acris.nyc.gov/DS/DocumentSearch/DocumentDetail?doc_id=2017011901553001" target="_blank"&gt;Verified by Public Record&lt;/a&gt;</t>
  </si>
  <si>
    <t>&lt;a href="http://a836-acris.nyc.gov/DS/DocumentSearch/DocumentDetail?doc_id=2016062200027001" target="_blank"&gt;Verified by Public Record&lt;/a&gt;</t>
  </si>
  <si>
    <t>&lt;a href="http://a836-acris.nyc.gov/DS/DocumentSearch/DocumentDetail?doc_id=2016052400201001" target="_blank"&gt;Verified by Public Record&lt;/a&gt;</t>
  </si>
  <si>
    <t>&lt;a href="http://a836-acris.nyc.gov/DS/DocumentSearch/DocumentDetail?doc_id=2016110200797001" target="_blank"&gt;Verified by Public Record&lt;/a&gt;</t>
  </si>
  <si>
    <t>&lt;a href="http://a836-acris.nyc.gov/DS/DocumentSearch/DocumentDetail?doc_id=2017032300942001" target="_blank"&gt;Verified by Public Record&lt;/a&gt;</t>
  </si>
  <si>
    <t>&lt;a href="http://a836-acris.nyc.gov/DS/DocumentSearch/DocumentDetail?doc_id=2018032100364001" target="_blank"&gt;Verified by Public Record&lt;/a&gt;</t>
  </si>
  <si>
    <t>&lt;a href="http://a836-acris.nyc.gov/DS/DocumentSearch/DocumentDetail?doc_id=2017012300593001" target="_blank"&gt;Verified by Public Record&lt;/a&gt;</t>
  </si>
  <si>
    <t>&lt;a href="http://a836-acris.nyc.gov/DS/DocumentSearch/DocumentDetail?doc_id=2018103100744001" target="_blank"&gt;Verified by Public Record&lt;/a&gt;</t>
  </si>
  <si>
    <t>&lt;a href="http://a836-acris.nyc.gov/DS/DocumentSearch/DocumentDetail?doc_id=2017022701753001" target="_blank"&gt;Verified by Public Record&lt;/a&gt;</t>
  </si>
  <si>
    <t>&lt;a href="http://a836-acris.nyc.gov/DS/DocumentSearch/DocumentDetail?doc_id=2016120200920001" target="_blank"&gt;Verified by Public Record&lt;/a&gt;</t>
  </si>
  <si>
    <t>&lt;a href="http://a836-acris.nyc.gov/DS/DocumentSearch/DocumentDetail?doc_id=2017012501697001" target="_blank"&gt;Verified by Public Record&lt;/a&gt;</t>
  </si>
  <si>
    <t>&lt;a href="http://a836-acris.nyc.gov/DS/DocumentSearch/DocumentDetail?doc_id=2017081800393002" target="_blank"&gt;Verified by Public Record&lt;/a&gt;</t>
  </si>
  <si>
    <t>&lt;a href="http://a836-acris.nyc.gov/DS/DocumentSearch/DocumentDetail?doc_id=2017020600568001" target="_blank"&gt;Verified by Public Record&lt;/a&gt;</t>
  </si>
  <si>
    <t>&lt;a href="http://a836-acris.nyc.gov/DS/DocumentSearch/DocumentDetail?doc_id=2017032901447001" target="_blank"&gt;Verified by Public Record&lt;/a&gt;</t>
  </si>
  <si>
    <t>&lt;a href="http://a836-acris.nyc.gov/DS/DocumentSearch/DocumentDetail?doc_id=2018120800007001" target="_blank"&gt;Verified by Public Record&lt;/a&gt;</t>
  </si>
  <si>
    <t>&lt;a href="http://a836-acris.nyc.gov/DS/DocumentSearch/DocumentDetail?doc_id=2018120500989001" target="_blank"&gt;Verified by Public Record&lt;/a&gt;</t>
  </si>
  <si>
    <t>&lt;a href="http://a836-acris.nyc.gov/DS/DocumentSearch/DocumentDetail?doc_id=2016112300323001" target="_blank"&gt;Verified by Public Record&lt;/a&gt;</t>
  </si>
  <si>
    <t>&lt;a href="http://a836-acris.nyc.gov/DS/DocumentSearch/DocumentDetail?doc_id=2016110400483002" target="_blank"&gt;Verified by Public Record&lt;/a&gt;</t>
  </si>
  <si>
    <t>&lt;a href="http://a836-acris.nyc.gov/DS/DocumentSearch/DocumentDetail?doc_id=2016111600525001" target="_blank"&gt;Verified by Public Record&lt;/a&gt;</t>
  </si>
  <si>
    <t>&lt;a href="http://a836-acris.nyc.gov/DS/DocumentSearch/DocumentDetail?doc_id=2017062900840001" target="_blank"&gt;Verified by Public Record&lt;/a&gt;</t>
  </si>
  <si>
    <t>&lt;a href="http://a836-acris.nyc.gov/DS/DocumentSearch/DocumentDetail?doc_id=2018041900622001" target="_blank"&gt;Verified by Public Record&lt;/a&gt;</t>
  </si>
  <si>
    <t>&lt;a href="http://a836-acris.nyc.gov/DS/DocumentSearch/DocumentDetail?doc_id=2016113000715001" target="_blank"&gt;Verified by Public Record&lt;/a&gt;</t>
  </si>
  <si>
    <t>&lt;a href="http://a836-acris.nyc.gov/DS/DocumentSearch/DocumentDetail?doc_id=2017012000716001" target="_blank"&gt;Verified by Public Record&lt;/a&gt;</t>
  </si>
  <si>
    <t>&lt;a href="http://a836-acris.nyc.gov/DS/DocumentSearch/DocumentDetail?doc_id=2016061001871001" target="_blank"&gt;Verified by Public Record&lt;/a&gt;</t>
  </si>
  <si>
    <t>&lt;a href="http://a836-acris.nyc.gov/DS/DocumentSearch/DocumentDetail?doc_id=2016082300290002" target="_blank"&gt;Verified by Public Record&lt;/a&gt;</t>
  </si>
  <si>
    <t>&lt;a href="http://a836-acris.nyc.gov/DS/DocumentSearch/DocumentDetail?doc_id=2016112100761001" target="_blank"&gt;Verified by Public Record&lt;/a&gt;</t>
  </si>
  <si>
    <t>&lt;a href="http://a836-acris.nyc.gov/DS/DocumentSearch/DocumentDetail?doc_id=2017030801532001" target="_blank"&gt;Verified by Public Record&lt;/a&gt;</t>
  </si>
  <si>
    <t>&lt;a href="http://a836-acris.nyc.gov/DS/DocumentSearch/DocumentDetail?doc_id=2017012501285001" target="_blank"&gt;Verified by Public Record&lt;/a&gt;</t>
  </si>
  <si>
    <t>&lt;a href="http://a836-acris.nyc.gov/DS/DocumentSearch/DocumentDetail?doc_id=2017020300365001" target="_blank"&gt;Verified by Public Record&lt;/a&gt;</t>
  </si>
  <si>
    <t>&lt;a href="http://a836-acris.nyc.gov/DS/DocumentSearch/DocumentDetail?doc_id=2017021000594001" target="_blank"&gt;Verified by Public Record&lt;/a&gt;</t>
  </si>
  <si>
    <t>&lt;a href="http://a836-acris.nyc.gov/DS/DocumentSearch/DocumentDetail?doc_id=2017051201261001" target="_blank"&gt;Verified by Public Record&lt;/a&gt;</t>
  </si>
  <si>
    <t>&lt;a href="http://a836-acris.nyc.gov/DS/DocumentSearch/DocumentDetail?doc_id=2017050800217001" target="_blank"&gt;Verified by Public Record&lt;/a&gt;</t>
  </si>
  <si>
    <t>&lt;a href="http://a836-acris.nyc.gov/DS/DocumentSearch/DocumentDetail?doc_id=2017051201263002" target="_blank"&gt;Verified by Public Record&lt;/a&gt;</t>
  </si>
  <si>
    <t>&lt;a href="http://a836-acris.nyc.gov/DS/DocumentSearch/DocumentDetail?doc_id=2019020600566001" target="_blank"&gt;Verified by Public Record&lt;/a&gt;</t>
  </si>
  <si>
    <t>Private Terrace
Private Wrap Around Terrace
Common Roof Deck
Common Outdoor Space</t>
  </si>
  <si>
    <t>&lt;a href="http://a836-acris.nyc.gov/DS/DocumentSearch/DocumentDetail?doc_id=2017122101377003" target="_blank"&gt;Verified by Public Record&lt;/a&gt;</t>
  </si>
  <si>
    <t>&lt;a href="http://a836-acris.nyc.gov/DS/DocumentSearch/DocumentDetail?doc_id=2016102000997001" target="_blank"&gt;Verified by Public Record&lt;/a&gt;</t>
  </si>
  <si>
    <t>&lt;a href="http://a836-acris.nyc.gov/DS/DocumentSearch/DocumentDetail?doc_id=2017031600706001" target="_blank"&gt;Verified by Public Record&lt;/a&gt;</t>
  </si>
  <si>
    <t>&lt;a href="http://a836-acris.nyc.gov/DS/DocumentSearch/DocumentDetail?doc_id=2019080800880002" target="_blank"&gt;Verified by Public Record&lt;/a&gt;</t>
  </si>
  <si>
    <t>&lt;a href="http://a836-acris.nyc.gov/DS/DocumentSearch/DocumentDetail?doc_id=2017071200261001" target="_blank"&gt;Verified by Public Record&lt;/a&gt;</t>
  </si>
  <si>
    <t>&lt;a href="http://a836-acris.nyc.gov/DS/DocumentSearch/DocumentDetail?doc_id=2019062400706009" target="_blank"&gt;Verified by Public Record&lt;/a&gt;</t>
  </si>
  <si>
    <t>&lt;a href="http://a836-acris.nyc.gov/DS/DocumentSearch/DocumentDetail?doc_id=2018081601291001" target="_blank"&gt;Verified by Public Record&lt;/a&gt;</t>
  </si>
  <si>
    <t>&lt;a href="http://a836-acris.nyc.gov/DS/DocumentSearch/DocumentDetail?doc_id=2017040200018001" target="_blank"&gt;Verified by Public Record&lt;/a&gt;</t>
  </si>
  <si>
    <t>&lt;a href="http://a836-acris.nyc.gov/DS/DocumentSearch/DocumentDetail?doc_id=2017052300436001" target="_blank"&gt;Verified by Public Record&lt;/a&gt;</t>
  </si>
  <si>
    <t>&lt;a href="http://a836-acris.nyc.gov/DS/DocumentSearch/DocumentDetail?doc_id=2019050300215001" target="_blank"&gt;Verified by Public Record&lt;/a&gt;</t>
  </si>
  <si>
    <t>&lt;a href="http://a836-acris.nyc.gov/DS/DocumentSearch/DocumentDetail?doc_id=2016110401090003" target="_blank"&gt;Verified by Public Record&lt;/a&gt;</t>
  </si>
  <si>
    <t>&lt;a href="http://a836-acris.nyc.gov/DS/DocumentSearch/DocumentDetail?doc_id=2016111701041001" target="_blank"&gt;Verified by Public Record&lt;/a&gt;</t>
  </si>
  <si>
    <t>&lt;a href="http://a836-acris.nyc.gov/DS/DocumentSearch/DocumentDetail?doc_id=2017011900902002" target="_blank"&gt;Verified by Public Record&lt;/a&gt;</t>
  </si>
  <si>
    <t>&lt;a href="http://a836-acris.nyc.gov/DS/DocumentSearch/DocumentDetail?doc_id=2018050101170001" target="_blank"&gt;Verified by Public Record&lt;/a&gt;</t>
  </si>
  <si>
    <t>&lt;a href="http://a836-acris.nyc.gov/DS/DocumentSearch/DocumentDetail?doc_id=2017013100649001" target="_blank"&gt;Verified by Public Record&lt;/a&gt;</t>
  </si>
  <si>
    <t>&lt;a href="http://a836-acris.nyc.gov/DS/DocumentSearch/DocumentDetail?doc_id=2016062004049001" target="_blank"&gt;Verified by Public Record&lt;/a&gt;</t>
  </si>
  <si>
    <t>&lt;a href="http://a836-acris.nyc.gov/DS/DocumentSearch/DocumentDetail?doc_id=2020050700855001" target="_blank"&gt;Verified by Public Record&lt;/a&gt;</t>
  </si>
  <si>
    <t>&lt;a href="http://a836-acris.nyc.gov/DS/DocumentSearch/DocumentDetail?doc_id=2016051201018002" target="_blank"&gt;Verified by Public Record&lt;/a&gt;</t>
  </si>
  <si>
    <t>&lt;a href="http://a836-acris.nyc.gov/DS/DocumentSearch/DocumentDetail?doc_id=2019070200593001" target="_blank"&gt;Verified by Public Record&lt;/a&gt;</t>
  </si>
  <si>
    <t>&lt;a href="http://a836-acris.nyc.gov/DS/DocumentSearch/DocumentDetail?doc_id=2019032700726001" target="_blank"&gt;Verified by Public Record&lt;/a&gt;</t>
  </si>
  <si>
    <t>&lt;a href="http://a836-acris.nyc.gov/DS/DocumentSearch/DocumentDetail?doc_id=2017050100847001" target="_blank"&gt;Verified by Public Record&lt;/a&gt;</t>
  </si>
  <si>
    <t>&lt;a href="http://a836-acris.nyc.gov/DS/DocumentSearch/DocumentDetail?doc_id=2017011801036001" target="_blank"&gt;Verified by Public Record&lt;/a&gt;</t>
  </si>
  <si>
    <t>&lt;a href="http://a836-acris.nyc.gov/DS/DocumentSearch/DocumentDetail?doc_id=2017120800907003" target="_blank"&gt;Verified by Public Record&lt;/a&gt;</t>
  </si>
  <si>
    <t>&lt;a href="http://a836-acris.nyc.gov/DS/DocumentSearch/DocumentDetail?doc_id=2016100800050001" target="_blank"&gt;Verified by Public Record&lt;/a&gt;</t>
  </si>
  <si>
    <t>&lt;a href="http://a836-acris.nyc.gov/DS/DocumentSearch/DocumentDetail?doc_id=2019052800585001" target="_blank"&gt;Verified by Public Record&lt;/a&gt;</t>
  </si>
  <si>
    <t>&lt;a href="http://a836-acris.nyc.gov/DS/DocumentSearch/DocumentDetail?doc_id=2017040400997002" target="_blank"&gt;Verified by Public Record&lt;/a&gt;</t>
  </si>
  <si>
    <t>&lt;a href="http://a836-acris.nyc.gov/DS/DocumentSearch/DocumentDetail?doc_id=2016071100725001" target="_blank"&gt;Verified by Public Record&lt;/a&gt;</t>
  </si>
  <si>
    <t>&lt;a href="http://a836-acris.nyc.gov/DS/DocumentSearch/DocumentDetail?doc_id=2016062801468002" target="_blank"&gt;Verified by Public Record&lt;/a&gt;</t>
  </si>
  <si>
    <t>&lt;a href="http://a836-acris.nyc.gov/DS/DocumentSearch/DocumentDetail?doc_id=2019052300348003" target="_blank"&gt;Verified by Public Record&lt;/a&gt;</t>
  </si>
  <si>
    <t>&lt;a href="http://a836-acris.nyc.gov/DS/DocumentSearch/DocumentDetail?doc_id=2016092000665001" target="_blank"&gt;Verified by Public Record&lt;/a&gt;</t>
  </si>
  <si>
    <t>&lt;a href="http://a836-acris.nyc.gov/DS/DocumentSearch/DocumentDetail?doc_id=2021051701516001" target="_blank"&gt;Verified by Public Record&lt;/a&gt;</t>
  </si>
  <si>
    <t>&lt;a href="http://a836-acris.nyc.gov/DS/DocumentSearch/DocumentDetail?doc_id=2021051900387001" target="_blank"&gt;Verified by Public Record&lt;/a&gt;</t>
  </si>
  <si>
    <t>&lt;a href="http://a836-acris.nyc.gov/DS/DocumentSearch/DocumentDetail?doc_id=2017063000848003" target="_blank"&gt;Verified by Public Record&lt;/a&gt;</t>
  </si>
  <si>
    <t>&lt;a href="http://a836-acris.nyc.gov/DS/DocumentSearch/DocumentDetail?doc_id=2016060100974005" target="_blank"&gt;Verified by Public Record&lt;/a&gt;</t>
  </si>
  <si>
    <t>&lt;a href="http://a836-acris.nyc.gov/DS/DocumentSearch/DocumentDetail?doc_id=2017030700258009" target="_blank"&gt;Verified by Public Record&lt;/a&gt;</t>
  </si>
  <si>
    <t>&lt;a href="http://a836-acris.nyc.gov/DS/DocumentSearch/DocumentDetail?doc_id=2016111100632002" target="_blank"&gt;Verified by Public Record&lt;/a&gt;</t>
  </si>
  <si>
    <t>&lt;a href="http://a836-acris.nyc.gov/DS/DocumentSearch/DocumentDetail?doc_id=2021042200757001" target="_blank"&gt;Verified by Public Record&lt;/a&gt;</t>
  </si>
  <si>
    <t>&lt;a href="http://a836-acris.nyc.gov/DS/DocumentSearch/DocumentDetail?doc_id=2019052400938001" target="_blank"&gt;Verified by Public Record&lt;/a&gt;</t>
  </si>
  <si>
    <t>&lt;a href="http://a836-acris.nyc.gov/DS/DocumentSearch/DocumentDetail?doc_id=2019052201135003" target="_blank"&gt;Verified by Public Record&lt;/a&gt;</t>
  </si>
  <si>
    <t>&lt;a href="http://a836-acris.nyc.gov/DS/DocumentSearch/DocumentDetail?doc_id=2019052900053001" target="_blank"&gt;Verified by Public Record&lt;/a&gt;</t>
  </si>
  <si>
    <t>&lt;a href="http://a836-acris.nyc.gov/DS/DocumentSearch/DocumentDetail?doc_id=2020031700405006" target="_blank"&gt;Verified by Public Record&lt;/a&gt;</t>
  </si>
  <si>
    <t>&lt;a href="http://a836-acris.nyc.gov/DS/DocumentSearch/DocumentDetail?doc_id=2019041500552008" target="_blank"&gt;Verified by Public Record&lt;/a&gt;</t>
  </si>
  <si>
    <t>&lt;a href="http://a836-acris.nyc.gov/DS/DocumentSearch/DocumentDetail?doc_id=2019050800725002" target="_blank"&gt;Verified by Public Record&lt;/a&gt;</t>
  </si>
  <si>
    <t>&lt;a href="http://a836-acris.nyc.gov/DS/DocumentSearch/DocumentDetail?doc_id=2019042901118002" target="_blank"&gt;Verified by Public Record&lt;/a&gt;</t>
  </si>
  <si>
    <t>&lt;a href="http://a836-acris.nyc.gov/DS/DocumentSearch/DocumentDetail?doc_id=2019050800312001" target="_blank"&gt;Verified by Public Record&lt;/a&gt;</t>
  </si>
  <si>
    <t>&lt;a href="http://a836-acris.nyc.gov/DS/DocumentSearch/DocumentDetail?doc_id=2019031800802001" target="_blank"&gt;Verified by Public Record&lt;/a&gt;</t>
  </si>
  <si>
    <t>&lt;a href="http://a836-acris.nyc.gov/DS/DocumentSearch/DocumentDetail?doc_id=2021062401373001" target="_blank"&gt;Verified by Public Record&lt;/a&gt;</t>
  </si>
  <si>
    <t>&lt;a href="http://a836-acris.nyc.gov/DS/DocumentSearch/DocumentDetail?doc_id=2019041201048001" target="_blank"&gt;Verified by Public Record&lt;/a&gt;</t>
  </si>
  <si>
    <t>&lt;a href="http://a836-acris.nyc.gov/DS/DocumentSearch/DocumentDetail?doc_id=2020041400484001" target="_blank"&gt;Verified by Public Record&lt;/a&gt;</t>
  </si>
  <si>
    <t>&lt;a href="http://a836-acris.nyc.gov/DS/DocumentSearch/DocumentDetail?doc_id=2021030400384004" target="_blank"&gt;Verified by Public Record&lt;/a&gt;</t>
  </si>
  <si>
    <t>&lt;a href="http://a836-acris.nyc.gov/DS/DocumentSearch/DocumentDetail?doc_id=2019052300069001" target="_blank"&gt;Verified by Public Record&lt;/a&gt;</t>
  </si>
  <si>
    <t>Deck
Common Roof Deck
Barbecue Area
Common Garden
Private Outdoor Space</t>
  </si>
  <si>
    <t>&lt;a href="http://a836-acris.nyc.gov/DS/DocumentSearch/DocumentDetail?doc_id=2019071100171001" target="_blank"&gt;Verified by Public Record&lt;/a&gt;</t>
  </si>
  <si>
    <t>&lt;a href="http://a836-acris.nyc.gov/DS/DocumentSearch/DocumentDetail?doc_id=2019090600491001" target="_blank"&gt;Verified by Public Record&lt;/a&gt;</t>
  </si>
  <si>
    <t>&lt;a href="http://a836-acris.nyc.gov/DS/DocumentSearch/DocumentDetail?doc_id=2020022101119001" target="_blank"&gt;Verified by Public Record&lt;/a&gt;</t>
  </si>
  <si>
    <t>&lt;a href="http://a836-acris.nyc.gov/DS/DocumentSearch/DocumentDetail?doc_id=2019042400287003" target="_blank"&gt;Verified by Public Record&lt;/a&gt;</t>
  </si>
  <si>
    <t>&lt;a href="http://a836-acris.nyc.gov/DS/DocumentSearch/DocumentDetail?doc_id=2020071600937001" target="_blank"&gt;Verified by Public Record&lt;/a&gt;</t>
  </si>
  <si>
    <t>&lt;a href="http://a836-acris.nyc.gov/DS/DocumentSearch/DocumentDetail?doc_id=2018112801216001" target="_blank"&gt;Verified by Public Record&lt;/a&gt;</t>
  </si>
  <si>
    <t>Full-Time Doorman, Concierge, Full-Service Building</t>
  </si>
  <si>
    <t>&lt;a href="http://a836-acris.nyc.gov/DS/DocumentSearch/DocumentDetail?doc_id=2020021801149001" target="_blank"&gt;Verified by Public Record&lt;/a&gt;</t>
  </si>
  <si>
    <t>&lt;a href="http://a836-acris.nyc.gov/DS/DocumentSearch/DocumentDetail?doc_id=2019061000051001" target="_blank"&gt;Verified by Public Record&lt;/a&gt;</t>
  </si>
  <si>
    <t>&lt;a href="http://a836-acris.nyc.gov/DS/DocumentSearch/DocumentDetail?doc_id=2019111200364002" target="_blank"&gt;Verified by Public Record&lt;/a&gt;</t>
  </si>
  <si>
    <t>&lt;a href="http://a836-acris.nyc.gov/DS/DocumentSearch/DocumentDetail?doc_id=2019080601343005" target="_blank"&gt;Verified by Public Record&lt;/a&gt;</t>
  </si>
  <si>
    <t>&lt;a href="http://a836-acris.nyc.gov/DS/DocumentSearch/DocumentDetail?doc_id=2019052100797006" target="_blank"&gt;Verified by Public Record&lt;/a&gt;</t>
  </si>
  <si>
    <t>Balcony
Private Roof Deck
Deck
Common Roof Deck
Barbecue Area
Common Garden
Common Outdoor Space
Private Outdoor Space</t>
  </si>
  <si>
    <t>&lt;a href="http://a836-acris.nyc.gov/DS/DocumentSearch/DocumentDetail?doc_id=2020082600951001" target="_blank"&gt;Verified by Public Record&lt;/a&gt;</t>
  </si>
  <si>
    <t>&lt;a href="http://a836-acris.nyc.gov/DS/DocumentSearch/DocumentDetail?doc_id=2019101000549006" target="_blank"&gt;Verified by Public Record&lt;/a&gt;</t>
  </si>
  <si>
    <t>&lt;a href="http://a836-acris.nyc.gov/DS/DocumentSearch/DocumentDetail?doc_id=2021063000720001" target="_blank"&gt;Verified by Public Record&lt;/a&gt;</t>
  </si>
  <si>
    <t>&lt;a href="http://a836-acris.nyc.gov/DS/DocumentSearch/DocumentDetail?doc_id=2019040801003001" target="_blank"&gt;Verified by Public Record&lt;/a&gt;</t>
  </si>
  <si>
    <t>&lt;a href="http://a836-acris.nyc.gov/DS/DocumentSearch/DocumentDetail?doc_id=2019031801053001" target="_blank"&gt;Verified by Public Record&lt;/a&gt;</t>
  </si>
  <si>
    <t>&lt;a href="http://a836-acris.nyc.gov/DS/DocumentSearch/DocumentDetail?doc_id=2017041200454001" target="_blank"&gt;Verified by Public Record&lt;/a&gt;</t>
  </si>
  <si>
    <t>&lt;a href="http://a836-acris.nyc.gov/DS/DocumentSearch/DocumentDetail?doc_id=2019060400067001" target="_blank"&gt;Verified by Public Record&lt;/a&gt;</t>
  </si>
  <si>
    <t>&lt;a href="http://a836-acris.nyc.gov/DS/DocumentSearch/DocumentDetail?doc_id=2019041000940001" target="_blank"&gt;Verified by Public Record&lt;/a&gt;</t>
  </si>
  <si>
    <t>&lt;a href="http://a836-acris.nyc.gov/DS/DocumentSearch/DocumentDetail?doc_id=2019100300610001" target="_blank"&gt;Verified by Public Record&lt;/a&gt;</t>
  </si>
  <si>
    <t>&lt;a href="http://a836-acris.nyc.gov/DS/DocumentSearch/DocumentDetail?doc_id=2019041200482001" target="_blank"&gt;Verified by Public Record&lt;/a&gt;</t>
  </si>
  <si>
    <t>&lt;a href="http://a836-acris.nyc.gov/DS/DocumentSearch/DocumentDetail?doc_id=2019051601012002" target="_blank"&gt;Verified by Public Record&lt;/a&gt;</t>
  </si>
  <si>
    <t>&lt;a href="http://a836-acris.nyc.gov/DS/DocumentSearch/DocumentDetail?doc_id=2019040400905001" target="_blank"&gt;Verified by Public Record&lt;/a&gt;</t>
  </si>
  <si>
    <t>&lt;a href="http://a836-acris.nyc.gov/DS/DocumentSearch/DocumentDetail?doc_id=2019071201230001" target="_blank"&gt;Verified by Public Record&lt;/a&gt;</t>
  </si>
  <si>
    <t>&lt;a href="http://a836-acris.nyc.gov/DS/DocumentSearch/DocumentDetail?doc_id=2019062400089001" target="_blank"&gt;Verified by Public Record&lt;/a&gt;</t>
  </si>
  <si>
    <t>&lt;a href="http://a836-acris.nyc.gov/DS/DocumentSearch/DocumentDetail?doc_id=2019061101132005" target="_blank"&gt;Verified by Public Record&lt;/a&gt;</t>
  </si>
  <si>
    <t>&lt;a href="http://a836-acris.nyc.gov/DS/DocumentSearch/DocumentDetail?doc_id=2019061000949001" target="_blank"&gt;Verified by Public Record&lt;/a&gt;</t>
  </si>
  <si>
    <t>&lt;a href="http://a836-acris.nyc.gov/DS/DocumentSearch/DocumentDetail?doc_id=2017060901304001" target="_blank"&gt;Verified by Public Record&lt;/a&gt;</t>
  </si>
  <si>
    <t>&lt;a href="http://a836-acris.nyc.gov/DS/DocumentSearch/DocumentDetail?doc_id=2017052000052001" target="_blank"&gt;Verified by Public Record&lt;/a&gt;</t>
  </si>
  <si>
    <t>&lt;a href="http://a836-acris.nyc.gov/DS/DocumentSearch/DocumentDetail?doc_id=2019042400748001" target="_blank"&gt;Verified by Public Record&lt;/a&gt;</t>
  </si>
  <si>
    <t>&lt;a href="http://a836-acris.nyc.gov/DS/DocumentSearch/DocumentDetail?doc_id=2019091300826001" target="_blank"&gt;Verified by Public Record&lt;/a&gt;</t>
  </si>
  <si>
    <t>&lt;a href="http://a836-acris.nyc.gov/DS/DocumentSearch/DocumentDetail?doc_id=2019042500845002" target="_blank"&gt;Verified by Public Record&lt;/a&gt;</t>
  </si>
  <si>
    <t>&lt;a href="http://a836-acris.nyc.gov/DS/DocumentSearch/DocumentDetail?doc_id=2019061200100001" target="_blank"&gt;Verified by Public Record&lt;/a&gt;</t>
  </si>
  <si>
    <t>&lt;a href="http://a836-acris.nyc.gov/DS/DocumentSearch/DocumentDetail?doc_id=2019100500071001" target="_blank"&gt;Verified by Public Record&lt;/a&gt;</t>
  </si>
  <si>
    <t>&lt;a href="http://a836-acris.nyc.gov/DS/DocumentSearch/DocumentDetail?doc_id=2020081100897007" target="_blank"&gt;Verified by Public Record&lt;/a&gt;</t>
  </si>
  <si>
    <t>&lt;a href="http://a836-acris.nyc.gov/DS/DocumentSearch/DocumentDetail?doc_id=2019121900922001" target="_blank"&gt;Verified by Public Record&lt;/a&gt;</t>
  </si>
  <si>
    <t>&lt;a href="http://a836-acris.nyc.gov/DS/DocumentSearch/DocumentDetail?doc_id=2020010600841002" target="_blank"&gt;Verified by Public Record&lt;/a&gt;</t>
  </si>
  <si>
    <t>&lt;a href="http://a836-acris.nyc.gov/DS/DocumentSearch/DocumentDetail?doc_id=2020050500323001" target="_blank"&gt;Verified by Public Record&lt;/a&gt;</t>
  </si>
  <si>
    <t>&lt;a href="http://a836-acris.nyc.gov/DS/DocumentSearch/DocumentDetail?doc_id=2020033000258002" target="_blank"&gt;Verified by Public Record&lt;/a&gt;</t>
  </si>
  <si>
    <t>&lt;a href="http://a836-acris.nyc.gov/DS/DocumentSearch/DocumentDetail?doc_id=2020042700188001" target="_blank"&gt;Verified by Public Record&lt;/a&gt;</t>
  </si>
  <si>
    <t>Deck
Common Roof Deck
Barbecue Area
Common Garden
Common Outdoor Space</t>
  </si>
  <si>
    <t>&lt;a href="http://a836-acris.nyc.gov/DS/DocumentSearch/DocumentDetail?doc_id=2021010701418001" target="_blank"&gt;Verified by Public Record&lt;/a&gt;</t>
  </si>
  <si>
    <t>&lt;a href="http://a836-acris.nyc.gov/DS/DocumentSearch/DocumentDetail?doc_id=2020110501024005" target="_blank"&gt;Verified by Public Record&lt;/a&gt;</t>
  </si>
  <si>
    <t>&lt;a href="http://a836-acris.nyc.gov/DS/DocumentSearch/DocumentDetail?doc_id=2019071100101001" target="_blank"&gt;Verified by Public Record&lt;/a&gt;</t>
  </si>
  <si>
    <t>&lt;a href="http://a836-acris.nyc.gov/DS/DocumentSearch/DocumentDetail?doc_id=2019091700658001" target="_blank"&gt;Verified by Public Record&lt;/a&gt;</t>
  </si>
  <si>
    <t>&lt;a href="http://a836-acris.nyc.gov/DS/DocumentSearch/DocumentDetail?doc_id=2019061300247001" target="_blank"&gt;Verified by Public Record&lt;/a&gt;</t>
  </si>
  <si>
    <t>&lt;a href="http://a836-acris.nyc.gov/DS/DocumentSearch/DocumentDetail?doc_id=2019060800021002" target="_blank"&gt;Verified by Public Record&lt;/a&gt;</t>
  </si>
  <si>
    <t>&lt;a href="http://a836-acris.nyc.gov/DS/DocumentSearch/DocumentDetail?doc_id=2019071200084003" target="_blank"&gt;Verified by Public Record&lt;/a&gt;</t>
  </si>
  <si>
    <t>&lt;a href="http://a836-acris.nyc.gov/DS/DocumentSearch/DocumentDetail?doc_id=2019022701136001" target="_blank"&gt;Verified by Public Record&lt;/a&gt;</t>
  </si>
  <si>
    <t>Condop</t>
  </si>
  <si>
    <t>&lt;a href="http://a836-acris.nyc.gov/DS/DocumentSearch/DocumentDetail?doc_id=2019051600074002" target="_blank"&gt;Verified by Public Record&lt;/a&gt;</t>
  </si>
  <si>
    <t>&lt;a href="http://a836-acris.nyc.gov/DS/DocumentSearch/DocumentDetail?doc_id=2019122400292002" target="_blank"&gt;Verified by Public Record&lt;/a&gt;</t>
  </si>
  <si>
    <t>&lt;a href="http://a836-acris.nyc.gov/DS/DocumentSearch/DocumentDetail?doc_id=2018011801048001" target="_blank"&gt;Verified by Public Record&lt;/a&gt;</t>
  </si>
  <si>
    <t>&lt;a href="http://a836-acris.nyc.gov/DS/DocumentSearch/DocumentDetail?doc_id=2016120700371004" target="_blank"&gt;Verified by Public Record&lt;/a&gt;</t>
  </si>
  <si>
    <t>&lt;a href="http://a836-acris.nyc.gov/DS/DocumentSearch/DocumentDetail?doc_id=2021051401138001" target="_blank"&gt;Verified by Public Record&lt;/a&gt;</t>
  </si>
  <si>
    <t>&lt;a href="http://a836-acris.nyc.gov/DS/DocumentSearch/DocumentDetail?doc_id=2021060400622002" target="_blank"&gt;Verified by Public Record&lt;/a&gt;</t>
  </si>
  <si>
    <t>&lt;a href="http://a836-acris.nyc.gov/DS/DocumentSearch/DocumentDetail?doc_id=2021032200944004" target="_blank"&gt;Verified by Public Record&lt;/a&gt;</t>
  </si>
  <si>
    <t>&lt;a href="http://a836-acris.nyc.gov/DS/DocumentSearch/DocumentDetail?doc_id=2021042300675002" target="_blank"&gt;Verified by Public Record&lt;/a&gt;</t>
  </si>
  <si>
    <t>&lt;a href="http://a836-acris.nyc.gov/DS/DocumentSearch/DocumentDetail?doc_id=2021072000634001" target="_blank"&gt;Verified by Public Record&lt;/a&gt;</t>
  </si>
  <si>
    <t>&lt;a href="http://a836-acris.nyc.gov/DS/DocumentSearch/DocumentDetail?doc_id=2019061801358001" target="_blank"&gt;Verified by Public Record&lt;/a&gt;</t>
  </si>
  <si>
    <t>&lt;a href="http://a836-acris.nyc.gov/DS/DocumentSearch/DocumentDetail?doc_id=2019090500602002" target="_blank"&gt;Verified by Public Record&lt;/a&gt;</t>
  </si>
  <si>
    <t>Balcony
Private Terrace
Roof Deck
Common Outdoor Space</t>
  </si>
  <si>
    <t>&lt;a href="http://a836-acris.nyc.gov/DS/DocumentSearch/DocumentDetail?doc_id=2019061200725002" target="_blank"&gt;Verified by Public Record&lt;/a&gt;</t>
  </si>
  <si>
    <t>&lt;a href="http://a836-acris.nyc.gov/DS/DocumentSearch/DocumentDetail?doc_id=2019081000001001" target="_blank"&gt;Verified by Public Record&lt;/a&gt;</t>
  </si>
  <si>
    <t>&lt;a href="http://a836-acris.nyc.gov/DS/DocumentSearch/DocumentDetail?doc_id=2019121901269001" target="_blank"&gt;Verified by Public Record&lt;/a&gt;</t>
  </si>
  <si>
    <t>&lt;a href="http://a836-acris.nyc.gov/DS/DocumentSearch/DocumentDetail?doc_id=2019123100194001" target="_blank"&gt;Verified by Public Record&lt;/a&gt;</t>
  </si>
  <si>
    <t>&lt;a href="http://a836-acris.nyc.gov/DS/DocumentSearch/DocumentDetail?doc_id=2019122600870003" target="_blank"&gt;Verified by Public Record&lt;/a&gt;</t>
  </si>
  <si>
    <t>&lt;a href="http://a836-acris.nyc.gov/DS/DocumentSearch/DocumentDetail?doc_id=2019061600008001" target="_blank"&gt;Verified by Public Record&lt;/a&gt;</t>
  </si>
  <si>
    <t>&lt;a href="http://a836-acris.nyc.gov/DS/DocumentSearch/DocumentDetail?doc_id=2019062000497001" target="_blank"&gt;Verified by Public Record&lt;/a&gt;</t>
  </si>
  <si>
    <t>&lt;a href="http://a836-acris.nyc.gov/DS/DocumentSearch/DocumentDetail?doc_id=2019120200206005" target="_blank"&gt;Verified by Public Record&lt;/a&gt;</t>
  </si>
  <si>
    <t>&lt;a href="http://a836-acris.nyc.gov/DS/DocumentSearch/DocumentDetail?doc_id=2019101501488004" target="_blank"&gt;Verified by Public Record&lt;/a&gt;</t>
  </si>
  <si>
    <t>&lt;a href="http://a836-acris.nyc.gov/DS/DocumentSearch/DocumentDetail?doc_id=2020010300239001" target="_blank"&gt;Verified by Public Record&lt;/a&gt;</t>
  </si>
  <si>
    <t>&lt;a href="http://a836-acris.nyc.gov/DS/DocumentSearch/DocumentDetail?doc_id=2021022301292002" target="_blank"&gt;Verified by Public Record&lt;/a&gt;</t>
  </si>
  <si>
    <t>&lt;a href="http://a836-acris.nyc.gov/DS/DocumentSearch/DocumentDetail?doc_id=2019061800791003" target="_blank"&gt;Verified by Public Record&lt;/a&gt;</t>
  </si>
  <si>
    <t>&lt;a href="http://a836-acris.nyc.gov/DS/DocumentSearch/DocumentDetail?doc_id=2021080200847004" target="_blank"&gt;Verified by Public Record&lt;/a&gt;</t>
  </si>
  <si>
    <t>&lt;a href="http://a836-acris.nyc.gov/DS/DocumentSearch/DocumentDetail?doc_id=2017060200640001" target="_blank"&gt;Public Record Only&lt;/a&gt;</t>
  </si>
  <si>
    <t>&lt;a href="http://a836-acris.nyc.gov/DS/DocumentSearch/DocumentDetail?doc_id=2019052000952001" target="_blank"&gt;Verified by Public Record&lt;/a&gt;</t>
  </si>
  <si>
    <t>&lt;a href="http://a836-acris.nyc.gov/DS/DocumentSearch/DocumentDetail?doc_id=2019071900378001" target="_blank"&gt;Verified by Public Record&lt;/a&gt;</t>
  </si>
  <si>
    <t>&lt;a href="http://a836-acris.nyc.gov/DS/DocumentSearch/DocumentDetail?doc_id=2019052300774001" target="_blank"&gt;Verified by Public Record&lt;/a&gt;</t>
  </si>
  <si>
    <t>&lt;a href="http://a836-acris.nyc.gov/DS/DocumentSearch/DocumentDetail?doc_id=2017010501423001" target="_blank"&gt;Verified by Public Record&lt;/a&gt;</t>
  </si>
  <si>
    <t>&lt;a href="http://a836-acris.nyc.gov/DS/DocumentSearch/DocumentDetail?doc_id=2021041200492001" target="_blank"&gt;Verified by Public Record&lt;/a&gt;</t>
  </si>
  <si>
    <t>&lt;a href="http://a836-acris.nyc.gov/DS/DocumentSearch/DocumentDetail?doc_id=2021060101454001" target="_blank"&gt;Verified by Public Record&lt;/a&gt;</t>
  </si>
  <si>
    <t>&lt;a href="http://a836-acris.nyc.gov/DS/DocumentSearch/DocumentDetail?doc_id=2018021200087001" target="_blank"&gt;Verified by Public Record&lt;/a&gt;</t>
  </si>
  <si>
    <t>&lt;a href="http://a836-acris.nyc.gov/DS/DocumentSearch/DocumentDetail?doc_id=2021081000194002" target="_blank"&gt;Verified by Public Record&lt;/a&gt;</t>
  </si>
  <si>
    <t>&lt;a href="http://a836-acris.nyc.gov/DS/DocumentSearch/DocumentDetail?doc_id=2021040600934001" target="_blank"&gt;Verified by Public Record&lt;/a&gt;</t>
  </si>
  <si>
    <t>&lt;a href="http://a836-acris.nyc.gov/DS/DocumentSearch/DocumentDetail?doc_id=2021041401255001" target="_blank"&gt;Verified by Public Record&lt;/a&gt;</t>
  </si>
  <si>
    <t>&lt;a href="http://a836-acris.nyc.gov/DS/DocumentSearch/DocumentDetail?doc_id=2021041500993001" target="_blank"&gt;Verified by Public Record&lt;/a&gt;</t>
  </si>
  <si>
    <t>&lt;a href="http://a836-acris.nyc.gov/DS/DocumentSearch/DocumentDetail?doc_id=2019070100565002" target="_blank"&gt;Verified by Public Record&lt;/a&gt;</t>
  </si>
  <si>
    <t>&lt;a href="http://a836-acris.nyc.gov/DS/DocumentSearch/DocumentDetail?doc_id=2019061301120001" target="_blank"&gt;Verified by Public Record&lt;/a&gt;</t>
  </si>
  <si>
    <t>&lt;a href="http://a836-acris.nyc.gov/DS/DocumentSearch/DocumentDetail?doc_id=2019080101152001" target="_blank"&gt;Verified by Public Record&lt;/a&gt;</t>
  </si>
  <si>
    <t>&lt;a href="http://a836-acris.nyc.gov/DS/DocumentSearch/DocumentDetail?doc_id=2019070500704002" target="_blank"&gt;Verified by Public Record&lt;/a&gt;</t>
  </si>
  <si>
    <t>&lt;a href="http://a836-acris.nyc.gov/DS/DocumentSearch/DocumentDetail?doc_id=2019071100962003" target="_blank"&gt;Verified by Public Record&lt;/a&gt;</t>
  </si>
  <si>
    <t>&lt;a href="http://a836-acris.nyc.gov/DS/DocumentSearch/DocumentDetail?doc_id=2019110600520001" target="_blank"&gt;Verified by Public Record&lt;/a&gt;</t>
  </si>
  <si>
    <t>&lt;a href="http://a836-acris.nyc.gov/DS/DocumentSearch/DocumentDetail?doc_id=2019071600939001" target="_blank"&gt;Verified by Public Record&lt;/a&gt;</t>
  </si>
  <si>
    <t>&lt;a href="http://a836-acris.nyc.gov/DS/DocumentSearch/DocumentDetail?doc_id=2019061700855001" target="_blank"&gt;Verified by Public Record&lt;/a&gt;</t>
  </si>
  <si>
    <t>&lt;a href="http://a836-acris.nyc.gov/DS/DocumentSearch/DocumentDetail?doc_id=2020030200161001" target="_blank"&gt;Public Record Only&lt;/a&gt;</t>
  </si>
  <si>
    <t>&lt;a href="http://a836-acris.nyc.gov/DS/DocumentSearch/DocumentDetail?doc_id=2019052200902001" target="_blank"&gt;Verified by Public Record&lt;/a&gt;</t>
  </si>
  <si>
    <t>&lt;a href="http://a836-acris.nyc.gov/DS/DocumentSearch/DocumentDetail?doc_id=2019122000713001" target="_blank"&gt;Verified by Public Record&lt;/a&gt;</t>
  </si>
  <si>
    <t>House/Building/Condo</t>
  </si>
  <si>
    <t>Townhouse/Condo</t>
  </si>
  <si>
    <t>&lt;a href="http://a836-acris.nyc.gov/DS/DocumentSearch/DocumentDetail?doc_id=2021012901246001" target="_blank"&gt;Verified by Public Record&lt;/a&gt;</t>
  </si>
  <si>
    <t>&lt;a href="http://a836-acris.nyc.gov/DS/DocumentSearch/DocumentDetail?doc_id=2020040300673002" target="_blank"&gt;Verified by Public Record&lt;/a&gt;</t>
  </si>
  <si>
    <t>&lt;a href="http://a836-acris.nyc.gov/DS/DocumentSearch/DocumentDetail?doc_id=2021051000743001" target="_blank"&gt;Verified by Public Record&lt;/a&gt;</t>
  </si>
  <si>
    <t>&lt;a href="http://a836-acris.nyc.gov/DS/DocumentSearch/DocumentDetail?doc_id=2017011801428001" target="_blank"&gt;Public Record Only&lt;/a&gt;</t>
  </si>
  <si>
    <t>&lt;a href="http://a836-acris.nyc.gov/DS/DocumentSearch/DocumentDetail?doc_id=2017121900643001" target="_blank"&gt;Public Record Only&lt;/a&gt;</t>
  </si>
  <si>
    <t>&lt;a href="http://a836-acris.nyc.gov/DS/DocumentSearch/DocumentDetail?doc_id=2021061701447002" target="_blank"&gt;Public Record Only&lt;/a&gt;</t>
  </si>
  <si>
    <t>&lt;a href="http://a836-acris.nyc.gov/DS/DocumentSearch/DocumentDetail?doc_id=2019080900508001" target="_blank"&gt;Verified by Public Record&lt;/a&gt;</t>
  </si>
  <si>
    <t>&lt;a href="http://a836-acris.nyc.gov/DS/DocumentSearch/DocumentDetail?doc_id=2016030901106001" target="_blank"&gt;Public Record Only&lt;/a&gt;</t>
  </si>
  <si>
    <t>&lt;a href="http://a836-acris.nyc.gov/DS/DocumentSearch/DocumentDetail?doc_id=2016030901246001" target="_blank"&gt;Public Record Only&lt;/a&gt;</t>
  </si>
  <si>
    <t>&lt;a href="http://a836-acris.nyc.gov/DS/DocumentSearch/DocumentDetail?doc_id=2017031700424001" target="_blank"&gt;Public Record Only&lt;/a&gt;</t>
  </si>
  <si>
    <t>&lt;a href="http://a836-acris.nyc.gov/DS/DocumentSearch/DocumentDetail?doc_id=2018112601144001" target="_blank"&gt;Public Record Only&lt;/a&gt;</t>
  </si>
  <si>
    <t>&lt;a href="http://a836-acris.nyc.gov/DS/DocumentSearch/DocumentDetail?doc_id=2018112100612001" target="_blank"&gt;Public Record Only&lt;/a&gt;</t>
  </si>
  <si>
    <t>&lt;a href="http://a836-acris.nyc.gov/DS/DocumentSearch/DocumentDetail?doc_id=2019051400642001" target="_blank"&gt;Verified by Public Record&lt;/a&gt;</t>
  </si>
  <si>
    <t>&lt;a href="http://a836-acris.nyc.gov/DS/DocumentSearch/DocumentDetail?doc_id=2019041600970002" target="_blank"&gt;Verified by Public Record&lt;/a&gt;</t>
  </si>
  <si>
    <t>&lt;a href="http://a836-acris.nyc.gov/DS/DocumentSearch/DocumentDetail?doc_id=2019042300362001" target="_blank"&gt;Verified by Public Record&lt;/a&gt;</t>
  </si>
  <si>
    <t>&lt;a href="http://a836-acris.nyc.gov/DS/DocumentSearch/DocumentDetail?doc_id=2019050301091002" target="_blank"&gt;Verified by Public Record&lt;/a&gt;</t>
  </si>
  <si>
    <t>&lt;a href="http://a836-acris.nyc.gov/DS/DocumentSearch/DocumentDetail?doc_id=2019032000382010" target="_blank"&gt;Verified by Public Record&lt;/a&gt;</t>
  </si>
  <si>
    <t>&lt;a href="http://a836-acris.nyc.gov/DS/DocumentSearch/DocumentDetail?doc_id=2018100100899001" target="_blank"&gt;Public Record Only&lt;/a&gt;</t>
  </si>
  <si>
    <t>&lt;a href="http://a836-acris.nyc.gov/DS/DocumentSearch/DocumentDetail?doc_id=2020082100481001" target="_blank"&gt;Public Record Only&lt;/a&gt;</t>
  </si>
  <si>
    <t>&lt;a href="http://a836-acris.nyc.gov/DS/DocumentSearch/DocumentDetail?doc_id=2019120300408001" target="_blank"&gt;Verified by Public Record&lt;/a&gt;</t>
  </si>
  <si>
    <t>&lt;a href="http://a836-acris.nyc.gov/DS/DocumentSearch/DocumentDetail?doc_id=2019121800363001" target="_blank"&gt;Verified by Public Record&lt;/a&gt;</t>
  </si>
  <si>
    <t>&lt;a href="http://a836-acris.nyc.gov/DS/DocumentSearch/DocumentDetail?doc_id=2017053001101001" target="_blank"&gt;Public Record Only&lt;/a&gt;</t>
  </si>
  <si>
    <t>&lt;a href="http://a836-acris.nyc.gov/DS/DocumentSearch/DocumentDetail?doc_id=2021072000650001" target="_blank"&gt;Public Record Only&lt;/a&gt;</t>
  </si>
  <si>
    <t>&lt;a href="http://a836-acris.nyc.gov/DS/DocumentSearch/DocumentDetail?doc_id=2019051500289001" target="_blank"&gt;Public Record Only&lt;/a&gt;</t>
  </si>
  <si>
    <t>&lt;a href="http://a836-acris.nyc.gov/DS/DocumentSearch/DocumentDetail?doc_id=2019051700611001" target="_blank"&gt;Verified by Public Record&lt;/a&gt;</t>
  </si>
  <si>
    <t>&lt;a href="http://a836-acris.nyc.gov/DS/DocumentSearch/DocumentDetail?doc_id=2019051401147001" target="_blank"&gt;Verified by Public Record&lt;/a&gt;</t>
  </si>
  <si>
    <t>&lt;a href="http://a836-acris.nyc.gov/DS/DocumentSearch/DocumentDetail?doc_id=2019122300872003" target="_blank"&gt;Verified by Public Record&lt;/a&gt;</t>
  </si>
  <si>
    <t>&lt;a href="http://a836-acris.nyc.gov/DS/DocumentSearch/DocumentDetail?doc_id=2019052200289001" target="_blank"&gt;Verified by Public Record&lt;/a&gt;</t>
  </si>
  <si>
    <t>&lt;a href="http://a836-acris.nyc.gov/DS/DocumentSearch/DocumentDetail?doc_id=2016120501249001" target="_blank"&gt;Public Record Only&lt;/a&gt;</t>
  </si>
  <si>
    <t>&lt;a href="http://a836-acris.nyc.gov/DS/DocumentSearch/DocumentDetail?doc_id=2021072900700001" target="_blank"&gt;Public Record Only&lt;/a&gt;</t>
  </si>
  <si>
    <t>&lt;a href="http://a836-acris.nyc.gov/DS/DocumentSearch/DocumentDetail?doc_id=2020112401439001" target="_blank"&gt;Verified by Public Record&lt;/a&gt;</t>
  </si>
  <si>
    <t>&lt;a href="http://a836-acris.nyc.gov/DS/DocumentSearch/DocumentDetail?doc_id=2016120601042001" target="_blank"&gt;Public Record Only&lt;/a&gt;</t>
  </si>
  <si>
    <t>&lt;a href="http://a836-acris.nyc.gov/DS/DocumentSearch/DocumentDetail?doc_id=2020030600777001" target="_blank"&gt;Verified by Public Record&lt;/a&gt;</t>
  </si>
  <si>
    <t>&lt;a href="http://a836-acris.nyc.gov/DS/DocumentSearch/DocumentDetail?doc_id=2021033101089001" target="_blank"&gt;Verified by Public Record&lt;/a&gt;</t>
  </si>
  <si>
    <t>&lt;a href="http://a836-acris.nyc.gov/DS/DocumentSearch/DocumentDetail?doc_id=2021033100271001" target="_blank"&gt;Verified by Public Record&lt;/a&gt;</t>
  </si>
  <si>
    <t>&lt;a href="http://a836-acris.nyc.gov/DS/DocumentSearch/DocumentDetail?doc_id=2020031601176001" target="_blank"&gt;Public Record Only&lt;/a&gt;</t>
  </si>
  <si>
    <t>&lt;a href="http://a836-acris.nyc.gov/DS/DocumentSearch/DocumentDetail?doc_id=2019071001086002" target="_blank"&gt;Verified by Public Record&lt;/a&gt;</t>
  </si>
  <si>
    <t>&lt;a href="http://a836-acris.nyc.gov/DS/DocumentSearch/DocumentDetail?doc_id=2021061000209001" target="_blank"&gt;Verified by Public Record&lt;/a&gt;</t>
  </si>
  <si>
    <t>&lt;a href="http://a836-acris.nyc.gov/DS/DocumentSearch/DocumentDetail?doc_id=2020120701345001" target="_blank"&gt;Verified by Public Record&lt;/a&gt;</t>
  </si>
  <si>
    <t>&lt;a href="http://a836-acris.nyc.gov/DS/DocumentSearch/DocumentDetail?doc_id=2019032800280001" target="_blank"&gt;Verified by Public Record&lt;/a&gt;</t>
  </si>
  <si>
    <t>&lt;a href="http://a836-acris.nyc.gov/DS/DocumentSearch/DocumentDetail?doc_id=2019032000517007" target="_blank"&gt;Verified by Public Record&lt;/a&gt;</t>
  </si>
  <si>
    <t>&lt;a href="http://a836-acris.nyc.gov/DS/DocumentSearch/DocumentDetail?doc_id=2019031800117001" target="_blank"&gt;Verified by Public Record&lt;/a&gt;</t>
  </si>
  <si>
    <t>&lt;a href="http://a836-acris.nyc.gov/DS/DocumentSearch/DocumentDetail?doc_id=2019051601004001" target="_blank"&gt;Verified by Public Record&lt;/a&gt;</t>
  </si>
  <si>
    <t>Private Roof Deck
Roof Deck
Common Roof Deck
Common Outdoor Space
Private Outdoor Space</t>
  </si>
  <si>
    <t>Doorman, Concierge</t>
  </si>
  <si>
    <t>&lt;a href="http://a836-acris.nyc.gov/DS/DocumentSearch/DocumentDetail?doc_id=2021042201247001" target="_blank"&gt;Verified by Public Record&lt;/a&gt;</t>
  </si>
  <si>
    <t>&lt;a href="http://a836-acris.nyc.gov/DS/DocumentSearch/DocumentDetail?doc_id=2021061000356001" target="_blank"&gt;Verified by Public Record&lt;/a&gt;</t>
  </si>
  <si>
    <t>&lt;a href="http://a836-acris.nyc.gov/DS/DocumentSearch/DocumentDetail?doc_id=2021033100818001" target="_blank"&gt;Verified by Public Record&lt;/a&gt;</t>
  </si>
  <si>
    <t>&lt;a href="http://a836-acris.nyc.gov/DS/DocumentSearch/DocumentDetail?doc_id=2020051900945002" target="_blank"&gt;Verified by Public Record&lt;/a&gt;</t>
  </si>
  <si>
    <t>&lt;a href="http://a836-acris.nyc.gov/DS/DocumentSearch/DocumentDetail?doc_id=2020052200262001" target="_blank"&gt;Verified by Public Record&lt;/a&gt;</t>
  </si>
  <si>
    <t>&lt;a href="http://a836-acris.nyc.gov/DS/DocumentSearch/DocumentDetail?doc_id=2021060900362001" target="_blank"&gt;Verified by Public Record&lt;/a&gt;</t>
  </si>
  <si>
    <t>Barbecue Area
Common Garden
Common Outdoor Space</t>
  </si>
  <si>
    <t>&lt;a href="http://a836-acris.nyc.gov/DS/DocumentSearch/DocumentDetail?doc_id=2021051901432002" target="_blank"&gt;Verified by Public Record&lt;/a&gt;</t>
  </si>
  <si>
    <t>&lt;a href="http://a836-acris.nyc.gov/DS/DocumentSearch/DocumentDetail?doc_id=2019062800449001" target="_blank"&gt;Verified by Public Record&lt;/a&gt;</t>
  </si>
  <si>
    <t>&lt;a href="http://a836-acris.nyc.gov/DS/DocumentSearch/DocumentDetail?doc_id=2019062800492001" target="_blank"&gt;Verified by Public Record&lt;/a&gt;</t>
  </si>
  <si>
    <t>&lt;a href="http://a836-acris.nyc.gov/DS/DocumentSearch/DocumentDetail?doc_id=2017102700570001" target="_blank"&gt;Public Record Only&lt;/a&gt;</t>
  </si>
  <si>
    <t>&lt;a href="http://a836-acris.nyc.gov/DS/DocumentSearch/DocumentDetail?doc_id=2018051601105001" target="_blank"&gt;Public Record Only&lt;/a&gt;</t>
  </si>
  <si>
    <t>&lt;a href="http://a836-acris.nyc.gov/DS/DocumentSearch/DocumentDetail?doc_id=2020011000361004" target="_blank"&gt;Verified by Public Record&lt;/a&gt;</t>
  </si>
  <si>
    <t>Private Terrace
Barbecue Area
Common Garden
Common Outdoor Space</t>
  </si>
  <si>
    <t>&lt;a href="http://a836-acris.nyc.gov/DS/DocumentSearch/DocumentDetail?doc_id=2021052100661001" target="_blank"&gt;Verified by Public Record&lt;/a&gt;</t>
  </si>
  <si>
    <t>&lt;a href="http://a836-acris.nyc.gov/DS/DocumentSearch/DocumentDetail?doc_id=2018040200196001" target="_blank"&gt;Public Record Only&lt;/a&gt;</t>
  </si>
  <si>
    <t>&lt;a href="http://a836-acris.nyc.gov/DS/DocumentSearch/DocumentDetail?doc_id=2019032900274001" target="_blank"&gt;Verified by Public Record&lt;/a&gt;</t>
  </si>
  <si>
    <t>&lt;a href="http://a836-acris.nyc.gov/DS/DocumentSearch/DocumentDetail?doc_id=2019042300641001" target="_blank"&gt;Verified by Public Record&lt;/a&gt;</t>
  </si>
  <si>
    <t>&lt;a href="http://a836-acris.nyc.gov/DS/DocumentSearch/DocumentDetail?doc_id=2019050800749006" target="_blank"&gt;Verified by Public Record&lt;/a&gt;</t>
  </si>
  <si>
    <t>&lt;a href="http://a836-acris.nyc.gov/DS/DocumentSearch/DocumentDetail?doc_id=2020091800481001" target="_blank"&gt;Verified by Public Record&lt;/a&gt;</t>
  </si>
  <si>
    <t>Juliet Balcony
Deck
Roof Deck
Common Roof Deck</t>
  </si>
  <si>
    <t>&lt;a href="http://a836-acris.nyc.gov/DS/DocumentSearch/DocumentDetail?doc_id=2021063000257001" target="_blank"&gt;Verified by Public Record&lt;/a&gt;</t>
  </si>
  <si>
    <t>Balcony
Private Terrace
Patio
Deck
Roof Deck
Common Roof Deck
Common Outdoor Space
Private Outdoor Space</t>
  </si>
  <si>
    <t>&lt;a href="http://a836-acris.nyc.gov/DS/DocumentSearch/DocumentDetail?doc_id=2019032701038001" target="_blank"&gt;Verified by Public Record&lt;/a&gt;</t>
  </si>
  <si>
    <t>&lt;a href="http://a836-acris.nyc.gov/DS/DocumentSearch/DocumentDetail?doc_id=2020060900727002" target="_blank"&gt;Verified by Public Record&lt;/a&gt;</t>
  </si>
  <si>
    <t>&lt;a href="http://a836-acris.nyc.gov/DS/DocumentSearch/DocumentDetail?doc_id=2020012200647001" target="_blank"&gt;Verified by Public Record&lt;/a&gt;</t>
  </si>
  <si>
    <t>&lt;a href="http://a836-acris.nyc.gov/DS/DocumentSearch/DocumentDetail?doc_id=2019032801278001" target="_blank"&gt;Verified by Public Record&lt;/a&gt;</t>
  </si>
  <si>
    <t>&lt;a href="http://a836-acris.nyc.gov/DS/DocumentSearch/DocumentDetail?doc_id=2019042600384006" target="_blank"&gt;Verified by Public Record&lt;/a&gt;</t>
  </si>
  <si>
    <t>&lt;a href="http://a836-acris.nyc.gov/DS/DocumentSearch/DocumentDetail?doc_id=2019032801106001" target="_blank"&gt;Verified by Public Record&lt;/a&gt;</t>
  </si>
  <si>
    <t>&lt;a href="http://a836-acris.nyc.gov/DS/DocumentSearch/DocumentDetail?doc_id=2019043000722001" target="_blank"&gt;Verified by Public Record&lt;/a&gt;</t>
  </si>
  <si>
    <t>&lt;a href="http://a836-acris.nyc.gov/DS/DocumentSearch/DocumentDetail?doc_id=2019121200998001" target="_blank"&gt;Verified by Public Record&lt;/a&gt;</t>
  </si>
  <si>
    <t>Balcony
Juliet Balcony
Deck
Roof Deck
Common Roof Deck
Common Outdoor Space</t>
  </si>
  <si>
    <t>&lt;a href="http://a836-acris.nyc.gov/DS/DocumentSearch/DocumentDetail?doc_id=2020081000876002" target="_blank"&gt;Verified by Public Record&lt;/a&gt;</t>
  </si>
  <si>
    <t>&lt;a href="http://a836-acris.nyc.gov/DS/DocumentSearch/DocumentDetail?doc_id=2017101000145001" target="_blank"&gt;Public Record Only&lt;/a&gt;</t>
  </si>
  <si>
    <t>&lt;a href="http://a836-acris.nyc.gov/DS/DocumentSearch/DocumentDetail?doc_id=2021060801728003" target="_blank"&gt;Verified by Public Record&lt;/a&gt;</t>
  </si>
  <si>
    <t>&lt;a href="http://a836-acris.nyc.gov/DS/DocumentSearch/DocumentDetail?doc_id=2021042601416001" target="_blank"&gt;Verified by Public Record&lt;/a&gt;</t>
  </si>
  <si>
    <t>&lt;a href="http://a836-acris.nyc.gov/DS/DocumentSearch/DocumentDetail?doc_id=2021040701402006" target="_blank"&gt;Verified by Public Record&lt;/a&gt;</t>
  </si>
  <si>
    <t>&lt;a href="http://a836-acris.nyc.gov/DS/DocumentSearch/DocumentDetail?doc_id=2021011100343001" target="_blank"&gt;Verified by Public Record&lt;/a&gt;</t>
  </si>
  <si>
    <t>Private Terrace
Private Wrap Around Terrace
Deck
Roof Deck
Common Roof Deck
Common Outdoor Space
Private Outdoor Space</t>
  </si>
  <si>
    <t>&lt;a href="http://a836-acris.nyc.gov/DS/DocumentSearch/DocumentDetail?doc_id=2020122300547001" target="_blank"&gt;Verified by Public Record&lt;/a&gt;</t>
  </si>
  <si>
    <t>Private Terrace
Deck
Roof Deck
Common Roof Deck
Common Outdoor Space
Private Outdoor Space</t>
  </si>
  <si>
    <t>&lt;a href="http://a836-acris.nyc.gov/DS/DocumentSearch/DocumentDetail?doc_id=2021060200769001" target="_blank"&gt;Verified by Public Record&lt;/a&gt;</t>
  </si>
  <si>
    <t>&lt;a href="http://a836-acris.nyc.gov/DS/DocumentSearch/DocumentDetail?doc_id=2021032200471004" target="_blank"&gt;Verified by Public Record&lt;/a&gt;</t>
  </si>
  <si>
    <t>&lt;a href="http://a836-acris.nyc.gov/DS/DocumentSearch/DocumentDetail?doc_id=2020042900705001" target="_blank"&gt;Verified by Public Record&lt;/a&gt;</t>
  </si>
  <si>
    <t>&lt;a href="http://a836-acris.nyc.gov/DS/DocumentSearch/DocumentDetail?doc_id=2017061500378001" target="_blank"&gt;Verified by Public Record&lt;/a&gt;</t>
  </si>
  <si>
    <t>Roof Deck
Common Roof Deck</t>
  </si>
  <si>
    <t>&lt;a href="http://a836-acris.nyc.gov/DS/DocumentSearch/DocumentDetail?doc_id=2020021800609001" target="_blank"&gt;Verified by Public Record&lt;/a&gt;</t>
  </si>
  <si>
    <t>&lt;a href="http://a836-acris.nyc.gov/DS/DocumentSearch/DocumentDetail?doc_id=2021063001419001" target="_blank"&gt;Verified by Public Record&lt;/a&gt;</t>
  </si>
  <si>
    <t>Private Terrace
Private Roof Deck
Deck
Roof Deck
Common Roof Deck
Common Outdoor Space
Private Outdoor Space</t>
  </si>
  <si>
    <t>&lt;a href="http://a836-acris.nyc.gov/DS/DocumentSearch/DocumentDetail?doc_id=2021021700819002" target="_blank"&gt;Public Record Only&lt;/a&gt;</t>
  </si>
  <si>
    <t>&lt;a href="http://a836-acris.nyc.gov/DS/DocumentSearch/DocumentDetail?doc_id=2017050101128001" target="_blank"&gt;Verified by Public Record&lt;/a&gt;</t>
  </si>
  <si>
    <t>&lt;a href="http://a836-acris.nyc.gov/DS/DocumentSearch/DocumentDetail?doc_id=2021060200778003" target="_blank"&gt;Verified by Public Record&lt;/a&gt;</t>
  </si>
  <si>
    <t>&lt;a href="http://a836-acris.nyc.gov/DS/DocumentSearch/DocumentDetail?doc_id=2017031501265002" target="_blank"&gt;Public Record Only&lt;/a&gt;</t>
  </si>
  <si>
    <t>&lt;a href="http://a836-acris.nyc.gov/DS/DocumentSearch/DocumentDetail?doc_id=2019070200590003" target="_blank"&gt;Verified by Public Record&lt;/a&gt;</t>
  </si>
  <si>
    <t>Deck
Roof Deck
Common Roof Deck</t>
  </si>
  <si>
    <t>&lt;a href="http://a836-acris.nyc.gov/DS/DocumentSearch/DocumentDetail?doc_id=2020022400946003" target="_blank"&gt;Verified by Public Record&lt;/a&gt;</t>
  </si>
  <si>
    <t>&lt;a href="http://a836-acris.nyc.gov/DS/DocumentSearch/DocumentDetail?doc_id=2019110800831001" target="_blank"&gt;Verified by Public Record&lt;/a&gt;</t>
  </si>
  <si>
    <t>&lt;a href="http://a836-acris.nyc.gov/DS/DocumentSearch/DocumentDetail?doc_id=2019112600879001" target="_blank"&gt;Verified by Public Record&lt;/a&gt;</t>
  </si>
  <si>
    <t>&lt;a href="http://a836-acris.nyc.gov/DS/DocumentSearch/DocumentDetail?doc_id=2019112500665001" target="_blank"&gt;Verified by Public Record&lt;/a&gt;</t>
  </si>
  <si>
    <t>Private Terrace
Private Roof Deck
Deck
Roof Deck
Common Roof Deck
Private Outdoor Space</t>
  </si>
  <si>
    <t>&lt;a href="http://a836-acris.nyc.gov/DS/DocumentSearch/DocumentDetail?doc_id=2021040900767002" target="_blank"&gt;Public Record Only&lt;/a&gt;</t>
  </si>
  <si>
    <t>&lt;a href="http://a836-acris.nyc.gov/DS/DocumentSearch/DocumentDetail?doc_id=2020042300284001" target="_blank"&gt;Verified by Public Record&lt;/a&gt;</t>
  </si>
  <si>
    <t>&lt;a href="http://a836-acris.nyc.gov/DS/DocumentSearch/DocumentDetail?doc_id=2019051800031002" target="_blank"&gt;Verified by Public Record&lt;/a&gt;</t>
  </si>
  <si>
    <t>&lt;a href="http://a836-acris.nyc.gov/DS/DocumentSearch/DocumentDetail?doc_id=2017040501182003" target="_blank"&gt;Verified by Public Record&lt;/a&gt;</t>
  </si>
  <si>
    <t>&lt;a href="http://a836-acris.nyc.gov/DS/DocumentSearch/DocumentDetail?doc_id=2016121200810001" target="_blank"&gt;Public Record Only&lt;/a&gt;</t>
  </si>
  <si>
    <t>&lt;a href="http://a836-acris.nyc.gov/DS/DocumentSearch/DocumentDetail?doc_id=2016092100104001" target="_blank"&gt;Public Record Only&lt;/a&gt;</t>
  </si>
  <si>
    <t>&lt;a href="http://a836-acris.nyc.gov/DS/DocumentSearch/DocumentDetail?doc_id=2016100501119001" target="_blank"&gt;Public Record Only&lt;/a&gt;</t>
  </si>
  <si>
    <t>&lt;a href="http://a836-acris.nyc.gov/DS/DocumentSearch/DocumentDetail?doc_id=2016030801023001" target="_blank"&gt;Public Record Only&lt;/a&gt;</t>
  </si>
  <si>
    <t>&lt;a href="http://a836-acris.nyc.gov/DS/DocumentSearch/DocumentDetail?doc_id=2016051101133001" target="_blank"&gt;Public Record Only&lt;/a&gt;</t>
  </si>
  <si>
    <t>&lt;a href="http://a836-acris.nyc.gov/DS/DocumentSearch/DocumentDetail?doc_id=2016062701890001" target="_blank"&gt;Public Record Only&lt;/a&gt;</t>
  </si>
  <si>
    <t>&lt;a href="http://a836-acris.nyc.gov/DS/DocumentSearch/DocumentDetail?doc_id=2016021601891002" target="_blank"&gt;Public Record Only&lt;/a&gt;</t>
  </si>
  <si>
    <t>&lt;a href="http://a836-acris.nyc.gov/DS/DocumentSearch/DocumentDetail?doc_id=2019041100938001" target="_blank"&gt;Verified by Public Record&lt;/a&gt;</t>
  </si>
  <si>
    <t>&lt;a href="http://a836-acris.nyc.gov/DS/DocumentSearch/DocumentDetail?doc_id=2021072800570001" target="_blank"&gt;Public Record Only&lt;/a&gt;</t>
  </si>
  <si>
    <t>&lt;a href="http://a836-acris.nyc.gov/DS/DocumentSearch/DocumentDetail?doc_id=2016090900751002" target="_blank"&gt;Public Record Only&lt;/a&gt;</t>
  </si>
  <si>
    <t>&lt;a href="http://a836-acris.nyc.gov/DS/DocumentSearch/DocumentDetail?doc_id=2016062200370002" target="_blank"&gt;Public Record Only&lt;/a&gt;</t>
  </si>
  <si>
    <t>&lt;a href="http://a836-acris.nyc.gov/DS/DocumentSearch/DocumentDetail?doc_id=2016070100174001" target="_blank"&gt;Public Record Only&lt;/a&gt;</t>
  </si>
  <si>
    <t>&lt;a href="http://a836-acris.nyc.gov/DS/DocumentSearch/DocumentDetail?doc_id=2019051401192001" target="_blank"&gt;Verified by Public Record&lt;/a&gt;</t>
  </si>
  <si>
    <t>&lt;a href="http://a836-acris.nyc.gov/DS/DocumentSearch/DocumentDetail?doc_id=2019042500141001" target="_blank"&gt;Verified by Public Record&lt;/a&gt;</t>
  </si>
  <si>
    <t>&lt;a href="http://a836-acris.nyc.gov/DS/DocumentSearch/DocumentDetail?doc_id=2015122200021001" target="_blank"&gt;Public Record Only&lt;/a&gt;</t>
  </si>
  <si>
    <t>&lt;a href="http://a836-acris.nyc.gov/DS/DocumentSearch/DocumentDetail?doc_id=2015122200013001" target="_blank"&gt;Public Record Only&lt;/a&gt;</t>
  </si>
  <si>
    <t>&lt;a href="http://a836-acris.nyc.gov/DS/DocumentSearch/DocumentDetail?doc_id=2019070201379001" target="_blank"&gt;Verified by Public Record&lt;/a&gt;</t>
  </si>
  <si>
    <t>&lt;a href="http://a836-acris.nyc.gov/DS/DocumentSearch/DocumentDetail?doc_id=2017070501303001" target="_blank"&gt;Verified by Public Record&lt;/a&gt;</t>
  </si>
  <si>
    <t>&lt;a href="http://a836-acris.nyc.gov/DS/DocumentSearch/DocumentDetail?doc_id=2015111800242003" target="_blank"&gt;Public Record Only&lt;/a&gt;</t>
  </si>
  <si>
    <t>&lt;a href="http://a836-acris.nyc.gov/DS/DocumentSearch/DocumentDetail?doc_id=2019101500763001" target="_blank"&gt;Verified by Public Record&lt;/a&gt;</t>
  </si>
  <si>
    <t>&lt;a href="http://a836-acris.nyc.gov/DS/DocumentSearch/DocumentDetail?doc_id=2015110500987001" target="_blank"&gt;Public Record Only&lt;/a&gt;</t>
  </si>
  <si>
    <t>&lt;a href="http://a836-acris.nyc.gov/DS/DocumentSearch/DocumentDetail?doc_id=2019042501194001" target="_blank"&gt;Verified by Public Record&lt;/a&gt;</t>
  </si>
  <si>
    <t>&lt;a href="http://a836-acris.nyc.gov/DS/DocumentSearch/DocumentDetail?doc_id=2019052201242001" target="_blank"&gt;Verified by Public Record&lt;/a&gt;</t>
  </si>
  <si>
    <t>&lt;a href="http://a836-acris.nyc.gov/DS/DocumentSearch/DocumentDetail?doc_id=2019061901021001" target="_blank"&gt;Verified by Public Record&lt;/a&gt;</t>
  </si>
  <si>
    <t>&lt;a href="http://a836-acris.nyc.gov/DS/DocumentSearch/DocumentDetail?doc_id=2019062600050003" target="_blank"&gt;Verified by Public Record&lt;/a&gt;</t>
  </si>
  <si>
    <t>&lt;a href="http://a836-acris.nyc.gov/DS/DocumentSearch/DocumentDetail?doc_id=2015110601182001" target="_blank"&gt;Public Record Only&lt;/a&gt;</t>
  </si>
  <si>
    <t>&lt;a href="http://a836-acris.nyc.gov/DS/DocumentSearch/DocumentDetail?doc_id=2016052400327004" target="_blank"&gt;Public Record Only&lt;/a&gt;</t>
  </si>
  <si>
    <t>&lt;a href="http://a836-acris.nyc.gov/DS/DocumentSearch/DocumentDetail?doc_id=2016122800478001" target="_blank"&gt;Public Record Only&lt;/a&gt;</t>
  </si>
  <si>
    <t>&lt;a href="http://a836-acris.nyc.gov/DS/DocumentSearch/DocumentDetail?doc_id=2017041000669001" target="_blank"&gt;Public Record Only&lt;/a&gt;</t>
  </si>
  <si>
    <t>&lt;a href="http://a836-acris.nyc.gov/DS/DocumentSearch/DocumentDetail?doc_id=2016050901299001" target="_blank"&gt;Public Record Only&lt;/a&gt;</t>
  </si>
  <si>
    <t>&lt;a href="http://a836-acris.nyc.gov/DS/DocumentSearch/DocumentDetail?doc_id=2018031400240002" target="_blank"&gt;Verified by Public Record&lt;/a&gt;</t>
  </si>
  <si>
    <t>Private Roof Deck
Roof Deck
Common Roof Deck
Common Outdoor Space</t>
  </si>
  <si>
    <t>Roof Deck
Common Roof Deck
Private Outdoor Space</t>
  </si>
  <si>
    <t>&lt;a href="http://a836-acris.nyc.gov/DS/DocumentSearch/DocumentDetail?doc_id=2019112200132001" target="_blank"&gt;Public Record Only&lt;/a&gt;</t>
  </si>
  <si>
    <t>&lt;a href="http://a836-acris.nyc.gov/DS/DocumentSearch/DocumentDetail?doc_id=2020100100920005" target="_blank"&gt;Public Record Only&lt;/a&gt;</t>
  </si>
  <si>
    <t>&lt;a href="http://a836-acris.nyc.gov/DS/DocumentSearch/DocumentDetail?doc_id=2018110800912001" target="_blank"&gt;Verified by Public Record&lt;/a&gt;</t>
  </si>
  <si>
    <t>&lt;a href="http://a836-acris.nyc.gov/DS/DocumentSearch/DocumentDetail?doc_id=2019100100433001" target="_blank"&gt;Verified by Public Record&lt;/a&gt;</t>
  </si>
  <si>
    <t>Balcony
Juliet Balcony
Private Wrap Around Terrace
Common Garden
Common Outdoor Space
Private Outdoor Space</t>
  </si>
  <si>
    <t>&lt;a href="http://a836-acris.nyc.gov/DS/DocumentSearch/DocumentDetail?doc_id=2019040200529006" target="_blank"&gt;Verified by Public Record&lt;/a&gt;</t>
  </si>
  <si>
    <t>&lt;a href="http://a836-acris.nyc.gov/DS/DocumentSearch/DocumentDetail?doc_id=2019042200472001" target="_blank"&gt;Verified by Public Record&lt;/a&gt;</t>
  </si>
  <si>
    <t>&lt;a href="http://a836-acris.nyc.gov/DS/DocumentSearch/DocumentDetail?doc_id=2018082200245001" target="_blank"&gt;Verified by Public Record&lt;/a&gt;</t>
  </si>
  <si>
    <t>&lt;a href="http://a836-acris.nyc.gov/DS/DocumentSearch/DocumentDetail?doc_id=2018101700124001" target="_blank"&gt;Verified by Public Record&lt;/a&gt;</t>
  </si>
  <si>
    <t>&lt;a href="http://a836-acris.nyc.gov/DS/DocumentSearch/DocumentDetail?doc_id=2019032900874002" target="_blank"&gt;Verified by Public Record&lt;/a&gt;</t>
  </si>
  <si>
    <t>&lt;a href="http://a836-acris.nyc.gov/DS/DocumentSearch/DocumentDetail?doc_id=2019072500238003" target="_blank"&gt;Verified by Public Record&lt;/a&gt;</t>
  </si>
  <si>
    <t>Private Terrace
Roof Deck
Common Roof Deck
Common Garden
Common Outdoor Space</t>
  </si>
  <si>
    <t>&lt;a href="http://a836-acris.nyc.gov/DS/DocumentSearch/DocumentDetail?doc_id=2019080201163001" target="_blank"&gt;Verified by Public Record&lt;/a&gt;</t>
  </si>
  <si>
    <t>&lt;a href="http://a836-acris.nyc.gov/DS/DocumentSearch/DocumentDetail?doc_id=2019050800466002" target="_blank"&gt;Verified by Public Record&lt;/a&gt;</t>
  </si>
  <si>
    <t>&lt;a href="http://a836-acris.nyc.gov/DS/DocumentSearch/DocumentDetail?doc_id=2019052200506001" target="_blank"&gt;Verified by Public Record&lt;/a&gt;</t>
  </si>
  <si>
    <t>&lt;a href="http://a836-acris.nyc.gov/DS/DocumentSearch/DocumentDetail?doc_id=2019061700402001" target="_blank"&gt;Verified by Public Record&lt;/a&gt;</t>
  </si>
  <si>
    <t>&lt;a href="http://a836-acris.nyc.gov/DS/DocumentSearch/DocumentDetail?doc_id=2019050700061001" target="_blank"&gt;Verified by Public Record&lt;/a&gt;</t>
  </si>
  <si>
    <t>&lt;a href="http://a836-acris.nyc.gov/DS/DocumentSearch/DocumentDetail?doc_id=2018022800077003" target="_blank"&gt;Verified by Public Record&lt;/a&gt;</t>
  </si>
  <si>
    <t>&lt;a href="http://a836-acris.nyc.gov/DS/DocumentSearch/DocumentDetail?doc_id=2016050900579001" target="_blank"&gt;Public Record Only&lt;/a&gt;</t>
  </si>
  <si>
    <t>&lt;a href="http://a836-acris.nyc.gov/DS/DocumentSearch/DocumentDetail?doc_id=2015110400134003" target="_blank"&gt;Public Record Only&lt;/a&gt;</t>
  </si>
  <si>
    <t>&lt;a href="http://a836-acris.nyc.gov/DS/DocumentSearch/DocumentDetail?doc_id=2016042700852002" target="_blank"&gt;Public Record Only&lt;/a&gt;</t>
  </si>
  <si>
    <t>&lt;a href="http://a836-acris.nyc.gov/DS/DocumentSearch/DocumentDetail?doc_id=2016080501038001" target="_blank"&gt;Public Record Only&lt;/a&gt;</t>
  </si>
  <si>
    <t>&lt;a href="http://a836-acris.nyc.gov/DS/DocumentSearch/DocumentDetail?doc_id=2016061302796003" target="_blank"&gt;Public Record Only&lt;/a&gt;</t>
  </si>
  <si>
    <t>&lt;a href="http://a836-acris.nyc.gov/DS/DocumentSearch/DocumentDetail?doc_id=2016053101172001" target="_blank"&gt;Public Record Only&lt;/a&gt;</t>
  </si>
  <si>
    <t>&lt;a href="http://a836-acris.nyc.gov/DS/DocumentSearch/DocumentDetail?doc_id=2017021601088001" target="_blank"&gt;Public Record Only&lt;/a&gt;</t>
  </si>
  <si>
    <t>&lt;a href="http://a836-acris.nyc.gov/DS/DocumentSearch/DocumentDetail?doc_id=2017062000985001" target="_blank"&gt;Public Record Only&lt;/a&gt;</t>
  </si>
  <si>
    <t>&lt;a href="http://a836-acris.nyc.gov/DS/DocumentSearch/DocumentDetail?doc_id=2017010500722001" target="_blank"&gt;Public Record Only&lt;/a&gt;</t>
  </si>
  <si>
    <t>&lt;a href="http://a836-acris.nyc.gov/DS/DocumentSearch/DocumentDetail?doc_id=2017010901562001" target="_blank"&gt;Public Record Only&lt;/a&gt;</t>
  </si>
  <si>
    <t>&lt;a href="http://a836-acris.nyc.gov/DS/DocumentSearch/DocumentDetail?doc_id=2016100500610001" target="_blank"&gt;Public Record Only&lt;/a&gt;</t>
  </si>
  <si>
    <t>&lt;a href="http://a836-acris.nyc.gov/DS/DocumentSearch/DocumentDetail?doc_id=2016110100543001" target="_blank"&gt;Public Record Only&lt;/a&gt;</t>
  </si>
  <si>
    <t>&lt;a href="http://a836-acris.nyc.gov/DS/DocumentSearch/DocumentDetail?doc_id=2016032801057001" target="_blank"&gt;Public Record Only&lt;/a&gt;</t>
  </si>
  <si>
    <t>&lt;a href="http://a836-acris.nyc.gov/DS/DocumentSearch/DocumentDetail?doc_id=2016020802251001" target="_blank"&gt;Public Record Only&lt;/a&gt;</t>
  </si>
  <si>
    <t>&lt;a href="http://a836-acris.nyc.gov/DS/DocumentSearch/DocumentDetail?doc_id=2016031500102009" target="_blank"&gt;Public Record Only&lt;/a&gt;</t>
  </si>
  <si>
    <t>&lt;a href="http://a836-acris.nyc.gov/DS/DocumentSearch/DocumentDetail?doc_id=2016032800749001" target="_blank"&gt;Public Record Only&lt;/a&gt;</t>
  </si>
  <si>
    <t>&lt;a href="http://a836-acris.nyc.gov/DS/DocumentSearch/DocumentDetail?doc_id=2016050200691001" target="_blank"&gt;Public Record Only&lt;/a&gt;</t>
  </si>
  <si>
    <t>&lt;a href="http://a836-acris.nyc.gov/DS/DocumentSearch/DocumentDetail?doc_id=2016062900577001" target="_blank"&gt;Public Record Only&lt;/a&gt;</t>
  </si>
  <si>
    <t>&lt;a href="http://a836-acris.nyc.gov/DS/DocumentSearch/DocumentDetail?doc_id=2016041300709001" target="_blank"&gt;Public Record Only&lt;/a&gt;</t>
  </si>
  <si>
    <t>&lt;a href="http://a836-acris.nyc.gov/DS/DocumentSearch/DocumentDetail?doc_id=2016062401484001" target="_blank"&gt;Public Record Only&lt;/a&gt;</t>
  </si>
  <si>
    <t>&lt;a href="http://a836-acris.nyc.gov/DS/DocumentSearch/DocumentDetail?doc_id=2017042001047001" target="_blank"&gt;Public Record Only&lt;/a&gt;</t>
  </si>
  <si>
    <t>&lt;a href="http://a836-acris.nyc.gov/DS/DocumentSearch/DocumentDetail?doc_id=2016020300295001" target="_blank"&gt;Public Record Only&lt;/a&gt;</t>
  </si>
  <si>
    <t>&lt;a href="http://a836-acris.nyc.gov/DS/DocumentSearch/DocumentDetail?doc_id=2016020201178002" target="_blank"&gt;Public Record Only&lt;/a&gt;</t>
  </si>
  <si>
    <t>&lt;a href="http://a836-acris.nyc.gov/DS/DocumentSearch/DocumentDetail?doc_id=2016050300040001" target="_blank"&gt;Public Record Only&lt;/a&gt;</t>
  </si>
  <si>
    <t>&lt;a href="http://a836-acris.nyc.gov/DS/DocumentSearch/DocumentDetail?doc_id=2017060200805001" target="_blank"&gt;Public Record Only&lt;/a&gt;</t>
  </si>
  <si>
    <t>&lt;a href="http://a836-acris.nyc.gov/DS/DocumentSearch/DocumentDetail?doc_id=2017120800387001" target="_blank"&gt;Verified by Public Record&lt;/a&gt;</t>
  </si>
  <si>
    <t>&lt;a href="http://a836-acris.nyc.gov/DS/DocumentSearch/DocumentDetail?doc_id=2019042500147001" target="_blank"&gt;Verified by Public Record&lt;/a&gt;</t>
  </si>
  <si>
    <t>&lt;a href="http://a836-acris.nyc.gov/DS/DocumentSearch/DocumentDetail?doc_id=2019060600074001" target="_blank"&gt;Verified by Public Record&lt;/a&gt;</t>
  </si>
  <si>
    <t>&lt;a href="http://a836-acris.nyc.gov/DS/DocumentSearch/DocumentDetail?doc_id=2019072600757001" target="_blank"&gt;Verified by Public Record&lt;/a&gt;</t>
  </si>
  <si>
    <t>&lt;a href="http://a836-acris.nyc.gov/DS/DocumentSearch/DocumentDetail?doc_id=2019052801154001" target="_blank"&gt;Verified by Public Record&lt;/a&gt;</t>
  </si>
  <si>
    <t>&lt;a href="http://a836-acris.nyc.gov/DS/DocumentSearch/DocumentDetail?doc_id=2019050200211002" target="_blank"&gt;Verified by Public Record&lt;/a&gt;</t>
  </si>
  <si>
    <t>&lt;a href="http://a836-acris.nyc.gov/DS/DocumentSearch/DocumentDetail?doc_id=2019060700118003" target="_blank"&gt;Verified by Public Record&lt;/a&gt;</t>
  </si>
  <si>
    <t>&lt;a href="http://a836-acris.nyc.gov/DS/DocumentSearch/DocumentDetail?doc_id=2019052800407001" target="_blank"&gt;Verified by Public Record&lt;/a&gt;</t>
  </si>
  <si>
    <t>&lt;a href="http://a836-acris.nyc.gov/DS/DocumentSearch/DocumentDetail?doc_id=2019052800683001" target="_blank"&gt;Verified by Public Record&lt;/a&gt;</t>
  </si>
  <si>
    <t>&lt;a href="http://a836-acris.nyc.gov/DS/DocumentSearch/DocumentDetail?doc_id=2019072300911001" target="_blank"&gt;Verified by Public Record&lt;/a&gt;</t>
  </si>
  <si>
    <t>&lt;a href="http://a836-acris.nyc.gov/DS/DocumentSearch/DocumentDetail?doc_id=2019052000931001" target="_blank"&gt;Verified by Public Record&lt;/a&gt;</t>
  </si>
  <si>
    <t>&lt;a href="http://a836-acris.nyc.gov/DS/DocumentSearch/DocumentDetail?doc_id=2019040400090001" target="_blank"&gt;Verified by Public Record&lt;/a&gt;</t>
  </si>
  <si>
    <t>&lt;a href="http://a836-acris.nyc.gov/DS/DocumentSearch/DocumentDetail?doc_id=2019042300846001" target="_blank"&gt;Verified by Public Record&lt;/a&gt;</t>
  </si>
  <si>
    <t>&lt;a href="http://a836-acris.nyc.gov/DS/DocumentSearch/DocumentDetail?doc_id=2019053000755001" target="_blank"&gt;Verified by Public Record&lt;/a&gt;</t>
  </si>
  <si>
    <t>&lt;a href="http://a836-acris.nyc.gov/DS/DocumentSearch/DocumentDetail?doc_id=2019071600826001" target="_blank"&gt;Verified by Public Record&lt;/a&gt;</t>
  </si>
  <si>
    <t>&lt;a href="http://a836-acris.nyc.gov/DS/DocumentSearch/DocumentDetail?doc_id=2019051300858003" target="_blank"&gt;Verified by Public Record&lt;/a&gt;</t>
  </si>
  <si>
    <t>&lt;a href="http://a836-acris.nyc.gov/DS/DocumentSearch/DocumentDetail?doc_id=2019042300565001" target="_blank"&gt;Verified by Public Record&lt;/a&gt;</t>
  </si>
  <si>
    <t>&lt;a href="http://a836-acris.nyc.gov/DS/DocumentSearch/DocumentDetail?doc_id=2020010300660001" target="_blank"&gt;Verified by Public Record&lt;/a&gt;</t>
  </si>
  <si>
    <t>&lt;a href="http://a836-acris.nyc.gov/DS/DocumentSearch/DocumentDetail?doc_id=2021072701065005" target="_blank"&gt;Public Record Only&lt;/a&gt;</t>
  </si>
  <si>
    <t>&lt;a href="http://a836-acris.nyc.gov/DS/DocumentSearch/DocumentDetail?doc_id=2019070200613001" target="_blank"&gt;Verified by Public Record&lt;/a&gt;</t>
  </si>
  <si>
    <t>&lt;a href="http://a836-acris.nyc.gov/DS/DocumentSearch/DocumentDetail?doc_id=2019061000058001" target="_blank"&gt;Verified by Public Record&lt;/a&gt;</t>
  </si>
  <si>
    <t>&lt;a href="http://a836-acris.nyc.gov/DS/DocumentSearch/DocumentDetail?doc_id=2019032500390008" target="_blank"&gt;Verified by Public Record&lt;/a&gt;</t>
  </si>
  <si>
    <t>&lt;a href="http://a836-acris.nyc.gov/DS/DocumentSearch/DocumentDetail?doc_id=2019052100884003" target="_blank"&gt;Verified by Public Record&lt;/a&gt;</t>
  </si>
  <si>
    <t>&lt;a href="http://a836-acris.nyc.gov/DS/DocumentSearch/DocumentDetail?doc_id=2019082400027002" target="_blank"&gt;Verified by Public Record&lt;/a&gt;</t>
  </si>
  <si>
    <t>&lt;a href="http://a836-acris.nyc.gov/DS/DocumentSearch/DocumentDetail?doc_id=2019101101190001" target="_blank"&gt;Verified by Public Record&lt;/a&gt;</t>
  </si>
  <si>
    <t>Balcony
Juliet Balcony
Private Terrace
Common Garden
Common Outdoor Space
Private Outdoor Space</t>
  </si>
  <si>
    <t>&lt;a href="http://a836-acris.nyc.gov/DS/DocumentSearch/DocumentDetail?doc_id=2019042200760001" target="_blank"&gt;Verified by Public Record&lt;/a&gt;</t>
  </si>
  <si>
    <t>&lt;a href="http://a836-acris.nyc.gov/DS/DocumentSearch/DocumentDetail?doc_id=2019060600862004" target="_blank"&gt;Verified by Public Record&lt;/a&gt;</t>
  </si>
  <si>
    <t>&lt;a href="http://a836-acris.nyc.gov/DS/DocumentSearch/DocumentDetail?doc_id=2019062300056001" target="_blank"&gt;Verified by Public Record&lt;/a&gt;</t>
  </si>
  <si>
    <t>&lt;a href="http://a836-acris.nyc.gov/DS/DocumentSearch/DocumentDetail?doc_id=2018031600425001" target="_blank"&gt;Verified by Public Record&lt;/a&gt;</t>
  </si>
  <si>
    <t>&lt;a href="http://a836-acris.nyc.gov/DS/DocumentSearch/DocumentDetail?doc_id=2019042500369001" target="_blank"&gt;Verified by Public Record&lt;/a&gt;</t>
  </si>
  <si>
    <t>&lt;a href="http://a836-acris.nyc.gov/DS/DocumentSearch/DocumentDetail?doc_id=2019110601140001" target="_blank"&gt;Public Record Only&lt;/a&gt;</t>
  </si>
  <si>
    <t>&lt;a href="http://a836-acris.nyc.gov/DS/DocumentSearch/DocumentDetail?doc_id=2017060900401001" target="_blank"&gt;Verified by Public Record&lt;/a&gt;</t>
  </si>
  <si>
    <t>&lt;a href="http://a836-acris.nyc.gov/DS/DocumentSearch/DocumentDetail?doc_id=2016071201054001" target="_blank"&gt;Public Record Only&lt;/a&gt;</t>
  </si>
  <si>
    <t>&lt;a href="http://a836-acris.nyc.gov/DS/DocumentSearch/DocumentDetail?doc_id=2016031500859001" target="_blank"&gt;Public Record Only&lt;/a&gt;</t>
  </si>
  <si>
    <t>&lt;a href="http://a836-acris.nyc.gov/DS/DocumentSearch/DocumentDetail?doc_id=2015110600121002" target="_blank"&gt;Public Record Only&lt;/a&gt;</t>
  </si>
  <si>
    <t>&lt;a href="http://a836-acris.nyc.gov/DS/DocumentSearch/DocumentDetail?doc_id=2016081200461001" target="_blank"&gt;Public Record Only&lt;/a&gt;</t>
  </si>
  <si>
    <t>&lt;a href="http://a836-acris.nyc.gov/DS/DocumentSearch/DocumentDetail?doc_id=2017031600287001" target="_blank"&gt;Public Record Only&lt;/a&gt;</t>
  </si>
  <si>
    <t>&lt;a href="http://a836-acris.nyc.gov/DS/DocumentSearch/DocumentDetail?doc_id=2016091601072001" target="_blank"&gt;Public Record Only&lt;/a&gt;</t>
  </si>
  <si>
    <t>&lt;a href="http://a836-acris.nyc.gov/DS/DocumentSearch/DocumentDetail?doc_id=2016031501070001" target="_blank"&gt;Public Record Only&lt;/a&gt;</t>
  </si>
  <si>
    <t>&lt;a href="http://a836-acris.nyc.gov/DS/DocumentSearch/DocumentDetail?doc_id=2016041100809009" target="_blank"&gt;Public Record Only&lt;/a&gt;</t>
  </si>
  <si>
    <t>&lt;a href="http://a836-acris.nyc.gov/DS/DocumentSearch/DocumentDetail?doc_id=2018012200458001" target="_blank"&gt;Public Record Only&lt;/a&gt;</t>
  </si>
  <si>
    <t>&lt;a href="http://a836-acris.nyc.gov/DS/DocumentSearch/DocumentDetail?doc_id=2021080200284001" target="_blank"&gt;Public Record Only&lt;/a&gt;</t>
  </si>
  <si>
    <t>&lt;a href="http://a836-acris.nyc.gov/DS/DocumentSearch/DocumentDetail?doc_id=2014082200119001" target="_blank"&gt;Public Record Only&lt;/a&gt;</t>
  </si>
  <si>
    <t>&lt;a href="http://a836-acris.nyc.gov/DS/DocumentSearch/DocumentDetail?doc_id=2019070300357001" target="_blank"&gt;Verified by Public Record&lt;/a&gt;</t>
  </si>
  <si>
    <t>&lt;a href="http://a836-acris.nyc.gov/DS/DocumentSearch/DocumentDetail?doc_id=2021011900761001" target="_blank"&gt;Verified by Public Record&lt;/a&gt;</t>
  </si>
  <si>
    <t>&lt;a href="http://a836-acris.nyc.gov/DS/DocumentSearch/DocumentDetail?doc_id=2021030500192001" target="_blank"&gt;Verified by Public Record&lt;/a&gt;</t>
  </si>
  <si>
    <t>&lt;a href="http://a836-acris.nyc.gov/DS/DocumentSearch/DocumentDetail?doc_id=2019020800466001" target="_blank"&gt;Verified by Public Record&lt;/a&gt;</t>
  </si>
  <si>
    <t>&lt;a href="http://a836-acris.nyc.gov/DS/DocumentSearch/DocumentDetail?doc_id=2018091900899002" target="_blank"&gt;Verified by Public Record&lt;/a&gt;</t>
  </si>
  <si>
    <t>&lt;a href="http://a836-acris.nyc.gov/DS/DocumentSearch/DocumentDetail?doc_id=2019061300104003" target="_blank"&gt;Verified by Public Record&lt;/a&gt;</t>
  </si>
  <si>
    <t>&lt;a href="http://a836-acris.nyc.gov/DS/DocumentSearch/DocumentDetail?doc_id=2019042300252001" target="_blank"&gt;Verified by Public Record&lt;/a&gt;</t>
  </si>
  <si>
    <t>&lt;a href="http://a836-acris.nyc.gov/DS/DocumentSearch/DocumentDetail?doc_id=2019071800563001" target="_blank"&gt;Verified by Public Record&lt;/a&gt;</t>
  </si>
  <si>
    <t>&lt;a href="http://a836-acris.nyc.gov/DS/DocumentSearch/DocumentDetail?doc_id=2019071800729001" target="_blank"&gt;Verified by Public Record&lt;/a&gt;</t>
  </si>
  <si>
    <t>&lt;a href="http://a836-acris.nyc.gov/DS/DocumentSearch/DocumentDetail?doc_id=2019090500507001" target="_blank"&gt;Verified by Public Record&lt;/a&gt;</t>
  </si>
  <si>
    <t>&lt;a href="http://a836-acris.nyc.gov/DS/DocumentSearch/DocumentDetail?doc_id=2019060600389001" target="_blank"&gt;Verified by Public Record&lt;/a&gt;</t>
  </si>
  <si>
    <t>&lt;a href="http://a836-acris.nyc.gov/DS/DocumentSearch/DocumentDetail?doc_id=2019020700258001" target="_blank"&gt;Verified by Public Record&lt;/a&gt;</t>
  </si>
  <si>
    <t>&lt;a href="http://a836-acris.nyc.gov/DS/DocumentSearch/DocumentDetail?doc_id=2020121000559001" target="_blank"&gt;Verified by Public Record&lt;/a&gt;</t>
  </si>
  <si>
    <t>&lt;a href="http://a836-acris.nyc.gov/DS/DocumentSearch/DocumentDetail?doc_id=2019032200619002" target="_blank"&gt;Verified by Public Record&lt;/a&gt;</t>
  </si>
  <si>
    <t>&lt;a href="http://a836-acris.nyc.gov/DS/DocumentSearch/DocumentDetail?doc_id=2019040901242001" target="_blank"&gt;Verified by Public Record&lt;/a&gt;</t>
  </si>
  <si>
    <t>&lt;a href="http://a836-acris.nyc.gov/DS/DocumentSearch/DocumentDetail?doc_id=2019092400771003" target="_blank"&gt;Verified by Public Record&lt;/a&gt;</t>
  </si>
  <si>
    <t>&lt;a href="http://a836-acris.nyc.gov/DS/DocumentSearch/DocumentDetail?doc_id=2021040800509001" target="_blank"&gt;Public Record Only&lt;/a&gt;</t>
  </si>
  <si>
    <t>&lt;a href="http://a836-acris.nyc.gov/DS/DocumentSearch/DocumentDetail?doc_id=2019072901013001" target="_blank"&gt;Verified by Public Record&lt;/a&gt;</t>
  </si>
  <si>
    <t>&lt;a href="http://a836-acris.nyc.gov/DS/DocumentSearch/DocumentDetail?doc_id=2021062900983001" target="_blank"&gt;Verified by Public Record&lt;/a&gt;</t>
  </si>
  <si>
    <t>&lt;a href="http://a836-acris.nyc.gov/DS/DocumentSearch/DocumentDetail?doc_id=2019091900352001" target="_blank"&gt;Verified by Public Record&lt;/a&gt;</t>
  </si>
  <si>
    <t>&lt;a href="http://a836-acris.nyc.gov/DS/DocumentSearch/DocumentDetail?doc_id=2019013000224009" target="_blank"&gt;Verified by Public Record&lt;/a&gt;</t>
  </si>
  <si>
    <t>&lt;a href="http://a836-acris.nyc.gov/DS/DocumentSearch/DocumentDetail?doc_id=2019102900491005" target="_blank"&gt;Verified by Public Record&lt;/a&gt;</t>
  </si>
  <si>
    <t>&lt;a href="http://a836-acris.nyc.gov/DS/DocumentSearch/DocumentDetail?doc_id=2020051400785002" target="_blank"&gt;Verified by Public Record&lt;/a&gt;</t>
  </si>
  <si>
    <t>Part-Time Doorman, Concierge</t>
  </si>
  <si>
    <t>&lt;a href="http://a836-acris.nyc.gov/DS/DocumentSearch/DocumentDetail?doc_id=2020051800197001" target="_blank"&gt;Verified by Public Record&lt;/a&gt;</t>
  </si>
  <si>
    <t>&lt;a href="http://a836-acris.nyc.gov/DS/DocumentSearch/DocumentDetail?doc_id=2020070300006003" target="_blank"&gt;Verified by Public Record&lt;/a&gt;</t>
  </si>
  <si>
    <t>&lt;a href="http://a836-acris.nyc.gov/DS/DocumentSearch/DocumentDetail?doc_id=2019062800465001" target="_blank"&gt;Verified by Public Record&lt;/a&gt;</t>
  </si>
  <si>
    <t>&lt;a href="http://a836-acris.nyc.gov/DS/DocumentSearch/DocumentDetail?doc_id=2018120501144003" target="_blank"&gt;Verified by Public Record&lt;/a&gt;</t>
  </si>
  <si>
    <t>&lt;a href="http://a836-acris.nyc.gov/DS/DocumentSearch/DocumentDetail?doc_id=2018082200136002" target="_blank"&gt;Verified by Public Record&lt;/a&gt;</t>
  </si>
  <si>
    <t>Private Terrace
Private Roof Deck
Roof Deck
Common Roof Deck
Common Garden
Common Outdoor Space
Private Outdoor Space</t>
  </si>
  <si>
    <t>&lt;a href="http://a836-acris.nyc.gov/DS/DocumentSearch/DocumentDetail?doc_id=2019111800255005" target="_blank"&gt;Verified by Public Record&lt;/a&gt;</t>
  </si>
  <si>
    <t>Civic Center</t>
  </si>
  <si>
    <t>&lt;a href="http://a836-acris.nyc.gov/DS/DocumentSearch/DocumentDetail?doc_id=2019041600943001" target="_blank"&gt;Public Record Only&lt;/a&gt;</t>
  </si>
  <si>
    <t>&lt;a href="http://a836-acris.nyc.gov/DS/DocumentSearch/DocumentDetail?doc_id=2019050101122001" target="_blank"&gt;Public Record Only&lt;/a&gt;</t>
  </si>
  <si>
    <t>&lt;a href="http://a836-acris.nyc.gov/DS/DocumentSearch/DocumentDetail?doc_id=2019052801028002" target="_blank"&gt;Verified by Public Record&lt;/a&gt;</t>
  </si>
  <si>
    <t>&lt;a href="http://a836-acris.nyc.gov/DS/DocumentSearch/DocumentDetail?doc_id=2019051700561001" target="_blank"&gt;Verified by Public Record&lt;/a&gt;</t>
  </si>
  <si>
    <t>&lt;a href="http://a836-acris.nyc.gov/DS/DocumentSearch/DocumentDetail?doc_id=2019071101108001" target="_blank"&gt;Verified by Public Record&lt;/a&gt;</t>
  </si>
  <si>
    <t>&lt;a href="http://a836-acris.nyc.gov/DS/DocumentSearch/DocumentDetail?doc_id=2019082300689001" target="_blank"&gt;Verified by Public Record&lt;/a&gt;</t>
  </si>
  <si>
    <t>&lt;a href="http://a836-acris.nyc.gov/DS/DocumentSearch/DocumentDetail?doc_id=2019090301236002" target="_blank"&gt;Verified by Public Record&lt;/a&gt;</t>
  </si>
  <si>
    <t>&lt;a href="http://a836-acris.nyc.gov/DS/DocumentSearch/DocumentDetail?doc_id=2019041200534001" target="_blank"&gt;Verified by Public Record&lt;/a&gt;</t>
  </si>
  <si>
    <t>&lt;a href="http://a836-acris.nyc.gov/DS/DocumentSearch/DocumentDetail?doc_id=2019091900935002" target="_blank"&gt;Verified by Public Record&lt;/a&gt;</t>
  </si>
  <si>
    <t>&lt;a href="http://a836-acris.nyc.gov/DS/DocumentSearch/DocumentDetail?doc_id=2019041700283001" target="_blank"&gt;Verified by Public Record&lt;/a&gt;</t>
  </si>
  <si>
    <t>&lt;a href="http://a836-acris.nyc.gov/DS/DocumentSearch/DocumentDetail?doc_id=2018090700600001" target="_blank"&gt;Verified by Public Record&lt;/a&gt;</t>
  </si>
  <si>
    <t>&lt;a href="http://a836-acris.nyc.gov/DS/DocumentSearch/DocumentDetail?doc_id=2019041800153001" target="_blank"&gt;Verified by Public Record&lt;/a&gt;</t>
  </si>
  <si>
    <t>&lt;a href="http://a836-acris.nyc.gov/DS/DocumentSearch/DocumentDetail?doc_id=2018070500995001" target="_blank"&gt;Verified by Public Record&lt;/a&gt;</t>
  </si>
  <si>
    <t>&lt;a href="http://a836-acris.nyc.gov/DS/DocumentSearch/DocumentDetail?doc_id=2018100101065002" target="_blank"&gt;Verified by Public Record&lt;/a&gt;</t>
  </si>
  <si>
    <t>&lt;a href="http://a836-acris.nyc.gov/DS/DocumentSearch/DocumentDetail?doc_id=2019121900203002" target="_blank"&gt;Verified by Public Record&lt;/a&gt;</t>
  </si>
  <si>
    <t>&lt;a href="http://a836-acris.nyc.gov/DS/DocumentSearch/DocumentDetail?doc_id=2018120400376001" target="_blank"&gt;Verified by Public Record&lt;/a&gt;</t>
  </si>
  <si>
    <t>Private Terrace
Common Roof Deck</t>
  </si>
  <si>
    <t>&lt;a href="http://a836-acris.nyc.gov/DS/DocumentSearch/DocumentDetail?doc_id=2021053000068001" target="_blank"&gt;Verified by Public Record&lt;/a&gt;</t>
  </si>
  <si>
    <t>&lt;a href="http://a836-acris.nyc.gov/DS/DocumentSearch/DocumentDetail?doc_id=2021021700043002" target="_blank"&gt;Verified by Public Record&lt;/a&gt;</t>
  </si>
  <si>
    <t>Co-op/House/Building/Condo</t>
  </si>
  <si>
    <t>&lt;a href="http://a836-acris.nyc.gov/DS/DocumentSearch/DocumentDetail?doc_id=2019050100537005" target="_blank"&gt;Verified by Public Record&lt;/a&gt;</t>
  </si>
  <si>
    <t>&lt;a href="http://a836-acris.nyc.gov/DS/DocumentSearch/DocumentDetail?doc_id=2018082200520002" target="_blank"&gt;Verified by Public Record&lt;/a&gt;</t>
  </si>
  <si>
    <t>&lt;a href="http://a836-acris.nyc.gov/DS/DocumentSearch/DocumentDetail?doc_id=2017060600594001" target="_blank"&gt;Public Record Only&lt;/a&gt;</t>
  </si>
  <si>
    <t>&lt;a href="http://a836-acris.nyc.gov/DS/DocumentSearch/DocumentDetail?doc_id=2016021201201001" target="_blank"&gt;Public Record Only&lt;/a&gt;</t>
  </si>
  <si>
    <t>&lt;a href="http://a836-acris.nyc.gov/DS/DocumentSearch/DocumentDetail?doc_id=2016092600241001" target="_blank"&gt;Public Record Only&lt;/a&gt;</t>
  </si>
  <si>
    <t>&lt;a href="http://a836-acris.nyc.gov/DS/DocumentSearch/DocumentDetail?doc_id=2016091401032001" target="_blank"&gt;Public Record Only&lt;/a&gt;</t>
  </si>
  <si>
    <t>&lt;a href="http://a836-acris.nyc.gov/DS/DocumentSearch/DocumentDetail?doc_id=2016083000835001" target="_blank"&gt;Public Record Only&lt;/a&gt;</t>
  </si>
  <si>
    <t>&lt;a href="http://a836-acris.nyc.gov/DS/DocumentSearch/DocumentDetail?doc_id=2016050600612001" target="_blank"&gt;Public Record Only&lt;/a&gt;</t>
  </si>
  <si>
    <t>&lt;a href="http://a836-acris.nyc.gov/DS/DocumentSearch/DocumentDetail?doc_id=2016112901234001" target="_blank"&gt;Public Record Only&lt;/a&gt;</t>
  </si>
  <si>
    <t>&lt;a href="http://a836-acris.nyc.gov/DS/DocumentSearch/DocumentDetail?doc_id=2016060300320001" target="_blank"&gt;Public Record Only&lt;/a&gt;</t>
  </si>
  <si>
    <t>&lt;a href="http://a836-acris.nyc.gov/DS/DocumentSearch/DocumentDetail?doc_id=2016122300278001" target="_blank"&gt;Public Record Only&lt;/a&gt;</t>
  </si>
  <si>
    <t>&lt;a href="http://a836-acris.nyc.gov/DS/DocumentSearch/DocumentDetail?doc_id=2017081100547001" target="_blank"&gt;Public Record Only&lt;/a&gt;</t>
  </si>
  <si>
    <t>&lt;a href="http://a836-acris.nyc.gov/DS/DocumentSearch/DocumentDetail?doc_id=2019122000547001" target="_blank"&gt;Verified by Public Record&lt;/a&gt;</t>
  </si>
  <si>
    <t>&lt;a href="http://a836-acris.nyc.gov/DS/DocumentSearch/DocumentDetail?doc_id=2017051700695002" target="_blank"&gt;Public Record Only&lt;/a&gt;</t>
  </si>
  <si>
    <t>&lt;a href="http://a836-acris.nyc.gov/DS/DocumentSearch/DocumentDetail?doc_id=2016112300014002" target="_blank"&gt;Public Record Only&lt;/a&gt;</t>
  </si>
  <si>
    <t>&lt;a href="http://a836-acris.nyc.gov/DS/DocumentSearch/DocumentDetail?doc_id=2016051600868001" target="_blank"&gt;Public Record Only&lt;/a&gt;</t>
  </si>
  <si>
    <t>&lt;a href="http://a836-acris.nyc.gov/DS/DocumentSearch/DocumentDetail?doc_id=2016080200978002" target="_blank"&gt;Public Record Only&lt;/a&gt;</t>
  </si>
  <si>
    <t>&lt;a href="http://a836-acris.nyc.gov/DS/DocumentSearch/DocumentDetail?doc_id=2016070700856001" target="_blank"&gt;Public Record Only&lt;/a&gt;</t>
  </si>
  <si>
    <t>&lt;a href="http://a836-acris.nyc.gov/DS/DocumentSearch/DocumentDetail?doc_id=2016081600865002" target="_blank"&gt;Public Record Only&lt;/a&gt;</t>
  </si>
  <si>
    <t>&lt;a href="http://a836-acris.nyc.gov/DS/DocumentSearch/DocumentDetail?doc_id=2016122300268001" target="_blank"&gt;Public Record Only&lt;/a&gt;</t>
  </si>
  <si>
    <t>&lt;a href="http://a836-acris.nyc.gov/DS/DocumentSearch/DocumentDetail?doc_id=2016042501098001" target="_blank"&gt;Public Record Only&lt;/a&gt;</t>
  </si>
  <si>
    <t>&lt;a href="http://a836-acris.nyc.gov/DS/DocumentSearch/DocumentDetail?doc_id=2016092300726001" target="_blank"&gt;Public Record Only&lt;/a&gt;</t>
  </si>
  <si>
    <t>&lt;a href="http://a836-acris.nyc.gov/DS/DocumentSearch/DocumentDetail?doc_id=2020121500294001" target="_blank"&gt;Verified by Public Record&lt;/a&gt;</t>
  </si>
  <si>
    <t>&lt;a href="http://a836-acris.nyc.gov/DS/DocumentSearch/DocumentDetail?doc_id=2021051100514002" target="_blank"&gt;Verified by Public Record&lt;/a&gt;</t>
  </si>
  <si>
    <t>&lt;a href="http://a836-acris.nyc.gov/DS/DocumentSearch/DocumentDetail?doc_id=2020110300419001" target="_blank"&gt;Verified by Public Record&lt;/a&gt;</t>
  </si>
  <si>
    <t>&lt;a href="http://a836-acris.nyc.gov/DS/DocumentSearch/DocumentDetail?doc_id=2019030701046001" target="_blank"&gt;Verified by Public Record&lt;/a&gt;</t>
  </si>
  <si>
    <t>&lt;a href="http://a836-acris.nyc.gov/DS/DocumentSearch/DocumentDetail?doc_id=2021012501482001" target="_blank"&gt;Public Record Only&lt;/a&gt;</t>
  </si>
  <si>
    <t>&lt;a href="http://a836-acris.nyc.gov/DS/DocumentSearch/DocumentDetail?doc_id=2021060100637004" target="_blank"&gt;Verified by Public Record&lt;/a&gt;</t>
  </si>
  <si>
    <t>&lt;a href="http://a836-acris.nyc.gov/DS/DocumentSearch/DocumentDetail?doc_id=2019061001078001" target="_blank"&gt;Verified by Public Record&lt;/a&gt;</t>
  </si>
  <si>
    <t>&lt;a href="http://a836-acris.nyc.gov/DS/DocumentSearch/DocumentDetail?doc_id=2017112100118001" target="_blank"&gt;Public Record Only&lt;/a&gt;</t>
  </si>
  <si>
    <t>&lt;a href="http://a836-acris.nyc.gov/DS/DocumentSearch/DocumentDetail?doc_id=2016122801632001" target="_blank"&gt;Public Record Only&lt;/a&gt;</t>
  </si>
  <si>
    <t>&lt;a href="http://a836-acris.nyc.gov/DS/DocumentSearch/DocumentDetail?doc_id=2016092201351001" target="_blank"&gt;Public Record Only&lt;/a&gt;</t>
  </si>
  <si>
    <t>&lt;a href="http://a836-acris.nyc.gov/DS/DocumentSearch/DocumentDetail?doc_id=2019031200613001" target="_blank"&gt;Verified by Public Record&lt;/a&gt;</t>
  </si>
  <si>
    <t>&lt;a href="http://a836-acris.nyc.gov/DS/DocumentSearch/DocumentDetail?doc_id=2019101400060001" target="_blank"&gt;Verified by Public Record&lt;/a&gt;</t>
  </si>
  <si>
    <t>&lt;a href="http://a836-acris.nyc.gov/DS/DocumentSearch/DocumentDetail?doc_id=2019032200200001" target="_blank"&gt;Verified by Public Record&lt;/a&gt;</t>
  </si>
  <si>
    <t>&lt;a href="http://a836-acris.nyc.gov/DS/DocumentSearch/DocumentDetail?doc_id=2017022300653001" target="_blank"&gt;Public Record Only&lt;/a&gt;</t>
  </si>
  <si>
    <t>&lt;a href="http://a836-acris.nyc.gov/DS/DocumentSearch/DocumentDetail?doc_id=2017062000311001" target="_blank"&gt;Verified by Public Record&lt;/a&gt;</t>
  </si>
  <si>
    <t>Deck
Roof Deck
Common Roof Deck
Common Outdoor Space
Private Outdoor Space</t>
  </si>
  <si>
    <t>&lt;a href="http://a836-acris.nyc.gov/DS/DocumentSearch/DocumentDetail?doc_id=2016040500721001" target="_blank"&gt;Public Record Only&lt;/a&gt;</t>
  </si>
  <si>
    <t>&lt;a href="http://a836-acris.nyc.gov/DS/DocumentSearch/DocumentDetail?doc_id=2016053100958001" target="_blank"&gt;Public Record Only&lt;/a&gt;</t>
  </si>
  <si>
    <t>&lt;a href="http://a836-acris.nyc.gov/DS/DocumentSearch/DocumentDetail?doc_id=2016050301001009" target="_blank"&gt;Public Record Only&lt;/a&gt;</t>
  </si>
  <si>
    <t>&lt;a href="http://a836-acris.nyc.gov/DS/DocumentSearch/DocumentDetail?doc_id=2016052600500004" target="_blank"&gt;Public Record Only&lt;/a&gt;</t>
  </si>
  <si>
    <t>&lt;a href="http://a836-acris.nyc.gov/DS/DocumentSearch/DocumentDetail?doc_id=2020081100060001" target="_blank"&gt;Public Record Only&lt;/a&gt;</t>
  </si>
  <si>
    <t>&lt;a href="http://a836-acris.nyc.gov/DS/DocumentSearch/DocumentDetail?doc_id=2019092300259001" target="_blank"&gt;Public Record Only&lt;/a&gt;</t>
  </si>
  <si>
    <t>&lt;a href="http://a836-acris.nyc.gov/DS/DocumentSearch/DocumentDetail?doc_id=2018090600608001" target="_blank"&gt;Verified by Public Record&lt;/a&gt;</t>
  </si>
  <si>
    <t>&lt;a href="http://a836-acris.nyc.gov/DS/DocumentSearch/DocumentDetail?doc_id=2018092000165001" target="_blank"&gt;Verified by Public Record&lt;/a&gt;</t>
  </si>
  <si>
    <t>&lt;a href="http://a836-acris.nyc.gov/DS/DocumentSearch/DocumentDetail?doc_id=2018082200887001" target="_blank"&gt;Verified by Public Record&lt;/a&gt;</t>
  </si>
  <si>
    <t>&lt;a href="http://a836-acris.nyc.gov/DS/DocumentSearch/DocumentDetail?doc_id=2018120400638001" target="_blank"&gt;Verified by Public Record&lt;/a&gt;</t>
  </si>
  <si>
    <t>&lt;a href="http://a836-acris.nyc.gov/DS/DocumentSearch/DocumentDetail?doc_id=2018120300463003" target="_blank"&gt;Verified by Public Record&lt;/a&gt;</t>
  </si>
  <si>
    <t>&lt;a href="http://a836-acris.nyc.gov/DS/DocumentSearch/DocumentDetail?doc_id=2019062100473001" target="_blank"&gt;Verified by Public Record&lt;/a&gt;</t>
  </si>
  <si>
    <t>&lt;a href="http://a836-acris.nyc.gov/DS/DocumentSearch/DocumentDetail?doc_id=2017062201196002" target="_blank"&gt;Verified by Public Record&lt;/a&gt;</t>
  </si>
  <si>
    <t>&lt;a href="http://a836-acris.nyc.gov/DS/DocumentSearch/DocumentDetail?doc_id=2021022300016002" target="_blank"&gt;Verified by Public Record&lt;/a&gt;</t>
  </si>
  <si>
    <t>&lt;a href="http://a836-acris.nyc.gov/DS/DocumentSearch/DocumentDetail?doc_id=2019020600976001" target="_blank"&gt;Verified by Public Record&lt;/a&gt;</t>
  </si>
  <si>
    <t>&lt;a href="http://a836-acris.nyc.gov/DS/DocumentSearch/DocumentDetail?doc_id=2017072000774003" target="_blank"&gt;Public Record Only&lt;/a&gt;</t>
  </si>
  <si>
    <t>&lt;a href="http://a836-acris.nyc.gov/DS/DocumentSearch/DocumentDetail?doc_id=2016122701462001" target="_blank"&gt;Public Record Only&lt;/a&gt;</t>
  </si>
  <si>
    <t>&lt;a href="http://a836-acris.nyc.gov/DS/DocumentSearch/DocumentDetail?doc_id=2017021400081001" target="_blank"&gt;Public Record Only&lt;/a&gt;</t>
  </si>
  <si>
    <t>&lt;a href="http://a836-acris.nyc.gov/DS/DocumentSearch/DocumentDetail?doc_id=2016090600992002" target="_blank"&gt;Public Record Only&lt;/a&gt;</t>
  </si>
  <si>
    <t>&lt;a href="http://a836-acris.nyc.gov/DS/DocumentSearch/DocumentDetail?doc_id=2015121601005002" target="_blank"&gt;Public Record Only&lt;/a&gt;</t>
  </si>
  <si>
    <t>&lt;a href="http://a836-acris.nyc.gov/DS/DocumentSearch/DocumentDetail?doc_id=2015120200984001" target="_blank"&gt;Public Record Only&lt;/a&gt;</t>
  </si>
  <si>
    <t>&lt;a href="http://a836-acris.nyc.gov/DS/DocumentSearch/DocumentDetail?doc_id=2015122900669003" target="_blank"&gt;Public Record Only&lt;/a&gt;</t>
  </si>
  <si>
    <t>&lt;a href="http://a836-acris.nyc.gov/DS/DocumentSearch/DocumentDetail?doc_id=2016042700402002" target="_blank"&gt;Public Record Only&lt;/a&gt;</t>
  </si>
  <si>
    <t>&lt;a href="http://a836-acris.nyc.gov/DS/DocumentSearch/DocumentDetail?doc_id=2015122100564004" target="_blank"&gt;Public Record Only&lt;/a&gt;</t>
  </si>
  <si>
    <t>&lt;a href="http://a836-acris.nyc.gov/DS/DocumentSearch/DocumentDetail?doc_id=2015110301279001" target="_blank"&gt;Public Record Only&lt;/a&gt;</t>
  </si>
  <si>
    <t>&lt;a href="http://a836-acris.nyc.gov/DS/DocumentSearch/DocumentDetail?doc_id=2016042600905001" target="_blank"&gt;Public Record Only&lt;/a&gt;</t>
  </si>
  <si>
    <t>&lt;a href="http://a836-acris.nyc.gov/DS/DocumentSearch/DocumentDetail?doc_id=2016041900239001" target="_blank"&gt;Public Record Only&lt;/a&gt;</t>
  </si>
  <si>
    <t>&lt;a href="http://a836-acris.nyc.gov/DS/DocumentSearch/DocumentDetail?doc_id=2016060800350002" target="_blank"&gt;Public Record Only&lt;/a&gt;</t>
  </si>
  <si>
    <t>&lt;a href="http://a836-acris.nyc.gov/DS/DocumentSearch/DocumentDetail?doc_id=2016060700640001" target="_blank"&gt;Public Record Only&lt;/a&gt;</t>
  </si>
  <si>
    <t>&lt;a href="http://a836-acris.nyc.gov/DS/DocumentSearch/DocumentDetail?doc_id=2016060601005001" target="_blank"&gt;Public Record Only&lt;/a&gt;</t>
  </si>
  <si>
    <t>&lt;a href="http://a836-acris.nyc.gov/DS/DocumentSearch/DocumentDetail?doc_id=2016042101065002" target="_blank"&gt;Public Record Only&lt;/a&gt;</t>
  </si>
  <si>
    <t>&lt;a href="http://a836-acris.nyc.gov/DS/DocumentSearch/DocumentDetail?doc_id=2016070800826001" target="_blank"&gt;Public Record Only&lt;/a&gt;</t>
  </si>
  <si>
    <t>&lt;a href="http://a836-acris.nyc.gov/DS/DocumentSearch/DocumentDetail?doc_id=2016111400439002" target="_blank"&gt;Public Record Only&lt;/a&gt;</t>
  </si>
  <si>
    <t>&lt;a href="http://a836-acris.nyc.gov/DS/DocumentSearch/DocumentDetail?doc_id=2016080200455003" target="_blank"&gt;Public Record Only&lt;/a&gt;</t>
  </si>
  <si>
    <t>&lt;a href="http://a836-acris.nyc.gov/DS/DocumentSearch/DocumentDetail?doc_id=2017052200119001" target="_blank"&gt;Public Record Only&lt;/a&gt;</t>
  </si>
  <si>
    <t>&lt;a href="http://a836-acris.nyc.gov/DS/DocumentSearch/DocumentDetail?doc_id=2016121401904002" target="_blank"&gt;Public Record Only&lt;/a&gt;</t>
  </si>
  <si>
    <t>&lt;a href="http://a836-acris.nyc.gov/DS/DocumentSearch/DocumentDetail?doc_id=2017042401025001" target="_blank"&gt;Public Record Only&lt;/a&gt;</t>
  </si>
  <si>
    <t>&lt;a href="http://a836-acris.nyc.gov/DS/DocumentSearch/DocumentDetail?doc_id=2017042800534001" target="_blank"&gt;Public Record Only&lt;/a&gt;</t>
  </si>
  <si>
    <t>&lt;a href="http://a836-acris.nyc.gov/DS/DocumentSearch/DocumentDetail?doc_id=2017022400454001" target="_blank"&gt;Public Record Only&lt;/a&gt;</t>
  </si>
  <si>
    <t>&lt;a href="http://a836-acris.nyc.gov/DS/DocumentSearch/DocumentDetail?doc_id=2016091900614001" target="_blank"&gt;Public Record Only&lt;/a&gt;</t>
  </si>
  <si>
    <t>&lt;a href="http://a836-acris.nyc.gov/DS/DocumentSearch/DocumentDetail?doc_id=2016092600209001" target="_blank"&gt;Public Record Only&lt;/a&gt;</t>
  </si>
  <si>
    <t>&lt;a href="http://a836-acris.nyc.gov/DS/DocumentSearch/DocumentDetail?doc_id=2021062900418001" target="_blank"&gt;Public Record Only&lt;/a&gt;</t>
  </si>
  <si>
    <t>&lt;a href="http://a836-acris.nyc.gov/DS/DocumentSearch/DocumentDetail?doc_id=2021052800747003" target="_blank"&gt;Public Record Only&lt;/a&gt;</t>
  </si>
  <si>
    <t>&lt;a href="http://a836-acris.nyc.gov/DS/DocumentSearch/DocumentDetail?doc_id=2019062500008001" target="_blank"&gt;Verified by Public Record&lt;/a&gt;</t>
  </si>
  <si>
    <t>&lt;a href="http://a836-acris.nyc.gov/DS/DocumentSearch/DocumentDetail?doc_id=2019082300952001" target="_blank"&gt;Verified by Public Record&lt;/a&gt;</t>
  </si>
  <si>
    <t>&lt;a href="http://a836-acris.nyc.gov/DS/DocumentSearch/DocumentDetail?doc_id=2019071000767004" target="_blank"&gt;Verified by Public Record&lt;/a&gt;</t>
  </si>
  <si>
    <t>&lt;a href="http://a836-acris.nyc.gov/DS/DocumentSearch/DocumentDetail?doc_id=2019091901332001" target="_blank"&gt;Public Record Only&lt;/a&gt;</t>
  </si>
  <si>
    <t>&lt;a href="http://a836-acris.nyc.gov/DS/DocumentSearch/DocumentDetail?doc_id=2021030200469003" target="_blank"&gt;Verified by Public Record&lt;/a&gt;</t>
  </si>
  <si>
    <t>&lt;a href="http://a836-acris.nyc.gov/DS/DocumentSearch/DocumentDetail?doc_id=2020032400307002" target="_blank"&gt;Public Record Only&lt;/a&gt;</t>
  </si>
  <si>
    <t>&lt;a href="http://a836-acris.nyc.gov/DS/DocumentSearch/DocumentDetail?doc_id=2018091400414001" target="_blank"&gt;Verified by Public Record&lt;/a&gt;</t>
  </si>
  <si>
    <t>&lt;a href="http://a836-acris.nyc.gov/DS/DocumentSearch/DocumentDetail?doc_id=2018120401225005" target="_blank"&gt;Verified by Public Record&lt;/a&gt;</t>
  </si>
  <si>
    <t>Commercial/Condo</t>
  </si>
  <si>
    <t>&lt;a href="http://a836-acris.nyc.gov/DS/DocumentSearch/DocumentDetail?doc_id=2017081800403001" target="_blank"&gt;Verified by Public Record&lt;/a&gt;</t>
  </si>
  <si>
    <t>&lt;a href="http://a836-acris.nyc.gov/DS/DocumentSearch/DocumentDetail?doc_id=2019030100689001" target="_blank"&gt;Verified by Public Record&lt;/a&gt;</t>
  </si>
  <si>
    <t>&lt;a href="http://a836-acris.nyc.gov/DS/DocumentSearch/DocumentDetail?doc_id=2019070800259001" target="_blank"&gt;Verified by Public Record&lt;/a&gt;</t>
  </si>
  <si>
    <t>&lt;a href="http://a836-acris.nyc.gov/DS/DocumentSearch/DocumentDetail?doc_id=2019070201357003" target="_blank"&gt;Verified by Public Record&lt;/a&gt;</t>
  </si>
  <si>
    <t>&lt;a href="http://a836-acris.nyc.gov/DS/DocumentSearch/DocumentDetail?doc_id=2020020600105001" target="_blank"&gt;Public Record Only&lt;/a&gt;</t>
  </si>
  <si>
    <t>&lt;a href="http://a836-acris.nyc.gov/DS/DocumentSearch/DocumentDetail?doc_id=2019040300342001" target="_blank"&gt;Verified by Public Record&lt;/a&gt;</t>
  </si>
  <si>
    <t>&lt;a href="http://a836-acris.nyc.gov/DS/DocumentSearch/DocumentDetail?doc_id=2017071300071001" target="_blank"&gt;Verified by Public Record&lt;/a&gt;</t>
  </si>
  <si>
    <t>&lt;a href="http://a836-acris.nyc.gov/DS/DocumentSearch/DocumentDetail?doc_id=2017061900382001" target="_blank"&gt;Verified by Public Record&lt;/a&gt;</t>
  </si>
  <si>
    <t>&lt;a href="http://a836-acris.nyc.gov/DS/DocumentSearch/DocumentDetail?doc_id=2019022800147002" target="_blank"&gt;Verified by Public Record&lt;/a&gt;</t>
  </si>
  <si>
    <t>Private Roof Deck
Deck
Roof Deck
Common Roof Deck
Common Garden
Common Outdoor Space
Private Outdoor Space</t>
  </si>
  <si>
    <t>&lt;a href="http://a836-acris.nyc.gov/DS/DocumentSearch/DocumentDetail?doc_id=2019062000455001" target="_blank"&gt;Verified by Public Record&lt;/a&gt;</t>
  </si>
  <si>
    <t>&lt;a href="http://a836-acris.nyc.gov/DS/DocumentSearch/DocumentDetail?doc_id=2019020100196001" target="_blank"&gt;Verified by Public Record&lt;/a&gt;</t>
  </si>
  <si>
    <t>&lt;a href="http://a836-acris.nyc.gov/DS/DocumentSearch/DocumentDetail?doc_id=2019062601363001" target="_blank"&gt;Verified by Public Record&lt;/a&gt;</t>
  </si>
  <si>
    <t>&lt;a href="http://a836-acris.nyc.gov/DS/DocumentSearch/DocumentDetail?doc_id=2017061900711001" target="_blank"&gt;Verified by Public Record&lt;/a&gt;</t>
  </si>
  <si>
    <t>&lt;a href="http://a836-acris.nyc.gov/DS/DocumentSearch/DocumentDetail?doc_id=2019013100451001" target="_blank"&gt;Verified by Public Record&lt;/a&gt;</t>
  </si>
  <si>
    <t>&lt;a href="http://a836-acris.nyc.gov/DS/DocumentSearch/DocumentDetail?doc_id=2019052801210001" target="_blank"&gt;Verified by Public Record&lt;/a&gt;</t>
  </si>
  <si>
    <t>&lt;a href="http://a836-acris.nyc.gov/DS/DocumentSearch/DocumentDetail?doc_id=2019022800425001" target="_blank"&gt;Verified by Public Record&lt;/a&gt;</t>
  </si>
  <si>
    <t>&lt;a href="http://a836-acris.nyc.gov/DS/DocumentSearch/DocumentDetail?doc_id=2019031800466001" target="_blank"&gt;Verified by Public Record&lt;/a&gt;</t>
  </si>
  <si>
    <t>&lt;a href="http://a836-acris.nyc.gov/DS/DocumentSearch/DocumentDetail?doc_id=2019062500845001" target="_blank"&gt;Verified by Public Record&lt;/a&gt;</t>
  </si>
  <si>
    <t>&lt;a href="http://a836-acris.nyc.gov/DS/DocumentSearch/DocumentDetail?doc_id=2017070700615001" target="_blank"&gt;Verified by Public Record&lt;/a&gt;</t>
  </si>
  <si>
    <t>&lt;a href="http://a836-acris.nyc.gov/DS/DocumentSearch/DocumentDetail?doc_id=2017062300616002" target="_blank"&gt;Verified by Public Record&lt;/a&gt;</t>
  </si>
  <si>
    <t>&lt;a href="http://a836-acris.nyc.gov/DS/DocumentSearch/DocumentDetail?doc_id=2017071301087001" target="_blank"&gt;Verified by Public Record&lt;/a&gt;</t>
  </si>
  <si>
    <t>&lt;a href="http://a836-acris.nyc.gov/DS/DocumentSearch/DocumentDetail?doc_id=2019071600213003" target="_blank"&gt;Verified by Public Record&lt;/a&gt;</t>
  </si>
  <si>
    <t>&lt;a href="http://a836-acris.nyc.gov/DS/DocumentSearch/DocumentDetail?doc_id=2019071000358001" target="_blank"&gt;Verified by Public Record&lt;/a&gt;</t>
  </si>
  <si>
    <t>&lt;a href="http://a836-acris.nyc.gov/DS/DocumentSearch/DocumentDetail?doc_id=2019090400925001" target="_blank"&gt;Public Record Only&lt;/a&gt;</t>
  </si>
  <si>
    <t>&lt;a href="http://a836-acris.nyc.gov/DS/DocumentSearch/DocumentDetail?doc_id=2021010700154006" target="_blank"&gt;Public Record Only&lt;/a&gt;</t>
  </si>
  <si>
    <t>&lt;a href="http://a836-acris.nyc.gov/DS/DocumentSearch/DocumentDetail?doc_id=2020101600232003" target="_blank"&gt;Verified by Public Record&lt;/a&gt;</t>
  </si>
  <si>
    <t>Private Terrace
Private Wrap Around Terrace
Roof Deck
Common Roof Deck
Common Garden
Common Outdoor Space
Private Outdoor Space</t>
  </si>
  <si>
    <t>&lt;a href="http://a836-acris.nyc.gov/DS/DocumentSearch/DocumentDetail?doc_id=2017062800637001" target="_blank"&gt;Verified by Public Record&lt;/a&gt;</t>
  </si>
  <si>
    <t>&lt;a href="http://a836-acris.nyc.gov/DS/DocumentSearch/DocumentDetail?doc_id=2017110900790001" target="_blank"&gt;Verified by Public Record&lt;/a&gt;</t>
  </si>
  <si>
    <t>&lt;a href="http://a836-acris.nyc.gov/DS/DocumentSearch/DocumentDetail?doc_id=2021063000667001" target="_blank"&gt;Verified by Public Record&lt;/a&gt;</t>
  </si>
  <si>
    <t>&lt;a href="http://a836-acris.nyc.gov/DS/DocumentSearch/DocumentDetail?doc_id=2019062700520001" target="_blank"&gt;Verified by Public Record&lt;/a&gt;</t>
  </si>
  <si>
    <t>&lt;a href="http://a836-acris.nyc.gov/DS/DocumentSearch/DocumentDetail?doc_id=2017040200016001" target="_blank"&gt;Verified by Public Record&lt;/a&gt;</t>
  </si>
  <si>
    <t>Private Terrace
Private Roof Deck
Common Outdoor Space
Private Outdoor Space</t>
  </si>
  <si>
    <t>&lt;a href="http://a836-acris.nyc.gov/DS/DocumentSearch/DocumentDetail?doc_id=2017081600557001" target="_blank"&gt;Verified by Public Record&lt;/a&gt;</t>
  </si>
  <si>
    <t>&lt;a href="http://a836-acris.nyc.gov/DS/DocumentSearch/DocumentDetail?doc_id=2017071200297001" target="_blank"&gt;Verified by Public Record&lt;/a&gt;</t>
  </si>
  <si>
    <t>&lt;a href="http://a836-acris.nyc.gov/DS/DocumentSearch/DocumentDetail?doc_id=2017112000862001" target="_blank"&gt;Verified by Public Record&lt;/a&gt;</t>
  </si>
  <si>
    <t>&lt;a href="http://a836-acris.nyc.gov/DS/DocumentSearch/DocumentDetail?doc_id=2017062200365001" target="_blank"&gt;Verified by Public Record&lt;/a&gt;</t>
  </si>
  <si>
    <t>&lt;a href="http://a836-acris.nyc.gov/DS/DocumentSearch/DocumentDetail?doc_id=2018092500117001" target="_blank"&gt;Verified by Public Record&lt;/a&gt;</t>
  </si>
  <si>
    <t>Juliet Balcony
Deck
Roof Deck
Common Roof Deck
Common Outdoor Space
Private Outdoor Space</t>
  </si>
  <si>
    <t>&lt;a href="http://a836-acris.nyc.gov/DS/DocumentSearch/DocumentDetail?doc_id=2018052400322001" target="_blank"&gt;Verified by Public Record&lt;/a&gt;</t>
  </si>
  <si>
    <t>Balcony
Private Terrace
Deck
Roof Deck
Common Roof Deck
Common Outdoor Space
Private Outdoor Space</t>
  </si>
  <si>
    <t>&lt;a href="http://a836-acris.nyc.gov/DS/DocumentSearch/DocumentDetail?doc_id=2019061701126001" target="_blank"&gt;Verified by Public Record&lt;/a&gt;</t>
  </si>
  <si>
    <t>&lt;a href="http://a836-acris.nyc.gov/DS/DocumentSearch/DocumentDetail?doc_id=2019010900188001" target="_blank"&gt;Verified by Public Record&lt;/a&gt;</t>
  </si>
  <si>
    <t>&lt;a href="http://a836-acris.nyc.gov/DS/DocumentSearch/DocumentDetail?doc_id=2018012201039001" target="_blank"&gt;Verified by Public Record&lt;/a&gt;</t>
  </si>
  <si>
    <t>Juliet Balcony
Private Terrace
Deck
Roof Deck
Common Roof Deck
Common Outdoor Space</t>
  </si>
  <si>
    <t>Private Terrace
Deck
Roof Deck
Common Roof Deck
Common Outdoor Space</t>
  </si>
  <si>
    <t>&lt;a href="http://a836-acris.nyc.gov/DS/DocumentSearch/DocumentDetail?doc_id=2021073000410001" target="_blank"&gt;Verified by Public Record&lt;/a&gt;</t>
  </si>
  <si>
    <t>&lt;a href="http://a836-acris.nyc.gov/DS/DocumentSearch/DocumentDetail?doc_id=2021080600938001" target="_blank"&gt;Public Record Only&lt;/a&gt;</t>
  </si>
  <si>
    <t>&lt;a href="http://a836-acris.nyc.gov/DS/DocumentSearch/DocumentDetail?doc_id=2018081800003001" target="_blank"&gt;Public Record Only&lt;/a&gt;</t>
  </si>
  <si>
    <t>&lt;a href="http://a836-acris.nyc.gov/DS/DocumentSearch/DocumentDetail?doc_id=2019052900093009" target="_blank"&gt;Public Record Only&lt;/a&gt;</t>
  </si>
  <si>
    <t>&lt;a href="http://a836-acris.nyc.gov/DS/DocumentSearch/DocumentDetail?doc_id=2019090301233002" target="_blank"&gt;Public Record Only&lt;/a&gt;</t>
  </si>
  <si>
    <t>&lt;a href="http://a836-acris.nyc.gov/DS/DocumentSearch/DocumentDetail?doc_id=2018072501017001" target="_blank"&gt;Public Record Only&lt;/a&gt;</t>
  </si>
  <si>
    <t>&lt;a href="http://a836-acris.nyc.gov/DS/DocumentSearch/DocumentDetail?doc_id=2019123100454002" target="_blank"&gt;Public Record Only&lt;/a&gt;</t>
  </si>
  <si>
    <t>&lt;a href="http://a836-acris.nyc.gov/DS/DocumentSearch/DocumentDetail?doc_id=2018090601091001" target="_blank"&gt;Public Record Only&lt;/a&gt;</t>
  </si>
  <si>
    <t>&lt;a href="http://a836-acris.nyc.gov/DS/DocumentSearch/DocumentDetail?doc_id=2018090600948001" target="_blank"&gt;Public Record Only&lt;/a&gt;</t>
  </si>
  <si>
    <t>&lt;a href="http://a836-acris.nyc.gov/DS/DocumentSearch/DocumentDetail?doc_id=2018091700334002" target="_blank"&gt;Public Record Only&lt;/a&gt;</t>
  </si>
  <si>
    <t>&lt;a href="http://a836-acris.nyc.gov/DS/DocumentSearch/DocumentDetail?doc_id=2018071801155001" target="_blank"&gt;Public Record Only&lt;/a&gt;</t>
  </si>
  <si>
    <t>&lt;a href="http://a836-acris.nyc.gov/DS/DocumentSearch/DocumentDetail?doc_id=2018072700355001" target="_blank"&gt;Public Record Only&lt;/a&gt;</t>
  </si>
  <si>
    <t>&lt;a href="http://a836-acris.nyc.gov/DS/DocumentSearch/DocumentDetail?doc_id=2015090301170001" target="_blank"&gt;Public Record Only&lt;/a&gt;</t>
  </si>
  <si>
    <t>&lt;a href="http://a836-acris.nyc.gov/DS/DocumentSearch/DocumentDetail?doc_id=2021062600103001" target="_blank"&gt;Public Record Only&lt;/a&gt;</t>
  </si>
  <si>
    <t>&lt;a href="http://a836-acris.nyc.gov/DS/DocumentSearch/DocumentDetail?doc_id=2021062600087001" target="_blank"&gt;Public Record Only&lt;/a&gt;</t>
  </si>
  <si>
    <t>&lt;a href="http://a836-acris.nyc.gov/DS/DocumentSearch/DocumentDetail?doc_id=2021062600061001" target="_blank"&gt;Public Record Only&lt;/a&gt;</t>
  </si>
  <si>
    <t>&lt;a href="http://a836-acris.nyc.gov/DS/DocumentSearch/DocumentDetail?doc_id=2021062600094001" target="_blank"&gt;Public Record Only&lt;/a&gt;</t>
  </si>
  <si>
    <t>&lt;a href="http://a836-acris.nyc.gov/DS/DocumentSearch/DocumentDetail?doc_id=2019052301184001" target="_blank"&gt;Public Record Only&lt;/a&gt;</t>
  </si>
  <si>
    <t>&lt;a href="http://a836-acris.nyc.gov/DS/DocumentSearch/DocumentDetail?doc_id=2019052801074003" target="_blank"&gt;Verified by Public Record&lt;/a&gt;</t>
  </si>
  <si>
    <t>&lt;a href="http://a836-acris.nyc.gov/DS/DocumentSearch/DocumentDetail?doc_id=2019050901129001" target="_blank"&gt;Verified by Public Record&lt;/a&gt;</t>
  </si>
  <si>
    <t>&lt;a href="http://a836-acris.nyc.gov/DS/DocumentSearch/DocumentDetail?doc_id=2019050600442001" target="_blank"&gt;Verified by Public Record&lt;/a&gt;</t>
  </si>
  <si>
    <t>&lt;a href="http://a836-acris.nyc.gov/DS/DocumentSearch/DocumentDetail?doc_id=2017112200755001" target="_blank"&gt;Verified by Public Record&lt;/a&gt;</t>
  </si>
  <si>
    <t>&lt;a href="http://a836-acris.nyc.gov/DS/DocumentSearch/DocumentDetail?doc_id=2019062600470001" target="_blank"&gt;Verified by Public Record&lt;/a&gt;</t>
  </si>
  <si>
    <t>&lt;a href="http://a836-acris.nyc.gov/DS/DocumentSearch/DocumentDetail?doc_id=2017111700058001" target="_blank"&gt;Verified by Public Record&lt;/a&gt;</t>
  </si>
  <si>
    <t>&lt;a href="http://a836-acris.nyc.gov/DS/DocumentSearch/DocumentDetail?doc_id=2018061100853003" target="_blank"&gt;Verified by Public Record&lt;/a&gt;</t>
  </si>
  <si>
    <t>&lt;a href="http://a836-acris.nyc.gov/DS/DocumentSearch/DocumentDetail?doc_id=2021020501101007" target="_blank"&gt;Verified by Public Record&lt;/a&gt;</t>
  </si>
  <si>
    <t>&lt;a href="http://a836-acris.nyc.gov/DS/DocumentSearch/DocumentDetail?doc_id=2019062900022001" target="_blank"&gt;Verified by Public Record&lt;/a&gt;</t>
  </si>
  <si>
    <t>&lt;a href="http://a836-acris.nyc.gov/DS/DocumentSearch/DocumentDetail?doc_id=2018021600942001" target="_blank"&gt;Verified by Public Record&lt;/a&gt;</t>
  </si>
  <si>
    <t>Doorman, Full-Time Doorman, Concierge, Full-Service Building</t>
  </si>
  <si>
    <t>&lt;a href="http://a836-acris.nyc.gov/DS/DocumentSearch/DocumentDetail?doc_id=2020082700392001" target="_blank"&gt;Verified by Public Record&lt;/a&gt;</t>
  </si>
  <si>
    <t>&lt;a href="http://a836-acris.nyc.gov/DS/DocumentSearch/DocumentDetail?doc_id=2017092000114002" target="_blank"&gt;Verified by Public Record&lt;/a&gt;</t>
  </si>
  <si>
    <t>&lt;a href="http://a836-acris.nyc.gov/DS/DocumentSearch/DocumentDetail?doc_id=2017071801098001" target="_blank"&gt;Verified by Public Record&lt;/a&gt;</t>
  </si>
  <si>
    <t>Common Garden
Private Outdoor Space</t>
  </si>
  <si>
    <t>&lt;a href="http://a836-acris.nyc.gov/DS/DocumentSearch/DocumentDetail?doc_id=2017122700350001" target="_blank"&gt;Public Record Only&lt;/a&gt;</t>
  </si>
  <si>
    <t>&lt;a href="http://a836-acris.nyc.gov/DS/DocumentSearch/DocumentDetail?doc_id=2019020600915003" target="_blank"&gt;Public Record Only&lt;/a&gt;</t>
  </si>
  <si>
    <t>&lt;a href="http://a836-acris.nyc.gov/DS/DocumentSearch/DocumentDetail?doc_id=2021052701662001" target="_blank"&gt;Verified by Public Record&lt;/a&gt;</t>
  </si>
  <si>
    <t>&lt;a href="http://a836-acris.nyc.gov/DS/DocumentSearch/DocumentDetail?doc_id=2019050600649001" target="_blank"&gt;Public Record Only&lt;/a&gt;</t>
  </si>
  <si>
    <t>&lt;a href="http://a836-acris.nyc.gov/DS/DocumentSearch/DocumentDetail?doc_id=2021062300992001" target="_blank"&gt;Verified by Public Record&lt;/a&gt;</t>
  </si>
  <si>
    <t>&lt;a href="http://a836-acris.nyc.gov/DS/DocumentSearch/DocumentDetail?doc_id=2021050701179002" target="_blank"&gt;Verified by Public Record&lt;/a&gt;</t>
  </si>
  <si>
    <t>&lt;a href="http://a836-acris.nyc.gov/DS/DocumentSearch/DocumentDetail?doc_id=2020111701057003" target="_blank"&gt;Verified by Public Record&lt;/a&gt;</t>
  </si>
  <si>
    <t>&lt;a href="http://a836-acris.nyc.gov/DS/DocumentSearch/DocumentDetail?doc_id=2020060300600002" target="_blank"&gt;Verified by Public Record&lt;/a&gt;</t>
  </si>
  <si>
    <t>&lt;a href="http://a836-acris.nyc.gov/DS/DocumentSearch/DocumentDetail?doc_id=2021060201362001" target="_blank"&gt;Verified by Public Record&lt;/a&gt;</t>
  </si>
  <si>
    <t>&lt;a href="http://a836-acris.nyc.gov/DS/DocumentSearch/DocumentDetail?doc_id=2021020801542001" target="_blank"&gt;Verified by Public Record&lt;/a&gt;</t>
  </si>
  <si>
    <t>&lt;a href="http://a836-acris.nyc.gov/DS/DocumentSearch/DocumentDetail?doc_id=2020110200971001" target="_blank"&gt;Verified by Public Record&lt;/a&gt;</t>
  </si>
  <si>
    <t>&lt;a href="http://a836-acris.nyc.gov/DS/DocumentSearch/DocumentDetail?doc_id=2020112000560003" target="_blank"&gt;Verified by Public Record&lt;/a&gt;</t>
  </si>
  <si>
    <t>&lt;a href="http://a836-acris.nyc.gov/DS/DocumentSearch/DocumentDetail?doc_id=2020102500015002" target="_blank"&gt;Verified by Public Record&lt;/a&gt;</t>
  </si>
  <si>
    <t>&lt;a href="http://a836-acris.nyc.gov/DS/DocumentSearch/DocumentDetail?doc_id=2020112000124001" target="_blank"&gt;Verified by Public Record&lt;/a&gt;</t>
  </si>
  <si>
    <t>&lt;a href="http://a836-acris.nyc.gov/DS/DocumentSearch/DocumentDetail?doc_id=2020021300574001" target="_blank"&gt;Verified by Public Record&lt;/a&gt;</t>
  </si>
  <si>
    <t>&lt;a href="http://a836-acris.nyc.gov/DS/DocumentSearch/DocumentDetail?doc_id=2020031700964002" target="_blank"&gt;Verified by Public Record&lt;/a&gt;</t>
  </si>
  <si>
    <t>&lt;a href="http://a836-acris.nyc.gov/DS/DocumentSearch/DocumentDetail?doc_id=2020092901233003" target="_blank"&gt;Verified by Public Record&lt;/a&gt;</t>
  </si>
  <si>
    <t>&lt;a href="http://a836-acris.nyc.gov/DS/DocumentSearch/DocumentDetail?doc_id=2020041200021001" target="_blank"&gt;Verified by Public Record&lt;/a&gt;</t>
  </si>
  <si>
    <t>&lt;a href="http://a836-acris.nyc.gov/DS/DocumentSearch/DocumentDetail?doc_id=2021051401149002" target="_blank"&gt;Verified by Public Record&lt;/a&gt;</t>
  </si>
  <si>
    <t>&lt;a href="http://a836-acris.nyc.gov/DS/DocumentSearch/DocumentDetail?doc_id=2020021400432001" target="_blank"&gt;Verified by Public Record&lt;/a&gt;</t>
  </si>
  <si>
    <t>&lt;a href="http://a836-acris.nyc.gov/DS/DocumentSearch/DocumentDetail?doc_id=2020030200362001" target="_blank"&gt;Verified by Public Record&lt;/a&gt;</t>
  </si>
  <si>
    <t>&lt;a href="http://a836-acris.nyc.gov/DS/DocumentSearch/DocumentDetail?doc_id=2020031300222001" target="_blank"&gt;Verified by Public Record&lt;/a&gt;</t>
  </si>
  <si>
    <t>&lt;a href="http://a836-acris.nyc.gov/DS/DocumentSearch/DocumentDetail?doc_id=2020031300212001" target="_blank"&gt;Verified by Public Record&lt;/a&gt;</t>
  </si>
  <si>
    <t>&lt;a href="http://a836-acris.nyc.gov/DS/DocumentSearch/DocumentDetail?doc_id=2020061800674001" target="_blank"&gt;Verified by Public Record&lt;/a&gt;</t>
  </si>
  <si>
    <t>&lt;a href="http://a836-acris.nyc.gov/DS/DocumentSearch/DocumentDetail?doc_id=2020061000724001" target="_blank"&gt;Verified by Public Record&lt;/a&gt;</t>
  </si>
  <si>
    <t>&lt;a href="http://a836-acris.nyc.gov/DS/DocumentSearch/DocumentDetail?doc_id=2020071000410003" target="_blank"&gt;Verified by Public Record&lt;/a&gt;</t>
  </si>
  <si>
    <t>&lt;a href="http://a836-acris.nyc.gov/DS/DocumentSearch/DocumentDetail?doc_id=2020081000617002" target="_blank"&gt;Verified by Public Record&lt;/a&gt;</t>
  </si>
  <si>
    <t>&lt;a href="http://a836-acris.nyc.gov/DS/DocumentSearch/DocumentDetail?doc_id=2020031300235001" target="_blank"&gt;Verified by Public Record&lt;/a&gt;</t>
  </si>
  <si>
    <t>&lt;a href="http://a836-acris.nyc.gov/DS/DocumentSearch/DocumentDetail?doc_id=2021062900463003" target="_blank"&gt;Verified by Public Record&lt;/a&gt;</t>
  </si>
  <si>
    <t>&lt;a href="http://a836-acris.nyc.gov/DS/DocumentSearch/DocumentDetail?doc_id=2020111000307001" target="_blank"&gt;Verified by Public Record&lt;/a&gt;</t>
  </si>
  <si>
    <t>&lt;a href="http://a836-acris.nyc.gov/DS/DocumentSearch/DocumentDetail?doc_id=2020070600733001" target="_blank"&gt;Verified by Public Record&lt;/a&gt;</t>
  </si>
  <si>
    <t>&lt;a href="http://a836-acris.nyc.gov/DS/DocumentSearch/DocumentDetail?doc_id=2020040300121001" target="_blank"&gt;Verified by Public Record&lt;/a&gt;</t>
  </si>
  <si>
    <t>&lt;a href="http://a836-acris.nyc.gov/DS/DocumentSearch/DocumentDetail?doc_id=2021032400725001" target="_blank"&gt;Verified by Public Record&lt;/a&gt;</t>
  </si>
  <si>
    <t>&lt;a href="http://a836-acris.nyc.gov/DS/DocumentSearch/DocumentDetail?doc_id=2021061000935001" target="_blank"&gt;Verified by Public Record&lt;/a&gt;</t>
  </si>
  <si>
    <t>&lt;a href="http://a836-acris.nyc.gov/DS/DocumentSearch/DocumentDetail?doc_id=2020111100686003" target="_blank"&gt;Verified by Public Record&lt;/a&gt;</t>
  </si>
  <si>
    <t>&lt;a href="http://a836-acris.nyc.gov/DS/DocumentSearch/DocumentDetail?doc_id=2020041300177002" target="_blank"&gt;Verified by Public Record&lt;/a&gt;</t>
  </si>
  <si>
    <t>&lt;a href="http://a836-acris.nyc.gov/DS/DocumentSearch/DocumentDetail?doc_id=2020061900731001" target="_blank"&gt;Verified by Public Record&lt;/a&gt;</t>
  </si>
  <si>
    <t>&lt;a href="http://a836-acris.nyc.gov/DS/DocumentSearch/DocumentDetail?doc_id=2019081200647004" target="_blank"&gt;Verified by Public Record&lt;/a&gt;</t>
  </si>
  <si>
    <t>&lt;a href="http://a836-acris.nyc.gov/DS/DocumentSearch/DocumentDetail?doc_id=2019080700622001" target="_blank"&gt;Verified by Public Record&lt;/a&gt;</t>
  </si>
  <si>
    <t>&lt;a href="http://a836-acris.nyc.gov/DS/DocumentSearch/DocumentDetail?doc_id=2018060101173001" target="_blank"&gt;Verified by Public Record&lt;/a&gt;</t>
  </si>
  <si>
    <t>&lt;a href="http://a836-acris.nyc.gov/DS/DocumentSearch/DocumentDetail?doc_id=2018051000990001" target="_blank"&gt;Verified by Public Record&lt;/a&gt;</t>
  </si>
  <si>
    <t>&lt;a href="http://a836-acris.nyc.gov/DS/DocumentSearch/DocumentDetail?doc_id=2020031600819001" target="_blank"&gt;Verified by Public Record&lt;/a&gt;</t>
  </si>
  <si>
    <t>&lt;a href="http://a836-acris.nyc.gov/DS/DocumentSearch/DocumentDetail?doc_id=2018052100328001" target="_blank"&gt;Verified by Public Record&lt;/a&gt;</t>
  </si>
  <si>
    <t>&lt;a href="http://a836-acris.nyc.gov/DS/DocumentSearch/DocumentDetail?doc_id=2018071201138002" target="_blank"&gt;Verified by Public Record&lt;/a&gt;</t>
  </si>
  <si>
    <t>&lt;a href="http://a836-acris.nyc.gov/DS/DocumentSearch/DocumentDetail?doc_id=2019100300258001" target="_blank"&gt;Verified by Public Record&lt;/a&gt;</t>
  </si>
  <si>
    <t>&lt;a href="http://a836-acris.nyc.gov/DS/DocumentSearch/DocumentDetail?doc_id=2020051200576001" target="_blank"&gt;Verified by Public Record&lt;/a&gt;</t>
  </si>
  <si>
    <t>&lt;a href="http://a836-acris.nyc.gov/DS/DocumentSearch/DocumentDetail?doc_id=2019050300074001" target="_blank"&gt;Verified by Public Record&lt;/a&gt;</t>
  </si>
  <si>
    <t>&lt;a href="http://a836-acris.nyc.gov/DS/DocumentSearch/DocumentDetail?doc_id=2018060100800002" target="_blank"&gt;Verified by Public Record&lt;/a&gt;</t>
  </si>
  <si>
    <t>&lt;a href="http://a836-acris.nyc.gov/DS/DocumentSearch/DocumentDetail?doc_id=2021061801608002" target="_blank"&gt;Verified by Public Record&lt;/a&gt;</t>
  </si>
  <si>
    <t>&lt;a href="http://a836-acris.nyc.gov/DS/DocumentSearch/DocumentDetail?doc_id=2018053100767003" target="_blank"&gt;Verified by Public Record&lt;/a&gt;</t>
  </si>
  <si>
    <t>&lt;a href="http://a836-acris.nyc.gov/DS/DocumentSearch/DocumentDetail?doc_id=2018043000465003" target="_blank"&gt;Verified by Public Record&lt;/a&gt;</t>
  </si>
  <si>
    <t>&lt;a href="http://a836-acris.nyc.gov/DS/DocumentSearch/DocumentDetail?doc_id=2018100200276001" target="_blank"&gt;Verified by Public Record&lt;/a&gt;</t>
  </si>
  <si>
    <t>&lt;a href="http://a836-acris.nyc.gov/DS/DocumentSearch/DocumentDetail?doc_id=2018052100626003" target="_blank"&gt;Verified by Public Record&lt;/a&gt;</t>
  </si>
  <si>
    <t>&lt;a href="http://a836-acris.nyc.gov/DS/DocumentSearch/DocumentDetail?doc_id=2018051601157001" target="_blank"&gt;Verified by Public Record&lt;/a&gt;</t>
  </si>
  <si>
    <t>&lt;a href="http://a836-acris.nyc.gov/DS/DocumentSearch/DocumentDetail?doc_id=2018092100063001" target="_blank"&gt;Verified by Public Record&lt;/a&gt;</t>
  </si>
  <si>
    <t>&lt;a href="http://a836-acris.nyc.gov/DS/DocumentSearch/DocumentDetail?doc_id=2018060401276001" target="_blank"&gt;Verified by Public Record&lt;/a&gt;</t>
  </si>
  <si>
    <t>&lt;a href="http://a836-acris.nyc.gov/DS/DocumentSearch/DocumentDetail?doc_id=2018050801162002" target="_blank"&gt;Verified by Public Record&lt;/a&gt;</t>
  </si>
  <si>
    <t>&lt;a href="http://a836-acris.nyc.gov/DS/DocumentSearch/DocumentDetail?doc_id=2021070600343002" target="_blank"&gt;Verified by Public Record&lt;/a&gt;</t>
  </si>
  <si>
    <t>&lt;a href="http://a836-acris.nyc.gov/DS/DocumentSearch/DocumentDetail?doc_id=2019032200663001" target="_blank"&gt;Verified by Public Record&lt;/a&gt;</t>
  </si>
  <si>
    <t>&lt;a href="http://a836-acris.nyc.gov/DS/DocumentSearch/DocumentDetail?doc_id=2019081300372001" target="_blank"&gt;Verified by Public Record&lt;/a&gt;</t>
  </si>
  <si>
    <t>&lt;a href="http://a836-acris.nyc.gov/DS/DocumentSearch/DocumentDetail?doc_id=2019070100247001" target="_blank"&gt;Verified by Public Record&lt;/a&gt;</t>
  </si>
  <si>
    <t>&lt;a href="http://a836-acris.nyc.gov/DS/DocumentSearch/DocumentDetail?doc_id=2019080700366001" target="_blank"&gt;Verified by Public Record&lt;/a&gt;</t>
  </si>
  <si>
    <t>&lt;a href="http://a836-acris.nyc.gov/DS/DocumentSearch/DocumentDetail?doc_id=2020061900435001" target="_blank"&gt;Verified by Public Record&lt;/a&gt;</t>
  </si>
  <si>
    <t>&lt;a href="http://a836-acris.nyc.gov/DS/DocumentSearch/DocumentDetail?doc_id=2018070500360003" target="_blank"&gt;Verified by Public Record&lt;/a&gt;</t>
  </si>
  <si>
    <t>&lt;a href="http://a836-acris.nyc.gov/DS/DocumentSearch/DocumentDetail?doc_id=2019040800250001" target="_blank"&gt;Verified by Public Record&lt;/a&gt;</t>
  </si>
  <si>
    <t>&lt;a href="http://a836-acris.nyc.gov/DS/DocumentSearch/DocumentDetail?doc_id=2018112000121001" target="_blank"&gt;Verified by Public Record&lt;/a&gt;</t>
  </si>
  <si>
    <t>&lt;a href="http://a836-acris.nyc.gov/DS/DocumentSearch/DocumentDetail?doc_id=2018051100413001" target="_blank"&gt;Verified by Public Record&lt;/a&gt;</t>
  </si>
  <si>
    <t>&lt;a href="http://a836-acris.nyc.gov/DS/DocumentSearch/DocumentDetail?doc_id=2018091900368001" target="_blank"&gt;Verified by Public Record&lt;/a&gt;</t>
  </si>
  <si>
    <t>&lt;a href="http://a836-acris.nyc.gov/DS/DocumentSearch/DocumentDetail?doc_id=2021060700924001" target="_blank"&gt;Verified by Public Record&lt;/a&gt;</t>
  </si>
  <si>
    <t>&lt;a href="http://a836-acris.nyc.gov/DS/DocumentSearch/DocumentDetail?doc_id=2018071800232001" target="_blank"&gt;Verified by Public Record&lt;/a&gt;</t>
  </si>
  <si>
    <t>Private Wrap Around Terrace</t>
  </si>
  <si>
    <t>&lt;a href="http://a836-acris.nyc.gov/DS/DocumentSearch/DocumentDetail?doc_id=2021012000863002" target="_blank"&gt;Verified by Public Record&lt;/a&gt;</t>
  </si>
  <si>
    <t>&lt;a href="http://a836-acris.nyc.gov/DS/DocumentSearch/DocumentDetail?doc_id=2018071900243001" target="_blank"&gt;Verified by Public Record&lt;/a&gt;</t>
  </si>
  <si>
    <t>&lt;a href="http://a836-acris.nyc.gov/DS/DocumentSearch/DocumentDetail?doc_id=2018091001105001" target="_blank"&gt;Verified by Public Record&lt;/a&gt;</t>
  </si>
  <si>
    <t>&lt;a href="http://a836-acris.nyc.gov/DS/DocumentSearch/DocumentDetail?doc_id=2021052400420001" target="_blank"&gt;Verified by Public Record&lt;/a&gt;</t>
  </si>
  <si>
    <t>&lt;a href="http://a836-acris.nyc.gov/DS/DocumentSearch/DocumentDetail?doc_id=2021070500046001" target="_blank"&gt;Verified by Public Record&lt;/a&gt;</t>
  </si>
  <si>
    <t>&lt;a href="http://a836-acris.nyc.gov/DS/DocumentSearch/DocumentDetail?doc_id=2018100900401001" target="_blank"&gt;Public Record Only&lt;/a&gt;</t>
  </si>
  <si>
    <t>&lt;a href="http://a836-acris.nyc.gov/DS/DocumentSearch/DocumentDetail?doc_id=2019031500973001" target="_blank"&gt;Verified by Public Record&lt;/a&gt;</t>
  </si>
  <si>
    <t>&lt;a href="http://a836-acris.nyc.gov/DS/DocumentSearch/DocumentDetail?doc_id=2019050300988002" target="_blank"&gt;Verified by Public Record&lt;/a&gt;</t>
  </si>
  <si>
    <t>&lt;a href="http://a836-acris.nyc.gov/DS/DocumentSearch/DocumentDetail?doc_id=2019081500633001" target="_blank"&gt;Verified by Public Record&lt;/a&gt;</t>
  </si>
  <si>
    <t>&lt;a href="http://a836-acris.nyc.gov/DS/DocumentSearch/DocumentDetail?doc_id=2019111901592001" target="_blank"&gt;Verified by Public Record&lt;/a&gt;</t>
  </si>
  <si>
    <t>&lt;a href="http://a836-acris.nyc.gov/DS/DocumentSearch/DocumentDetail?doc_id=2019102900392001" target="_blank"&gt;Verified by Public Record&lt;/a&gt;</t>
  </si>
  <si>
    <t>&lt;a href="http://a836-acris.nyc.gov/DS/DocumentSearch/DocumentDetail?doc_id=2019051301090001" target="_blank"&gt;Verified by Public Record&lt;/a&gt;</t>
  </si>
  <si>
    <t>&lt;a href="http://a836-acris.nyc.gov/DS/DocumentSearch/DocumentDetail?doc_id=2019041900358001" target="_blank"&gt;Verified by Public Record&lt;/a&gt;</t>
  </si>
  <si>
    <t>&lt;a href="http://a836-acris.nyc.gov/DS/DocumentSearch/DocumentDetail?doc_id=2019061700345001" target="_blank"&gt;Verified by Public Record&lt;/a&gt;</t>
  </si>
  <si>
    <t>&lt;a href="http://a836-acris.nyc.gov/DS/DocumentSearch/DocumentDetail?doc_id=2019032600965001" target="_blank"&gt;Verified by Public Record&lt;/a&gt;</t>
  </si>
  <si>
    <t>&lt;a href="http://a836-acris.nyc.gov/DS/DocumentSearch/DocumentDetail?doc_id=2019032600708001" target="_blank"&gt;Verified by Public Record&lt;/a&gt;</t>
  </si>
  <si>
    <t>&lt;a href="http://a836-acris.nyc.gov/DS/DocumentSearch/DocumentDetail?doc_id=2019081500555002" target="_blank"&gt;Verified by Public Record&lt;/a&gt;</t>
  </si>
  <si>
    <t>&lt;a href="http://a836-acris.nyc.gov/DS/DocumentSearch/DocumentDetail?doc_id=2019032900104001" target="_blank"&gt;Verified by Public Record&lt;/a&gt;</t>
  </si>
  <si>
    <t>&lt;a href="http://a836-acris.nyc.gov/DS/DocumentSearch/DocumentDetail?doc_id=2019031500427001" target="_blank"&gt;Verified by Public Record&lt;/a&gt;</t>
  </si>
  <si>
    <t>&lt;a href="http://a836-acris.nyc.gov/DS/DocumentSearch/DocumentDetail?doc_id=2019031900412001" target="_blank"&gt;Verified by Public Record&lt;/a&gt;</t>
  </si>
  <si>
    <t>&lt;a href="http://a836-acris.nyc.gov/DS/DocumentSearch/DocumentDetail?doc_id=2019022100324001" target="_blank"&gt;Verified by Public Record&lt;/a&gt;</t>
  </si>
  <si>
    <t>&lt;a href="http://a836-acris.nyc.gov/DS/DocumentSearch/DocumentDetail?doc_id=2019031500415002" target="_blank"&gt;Verified by Public Record&lt;/a&gt;</t>
  </si>
  <si>
    <t>&lt;a href="http://a836-acris.nyc.gov/DS/DocumentSearch/DocumentDetail?doc_id=2019031400328001" target="_blank"&gt;Verified by Public Record&lt;/a&gt;</t>
  </si>
  <si>
    <t>&lt;a href="http://a836-acris.nyc.gov/DS/DocumentSearch/DocumentDetail?doc_id=2019091700967002" target="_blank"&gt;Verified by Public Record&lt;/a&gt;</t>
  </si>
  <si>
    <t>&lt;a href="http://a836-acris.nyc.gov/DS/DocumentSearch/DocumentDetail?doc_id=2021072100489001" target="_blank"&gt;Verified by Public Record&lt;/a&gt;</t>
  </si>
  <si>
    <t>&lt;a href="http://a836-acris.nyc.gov/DS/DocumentSearch/DocumentDetail?doc_id=2021062901071002" target="_blank"&gt;Verified by Public Record&lt;/a&gt;</t>
  </si>
  <si>
    <t>&lt;a href="http://a836-acris.nyc.gov/DS/DocumentSearch/DocumentDetail?doc_id=2021061700790002" target="_blank"&gt;Verified by Public Record&lt;/a&gt;</t>
  </si>
  <si>
    <t>&lt;a href="http://a836-acris.nyc.gov/DS/DocumentSearch/DocumentDetail?doc_id=2019053001215001" target="_blank"&gt;Verified by Public Record&lt;/a&gt;</t>
  </si>
  <si>
    <t>&lt;a href="http://a836-acris.nyc.gov/DS/DocumentSearch/DocumentDetail?doc_id=2019042500447003" target="_blank"&gt;Verified by Public Record&lt;/a&gt;</t>
  </si>
  <si>
    <t>&lt;a href="http://a836-acris.nyc.gov/DS/DocumentSearch/DocumentDetail?doc_id=2018110100123001" target="_blank"&gt;Public Record Only&lt;/a&gt;</t>
  </si>
  <si>
    <t>&lt;a href="http://a836-acris.nyc.gov/DS/DocumentSearch/DocumentDetail?doc_id=2018110500768001" target="_blank"&gt;Public Record Only&lt;/a&gt;</t>
  </si>
  <si>
    <t>&lt;a href="http://a836-acris.nyc.gov/DS/DocumentSearch/DocumentDetail?doc_id=2019042400284001" target="_blank"&gt;Public Record Only&lt;/a&gt;</t>
  </si>
  <si>
    <t>&lt;a href="http://a836-acris.nyc.gov/DS/DocumentSearch/DocumentDetail?doc_id=2019042401319001" target="_blank"&gt;Public Record Only&lt;/a&gt;</t>
  </si>
  <si>
    <t>&lt;a href="http://a836-acris.nyc.gov/DS/DocumentSearch/DocumentDetail?doc_id=2019050100703002" target="_blank"&gt;Public Record Only&lt;/a&gt;</t>
  </si>
  <si>
    <t>&lt;a href="http://a836-acris.nyc.gov/DS/DocumentSearch/DocumentDetail?doc_id=2019040700002001" target="_blank"&gt;Public Record Only&lt;/a&gt;</t>
  </si>
  <si>
    <t>&lt;a href="http://a836-acris.nyc.gov/DS/DocumentSearch/DocumentDetail?doc_id=2019060300728001" target="_blank"&gt;Public Record Only&lt;/a&gt;</t>
  </si>
  <si>
    <t>&lt;a href="http://a836-acris.nyc.gov/DS/DocumentSearch/DocumentDetail?doc_id=2019040301081001" target="_blank"&gt;Public Record Only&lt;/a&gt;</t>
  </si>
  <si>
    <t>&lt;a href="http://a836-acris.nyc.gov/DS/DocumentSearch/DocumentDetail?doc_id=2019041601107001" target="_blank"&gt;Public Record Only&lt;/a&gt;</t>
  </si>
  <si>
    <t>&lt;a href="http://a836-acris.nyc.gov/DS/DocumentSearch/DocumentDetail?doc_id=2019042500848001" target="_blank"&gt;Public Record Only&lt;/a&gt;</t>
  </si>
  <si>
    <t>&lt;a href="http://a836-acris.nyc.gov/DS/DocumentSearch/DocumentDetail?doc_id=2019053100062001" target="_blank"&gt;Public Record Only&lt;/a&gt;</t>
  </si>
  <si>
    <t>&lt;a href="http://a836-acris.nyc.gov/DS/DocumentSearch/DocumentDetail?doc_id=2019051400193001" target="_blank"&gt;Public Record Only&lt;/a&gt;</t>
  </si>
  <si>
    <t>&lt;a href="http://a836-acris.nyc.gov/DS/DocumentSearch/DocumentDetail?doc_id=2021061000564001" target="_blank"&gt;Verified by Public Record&lt;/a&gt;</t>
  </si>
  <si>
    <t>&lt;a href="http://a836-acris.nyc.gov/DS/DocumentSearch/DocumentDetail?doc_id=2019081200334001" target="_blank"&gt;Verified by Public Record&lt;/a&gt;</t>
  </si>
  <si>
    <t>&lt;a href="http://a836-acris.nyc.gov/DS/DocumentSearch/DocumentDetail?doc_id=2019091001148002" target="_blank"&gt;Verified by Public Record&lt;/a&gt;</t>
  </si>
  <si>
    <t>&lt;a href="http://a836-acris.nyc.gov/DS/DocumentSearch/DocumentDetail?doc_id=2021070800901001" target="_blank"&gt;Verified by Public Record&lt;/a&gt;</t>
  </si>
  <si>
    <t>&lt;a href="http://a836-acris.nyc.gov/DS/DocumentSearch/DocumentDetail?doc_id=2021052101203001" target="_blank"&gt;Verified by Public Record&lt;/a&gt;</t>
  </si>
  <si>
    <t>&lt;a href="http://a836-acris.nyc.gov/DS/DocumentSearch/DocumentDetail?doc_id=2021050301157001" target="_blank"&gt;Verified by Public Record&lt;/a&gt;</t>
  </si>
  <si>
    <t>&lt;a href="http://a836-acris.nyc.gov/DS/DocumentSearch/DocumentDetail?doc_id=2021052600295001" target="_blank"&gt;Verified by Public Record&lt;/a&gt;</t>
  </si>
  <si>
    <t>&lt;a href="http://a836-acris.nyc.gov/DS/DocumentSearch/DocumentDetail?doc_id=2019090900179001" target="_blank"&gt;Verified by Public Record&lt;/a&gt;</t>
  </si>
  <si>
    <t>&lt;a href="http://a836-acris.nyc.gov/DS/DocumentSearch/DocumentDetail?doc_id=2021071501876001" target="_blank"&gt;Verified by Public Record&lt;/a&gt;</t>
  </si>
  <si>
    <t>&lt;a href="http://a836-acris.nyc.gov/DS/DocumentSearch/DocumentDetail?doc_id=2019032701039001" target="_blank"&gt;Verified by Public Record&lt;/a&gt;</t>
  </si>
  <si>
    <t>&lt;a href="http://a836-acris.nyc.gov/DS/DocumentSearch/DocumentDetail?doc_id=2019060300910001" target="_blank"&gt;Verified by Public Record&lt;/a&gt;</t>
  </si>
  <si>
    <t>&lt;a href="http://a836-acris.nyc.gov/DS/DocumentSearch/DocumentDetail?doc_id=2019040600012001" target="_blank"&gt;Verified by Public Record&lt;/a&gt;</t>
  </si>
  <si>
    <t>&lt;a href="http://a836-acris.nyc.gov/DS/DocumentSearch/DocumentDetail?doc_id=2019080100920001" target="_blank"&gt;Verified by Public Record&lt;/a&gt;</t>
  </si>
  <si>
    <t>&lt;a href="http://a836-acris.nyc.gov/DS/DocumentSearch/DocumentDetail?doc_id=2019032501065003" target="_blank"&gt;Verified by Public Record&lt;/a&gt;</t>
  </si>
  <si>
    <t>&lt;a href="http://a836-acris.nyc.gov/DS/DocumentSearch/DocumentDetail?doc_id=2019040500846001" target="_blank"&gt;Verified by Public Record&lt;/a&gt;</t>
  </si>
  <si>
    <t>&lt;a href="http://a836-acris.nyc.gov/DS/DocumentSearch/DocumentDetail?doc_id=2019031400958001" target="_blank"&gt;Verified by Public Record&lt;/a&gt;</t>
  </si>
  <si>
    <t>&lt;a href="http://a836-acris.nyc.gov/DS/DocumentSearch/DocumentDetail?doc_id=2019030401181001" target="_blank"&gt;Verified by Public Record&lt;/a&gt;</t>
  </si>
  <si>
    <t>&lt;a href="http://a836-acris.nyc.gov/DS/DocumentSearch/DocumentDetail?doc_id=2020110401169001" target="_blank"&gt;Verified by Public Record&lt;/a&gt;</t>
  </si>
  <si>
    <t>&lt;a href="http://a836-acris.nyc.gov/DS/DocumentSearch/DocumentDetail?doc_id=2020081800279001" target="_blank"&gt;Verified by Public Record&lt;/a&gt;</t>
  </si>
  <si>
    <t>&lt;a href="http://a836-acris.nyc.gov/DS/DocumentSearch/DocumentDetail?doc_id=2021061400498001" target="_blank"&gt;Verified by Public Record&lt;/a&gt;</t>
  </si>
  <si>
    <t>&lt;a href="http://a836-acris.nyc.gov/DS/DocumentSearch/DocumentDetail?doc_id=2021070201125001" target="_blank"&gt;Verified by Public Record&lt;/a&gt;</t>
  </si>
  <si>
    <t>&lt;a href="http://a836-acris.nyc.gov/DS/DocumentSearch/DocumentDetail?doc_id=2021011100847001" target="_blank"&gt;Verified by Public Record&lt;/a&gt;</t>
  </si>
  <si>
    <t>&lt;a href="http://a836-acris.nyc.gov/DS/DocumentSearch/DocumentDetail?doc_id=2021041501298001" target="_blank"&gt;Verified by Public Record&lt;/a&gt;</t>
  </si>
  <si>
    <t>&lt;a href="http://a836-acris.nyc.gov/DS/DocumentSearch/DocumentDetail?doc_id=2019071900681001" target="_blank"&gt;Verified by Public Record&lt;/a&gt;</t>
  </si>
  <si>
    <t>&lt;a href="http://a836-acris.nyc.gov/DS/DocumentSearch/DocumentDetail?doc_id=2019112601348001" target="_blank"&gt;Verified by Public Record&lt;/a&gt;</t>
  </si>
  <si>
    <t>&lt;a href="http://a836-acris.nyc.gov/DS/DocumentSearch/DocumentDetail?doc_id=2020020600173002" target="_blank"&gt;Verified by Public Record&lt;/a&gt;</t>
  </si>
  <si>
    <t>&lt;a href="http://a836-acris.nyc.gov/DS/DocumentSearch/DocumentDetail?doc_id=2019070200564001" target="_blank"&gt;Verified by Public Record&lt;/a&gt;</t>
  </si>
  <si>
    <t>&lt;a href="http://a836-acris.nyc.gov/DS/DocumentSearch/DocumentDetail?doc_id=2019081901094001" target="_blank"&gt;Verified by Public Record&lt;/a&gt;</t>
  </si>
  <si>
    <t>&lt;a href="http://a836-acris.nyc.gov/DS/DocumentSearch/DocumentDetail?doc_id=2021052100634001" target="_blank"&gt;Verified by Public Record&lt;/a&gt;</t>
  </si>
  <si>
    <t>&lt;a href="http://a836-acris.nyc.gov/DS/DocumentSearch/DocumentDetail?doc_id=2021040101306001" target="_blank"&gt;Verified by Public Record&lt;/a&gt;</t>
  </si>
  <si>
    <t>&lt;a href="http://a836-acris.nyc.gov/DS/DocumentSearch/DocumentDetail?doc_id=2020051700018002" target="_blank"&gt;Verified by Public Record&lt;/a&gt;</t>
  </si>
  <si>
    <t>&lt;a href="http://a836-acris.nyc.gov/DS/DocumentSearch/DocumentDetail?doc_id=2020102600915001" target="_blank"&gt;Verified by Public Record&lt;/a&gt;</t>
  </si>
  <si>
    <t>&lt;a href="http://a836-acris.nyc.gov/DS/DocumentSearch/DocumentDetail?doc_id=2019070100021001" target="_blank"&gt;Verified by Public Record&lt;/a&gt;</t>
  </si>
  <si>
    <t>&lt;a href="http://a836-acris.nyc.gov/DS/DocumentSearch/DocumentDetail?doc_id=2019070100023001" target="_blank"&gt;Verified by Public Record&lt;/a&gt;</t>
  </si>
  <si>
    <t>&lt;a href="http://a836-acris.nyc.gov/DS/DocumentSearch/DocumentDetail?doc_id=2019102900278001" target="_blank"&gt;Verified by Public Record&lt;/a&gt;</t>
  </si>
  <si>
    <t>&lt;a href="http://a836-acris.nyc.gov/DS/DocumentSearch/DocumentDetail?doc_id=2020031300751002" target="_blank"&gt;Verified by Public Record&lt;/a&gt;</t>
  </si>
  <si>
    <t>&lt;a href="http://a836-acris.nyc.gov/DS/DocumentSearch/DocumentDetail?doc_id=2019050101243001" target="_blank"&gt;Verified by Public Record&lt;/a&gt;</t>
  </si>
  <si>
    <t>&lt;a href="http://a836-acris.nyc.gov/DS/DocumentSearch/DocumentDetail?doc_id=2019042901064001" target="_blank"&gt;Verified by Public Record&lt;/a&gt;</t>
  </si>
  <si>
    <t>&lt;a href="http://a836-acris.nyc.gov/DS/DocumentSearch/DocumentDetail?doc_id=2019032500542001" target="_blank"&gt;Verified by Public Record&lt;/a&gt;</t>
  </si>
  <si>
    <t>&lt;a href="http://a836-acris.nyc.gov/DS/DocumentSearch/DocumentDetail?doc_id=2019042900482001" target="_blank"&gt;Verified by Public Record&lt;/a&gt;</t>
  </si>
  <si>
    <t>&lt;a href="http://a836-acris.nyc.gov/DS/DocumentSearch/DocumentDetail?doc_id=2019042301011001" target="_blank"&gt;Verified by Public Record&lt;/a&gt;</t>
  </si>
  <si>
    <t>&lt;a href="http://a836-acris.nyc.gov/DS/DocumentSearch/DocumentDetail?doc_id=2019031401343001" target="_blank"&gt;Verified by Public Record&lt;/a&gt;</t>
  </si>
  <si>
    <t>&lt;a href="http://a836-acris.nyc.gov/DS/DocumentSearch/DocumentDetail?doc_id=2019031900374001" target="_blank"&gt;Verified by Public Record&lt;/a&gt;</t>
  </si>
  <si>
    <t>&lt;a href="http://a836-acris.nyc.gov/DS/DocumentSearch/DocumentDetail?doc_id=2019062700488001" target="_blank"&gt;Verified by Public Record&lt;/a&gt;</t>
  </si>
  <si>
    <t>&lt;a href="http://a836-acris.nyc.gov/DS/DocumentSearch/DocumentDetail?doc_id=2021070901323002" target="_blank"&gt;Verified by Public Record&lt;/a&gt;</t>
  </si>
  <si>
    <t>&lt;a href="http://a836-acris.nyc.gov/DS/DocumentSearch/DocumentDetail?doc_id=2021062200953001" target="_blank"&gt;Verified by Public Record&lt;/a&gt;</t>
  </si>
  <si>
    <t>&lt;a href="http://a836-acris.nyc.gov/DS/DocumentSearch/DocumentDetail?doc_id=2021042801490001" target="_blank"&gt;Verified by Public Record&lt;/a&gt;</t>
  </si>
  <si>
    <t>&lt;a href="http://a836-acris.nyc.gov/DS/DocumentSearch/DocumentDetail?doc_id=2021043001165001" target="_blank"&gt;Verified by Public Record&lt;/a&gt;</t>
  </si>
  <si>
    <t>&lt;a href="http://a836-acris.nyc.gov/DS/DocumentSearch/DocumentDetail?doc_id=2020091300022002" target="_blank"&gt;Public Record Only&lt;/a&gt;</t>
  </si>
  <si>
    <t>&lt;a href="http://a836-acris.nyc.gov/DS/DocumentSearch/DocumentDetail?doc_id=2020040800429003" target="_blank"&gt;Public Record Only&lt;/a&gt;</t>
  </si>
  <si>
    <t>&lt;a href="http://a836-acris.nyc.gov/DS/DocumentSearch/DocumentDetail?doc_id=2020030401291001" target="_blank"&gt;Public Record Only&lt;/a&gt;</t>
  </si>
  <si>
    <t>&lt;a href="http://a836-acris.nyc.gov/DS/DocumentSearch/DocumentDetail?doc_id=2019112501086002" target="_blank"&gt;Public Record Only&lt;/a&gt;</t>
  </si>
  <si>
    <t>&lt;a href="http://a836-acris.nyc.gov/DS/DocumentSearch/DocumentDetail?doc_id=2021072301160001" target="_blank"&gt;Public Record Only&lt;/a&gt;</t>
  </si>
  <si>
    <t>&lt;a href="http://a836-acris.nyc.gov/DS/DocumentSearch/DocumentDetail?doc_id=2021061501649002" target="_blank"&gt;Public Record Only&lt;/a&gt;</t>
  </si>
  <si>
    <t>&lt;a href="http://a836-acris.nyc.gov/DS/DocumentSearch/DocumentDetail?doc_id=2021040801132001" target="_blank"&gt;Public Record Only&lt;/a&gt;</t>
  </si>
  <si>
    <t>&lt;a href="http://a836-acris.nyc.gov/DS/DocumentSearch/DocumentDetail?doc_id=2021020900638002" target="_blank"&gt;Verified by Public Record&lt;/a&gt;</t>
  </si>
  <si>
    <t>&lt;a href="http://a836-acris.nyc.gov/DS/DocumentSearch/DocumentDetail?doc_id=2021040801476001" target="_blank"&gt;Verified by Public Record&lt;/a&gt;</t>
  </si>
  <si>
    <t>&lt;a href="http://a836-acris.nyc.gov/DS/DocumentSearch/DocumentDetail?doc_id=2021052101047001" target="_blank"&gt;Verified by Public Record&lt;/a&gt;</t>
  </si>
  <si>
    <t>&lt;a href="http://a836-acris.nyc.gov/DS/DocumentSearch/DocumentDetail?doc_id=2020041500200002" target="_blank"&gt;Verified by Public Record&lt;/a&gt;</t>
  </si>
  <si>
    <t>&lt;a href="http://a836-acris.nyc.gov/DS/DocumentSearch/DocumentDetail?doc_id=2021072901016001" target="_blank"&gt;Public Record Only&lt;/a&gt;</t>
  </si>
  <si>
    <t>&lt;a href="http://a836-acris.nyc.gov/DS/DocumentSearch/DocumentDetail?doc_id=2021061800583001" target="_blank"&gt;Public Record Only&lt;/a&gt;</t>
  </si>
  <si>
    <t>&lt;a href="http://a836-acris.nyc.gov/DS/DocumentSearch/DocumentDetail?doc_id=2021062500606002" target="_blank"&gt;Public Record Only&lt;/a&gt;</t>
  </si>
  <si>
    <t>&lt;a href="http://a836-acris.nyc.gov/DS/DocumentSearch/DocumentDetail?doc_id=2020031700846003" target="_blank"&gt;Public Record Only&lt;/a&gt;</t>
  </si>
  <si>
    <t>&lt;a href="http://a836-acris.nyc.gov/DS/DocumentSearch/DocumentDetail?doc_id=2020021001123002" target="_blank"&gt;Public Record Only&lt;/a&gt;</t>
  </si>
  <si>
    <t>&lt;a href="http://a836-acris.nyc.gov/DS/DocumentSearch/DocumentDetail?doc_id=2020021101322001" target="_blank"&gt;Public Record Only&lt;/a&gt;</t>
  </si>
  <si>
    <t>&lt;a href="http://a836-acris.nyc.gov/DS/DocumentSearch/DocumentDetail?doc_id=2020021000740001" target="_blank"&gt;Public Record Only&lt;/a&gt;</t>
  </si>
  <si>
    <t>&lt;a href="http://a836-acris.nyc.gov/DS/DocumentSearch/DocumentDetail?doc_id=2020031801121001" target="_blank"&gt;Public Record Only&lt;/a&gt;</t>
  </si>
  <si>
    <t>&lt;a href="http://a836-acris.nyc.gov/DS/DocumentSearch/DocumentDetail?doc_id=2018120400362001" target="_blank"&gt;Public Record Only&lt;/a&gt;</t>
  </si>
  <si>
    <t>&lt;a href="http://a836-acris.nyc.gov/DS/DocumentSearch/DocumentDetail?doc_id=2021042001164001" target="_blank"&gt;Verified by Public Record&lt;/a&gt;</t>
  </si>
  <si>
    <t>&lt;a href="http://a836-acris.nyc.gov/DS/DocumentSearch/DocumentDetail?doc_id=2018102500486004" target="_blank"&gt;Public Record Only&lt;/a&gt;</t>
  </si>
  <si>
    <t>&lt;a href="http://a836-acris.nyc.gov/DS/DocumentSearch/DocumentDetail?doc_id=2018111600644001" target="_blank"&gt;Public Record Only&lt;/a&gt;</t>
  </si>
  <si>
    <t>&lt;a href="http://a836-acris.nyc.gov/DS/DocumentSearch/DocumentDetail?doc_id=2018112000638001" target="_blank"&gt;Public Record Only&lt;/a&gt;</t>
  </si>
  <si>
    <t>&lt;a href="http://a836-acris.nyc.gov/DS/DocumentSearch/DocumentDetail?doc_id=2018112800208002" target="_blank"&gt;Public Record Only&lt;/a&gt;</t>
  </si>
  <si>
    <t>&lt;a href="http://a836-acris.nyc.gov/DS/DocumentSearch/DocumentDetail?doc_id=2019010900696001" target="_blank"&gt;Public Record Only&lt;/a&gt;</t>
  </si>
  <si>
    <t>&lt;a href="http://a836-acris.nyc.gov/DS/DocumentSearch/DocumentDetail?doc_id=2018121001061001" target="_blank"&gt;Public Record Only&lt;/a&gt;</t>
  </si>
  <si>
    <t>&lt;a href="http://a836-acris.nyc.gov/DS/DocumentSearch/DocumentDetail?doc_id=2018121100365001" target="_blank"&gt;Public Record Only&lt;/a&gt;</t>
  </si>
  <si>
    <t>&lt;a href="http://a836-acris.nyc.gov/DS/DocumentSearch/DocumentDetail?doc_id=2019062000699001" target="_blank"&gt;Public Record Only&lt;/a&gt;</t>
  </si>
  <si>
    <t>&lt;a href="http://a836-acris.nyc.gov/DS/DocumentSearch/DocumentDetail?doc_id=2019091900100001" target="_blank"&gt;Public Record Only&lt;/a&gt;</t>
  </si>
  <si>
    <t>&lt;a href="http://a836-acris.nyc.gov/DS/DocumentSearch/DocumentDetail?doc_id=2020031300495003" target="_blank"&gt;Public Record Only&lt;/a&gt;</t>
  </si>
  <si>
    <t>&lt;a href="http://a836-acris.nyc.gov/DS/DocumentSearch/DocumentDetail?doc_id=2018091300872001" target="_blank"&gt;Public Record Only&lt;/a&gt;</t>
  </si>
  <si>
    <t>&lt;a href="http://a836-acris.nyc.gov/DS/DocumentSearch/DocumentDetail?doc_id=2019063000056001" target="_blank"&gt;Public Record Only&lt;/a&gt;</t>
  </si>
  <si>
    <t>Chinatown</t>
  </si>
  <si>
    <t>&lt;a href="http://a836-acris.nyc.gov/DS/DocumentSearch/DocumentDetail?doc_id=2018011700499001" target="_blank"&gt;Public Record Only&lt;/a&gt;</t>
  </si>
  <si>
    <t>&lt;a href="http://a836-acris.nyc.gov/DS/DocumentSearch/DocumentDetail?doc_id=2016091600484001" target="_blank"&gt;Verified by Public Record&lt;/a&gt;</t>
  </si>
  <si>
    <t>&lt;a href="http://a836-acris.nyc.gov/DS/DocumentSearch/DocumentDetail?doc_id=2021032600324001" target="_blank"&gt;Verified by Public Record&lt;/a&gt;</t>
  </si>
  <si>
    <t>&lt;a href="http://a836-acris.nyc.gov/DS/DocumentSearch/DocumentDetail?doc_id=2016110401120001" target="_blank"&gt;Verified by Public Record&lt;/a&gt;</t>
  </si>
  <si>
    <t>&lt;a href="http://a836-acris.nyc.gov/DS/DocumentSearch/DocumentDetail?doc_id=2021073001335001" target="_blank"&gt;Public Record Only&lt;/a&gt;</t>
  </si>
  <si>
    <t>&lt;a href="http://a836-acris.nyc.gov/DS/DocumentSearch/DocumentDetail?doc_id=2017053000539001" target="_blank"&gt;Verified by Public Record&lt;/a&gt;</t>
  </si>
  <si>
    <t>Common Roof Deck
Playground
Common Outdoor Space
Private Outdoor Space</t>
  </si>
  <si>
    <t>&lt;a href="http://a836-acris.nyc.gov/DS/DocumentSearch/DocumentDetail?doc_id=2016050901018001" target="_blank"&gt;Verified by Public Record&lt;/a&gt;</t>
  </si>
  <si>
    <t>&lt;a href="http://a836-acris.nyc.gov/DS/DocumentSearch/DocumentDetail?doc_id=2018031400739001" target="_blank"&gt;Verified by Public Record&lt;/a&gt;</t>
  </si>
  <si>
    <t>&lt;a href="http://a836-acris.nyc.gov/DS/DocumentSearch/DocumentDetail?doc_id=2019012501039001" target="_blank"&gt;Verified by Public Record&lt;/a&gt;</t>
  </si>
  <si>
    <t>&lt;a href="http://a836-acris.nyc.gov/DS/DocumentSearch/DocumentDetail?doc_id=2020100900347002" target="_blank"&gt;Verified by Public Record&lt;/a&gt;</t>
  </si>
  <si>
    <t>&lt;a href="http://a836-acris.nyc.gov/DS/DocumentSearch/DocumentDetail?doc_id=2016042600434001" target="_blank"&gt;Verified by Public Record&lt;/a&gt;</t>
  </si>
  <si>
    <t>&lt;a href="http://a836-acris.nyc.gov/DS/DocumentSearch/DocumentDetail?doc_id=2015091801147001" target="_blank"&gt;Verified by Public Record&lt;/a&gt;</t>
  </si>
  <si>
    <t>&lt;a href="http://a836-acris.nyc.gov/DS/DocumentSearch/DocumentDetail?doc_id=2015101901399007" target="_blank"&gt;Verified by Public Record&lt;/a&gt;</t>
  </si>
  <si>
    <t>&lt;a href="http://a836-acris.nyc.gov/DS/DocumentSearch/DocumentDetail?doc_id=2015091600274001" target="_blank"&gt;Verified by Public Record&lt;/a&gt;</t>
  </si>
  <si>
    <t>&lt;a href="http://a836-acris.nyc.gov/DS/DocumentSearch/DocumentDetail?doc_id=2015082000343001" target="_blank"&gt;Verified by Public Record&lt;/a&gt;</t>
  </si>
  <si>
    <t>&lt;a href="http://a836-acris.nyc.gov/DS/DocumentSearch/DocumentDetail?doc_id=2019070900040002" target="_blank"&gt;Verified by Public Record&lt;/a&gt;</t>
  </si>
  <si>
    <t>&lt;a href="http://a836-acris.nyc.gov/DS/DocumentSearch/DocumentDetail?doc_id=2020122400094001" target="_blank"&gt;Verified by Public Record&lt;/a&gt;</t>
  </si>
  <si>
    <t>/Single Family</t>
  </si>
  <si>
    <t>Townhouse/Condo/Single Family</t>
  </si>
  <si>
    <t>&lt;a href="http://a836-acris.nyc.gov/DS/DocumentSearch/DocumentDetail?doc_id=2015121700908001" target="_blank"&gt;Verified by Public Record&lt;/a&gt;</t>
  </si>
  <si>
    <t>0' x 0'</t>
  </si>
  <si>
    <t>&lt;a href="http://a836-acris.nyc.gov/DS/DocumentSearch/DocumentDetail?doc_id=2019082200886001" target="_blank"&gt;Verified by Public Record&lt;/a&gt;</t>
  </si>
  <si>
    <t>&lt;a href="http://a836-acris.nyc.gov/DS/DocumentSearch/DocumentDetail?doc_id=2015102201188001" target="_blank"&gt;Verified by Public Record&lt;/a&gt;</t>
  </si>
  <si>
    <t>&lt;a href="http://a836-acris.nyc.gov/DS/DocumentSearch/DocumentDetail?doc_id=2015122200209001" target="_blank"&gt;Verified by Public Record&lt;/a&gt;</t>
  </si>
  <si>
    <t>&lt;a href="http://a836-acris.nyc.gov/DS/DocumentSearch/DocumentDetail?doc_id=2015082500313001" target="_blank"&gt;Verified by Public Record&lt;/a&gt;</t>
  </si>
  <si>
    <t>&lt;a href="http://a836-acris.nyc.gov/DS/DocumentSearch/DocumentDetail?doc_id=2015100700484003" target="_blank"&gt;Verified by Public Record&lt;/a&gt;</t>
  </si>
  <si>
    <t>&lt;a href="http://a836-acris.nyc.gov/DS/DocumentSearch/DocumentDetail?doc_id=2015090801159001" target="_blank"&gt;Verified by Public Record&lt;/a&gt;</t>
  </si>
  <si>
    <t>&lt;a href="http://a836-acris.nyc.gov/DS/DocumentSearch/DocumentDetail?doc_id=2016060801477001" target="_blank"&gt;Verified by Public Record&lt;/a&gt;</t>
  </si>
  <si>
    <t>Private Terrace
Private Roof Deck
Common Garden
Common Outdoor Space
Private Outdoor Space</t>
  </si>
  <si>
    <t>&lt;a href="http://a836-acris.nyc.gov/DS/DocumentSearch/DocumentDetail?doc_id=2019070200165002" target="_blank"&gt;Verified by Public Record&lt;/a&gt;</t>
  </si>
  <si>
    <t>&lt;a href="http://a836-acris.nyc.gov/DS/DocumentSearch/DocumentDetail?doc_id=2018100600002001" target="_blank"&gt;Verified by Public Record&lt;/a&gt;</t>
  </si>
  <si>
    <t>&lt;a href="http://a836-acris.nyc.gov/DS/DocumentSearch/DocumentDetail?doc_id=2015100600170001" target="_blank"&gt;Verified by Public Record&lt;/a&gt;</t>
  </si>
  <si>
    <t>&lt;a href="http://a836-acris.nyc.gov/DS/DocumentSearch/DocumentDetail?doc_id=2015111901420001" target="_blank"&gt;Verified by Public Record&lt;/a&gt;</t>
  </si>
  <si>
    <t>&lt;a href="http://a836-acris.nyc.gov/DS/DocumentSearch/DocumentDetail?doc_id=2015103001062003" target="_blank"&gt;Verified by Public Record&lt;/a&gt;</t>
  </si>
  <si>
    <t>&lt;a href="http://a836-acris.nyc.gov/DS/DocumentSearch/DocumentDetail?doc_id=2015121600904003" target="_blank"&gt;Verified by Public Record&lt;/a&gt;</t>
  </si>
  <si>
    <t>&lt;a href="http://a836-acris.nyc.gov/DS/DocumentSearch/DocumentDetail?doc_id=2016011300104002" target="_blank"&gt;Verified by Public Record&lt;/a&gt;</t>
  </si>
  <si>
    <t>&lt;a href="http://a836-acris.nyc.gov/DS/DocumentSearch/DocumentDetail?doc_id=2015111600481002" target="_blank"&gt;Verified by Public Record&lt;/a&gt;</t>
  </si>
  <si>
    <t>&lt;a href="http://a836-acris.nyc.gov/DS/DocumentSearch/DocumentDetail?doc_id=2017091800208001" target="_blank"&gt;Verified by Public Record&lt;/a&gt;</t>
  </si>
  <si>
    <t>Private Terrace
Common Roof Deck
Playground
Common Outdoor Space
Private Outdoor Space</t>
  </si>
  <si>
    <t>&lt;a href="http://a836-acris.nyc.gov/DS/DocumentSearch/DocumentDetail?doc_id=2015080600504001" target="_blank"&gt;Verified by Public Record&lt;/a&gt;</t>
  </si>
  <si>
    <t>&lt;a href="http://a836-acris.nyc.gov/DS/DocumentSearch/DocumentDetail?doc_id=2015102801378001" target="_blank"&gt;Verified by Public Record&lt;/a&gt;</t>
  </si>
  <si>
    <t>&lt;a href="http://a836-acris.nyc.gov/DS/DocumentSearch/DocumentDetail?doc_id=2015121000355001" target="_blank"&gt;Verified by Public Record&lt;/a&gt;</t>
  </si>
  <si>
    <t>&lt;a href="http://a836-acris.nyc.gov/DS/DocumentSearch/DocumentDetail?doc_id=2015080300830001" target="_blank"&gt;Verified by Public Record&lt;/a&gt;</t>
  </si>
  <si>
    <t>&lt;a href="http://a836-acris.nyc.gov/DS/DocumentSearch/DocumentDetail?doc_id=2015090300714001" target="_blank"&gt;Verified by Public Record&lt;/a&gt;</t>
  </si>
  <si>
    <t>Deck
Common Roof Deck
Common Outdoor Space</t>
  </si>
  <si>
    <t>&lt;a href="http://a836-acris.nyc.gov/DS/DocumentSearch/DocumentDetail?doc_id=2015092400577001" target="_blank"&gt;Verified by Public Record&lt;/a&gt;</t>
  </si>
  <si>
    <t>&lt;a href="http://a836-acris.nyc.gov/DS/DocumentSearch/DocumentDetail?doc_id=2015112000037001" target="_blank"&gt;Verified by Public Record&lt;/a&gt;</t>
  </si>
  <si>
    <t>&lt;a href="http://a836-acris.nyc.gov/DS/DocumentSearch/DocumentDetail?doc_id=2015111200891001" target="_blank"&gt;Verified by Public Record&lt;/a&gt;</t>
  </si>
  <si>
    <t>&lt;a href="http://a836-acris.nyc.gov/DS/DocumentSearch/DocumentDetail?doc_id=2015102700098002" target="_blank"&gt;Verified by Public Record&lt;/a&gt;</t>
  </si>
  <si>
    <t>&lt;a href="http://a836-acris.nyc.gov/DS/DocumentSearch/DocumentDetail?doc_id=2020051200730003" target="_blank"&gt;Verified by Public Record&lt;/a&gt;</t>
  </si>
  <si>
    <t>&lt;a href="http://a836-acris.nyc.gov/DS/DocumentSearch/DocumentDetail?doc_id=2015100101061001" target="_blank"&gt;Verified by Public Record&lt;/a&gt;</t>
  </si>
  <si>
    <t>&lt;a href="http://a836-acris.nyc.gov/DS/DocumentSearch/DocumentDetail?doc_id=2015091401219001" target="_blank"&gt;Verified by Public Record&lt;/a&gt;</t>
  </si>
  <si>
    <t>&lt;a href="http://a836-acris.nyc.gov/DS/DocumentSearch/DocumentDetail?doc_id=2015090200732003" target="_blank"&gt;Verified by Public Record&lt;/a&gt;</t>
  </si>
  <si>
    <t>&lt;a href="http://a836-acris.nyc.gov/DS/DocumentSearch/DocumentDetail?doc_id=2015120300732001" target="_blank"&gt;Verified by Public Record&lt;/a&gt;</t>
  </si>
  <si>
    <t>&lt;a href="http://a836-acris.nyc.gov/DS/DocumentSearch/DocumentDetail?doc_id=2015100200688003" target="_blank"&gt;Verified by Public Record&lt;/a&gt;</t>
  </si>
  <si>
    <t>&lt;a href="http://a836-acris.nyc.gov/DS/DocumentSearch/DocumentDetail?doc_id=2015101600612003" target="_blank"&gt;Verified by Public Record&lt;/a&gt;</t>
  </si>
  <si>
    <t>&lt;a href="http://a836-acris.nyc.gov/DS/DocumentSearch/DocumentDetail?doc_id=2016011100077001" target="_blank"&gt;Verified by Public Record&lt;/a&gt;</t>
  </si>
  <si>
    <t>&lt;a href="http://a836-acris.nyc.gov/DS/DocumentSearch/DocumentDetail?doc_id=2016020200816001" target="_blank"&gt;Verified by Public Record&lt;/a&gt;</t>
  </si>
  <si>
    <t>&lt;a href="http://a836-acris.nyc.gov/DS/DocumentSearch/DocumentDetail?doc_id=2020010300483001" target="_blank"&gt;Verified by Public Record&lt;/a&gt;</t>
  </si>
  <si>
    <t>&lt;a href="http://a836-acris.nyc.gov/DS/DocumentSearch/DocumentDetail?doc_id=2020081000801001" target="_blank"&gt;Verified by Public Record&lt;/a&gt;</t>
  </si>
  <si>
    <t>&lt;a href="http://a836-acris.nyc.gov/DS/DocumentSearch/DocumentDetail?doc_id=2015100801233002" target="_blank"&gt;Verified by Public Record&lt;/a&gt;</t>
  </si>
  <si>
    <t>&lt;a href="http://a836-acris.nyc.gov/DS/DocumentSearch/DocumentDetail?doc_id=2016012000588002" target="_blank"&gt;Verified by Public Record&lt;/a&gt;</t>
  </si>
  <si>
    <t>&lt;a href="http://a836-acris.nyc.gov/DS/DocumentSearch/DocumentDetail?doc_id=2015091000570001" target="_blank"&gt;Verified by Public Record&lt;/a&gt;</t>
  </si>
  <si>
    <t>&lt;a href="http://a836-acris.nyc.gov/DS/DocumentSearch/DocumentDetail?doc_id=2015102000167001" target="_blank"&gt;Verified by Public Record&lt;/a&gt;</t>
  </si>
  <si>
    <t>&lt;a href="http://a836-acris.nyc.gov/DS/DocumentSearch/DocumentDetail?doc_id=2017050900116001" target="_blank"&gt;Verified by Public Record&lt;/a&gt;</t>
  </si>
  <si>
    <t>&lt;a href="http://a836-acris.nyc.gov/DS/DocumentSearch/DocumentDetail?doc_id=2020103000916001" target="_blank"&gt;Verified by Public Record&lt;/a&gt;</t>
  </si>
  <si>
    <t>&lt;a href="http://a836-acris.nyc.gov/DS/DocumentSearch/DocumentDetail?doc_id=2016032800550001" target="_blank"&gt;Verified by Public Record&lt;/a&gt;</t>
  </si>
  <si>
    <t>&lt;a href="http://a836-acris.nyc.gov/DS/DocumentSearch/DocumentDetail?doc_id=2016010601030002" target="_blank"&gt;Verified by Public Record&lt;/a&gt;</t>
  </si>
  <si>
    <t>&lt;a href="http://a836-acris.nyc.gov/DS/DocumentSearch/DocumentDetail?doc_id=2015092500988001" target="_blank"&gt;Verified by Public Record&lt;/a&gt;</t>
  </si>
  <si>
    <t>&lt;a href="http://a836-acris.nyc.gov/DS/DocumentSearch/DocumentDetail?doc_id=2015110900071001" target="_blank"&gt;Verified by Public Record&lt;/a&gt;</t>
  </si>
  <si>
    <t>&lt;a href="http://a836-acris.nyc.gov/DS/DocumentSearch/DocumentDetail?doc_id=2015083100673002" target="_blank"&gt;Verified by Public Record&lt;/a&gt;</t>
  </si>
  <si>
    <t>&lt;a href="http://a836-acris.nyc.gov/DS/DocumentSearch/DocumentDetail?doc_id=2015092301139001" target="_blank"&gt;Verified by Public Record&lt;/a&gt;</t>
  </si>
  <si>
    <t>&lt;a href="http://a836-acris.nyc.gov/DS/DocumentSearch/DocumentDetail?doc_id=2015111701321001" target="_blank"&gt;Verified by Public Record&lt;/a&gt;</t>
  </si>
  <si>
    <t>&lt;a href="http://a836-acris.nyc.gov/DS/DocumentSearch/DocumentDetail?doc_id=2015111601085001" target="_blank"&gt;Verified by Public Record&lt;/a&gt;</t>
  </si>
  <si>
    <t>&lt;a href="http://a836-acris.nyc.gov/DS/DocumentSearch/DocumentDetail?doc_id=2015111601180004" target="_blank"&gt;Verified by Public Record&lt;/a&gt;</t>
  </si>
  <si>
    <t>&lt;a href="http://a836-acris.nyc.gov/DS/DocumentSearch/DocumentDetail?doc_id=2015092801172001" target="_blank"&gt;Verified by Public Record&lt;/a&gt;</t>
  </si>
  <si>
    <t>&lt;a href="http://a836-acris.nyc.gov/DS/DocumentSearch/DocumentDetail?doc_id=2018110801294002" target="_blank"&gt;Verified by Public Record&lt;/a&gt;</t>
  </si>
  <si>
    <t>&lt;a href="http://a836-acris.nyc.gov/DS/DocumentSearch/DocumentDetail?doc_id=2015073100289001" target="_blank"&gt;Verified by Public Record&lt;/a&gt;</t>
  </si>
  <si>
    <t>&lt;a href="http://a836-acris.nyc.gov/DS/DocumentSearch/DocumentDetail?doc_id=2015120100318001" target="_blank"&gt;Verified by Public Record&lt;/a&gt;</t>
  </si>
  <si>
    <t>&lt;a href="http://a836-acris.nyc.gov/DS/DocumentSearch/DocumentDetail?doc_id=2017041000705001" target="_blank"&gt;Verified by Public Record&lt;/a&gt;</t>
  </si>
  <si>
    <t>&lt;a href="http://a836-acris.nyc.gov/DS/DocumentSearch/DocumentDetail?doc_id=2015102100920001" target="_blank"&gt;Verified by Public Record&lt;/a&gt;</t>
  </si>
  <si>
    <t>&lt;a href="http://a836-acris.nyc.gov/DS/DocumentSearch/DocumentDetail?doc_id=2015111701129002" target="_blank"&gt;Verified by Public Record&lt;/a&gt;</t>
  </si>
  <si>
    <t>&lt;a href="http://a836-acris.nyc.gov/DS/DocumentSearch/DocumentDetail?doc_id=2015111900418001" target="_blank"&gt;Verified by Public Record&lt;/a&gt;</t>
  </si>
  <si>
    <t>&lt;a href="http://a836-acris.nyc.gov/DS/DocumentSearch/DocumentDetail?doc_id=2018042400410003" target="_blank"&gt;Verified by Public Record&lt;/a&gt;</t>
  </si>
  <si>
    <t>&lt;a href="http://a836-acris.nyc.gov/DS/DocumentSearch/DocumentDetail?doc_id=2017091500648001" target="_blank"&gt;Verified by Public Record&lt;/a&gt;</t>
  </si>
  <si>
    <t>&lt;a href="http://a836-acris.nyc.gov/DS/DocumentSearch/DocumentDetail?doc_id=2016010400410002" target="_blank"&gt;Verified by Public Record&lt;/a&gt;</t>
  </si>
  <si>
    <t>&lt;a href="http://a836-acris.nyc.gov/DS/DocumentSearch/DocumentDetail?doc_id=2016012000260001" target="_blank"&gt;Verified by Public Record&lt;/a&gt;</t>
  </si>
  <si>
    <t>&lt;a href="http://a836-acris.nyc.gov/DS/DocumentSearch/DocumentDetail?doc_id=2015112100083001" target="_blank"&gt;Verified by Public Record&lt;/a&gt;</t>
  </si>
  <si>
    <t>&lt;a href="http://a836-acris.nyc.gov/DS/DocumentSearch/DocumentDetail?doc_id=2017121800601002" target="_blank"&gt;Verified by Public Record&lt;/a&gt;</t>
  </si>
  <si>
    <t>Balcony
Patio
Common Roof Deck
Common Outdoor Space</t>
  </si>
  <si>
    <t>&lt;a href="http://a836-acris.nyc.gov/DS/DocumentSearch/DocumentDetail?doc_id=2015123001326001" target="_blank"&gt;Verified by Public Record&lt;/a&gt;</t>
  </si>
  <si>
    <t>&lt;a href="http://a836-acris.nyc.gov/DS/DocumentSearch/DocumentDetail?doc_id=2015120901375001" target="_blank"&gt;Verified by Public Record&lt;/a&gt;</t>
  </si>
  <si>
    <t>&lt;a href="http://a836-acris.nyc.gov/DS/DocumentSearch/DocumentDetail?doc_id=2018030701115001" target="_blank"&gt;Verified by Public Record&lt;/a&gt;</t>
  </si>
  <si>
    <t>&lt;a href="http://a836-acris.nyc.gov/DS/DocumentSearch/DocumentDetail?doc_id=2017082200120002" target="_blank"&gt;Verified by Public Record&lt;/a&gt;</t>
  </si>
  <si>
    <t>&lt;a href="http://a836-acris.nyc.gov/DS/DocumentSearch/DocumentDetail?doc_id=2015081201277001" target="_blank"&gt;Verified by Public Record&lt;/a&gt;</t>
  </si>
  <si>
    <t>&lt;a href="http://a836-acris.nyc.gov/DS/DocumentSearch/DocumentDetail?doc_id=2019091700278002" target="_blank"&gt;Verified by Public Record&lt;/a&gt;</t>
  </si>
  <si>
    <t>&lt;a href="http://a836-acris.nyc.gov/DS/DocumentSearch/DocumentDetail?doc_id=2019102500662001" target="_blank"&gt;Verified by Public Record&lt;/a&gt;</t>
  </si>
  <si>
    <t>&lt;a href="http://a836-acris.nyc.gov/DS/DocumentSearch/DocumentDetail?doc_id=2015081300838001" target="_blank"&gt;Verified by Public Record&lt;/a&gt;</t>
  </si>
  <si>
    <t>&lt;a href="http://a836-acris.nyc.gov/DS/DocumentSearch/DocumentDetail?doc_id=2015120900890003" target="_blank"&gt;Verified by Public Record&lt;/a&gt;</t>
  </si>
  <si>
    <t>&lt;a href="http://a836-acris.nyc.gov/DS/DocumentSearch/DocumentDetail?doc_id=2015111000267001" target="_blank"&gt;Verified by Public Record&lt;/a&gt;</t>
  </si>
  <si>
    <t>&lt;a href="http://a836-acris.nyc.gov/DS/DocumentSearch/DocumentDetail?doc_id=2015112300946001" target="_blank"&gt;Verified by Public Record&lt;/a&gt;</t>
  </si>
  <si>
    <t>&lt;a href="http://a836-acris.nyc.gov/DS/DocumentSearch/DocumentDetail?doc_id=2015082501116001" target="_blank"&gt;Verified by Public Record&lt;/a&gt;</t>
  </si>
  <si>
    <t>&lt;a href="http://a836-acris.nyc.gov/DS/DocumentSearch/DocumentDetail?doc_id=2016011800246002" target="_blank"&gt;Verified by Public Record&lt;/a&gt;</t>
  </si>
  <si>
    <t>&lt;a href="http://a836-acris.nyc.gov/DS/DocumentSearch/DocumentDetail?doc_id=2015110600351001" target="_blank"&gt;Verified by Public Record&lt;/a&gt;</t>
  </si>
  <si>
    <t>&lt;a href="http://a836-acris.nyc.gov/DS/DocumentSearch/DocumentDetail?doc_id=2015121700348001" target="_blank"&gt;Verified by Public Record&lt;/a&gt;</t>
  </si>
  <si>
    <t>&lt;a href="http://a836-acris.nyc.gov/DS/DocumentSearch/DocumentDetail?doc_id=2017042500916001" target="_blank"&gt;Verified by Public Record&lt;/a&gt;</t>
  </si>
  <si>
    <t>&lt;a href="http://a836-acris.nyc.gov/DS/DocumentSearch/DocumentDetail?doc_id=2015123100936001" target="_blank"&gt;Verified by Public Record&lt;/a&gt;</t>
  </si>
  <si>
    <t>&lt;a href="http://a836-acris.nyc.gov/DS/DocumentSearch/DocumentDetail?doc_id=2015102600703001" target="_blank"&gt;Verified by Public Record&lt;/a&gt;</t>
  </si>
  <si>
    <t>&lt;a href="http://a836-acris.nyc.gov/DS/DocumentSearch/DocumentDetail?doc_id=2015121801079002" target="_blank"&gt;Verified by Public Record&lt;/a&gt;</t>
  </si>
  <si>
    <t>&lt;a href="http://a836-acris.nyc.gov/DS/DocumentSearch/DocumentDetail?doc_id=2016111500934001" target="_blank"&gt;Verified by Public Record&lt;/a&gt;</t>
  </si>
  <si>
    <t>&lt;a href="http://a836-acris.nyc.gov/DS/DocumentSearch/DocumentDetail?doc_id=2019052200778002" target="_blank"&gt;Verified by Public Record&lt;/a&gt;</t>
  </si>
  <si>
    <t>&lt;a href="http://a836-acris.nyc.gov/DS/DocumentSearch/DocumentDetail?doc_id=2021080300840001" target="_blank"&gt;Verified by Public Record&lt;/a&gt;</t>
  </si>
  <si>
    <t>&lt;a href="http://a836-acris.nyc.gov/DS/DocumentSearch/DocumentDetail?doc_id=2021011201337002" target="_blank"&gt;Verified by Public Record&lt;/a&gt;</t>
  </si>
  <si>
    <t>&lt;a href="http://a836-acris.nyc.gov/DS/DocumentSearch/DocumentDetail?doc_id=2020092401064002" target="_blank"&gt;Verified by Public Record&lt;/a&gt;</t>
  </si>
  <si>
    <t>&lt;a href="http://a836-acris.nyc.gov/DS/DocumentSearch/DocumentDetail?doc_id=2015081400722001" target="_blank"&gt;Verified by Public Record&lt;/a&gt;</t>
  </si>
  <si>
    <t>&lt;a href="http://a836-acris.nyc.gov/DS/DocumentSearch/DocumentDetail?doc_id=2015111300924001" target="_blank"&gt;Verified by Public Record&lt;/a&gt;</t>
  </si>
  <si>
    <t>&lt;a href="http://a836-acris.nyc.gov/DS/DocumentSearch/DocumentDetail?doc_id=2021031700776003" target="_blank"&gt;Verified by Public Record&lt;/a&gt;</t>
  </si>
  <si>
    <t>&lt;a href="http://a836-acris.nyc.gov/DS/DocumentSearch/DocumentDetail?doc_id=2015120300409001" target="_blank"&gt;Verified by Public Record&lt;/a&gt;</t>
  </si>
  <si>
    <t>&lt;a href="http://a836-acris.nyc.gov/DS/DocumentSearch/DocumentDetail?doc_id=2016011900442001" target="_blank"&gt;Verified by Public Record&lt;/a&gt;</t>
  </si>
  <si>
    <t>&lt;a href="http://a836-acris.nyc.gov/DS/DocumentSearch/DocumentDetail?doc_id=2015110500106001" target="_blank"&gt;Verified by Public Record&lt;/a&gt;</t>
  </si>
  <si>
    <t>&lt;a href="http://a836-acris.nyc.gov/DS/DocumentSearch/DocumentDetail?doc_id=2015121401276001" target="_blank"&gt;Verified by Public Record&lt;/a&gt;</t>
  </si>
  <si>
    <t>&lt;a href="http://a836-acris.nyc.gov/DS/DocumentSearch/DocumentDetail?doc_id=2015112401169001" target="_blank"&gt;Verified by Public Record&lt;/a&gt;</t>
  </si>
  <si>
    <t>&lt;a href="http://a836-acris.nyc.gov/DS/DocumentSearch/DocumentDetail?doc_id=2015112400333002" target="_blank"&gt;Verified by Public Record&lt;/a&gt;</t>
  </si>
  <si>
    <t>&lt;a href="http://a836-acris.nyc.gov/DS/DocumentSearch/DocumentDetail?doc_id=2015111301097001" target="_blank"&gt;Verified by Public Record&lt;/a&gt;</t>
  </si>
  <si>
    <t>&lt;a href="http://a836-acris.nyc.gov/DS/DocumentSearch/DocumentDetail?doc_id=2015112000873001" target="_blank"&gt;Verified by Public Record&lt;/a&gt;</t>
  </si>
  <si>
    <t>&lt;a href="http://a836-acris.nyc.gov/DS/DocumentSearch/DocumentDetail?doc_id=2015112401426001" target="_blank"&gt;Verified by Public Record&lt;/a&gt;</t>
  </si>
  <si>
    <t>&lt;a href="http://a836-acris.nyc.gov/DS/DocumentSearch/DocumentDetail?doc_id=2015100900077002" target="_blank"&gt;Verified by Public Record&lt;/a&gt;</t>
  </si>
  <si>
    <t>&lt;a href="http://a836-acris.nyc.gov/DS/DocumentSearch/DocumentDetail?doc_id=2015120800679001" target="_blank"&gt;Verified by Public Record&lt;/a&gt;</t>
  </si>
  <si>
    <t>&lt;a href="http://a836-acris.nyc.gov/DS/DocumentSearch/DocumentDetail?doc_id=2015123001446001" target="_blank"&gt;Verified by Public Record&lt;/a&gt;</t>
  </si>
  <si>
    <t>&lt;a href="http://a836-acris.nyc.gov/DS/DocumentSearch/DocumentDetail?doc_id=2015111600452001" target="_blank"&gt;Verified by Public Record&lt;/a&gt;</t>
  </si>
  <si>
    <t>&lt;a href="http://a836-acris.nyc.gov/DS/DocumentSearch/DocumentDetail?doc_id=2017051200608001" target="_blank"&gt;Verified by Public Record&lt;/a&gt;</t>
  </si>
  <si>
    <t>&lt;a href="http://a836-acris.nyc.gov/DS/DocumentSearch/DocumentDetail?doc_id=2017061200233001" target="_blank"&gt;Verified by Public Record&lt;/a&gt;</t>
  </si>
  <si>
    <t>&lt;a href="http://a836-acris.nyc.gov/DS/DocumentSearch/DocumentDetail?doc_id=2016010600900001" target="_blank"&gt;Verified by Public Record&lt;/a&gt;</t>
  </si>
  <si>
    <t>&lt;a href="http://a836-acris.nyc.gov/DS/DocumentSearch/DocumentDetail?doc_id=2016012200939002" target="_blank"&gt;Verified by Public Record&lt;/a&gt;</t>
  </si>
  <si>
    <t>&lt;a href="http://a836-acris.nyc.gov/DS/DocumentSearch/DocumentDetail?doc_id=2015122301026001" target="_blank"&gt;Verified by Public Record&lt;/a&gt;</t>
  </si>
  <si>
    <t>&lt;a href="http://a836-acris.nyc.gov/DS/DocumentSearch/DocumentDetail?doc_id=2015102601415003" target="_blank"&gt;Verified by Public Record&lt;/a&gt;</t>
  </si>
  <si>
    <t>&lt;a href="http://a836-acris.nyc.gov/DS/DocumentSearch/DocumentDetail?doc_id=2015110400423001" target="_blank"&gt;Verified by Public Record&lt;/a&gt;</t>
  </si>
  <si>
    <t>&lt;a href="http://a836-acris.nyc.gov/DS/DocumentSearch/DocumentDetail?doc_id=2015120300284001" target="_blank"&gt;Verified by Public Record&lt;/a&gt;</t>
  </si>
  <si>
    <t>&lt;a href="http://a836-acris.nyc.gov/DS/DocumentSearch/DocumentDetail?doc_id=2015121600550004" target="_blank"&gt;Verified by Public Record&lt;/a&gt;</t>
  </si>
  <si>
    <t>&lt;a href="http://a836-acris.nyc.gov/DS/DocumentSearch/DocumentDetail?doc_id=2017013000864001" target="_blank"&gt;Verified by Public Record&lt;/a&gt;</t>
  </si>
  <si>
    <t>&lt;a href="http://a836-acris.nyc.gov/DS/DocumentSearch/DocumentDetail?doc_id=2014111900634001" target="_blank"&gt;Verified by Public Record&lt;/a&gt;</t>
  </si>
  <si>
    <t>Balcony
Deck
Common Roof Deck</t>
  </si>
  <si>
    <t>&lt;a href="http://a836-acris.nyc.gov/DS/DocumentSearch/DocumentDetail?doc_id=2018050700507001" target="_blank"&gt;Verified by Public Record&lt;/a&gt;</t>
  </si>
  <si>
    <t>Private Terrace
Patio
Common Roof Deck
Common Outdoor Space
Private Outdoor Space</t>
  </si>
  <si>
    <t>&lt;a href="http://a836-acris.nyc.gov/DS/DocumentSearch/DocumentDetail?doc_id=2017122700606001" target="_blank"&gt;Verified by Public Record&lt;/a&gt;</t>
  </si>
  <si>
    <t>Private Wrap Around Terrace
Common Roof Deck
Common Outdoor Space
Private Outdoor Space</t>
  </si>
  <si>
    <t>&lt;a href="http://a836-acris.nyc.gov/DS/DocumentSearch/DocumentDetail?doc_id=2021050501143001" target="_blank"&gt;Public Record Only&lt;/a&gt;</t>
  </si>
  <si>
    <t>&lt;a href="http://a836-acris.nyc.gov/DS/DocumentSearch/DocumentDetail?doc_id=2014121500973001" target="_blank"&gt;Verified by Public Record&lt;/a&gt;</t>
  </si>
  <si>
    <t>&lt;a href="http://a836-acris.nyc.gov/DS/DocumentSearch/DocumentDetail?doc_id=2014082500710004" target="_blank"&gt;Verified by Public Record&lt;/a&gt;</t>
  </si>
  <si>
    <t>Deck
Common Roof Deck</t>
  </si>
  <si>
    <t>Deck
Common Roof Deck
Private Outdoor Space</t>
  </si>
  <si>
    <t>&lt;a href="http://a836-acris.nyc.gov/DS/DocumentSearch/DocumentDetail?doc_id=2014102000270001" target="_blank"&gt;Verified by Public Record&lt;/a&gt;</t>
  </si>
  <si>
    <t>&lt;a href="http://a836-acris.nyc.gov/DS/DocumentSearch/DocumentDetail?doc_id=2014101501313001" target="_blank"&gt;Verified by Public Record&lt;/a&gt;</t>
  </si>
  <si>
    <t>&lt;a href="http://a836-acris.nyc.gov/DS/DocumentSearch/DocumentDetail?doc_id=2014101600710001" target="_blank"&gt;Verified by Public Record&lt;/a&gt;</t>
  </si>
  <si>
    <t>&lt;a href="http://a836-acris.nyc.gov/DS/DocumentSearch/DocumentDetail?doc_id=2014111900027002" target="_blank"&gt;Verified by Public Record&lt;/a&gt;</t>
  </si>
  <si>
    <t>&lt;a href="http://a836-acris.nyc.gov/DS/DocumentSearch/DocumentDetail?doc_id=2014103100319001" target="_blank"&gt;Verified by Public Record&lt;/a&gt;</t>
  </si>
  <si>
    <t>&lt;a href="http://a836-acris.nyc.gov/DS/DocumentSearch/DocumentDetail?doc_id=2014120900270001" target="_blank"&gt;Verified by Public Record&lt;/a&gt;</t>
  </si>
  <si>
    <t>&lt;a href="http://a836-acris.nyc.gov/DS/DocumentSearch/DocumentDetail?doc_id=2014120400373001" target="_blank"&gt;Verified by Public Record&lt;/a&gt;</t>
  </si>
  <si>
    <t>&lt;a href="http://a836-acris.nyc.gov/DS/DocumentSearch/DocumentDetail?doc_id=2015070600077001" target="_blank"&gt;Verified by Public Record&lt;/a&gt;</t>
  </si>
  <si>
    <t>Balcony
Deck
Common Roof Deck
Private Outdoor Space</t>
  </si>
  <si>
    <t>&lt;a href="http://a836-acris.nyc.gov/DS/DocumentSearch/DocumentDetail?doc_id=2014110500242001" target="_blank"&gt;Verified by Public Record&lt;/a&gt;</t>
  </si>
  <si>
    <t>&lt;a href="http://a836-acris.nyc.gov/DS/DocumentSearch/DocumentDetail?doc_id=2014102100277001" target="_blank"&gt;Verified by Public Record&lt;/a&gt;</t>
  </si>
  <si>
    <t>&lt;a href="http://a836-acris.nyc.gov/DS/DocumentSearch/DocumentDetail?doc_id=2014102900986001" target="_blank"&gt;Verified by Public Record&lt;/a&gt;</t>
  </si>
  <si>
    <t>&lt;a href="http://a836-acris.nyc.gov/DS/DocumentSearch/DocumentDetail?doc_id=2014111700416001" target="_blank"&gt;Verified by Public Record&lt;/a&gt;</t>
  </si>
  <si>
    <t>&lt;a href="http://a836-acris.nyc.gov/DS/DocumentSearch/DocumentDetail?doc_id=2014121500308001" target="_blank"&gt;Verified by Public Record&lt;/a&gt;</t>
  </si>
  <si>
    <t>&lt;a href="http://a836-acris.nyc.gov/DS/DocumentSearch/DocumentDetail?doc_id=2014110501108001" target="_blank"&gt;Verified by Public Record&lt;/a&gt;</t>
  </si>
  <si>
    <t>&lt;a href="http://a836-acris.nyc.gov/DS/DocumentSearch/DocumentDetail?doc_id=2014122600286001" target="_blank"&gt;Verified by Public Record&lt;/a&gt;</t>
  </si>
  <si>
    <t>&lt;a href="http://a836-acris.nyc.gov/DS/DocumentSearch/DocumentDetail?doc_id=2016072000360001" target="_blank"&gt;Verified by Public Record&lt;/a&gt;</t>
  </si>
  <si>
    <t>&lt;a href="http://a836-acris.nyc.gov/DS/DocumentSearch/DocumentDetail?doc_id=2016120701434001" target="_blank"&gt;Verified by Public Record&lt;/a&gt;</t>
  </si>
  <si>
    <t>&lt;a href="http://a836-acris.nyc.gov/DS/DocumentSearch/DocumentDetail?doc_id=2017041300061001" target="_blank"&gt;Verified by Public Record&lt;/a&gt;</t>
  </si>
  <si>
    <t>Private Terrace
Common Roof Deck
Playground
Common Outdoor Space</t>
  </si>
  <si>
    <t>&lt;a href="http://a836-acris.nyc.gov/DS/DocumentSearch/DocumentDetail?doc_id=2017082301084001" target="_blank"&gt;Verified by Public Record&lt;/a&gt;</t>
  </si>
  <si>
    <t>&lt;a href="http://a836-acris.nyc.gov/DS/DocumentSearch/DocumentDetail?doc_id=2016083001109001" target="_blank"&gt;Verified by Public Record&lt;/a&gt;</t>
  </si>
  <si>
    <t>Private Wrap Around Terrace
Common Roof Deck
Playground
Common Outdoor Space</t>
  </si>
  <si>
    <t>&lt;a href="http://a836-acris.nyc.gov/DS/DocumentSearch/DocumentDetail?doc_id=2020021000313001" target="_blank"&gt;Verified by Public Record&lt;/a&gt;</t>
  </si>
  <si>
    <t>Balcony
Common Roof Deck
Private Outdoor Space</t>
  </si>
  <si>
    <t>&lt;a href="http://a836-acris.nyc.gov/DS/DocumentSearch/DocumentDetail?doc_id=2015010800748001" target="_blank"&gt;Verified by Public Record&lt;/a&gt;</t>
  </si>
  <si>
    <t>&lt;a href="http://a836-acris.nyc.gov/DS/DocumentSearch/DocumentDetail?doc_id=2017103100588001" target="_blank"&gt;Verified by Public Record&lt;/a&gt;</t>
  </si>
  <si>
    <t>&lt;a href="http://a836-acris.nyc.gov/DS/DocumentSearch/DocumentDetail?doc_id=2014121600266001" target="_blank"&gt;Verified by Public Record&lt;/a&gt;</t>
  </si>
  <si>
    <t>&lt;a href="http://a836-acris.nyc.gov/DS/DocumentSearch/DocumentDetail?doc_id=2014122301042001" target="_blank"&gt;Verified by Public Record&lt;/a&gt;</t>
  </si>
  <si>
    <t>&lt;a href="http://a836-acris.nyc.gov/DS/DocumentSearch/DocumentDetail?doc_id=2015021900324002" target="_blank"&gt;Verified by Public Record&lt;/a&gt;</t>
  </si>
  <si>
    <t>Balcony
Private Roof Deck
Deck
Common Roof Deck</t>
  </si>
  <si>
    <t>&lt;a href="http://a836-acris.nyc.gov/DS/DocumentSearch/DocumentDetail?doc_id=2014111400717001" target="_blank"&gt;Verified by Public Record&lt;/a&gt;</t>
  </si>
  <si>
    <t>&lt;a href="http://a836-acris.nyc.gov/DS/DocumentSearch/DocumentDetail?doc_id=2014111900497002" target="_blank"&gt;Verified by Public Record&lt;/a&gt;</t>
  </si>
  <si>
    <t>&lt;a href="http://a836-acris.nyc.gov/DS/DocumentSearch/DocumentDetail?doc_id=2015010600696001" target="_blank"&gt;Verified by Public Record&lt;/a&gt;</t>
  </si>
  <si>
    <t>&lt;a href="http://a836-acris.nyc.gov/DS/DocumentSearch/DocumentDetail?doc_id=2014121500356001" target="_blank"&gt;Verified by Public Record&lt;/a&gt;</t>
  </si>
  <si>
    <t>&lt;a href="http://a836-acris.nyc.gov/DS/DocumentSearch/DocumentDetail?doc_id=2014110600425002" target="_blank"&gt;Verified by Public Record&lt;/a&gt;</t>
  </si>
  <si>
    <t>&lt;a href="http://a836-acris.nyc.gov/DS/DocumentSearch/DocumentDetail?doc_id=2016030800590003" target="_blank"&gt;Verified by Public Record&lt;/a&gt;</t>
  </si>
  <si>
    <t>&lt;a href="http://a836-acris.nyc.gov/DS/DocumentSearch/DocumentDetail?doc_id=2014121200212001" target="_blank"&gt;Verified by Public Record&lt;/a&gt;</t>
  </si>
  <si>
    <t>&lt;a href="http://a836-acris.nyc.gov/DS/DocumentSearch/DocumentDetail?doc_id=2015010701346001" target="_blank"&gt;Verified by Public Record&lt;/a&gt;</t>
  </si>
  <si>
    <t>&lt;a href="http://a836-acris.nyc.gov/DS/DocumentSearch/DocumentDetail?doc_id=2014120200950002" target="_blank"&gt;Verified by Public Record&lt;/a&gt;</t>
  </si>
  <si>
    <t>&lt;a href="http://a836-acris.nyc.gov/DS/DocumentSearch/DocumentDetail?doc_id=2015013100065001" target="_blank"&gt;Verified by Public Record&lt;/a&gt;</t>
  </si>
  <si>
    <t>&lt;a href="http://a836-acris.nyc.gov/DS/DocumentSearch/DocumentDetail?doc_id=2015110300388001" target="_blank"&gt;Verified by Public Record&lt;/a&gt;</t>
  </si>
  <si>
    <t>&lt;a href="http://a836-acris.nyc.gov/DS/DocumentSearch/DocumentDetail?doc_id=2014082501014004" target="_blank"&gt;Verified by Public Record&lt;/a&gt;</t>
  </si>
  <si>
    <t>&lt;a href="http://a836-acris.nyc.gov/DS/DocumentSearch/DocumentDetail?doc_id=2014120400956001" target="_blank"&gt;Verified by Public Record&lt;/a&gt;</t>
  </si>
  <si>
    <t>&lt;a href="http://a836-acris.nyc.gov/DS/DocumentSearch/DocumentDetail?doc_id=2014120200600001" target="_blank"&gt;Verified by Public Record&lt;/a&gt;</t>
  </si>
  <si>
    <t>&lt;a href="http://a836-acris.nyc.gov/DS/DocumentSearch/DocumentDetail?doc_id=2015011900215001" target="_blank"&gt;Verified by Public Record&lt;/a&gt;</t>
  </si>
  <si>
    <t>&lt;a href="http://a836-acris.nyc.gov/DS/DocumentSearch/DocumentDetail?doc_id=2014122600133001" target="_blank"&gt;Verified by Public Record&lt;/a&gt;</t>
  </si>
  <si>
    <t>&lt;a href="http://a836-acris.nyc.gov/DS/DocumentSearch/DocumentDetail?doc_id=2014121000348001" target="_blank"&gt;Verified by Public Record&lt;/a&gt;</t>
  </si>
  <si>
    <t>&lt;a href="http://a836-acris.nyc.gov/DS/DocumentSearch/DocumentDetail?doc_id=2017011100561001" target="_blank"&gt;Verified by Public Record&lt;/a&gt;</t>
  </si>
  <si>
    <t>&lt;a href="http://a836-acris.nyc.gov/DS/DocumentSearch/DocumentDetail?doc_id=2018091800239003" target="_blank"&gt;Verified by Public Record&lt;/a&gt;</t>
  </si>
  <si>
    <t>Balcony
Deck
Common Roof Deck
Common Outdoor Space</t>
  </si>
  <si>
    <t>&lt;a href="http://a836-acris.nyc.gov/DS/DocumentSearch/DocumentDetail?doc_id=2021070600537001" target="_blank"&gt;Verified by Public Record&lt;/a&gt;</t>
  </si>
  <si>
    <t>&lt;a href="http://a836-acris.nyc.gov/DS/DocumentSearch/DocumentDetail?doc_id=2014120200838001" target="_blank"&gt;Verified by Public Record&lt;/a&gt;</t>
  </si>
  <si>
    <t>&lt;a href="http://a836-acris.nyc.gov/DS/DocumentSearch/DocumentDetail?doc_id=2014111100675001" target="_blank"&gt;Verified by Public Record&lt;/a&gt;</t>
  </si>
  <si>
    <t>&lt;a href="http://a836-acris.nyc.gov/DS/DocumentSearch/DocumentDetail?doc_id=2016010500242001" target="_blank"&gt;Verified by Public Record&lt;/a&gt;</t>
  </si>
  <si>
    <t>&lt;a href="http://a836-acris.nyc.gov/DS/DocumentSearch/DocumentDetail?doc_id=2014101400381001" target="_blank"&gt;Verified by Public Record&lt;/a&gt;</t>
  </si>
  <si>
    <t>&lt;a href="http://a836-acris.nyc.gov/DS/DocumentSearch/DocumentDetail?doc_id=2014112100357001" target="_blank"&gt;Verified by Public Record&lt;/a&gt;</t>
  </si>
  <si>
    <t>&lt;a href="http://a836-acris.nyc.gov/DS/DocumentSearch/DocumentDetail?doc_id=2015092800585001" target="_blank"&gt;Public Record Only&lt;/a&gt;</t>
  </si>
  <si>
    <t>&lt;a href="http://a836-acris.nyc.gov/DS/DocumentSearch/DocumentDetail?doc_id=2015081700765001" target="_blank"&gt;Public Record Only&lt;/a&gt;</t>
  </si>
  <si>
    <t>&lt;a href="http://a836-acris.nyc.gov/DS/DocumentSearch/DocumentDetail?doc_id=2015091501074001" target="_blank"&gt;Public Record Only&lt;/a&gt;</t>
  </si>
  <si>
    <t>&lt;a href="http://a836-acris.nyc.gov/DS/DocumentSearch/DocumentDetail?doc_id=2015080401439001" target="_blank"&gt;Public Record Only&lt;/a&gt;</t>
  </si>
  <si>
    <t>&lt;a href="http://a836-acris.nyc.gov/DS/DocumentSearch/DocumentDetail?doc_id=2015091000614001" target="_blank"&gt;Public Record Only&lt;/a&gt;</t>
  </si>
  <si>
    <t>&lt;a href="http://a836-acris.nyc.gov/DS/DocumentSearch/DocumentDetail?doc_id=2016032300104001" target="_blank"&gt;Verified by Public Record&lt;/a&gt;</t>
  </si>
  <si>
    <t>&lt;a href="http://a836-acris.nyc.gov/DS/DocumentSearch/DocumentDetail?doc_id=2015102801367001" target="_blank"&gt;Public Record Only&lt;/a&gt;</t>
  </si>
  <si>
    <t>&lt;a href="http://a836-acris.nyc.gov/DS/DocumentSearch/DocumentDetail?doc_id=2015090800409001" target="_blank"&gt;Public Record Only&lt;/a&gt;</t>
  </si>
  <si>
    <t>&lt;a href="http://a836-acris.nyc.gov/DS/DocumentSearch/DocumentDetail?doc_id=2015090301074001" target="_blank"&gt;Public Record Only&lt;/a&gt;</t>
  </si>
  <si>
    <t>&lt;a href="http://a836-acris.nyc.gov/DS/DocumentSearch/DocumentDetail?doc_id=2015091701245001" target="_blank"&gt;Public Record Only&lt;/a&gt;</t>
  </si>
  <si>
    <t>&lt;a href="http://a836-acris.nyc.gov/DS/DocumentSearch/DocumentDetail?doc_id=2015100500507002" target="_blank"&gt;Public Record Only&lt;/a&gt;</t>
  </si>
  <si>
    <t>&lt;a href="http://a836-acris.nyc.gov/DS/DocumentSearch/DocumentDetail?doc_id=2015092100948004" target="_blank"&gt;Public Record Only&lt;/a&gt;</t>
  </si>
  <si>
    <t>&lt;a href="http://a836-acris.nyc.gov/DS/DocumentSearch/DocumentDetail?doc_id=2015111900599001" target="_blank"&gt;Public Record Only&lt;/a&gt;</t>
  </si>
  <si>
    <t>&lt;a href="http://a836-acris.nyc.gov/DS/DocumentSearch/DocumentDetail?doc_id=2015080700232001" target="_blank"&gt;Public Record Only&lt;/a&gt;</t>
  </si>
  <si>
    <t>&lt;a href="http://a836-acris.nyc.gov/DS/DocumentSearch/DocumentDetail?doc_id=2015101301053001" target="_blank"&gt;Public Record Only&lt;/a&gt;</t>
  </si>
  <si>
    <t>&lt;a href="http://a836-acris.nyc.gov/DS/DocumentSearch/DocumentDetail?doc_id=2015100500728001" target="_blank"&gt;Public Record Only&lt;/a&gt;</t>
  </si>
  <si>
    <t>&lt;a href="http://a836-acris.nyc.gov/DS/DocumentSearch/DocumentDetail?doc_id=2017071900041001" target="_blank"&gt;Verified by Public Record&lt;/a&gt;</t>
  </si>
  <si>
    <t>&lt;a href="http://a836-acris.nyc.gov/DS/DocumentSearch/DocumentDetail?doc_id=2014101000101001" target="_blank"&gt;Verified by Public Record&lt;/a&gt;</t>
  </si>
  <si>
    <t>&lt;a href="http://a836-acris.nyc.gov/DS/DocumentSearch/DocumentDetail?doc_id=2017082401434001" target="_blank"&gt;Verified by Public Record&lt;/a&gt;</t>
  </si>
  <si>
    <t>&lt;a href="http://a836-acris.nyc.gov/DS/DocumentSearch/DocumentDetail?doc_id=2016030100195001" target="_blank"&gt;Verified by Public Record&lt;/a&gt;</t>
  </si>
  <si>
    <t>&lt;a href="http://a836-acris.nyc.gov/DS/DocumentSearch/DocumentDetail?doc_id=2016112301122001" target="_blank"&gt;Verified by Public Record&lt;/a&gt;</t>
  </si>
  <si>
    <t>&lt;a href="http://a836-acris.nyc.gov/DS/DocumentSearch/DocumentDetail?doc_id=2016102800046001" target="_blank"&gt;Verified by Public Record&lt;/a&gt;</t>
  </si>
  <si>
    <t>&lt;a href="http://a836-acris.nyc.gov/DS/DocumentSearch/DocumentDetail?doc_id=2015021900819001" target="_blank"&gt;Verified by Public Record&lt;/a&gt;</t>
  </si>
  <si>
    <t>&lt;a href="http://a836-acris.nyc.gov/DS/DocumentSearch/DocumentDetail?doc_id=2015102900677001" target="_blank"&gt;Public Record Only&lt;/a&gt;</t>
  </si>
  <si>
    <t>&lt;a href="http://a836-acris.nyc.gov/DS/DocumentSearch/DocumentDetail?doc_id=2015091100369003" target="_blank"&gt;Public Record Only&lt;/a&gt;</t>
  </si>
  <si>
    <t>&lt;a href="http://a836-acris.nyc.gov/DS/DocumentSearch/DocumentDetail?doc_id=2015081200025001" target="_blank"&gt;Public Record Only&lt;/a&gt;</t>
  </si>
  <si>
    <t>&lt;a href="http://a836-acris.nyc.gov/DS/DocumentSearch/DocumentDetail?doc_id=2014102900264001" target="_blank"&gt;Verified by Public Record&lt;/a&gt;</t>
  </si>
  <si>
    <t>&lt;a href="http://a836-acris.nyc.gov/DS/DocumentSearch/DocumentDetail?doc_id=2015111600186002" target="_blank"&gt;Public Record Only&lt;/a&gt;</t>
  </si>
  <si>
    <t>&lt;a href="http://a836-acris.nyc.gov/DS/DocumentSearch/DocumentDetail?doc_id=2015111600298002" target="_blank"&gt;Public Record Only&lt;/a&gt;</t>
  </si>
  <si>
    <t>&lt;a href="http://a836-acris.nyc.gov/DS/DocumentSearch/DocumentDetail?doc_id=2015111701365001" target="_blank"&gt;Public Record Only&lt;/a&gt;</t>
  </si>
  <si>
    <t>&lt;a href="http://a836-acris.nyc.gov/DS/DocumentSearch/DocumentDetail?doc_id=2014102100686001" target="_blank"&gt;Public Record Only&lt;/a&gt;</t>
  </si>
  <si>
    <t>&lt;a href="http://a836-acris.nyc.gov/DS/DocumentSearch/DocumentDetail?doc_id=2015081300763005" target="_blank"&gt;Verified by Public Record&lt;/a&gt;</t>
  </si>
  <si>
    <t>&lt;a href="http://a836-acris.nyc.gov/DS/DocumentSearch/DocumentDetail?doc_id=2015091100958001" target="_blank"&gt;Verified by Public Record&lt;/a&gt;</t>
  </si>
  <si>
    <t>&lt;a href="http://a836-acris.nyc.gov/DS/DocumentSearch/DocumentDetail?doc_id=2015100900642001" target="_blank"&gt;Verified by Public Record&lt;/a&gt;</t>
  </si>
  <si>
    <t>&lt;a href="http://a836-acris.nyc.gov/DS/DocumentSearch/DocumentDetail?doc_id=2015100200080002" target="_blank"&gt;Verified by Public Record&lt;/a&gt;</t>
  </si>
  <si>
    <t>&lt;a href="http://a836-acris.nyc.gov/DS/DocumentSearch/DocumentDetail?doc_id=2015082501118001" target="_blank"&gt;Verified by Public Record&lt;/a&gt;</t>
  </si>
  <si>
    <t>&lt;a href="http://a836-acris.nyc.gov/DS/DocumentSearch/DocumentDetail?doc_id=2015101800048001" target="_blank"&gt;Verified by Public Record&lt;/a&gt;</t>
  </si>
  <si>
    <t>&lt;a href="http://a836-acris.nyc.gov/DS/DocumentSearch/DocumentDetail?doc_id=2015092800811001" target="_blank"&gt;Verified by Public Record&lt;/a&gt;</t>
  </si>
  <si>
    <t>&lt;a href="http://a836-acris.nyc.gov/DS/DocumentSearch/DocumentDetail?doc_id=2015092300893001" target="_blank"&gt;Verified by Public Record&lt;/a&gt;</t>
  </si>
  <si>
    <t>&lt;a href="http://a836-acris.nyc.gov/DS/DocumentSearch/DocumentDetail?doc_id=2015081000375001" target="_blank"&gt;Verified by Public Record&lt;/a&gt;</t>
  </si>
  <si>
    <t>&lt;a href="http://a836-acris.nyc.gov/DS/DocumentSearch/DocumentDetail?doc_id=2015102100553001" target="_blank"&gt;Public Record Only&lt;/a&gt;</t>
  </si>
  <si>
    <t>&lt;a href="http://a836-acris.nyc.gov/DS/DocumentSearch/DocumentDetail?doc_id=2015122400359003" target="_blank"&gt;Public Record Only&lt;/a&gt;</t>
  </si>
  <si>
    <t>&lt;a href="http://a836-acris.nyc.gov/DS/DocumentSearch/DocumentDetail?doc_id=2015111200116003" target="_blank"&gt;Public Record Only&lt;/a&gt;</t>
  </si>
  <si>
    <t>&lt;a href="http://a836-acris.nyc.gov/DS/DocumentSearch/DocumentDetail?doc_id=2015120900629002" target="_blank"&gt;Public Record Only&lt;/a&gt;</t>
  </si>
  <si>
    <t>&lt;a href="http://a836-acris.nyc.gov/DS/DocumentSearch/DocumentDetail?doc_id=2015120801571001" target="_blank"&gt;Public Record Only&lt;/a&gt;</t>
  </si>
  <si>
    <t>&lt;a href="http://a836-acris.nyc.gov/DS/DocumentSearch/DocumentDetail?doc_id=2015091101568001" target="_blank"&gt;Public Record Only&lt;/a&gt;</t>
  </si>
  <si>
    <t>&lt;a href="http://a836-acris.nyc.gov/DS/DocumentSearch/DocumentDetail?doc_id=2015091401007001" target="_blank"&gt;Public Record Only&lt;/a&gt;</t>
  </si>
  <si>
    <t>&lt;a href="http://a836-acris.nyc.gov/DS/DocumentSearch/DocumentDetail?doc_id=2015120701192001" target="_blank"&gt;Public Record Only&lt;/a&gt;</t>
  </si>
  <si>
    <t>&lt;a href="http://a836-acris.nyc.gov/DS/DocumentSearch/DocumentDetail?doc_id=2019022600238002" target="_blank"&gt;Public Record Only&lt;/a&gt;</t>
  </si>
  <si>
    <t>&lt;a href="http://a836-acris.nyc.gov/DS/DocumentSearch/DocumentDetail?doc_id=2015112400195001" target="_blank"&gt;Verified by Public Record&lt;/a&gt;</t>
  </si>
  <si>
    <t>&lt;a href="http://a836-acris.nyc.gov/DS/DocumentSearch/DocumentDetail?doc_id=2015110200554001" target="_blank"&gt;Verified by Public Record&lt;/a&gt;</t>
  </si>
  <si>
    <t>&lt;a href="http://a836-acris.nyc.gov/DS/DocumentSearch/DocumentDetail?doc_id=2015092801133002" target="_blank"&gt;Verified by Public Record&lt;/a&gt;</t>
  </si>
  <si>
    <t>&lt;a href="http://a836-acris.nyc.gov/DS/DocumentSearch/DocumentDetail?doc_id=2015121500997001" target="_blank"&gt;Verified by Public Record&lt;/a&gt;</t>
  </si>
  <si>
    <t>&lt;a href="http://a836-acris.nyc.gov/DS/DocumentSearch/DocumentDetail?doc_id=2016010600524001" target="_blank"&gt;Verified by Public Record&lt;/a&gt;</t>
  </si>
  <si>
    <t>&lt;a href="http://a836-acris.nyc.gov/DS/DocumentSearch/DocumentDetail?doc_id=2018030100960001" target="_blank"&gt;Public Record Only&lt;/a&gt;</t>
  </si>
  <si>
    <t>Roof Deck</t>
  </si>
  <si>
    <t>Part-Time Doorman</t>
  </si>
  <si>
    <t>&lt;a href="http://a836-acris.nyc.gov/DS/DocumentSearch/DocumentDetail?doc_id=2020112400397001" target="_blank"&gt;Verified by Public Record&lt;/a&gt;</t>
  </si>
  <si>
    <t>Balcony
Deck
Common Roof Deck
Common Outdoor Space
Private Outdoor Space</t>
  </si>
  <si>
    <t>&lt;a href="http://a836-acris.nyc.gov/DS/DocumentSearch/DocumentDetail?doc_id=2015101901399005" target="_blank"&gt;Public Record Only&lt;/a&gt;</t>
  </si>
  <si>
    <t>&lt;a href="http://a836-acris.nyc.gov/DS/DocumentSearch/DocumentDetail?doc_id=2015091600466001" target="_blank"&gt;Public Record Only&lt;/a&gt;</t>
  </si>
  <si>
    <t>&lt;a href="http://a836-acris.nyc.gov/DS/DocumentSearch/DocumentDetail?doc_id=2015100500909002" target="_blank"&gt;Public Record Only&lt;/a&gt;</t>
  </si>
  <si>
    <t>&lt;a href="http://a836-acris.nyc.gov/DS/DocumentSearch/DocumentDetail?doc_id=2015101501430001" target="_blank"&gt;Verified by Public Record&lt;/a&gt;</t>
  </si>
  <si>
    <t>&lt;a href="http://a836-acris.nyc.gov/DS/DocumentSearch/DocumentDetail?doc_id=2015111700686001" target="_blank"&gt;Verified by Public Record&lt;/a&gt;</t>
  </si>
  <si>
    <t>&lt;a href="http://a836-acris.nyc.gov/DS/DocumentSearch/DocumentDetail?doc_id=2015120100655001" target="_blank"&gt;Verified by Public Record&lt;/a&gt;</t>
  </si>
  <si>
    <t>&lt;a href="http://a836-acris.nyc.gov/DS/DocumentSearch/DocumentDetail?doc_id=2015100600665002" target="_blank"&gt;Public Record Only&lt;/a&gt;</t>
  </si>
  <si>
    <t>&lt;a href="http://a836-acris.nyc.gov/DS/DocumentSearch/DocumentDetail?doc_id=2015123000208002" target="_blank"&gt;Public Record Only&lt;/a&gt;</t>
  </si>
  <si>
    <t>&lt;a href="http://a836-acris.nyc.gov/DS/DocumentSearch/DocumentDetail?doc_id=2015121700041001" target="_blank"&gt;Public Record Only&lt;/a&gt;</t>
  </si>
  <si>
    <t>&lt;a href="http://a836-acris.nyc.gov/DS/DocumentSearch/DocumentDetail?doc_id=2015102000659002" target="_blank"&gt;Public Record Only&lt;/a&gt;</t>
  </si>
  <si>
    <t>&lt;a href="http://a836-acris.nyc.gov/DS/DocumentSearch/DocumentDetail?doc_id=2015091801060001" target="_blank"&gt;Verified by Public Record&lt;/a&gt;</t>
  </si>
  <si>
    <t>&lt;a href="http://a836-acris.nyc.gov/DS/DocumentSearch/DocumentDetail?doc_id=2015100501149001" target="_blank"&gt;Verified by Public Record&lt;/a&gt;</t>
  </si>
  <si>
    <t>&lt;a href="http://a836-acris.nyc.gov/DS/DocumentSearch/DocumentDetail?doc_id=2015122800463001" target="_blank"&gt;Verified by Public Record&lt;/a&gt;</t>
  </si>
  <si>
    <t>&lt;a href="http://a836-acris.nyc.gov/DS/DocumentSearch/DocumentDetail?doc_id=2015102300298003" target="_blank"&gt;Verified by Public Record&lt;/a&gt;</t>
  </si>
  <si>
    <t>&lt;a href="http://a836-acris.nyc.gov/DS/DocumentSearch/DocumentDetail?doc_id=2015111000961001" target="_blank"&gt;Verified by Public Record&lt;/a&gt;</t>
  </si>
  <si>
    <t>&lt;a href="http://a836-acris.nyc.gov/DS/DocumentSearch/DocumentDetail?doc_id=2015102300237001" target="_blank"&gt;Verified by Public Record&lt;/a&gt;</t>
  </si>
  <si>
    <t>&lt;a href="http://a836-acris.nyc.gov/DS/DocumentSearch/DocumentDetail?doc_id=2015110200649001" target="_blank"&gt;Verified by Public Record&lt;/a&gt;</t>
  </si>
  <si>
    <t>&lt;a href="http://a836-acris.nyc.gov/DS/DocumentSearch/DocumentDetail?doc_id=2015120400942001" target="_blank"&gt;Verified by Public Record&lt;/a&gt;</t>
  </si>
  <si>
    <t>&lt;a href="http://a836-acris.nyc.gov/DS/DocumentSearch/DocumentDetail?doc_id=2015110301345001" target="_blank"&gt;Verified by Public Record&lt;/a&gt;</t>
  </si>
  <si>
    <t>&lt;a href="http://a836-acris.nyc.gov/DS/DocumentSearch/DocumentDetail?doc_id=2015111000713001" target="_blank"&gt;Verified by Public Record&lt;/a&gt;</t>
  </si>
  <si>
    <t>&lt;a href="http://a836-acris.nyc.gov/DS/DocumentSearch/DocumentDetail?doc_id=2017031500544001" target="_blank"&gt;Public Record Only&lt;/a&gt;</t>
  </si>
  <si>
    <t>&lt;a href="http://a836-acris.nyc.gov/DS/DocumentSearch/DocumentDetail?doc_id=2017062800464001" target="_blank"&gt;Public Record Only&lt;/a&gt;</t>
  </si>
  <si>
    <t>&lt;a href="http://a836-acris.nyc.gov/DS/DocumentSearch/DocumentDetail?doc_id=2016072000538001" target="_blank"&gt;Public Record Only&lt;/a&gt;</t>
  </si>
  <si>
    <t>&lt;a href="http://a836-acris.nyc.gov/DS/DocumentSearch/DocumentDetail?doc_id=2015100200102003" target="_blank"&gt;Public Record Only&lt;/a&gt;</t>
  </si>
  <si>
    <t>&lt;a href="http://a836-acris.nyc.gov/DS/DocumentSearch/DocumentDetail?doc_id=2015091600258001" target="_blank"&gt;Public Record Only&lt;/a&gt;</t>
  </si>
  <si>
    <t>&lt;a href="http://a836-acris.nyc.gov/DS/DocumentSearch/DocumentDetail?doc_id=2016021802078001" target="_blank"&gt;Verified by Public Record&lt;/a&gt;</t>
  </si>
  <si>
    <t>&lt;a href="http://a836-acris.nyc.gov/DS/DocumentSearch/DocumentDetail?doc_id=2015121600613004" target="_blank"&gt;Verified by Public Record&lt;/a&gt;</t>
  </si>
  <si>
    <t>&lt;a href="http://a836-acris.nyc.gov/DS/DocumentSearch/DocumentDetail?doc_id=2015122801268002" target="_blank"&gt;Verified by Public Record&lt;/a&gt;</t>
  </si>
  <si>
    <t>&lt;a href="http://a836-acris.nyc.gov/DS/DocumentSearch/DocumentDetail?doc_id=2015082000530001" target="_blank"&gt;Verified by Public Record&lt;/a&gt;</t>
  </si>
  <si>
    <t>&lt;a href="http://a836-acris.nyc.gov/DS/DocumentSearch/DocumentDetail?doc_id=2015092201353002" target="_blank"&gt;Verified by Public Record&lt;/a&gt;</t>
  </si>
  <si>
    <t>&lt;a href="http://a836-acris.nyc.gov/DS/DocumentSearch/DocumentDetail?doc_id=2015092400584001" target="_blank"&gt;Verified by Public Record&lt;/a&gt;</t>
  </si>
  <si>
    <t>&lt;a href="http://a836-acris.nyc.gov/DS/DocumentSearch/DocumentDetail?doc_id=2016021801827001" target="_blank"&gt;Verified by Public Record&lt;/a&gt;</t>
  </si>
  <si>
    <t>Private Terrace
Deck
Common Roof Deck
Common Outdoor Space</t>
  </si>
  <si>
    <t>&lt;a href="http://a836-acris.nyc.gov/DS/DocumentSearch/DocumentDetail?doc_id=2016011101095001" target="_blank"&gt;Verified by Public Record&lt;/a&gt;</t>
  </si>
  <si>
    <t>&lt;a href="http://a836-acris.nyc.gov/DS/DocumentSearch/DocumentDetail?doc_id=2016010800786001" target="_blank"&gt;Verified by Public Record&lt;/a&gt;</t>
  </si>
  <si>
    <t>&lt;a href="http://a836-acris.nyc.gov/DS/DocumentSearch/DocumentDetail?doc_id=2015122801197003" target="_blank"&gt;Verified by Public Record&lt;/a&gt;</t>
  </si>
  <si>
    <t>&lt;a href="http://a836-acris.nyc.gov/DS/DocumentSearch/DocumentDetail?doc_id=2015120801142001" target="_blank"&gt;Verified by Public Record&lt;/a&gt;</t>
  </si>
  <si>
    <t>&lt;a href="http://a836-acris.nyc.gov/DS/DocumentSearch/DocumentDetail?doc_id=2016011200117001" target="_blank"&gt;Verified by Public Record&lt;/a&gt;</t>
  </si>
  <si>
    <t>&lt;a href="http://a836-acris.nyc.gov/DS/DocumentSearch/DocumentDetail?doc_id=2015112400684001" target="_blank"&gt;Verified by Public Record&lt;/a&gt;</t>
  </si>
  <si>
    <t>&lt;a href="http://a836-acris.nyc.gov/DS/DocumentSearch/DocumentDetail?doc_id=2015113000658001" target="_blank"&gt;Verified by Public Record&lt;/a&gt;</t>
  </si>
  <si>
    <t>&lt;a href="http://a836-acris.nyc.gov/DS/DocumentSearch/DocumentDetail?doc_id=2015112401138002" target="_blank"&gt;Verified by Public Record&lt;/a&gt;</t>
  </si>
  <si>
    <t>&lt;a href="http://a836-acris.nyc.gov/DS/DocumentSearch/DocumentDetail?doc_id=2014102200840001" target="_blank"&gt;Public Record Only&lt;/a&gt;</t>
  </si>
  <si>
    <t>&lt;a href="http://a836-acris.nyc.gov/DS/DocumentSearch/DocumentDetail?doc_id=2015081201531001" target="_blank"&gt;Verified by Public Record&lt;/a&gt;</t>
  </si>
  <si>
    <t>&lt;a href="http://a836-acris.nyc.gov/DS/DocumentSearch/DocumentDetail?doc_id=2019102100518001" target="_blank"&gt;Verified by Public Record&lt;/a&gt;</t>
  </si>
  <si>
    <t>&lt;a href="http://a836-acris.nyc.gov/DS/DocumentSearch/DocumentDetail?doc_id=2015100500819005" target="_blank"&gt;Verified by Public Record&lt;/a&gt;</t>
  </si>
  <si>
    <t>&lt;a href="http://a836-acris.nyc.gov/DS/DocumentSearch/DocumentDetail?doc_id=2015120400418001" target="_blank"&gt;Verified by Public Record&lt;/a&gt;</t>
  </si>
  <si>
    <t>&lt;a href="http://a836-acris.nyc.gov/DS/DocumentSearch/DocumentDetail?doc_id=2016010800113002" target="_blank"&gt;Verified by Public Record&lt;/a&gt;</t>
  </si>
  <si>
    <t>&lt;a href="http://a836-acris.nyc.gov/DS/DocumentSearch/DocumentDetail?doc_id=2015073100085001" target="_blank"&gt;Verified by Public Record&lt;/a&gt;</t>
  </si>
  <si>
    <t>&lt;a href="http://a836-acris.nyc.gov/DS/DocumentSearch/DocumentDetail?doc_id=2015091701054001" target="_blank"&gt;Verified by Public Record&lt;/a&gt;</t>
  </si>
  <si>
    <t>&lt;a href="http://a836-acris.nyc.gov/DS/DocumentSearch/DocumentDetail?doc_id=2015100601022001" target="_blank"&gt;Verified by Public Record&lt;/a&gt;</t>
  </si>
  <si>
    <t>&lt;a href="http://a836-acris.nyc.gov/DS/DocumentSearch/DocumentDetail?doc_id=2015110500260001" target="_blank"&gt;Verified by Public Record&lt;/a&gt;</t>
  </si>
  <si>
    <t>&lt;a href="http://a836-acris.nyc.gov/DS/DocumentSearch/DocumentDetail?doc_id=2015113001058001" target="_blank"&gt;Verified by Public Record&lt;/a&gt;</t>
  </si>
  <si>
    <t>&lt;a href="http://a836-acris.nyc.gov/DS/DocumentSearch/DocumentDetail?doc_id=2015120100988001" target="_blank"&gt;Verified by Public Record&lt;/a&gt;</t>
  </si>
  <si>
    <t>&lt;a href="http://a836-acris.nyc.gov/DS/DocumentSearch/DocumentDetail?doc_id=2017050800479001" target="_blank"&gt;Verified by Public Record&lt;/a&gt;</t>
  </si>
  <si>
    <t>&lt;a href="http://a836-acris.nyc.gov/DS/DocumentSearch/DocumentDetail?doc_id=2015111200086001" target="_blank"&gt;Verified by Public Record&lt;/a&gt;</t>
  </si>
  <si>
    <t>&lt;a href="http://a836-acris.nyc.gov/DS/DocumentSearch/DocumentDetail?doc_id=2015090700074001" target="_blank"&gt;Verified by Public Record&lt;/a&gt;</t>
  </si>
  <si>
    <t>&lt;a href="http://a836-acris.nyc.gov/DS/DocumentSearch/DocumentDetail?doc_id=2015100501111003" target="_blank"&gt;Verified by Public Record&lt;/a&gt;</t>
  </si>
  <si>
    <t>&lt;a href="http://a836-acris.nyc.gov/DS/DocumentSearch/DocumentDetail?doc_id=2015111800439003" target="_blank"&gt;Verified by Public Record&lt;/a&gt;</t>
  </si>
  <si>
    <t>&lt;a href="http://a836-acris.nyc.gov/DS/DocumentSearch/DocumentDetail?doc_id=2015102800752001" target="_blank"&gt;Verified by Public Record&lt;/a&gt;</t>
  </si>
  <si>
    <t>Private Terrace
Private Roof Deck
Deck
Common Roof Deck
Common Outdoor Space</t>
  </si>
  <si>
    <t>&lt;a href="http://a836-acris.nyc.gov/DS/DocumentSearch/DocumentDetail?doc_id=2015031900711001" target="_blank"&gt;Verified by Public Record&lt;/a&gt;</t>
  </si>
  <si>
    <t>&lt;a href="http://a836-acris.nyc.gov/DS/DocumentSearch/DocumentDetail?doc_id=2020031700200002" target="_blank"&gt;Verified by Public Record&lt;/a&gt;</t>
  </si>
  <si>
    <t>&lt;a href="http://a836-acris.nyc.gov/DS/DocumentSearch/DocumentDetail?doc_id=2020031600348001" target="_blank"&gt;Verified by Public Record&lt;/a&gt;</t>
  </si>
  <si>
    <t>Private Terrace
Patio
Common Outdoor Space
Private Outdoor Space</t>
  </si>
  <si>
    <t>&lt;a href="http://a836-acris.nyc.gov/DS/DocumentSearch/DocumentDetail?doc_id=2020020300249001" target="_blank"&gt;Verified by Public Record&lt;/a&gt;</t>
  </si>
  <si>
    <t>&lt;a href="http://a836-acris.nyc.gov/DS/DocumentSearch/DocumentDetail?doc_id=2020020300930004" target="_blank"&gt;Verified by Public Record&lt;/a&gt;</t>
  </si>
  <si>
    <t>&lt;a href="http://a836-acris.nyc.gov/DS/DocumentSearch/DocumentDetail?doc_id=2020022500479003" target="_blank"&gt;Verified by Public Record&lt;/a&gt;</t>
  </si>
  <si>
    <t>&lt;a href="http://a836-acris.nyc.gov/DS/DocumentSearch/DocumentDetail?doc_id=2020021000519003" target="_blank"&gt;Verified by Public Record&lt;/a&gt;</t>
  </si>
  <si>
    <t>Balcony
Private Terrace
Private Wrap Around Terrace
Common Roof Deck
Common Outdoor Space
Private Outdoor Space</t>
  </si>
  <si>
    <t>&lt;a href="http://a836-acris.nyc.gov/DS/DocumentSearch/DocumentDetail?doc_id=2017121600074001" target="_blank"&gt;Verified by Public Record&lt;/a&gt;</t>
  </si>
  <si>
    <t>&lt;a href="http://a836-acris.nyc.gov/DS/DocumentSearch/DocumentDetail?doc_id=2017051801064002" target="_blank"&gt;Verified by Public Record&lt;/a&gt;</t>
  </si>
  <si>
    <t>&lt;a href="http://a836-acris.nyc.gov/DS/DocumentSearch/DocumentDetail?doc_id=2017082700020001" target="_blank"&gt;Verified by Public Record&lt;/a&gt;</t>
  </si>
  <si>
    <t>&lt;a href="http://a836-acris.nyc.gov/DS/DocumentSearch/DocumentDetail?doc_id=2017062200269001" target="_blank"&gt;Verified by Public Record&lt;/a&gt;</t>
  </si>
  <si>
    <t>&lt;a href="http://a836-acris.nyc.gov/DS/DocumentSearch/DocumentDetail?doc_id=2017062901419004" target="_blank"&gt;Verified by Public Record&lt;/a&gt;</t>
  </si>
  <si>
    <t>&lt;a href="http://a836-acris.nyc.gov/DS/DocumentSearch/DocumentDetail?doc_id=2017072600336001" target="_blank"&gt;Verified by Public Record&lt;/a&gt;</t>
  </si>
  <si>
    <t>&lt;a href="http://a836-acris.nyc.gov/DS/DocumentSearch/DocumentDetail?doc_id=2017041200835003" target="_blank"&gt;Verified by Public Record&lt;/a&gt;</t>
  </si>
  <si>
    <t>&lt;a href="http://a836-acris.nyc.gov/DS/DocumentSearch/DocumentDetail?doc_id=2017091400722002" target="_blank"&gt;Verified by Public Record&lt;/a&gt;</t>
  </si>
  <si>
    <t>&lt;a href="http://a836-acris.nyc.gov/DS/DocumentSearch/DocumentDetail?doc_id=2017042100578001" target="_blank"&gt;Verified by Public Record&lt;/a&gt;</t>
  </si>
  <si>
    <t>&lt;a href="http://a836-acris.nyc.gov/DS/DocumentSearch/DocumentDetail?doc_id=2017040600251001" target="_blank"&gt;Verified by Public Record&lt;/a&gt;</t>
  </si>
  <si>
    <t>&lt;a href="http://a836-acris.nyc.gov/DS/DocumentSearch/DocumentDetail?doc_id=2017091500312001" target="_blank"&gt;Verified by Public Record&lt;/a&gt;</t>
  </si>
  <si>
    <t>&lt;a href="http://a836-acris.nyc.gov/DS/DocumentSearch/DocumentDetail?doc_id=2017060700708003" target="_blank"&gt;Verified by Public Record&lt;/a&gt;</t>
  </si>
  <si>
    <t>&lt;a href="http://a836-acris.nyc.gov/DS/DocumentSearch/DocumentDetail?doc_id=2017052501617001" target="_blank"&gt;Verified by Public Record&lt;/a&gt;</t>
  </si>
  <si>
    <t>&lt;a href="http://a836-acris.nyc.gov/DS/DocumentSearch/DocumentDetail?doc_id=2017041800612001" target="_blank"&gt;Verified by Public Record&lt;/a&gt;</t>
  </si>
  <si>
    <t>&lt;a href="http://a836-acris.nyc.gov/DS/DocumentSearch/DocumentDetail?doc_id=2017041900909001" target="_blank"&gt;Verified by Public Record&lt;/a&gt;</t>
  </si>
  <si>
    <t>&lt;a href="http://a836-acris.nyc.gov/DS/DocumentSearch/DocumentDetail?doc_id=2017111600392001" target="_blank"&gt;Verified by Public Record&lt;/a&gt;</t>
  </si>
  <si>
    <t>&lt;a href="http://a836-acris.nyc.gov/DS/DocumentSearch/DocumentDetail?doc_id=2017122000766001" target="_blank"&gt;Verified by Public Record&lt;/a&gt;</t>
  </si>
  <si>
    <t>&lt;a href="http://a836-acris.nyc.gov/DS/DocumentSearch/DocumentDetail?doc_id=2017042100256006" target="_blank"&gt;Verified by Public Record&lt;/a&gt;</t>
  </si>
  <si>
    <t>&lt;a href="http://a836-acris.nyc.gov/DS/DocumentSearch/DocumentDetail?doc_id=2017042600165001" target="_blank"&gt;Verified by Public Record&lt;/a&gt;</t>
  </si>
  <si>
    <t>&lt;a href="http://a836-acris.nyc.gov/DS/DocumentSearch/DocumentDetail?doc_id=2017071400677001" target="_blank"&gt;Public Record Only&lt;/a&gt;</t>
  </si>
  <si>
    <t>&lt;a href="http://a836-acris.nyc.gov/DS/DocumentSearch/DocumentDetail?doc_id=2017100600920001" target="_blank"&gt;Verified by Public Record&lt;/a&gt;</t>
  </si>
  <si>
    <t>&lt;a href="http://a836-acris.nyc.gov/DS/DocumentSearch/DocumentDetail?doc_id=2017112700410001" target="_blank"&gt;Verified by Public Record&lt;/a&gt;</t>
  </si>
  <si>
    <t>&lt;a href="http://a836-acris.nyc.gov/DS/DocumentSearch/DocumentDetail?doc_id=2017061300700001" target="_blank"&gt;Verified by Public Record&lt;/a&gt;</t>
  </si>
  <si>
    <t>&lt;a href="http://a836-acris.nyc.gov/DS/DocumentSearch/DocumentDetail?doc_id=2017111301482001" target="_blank"&gt;Verified by Public Record&lt;/a&gt;</t>
  </si>
  <si>
    <t>&lt;a href="http://a836-acris.nyc.gov/DS/DocumentSearch/DocumentDetail?doc_id=2017050200467001" target="_blank"&gt;Verified by Public Record&lt;/a&gt;</t>
  </si>
  <si>
    <t>&lt;a href="http://a836-acris.nyc.gov/DS/DocumentSearch/DocumentDetail?doc_id=2017072401198001" target="_blank"&gt;Public Record Only&lt;/a&gt;</t>
  </si>
  <si>
    <t>&lt;a href="http://a836-acris.nyc.gov/DS/DocumentSearch/DocumentDetail?doc_id=2017070600655001" target="_blank"&gt;Public Record Only&lt;/a&gt;</t>
  </si>
  <si>
    <t>&lt;a href="http://a836-acris.nyc.gov/DS/DocumentSearch/DocumentDetail?doc_id=2017082200913003" target="_blank"&gt;Public Record Only&lt;/a&gt;</t>
  </si>
  <si>
    <t>&lt;a href="http://a836-acris.nyc.gov/DS/DocumentSearch/DocumentDetail?doc_id=2017041200323004" target="_blank"&gt;Verified by Public Record&lt;/a&gt;</t>
  </si>
  <si>
    <t>&lt;a href="http://a836-acris.nyc.gov/DS/DocumentSearch/DocumentDetail?doc_id=2017052200640001" target="_blank"&gt;Verified by Public Record&lt;/a&gt;</t>
  </si>
  <si>
    <t>&lt;a href="http://a836-acris.nyc.gov/DS/DocumentSearch/DocumentDetail?doc_id=2017051800539001" target="_blank"&gt;Verified by Public Record&lt;/a&gt;</t>
  </si>
  <si>
    <t>&lt;a href="http://a836-acris.nyc.gov/DS/DocumentSearch/DocumentDetail?doc_id=2017041700793001" target="_blank"&gt;Verified by Public Record&lt;/a&gt;</t>
  </si>
  <si>
    <t>&lt;a href="http://a836-acris.nyc.gov/DS/DocumentSearch/DocumentDetail?doc_id=2017041800817001" target="_blank"&gt;Verified by Public Record&lt;/a&gt;</t>
  </si>
  <si>
    <t>&lt;a href="http://a836-acris.nyc.gov/DS/DocumentSearch/DocumentDetail?doc_id=2018010300068004" target="_blank"&gt;Verified by Public Record&lt;/a&gt;</t>
  </si>
  <si>
    <t>&lt;a href="http://a836-acris.nyc.gov/DS/DocumentSearch/DocumentDetail?doc_id=2017042100833001" target="_blank"&gt;Verified by Public Record&lt;/a&gt;</t>
  </si>
  <si>
    <t>&lt;a href="http://a836-acris.nyc.gov/DS/DocumentSearch/DocumentDetail?doc_id=2017100900064001" target="_blank"&gt;Verified by Public Record&lt;/a&gt;</t>
  </si>
  <si>
    <t>&lt;a href="http://a836-acris.nyc.gov/DS/DocumentSearch/DocumentDetail?doc_id=2017100401044003" target="_blank"&gt;Verified by Public Record&lt;/a&gt;</t>
  </si>
  <si>
    <t>&lt;a href="http://a836-acris.nyc.gov/DS/DocumentSearch/DocumentDetail?doc_id=2017110100879001" target="_blank"&gt;Verified by Public Record&lt;/a&gt;</t>
  </si>
  <si>
    <t>&lt;a href="http://a836-acris.nyc.gov/DS/DocumentSearch/DocumentDetail?doc_id=2017050200792001" target="_blank"&gt;Verified by Public Record&lt;/a&gt;</t>
  </si>
  <si>
    <t>&lt;a href="http://a836-acris.nyc.gov/DS/DocumentSearch/DocumentDetail?doc_id=2017092601280001" target="_blank"&gt;Verified by Public Record&lt;/a&gt;</t>
  </si>
  <si>
    <t>&lt;a href="http://a836-acris.nyc.gov/DS/DocumentSearch/DocumentDetail?doc_id=2017041200183001" target="_blank"&gt;Verified by Public Record&lt;/a&gt;</t>
  </si>
  <si>
    <t>&lt;a href="http://a836-acris.nyc.gov/DS/DocumentSearch/DocumentDetail?doc_id=2017052700064001" target="_blank"&gt;Verified by Public Record&lt;/a&gt;</t>
  </si>
  <si>
    <t>&lt;a href="http://a836-acris.nyc.gov/DS/DocumentSearch/DocumentDetail?doc_id=2017050500512001" target="_blank"&gt;Verified by Public Record&lt;/a&gt;</t>
  </si>
  <si>
    <t>&lt;a href="http://a836-acris.nyc.gov/DS/DocumentSearch/DocumentDetail?doc_id=2017060600555001" target="_blank"&gt;Verified by Public Record&lt;/a&gt;</t>
  </si>
  <si>
    <t>&lt;a href="http://a836-acris.nyc.gov/DS/DocumentSearch/DocumentDetail?doc_id=2017100300171003" target="_blank"&gt;Verified by Public Record&lt;/a&gt;</t>
  </si>
  <si>
    <t>&lt;a href="http://a836-acris.nyc.gov/DS/DocumentSearch/DocumentDetail?doc_id=2017112901059001" target="_blank"&gt;Verified by Public Record&lt;/a&gt;</t>
  </si>
  <si>
    <t>&lt;a href="http://a836-acris.nyc.gov/DS/DocumentSearch/DocumentDetail?doc_id=2017051000804001" target="_blank"&gt;Verified by Public Record&lt;/a&gt;</t>
  </si>
  <si>
    <t>&lt;a href="http://a836-acris.nyc.gov/DS/DocumentSearch/DocumentDetail?doc_id=2017102500848001" target="_blank"&gt;Verified by Public Record&lt;/a&gt;</t>
  </si>
  <si>
    <t>&lt;a href="http://a836-acris.nyc.gov/DS/DocumentSearch/DocumentDetail?doc_id=2017060100044001" target="_blank"&gt;Verified by Public Record&lt;/a&gt;</t>
  </si>
  <si>
    <t>&lt;a href="http://a836-acris.nyc.gov/DS/DocumentSearch/DocumentDetail?doc_id=2017060800777001" target="_blank"&gt;Verified by Public Record&lt;/a&gt;</t>
  </si>
  <si>
    <t>&lt;a href="http://a836-acris.nyc.gov/DS/DocumentSearch/DocumentDetail?doc_id=2017051700443001" target="_blank"&gt;Verified by Public Record&lt;/a&gt;</t>
  </si>
  <si>
    <t>&lt;a href="http://a836-acris.nyc.gov/DS/DocumentSearch/DocumentDetail?doc_id=2017062001432001" target="_blank"&gt;Verified by Public Record&lt;/a&gt;</t>
  </si>
  <si>
    <t>&lt;a href="http://a836-acris.nyc.gov/DS/DocumentSearch/DocumentDetail?doc_id=2017101600765004" target="_blank"&gt;Verified by Public Record&lt;/a&gt;</t>
  </si>
  <si>
    <t>&lt;a href="http://a836-acris.nyc.gov/DS/DocumentSearch/DocumentDetail?doc_id=2017080200252001" target="_blank"&gt;Verified by Public Record&lt;/a&gt;</t>
  </si>
  <si>
    <t>&lt;a href="http://a836-acris.nyc.gov/DS/DocumentSearch/DocumentDetail?doc_id=2017101700770001" target="_blank"&gt;Verified by Public Record&lt;/a&gt;</t>
  </si>
  <si>
    <t>&lt;a href="http://a836-acris.nyc.gov/DS/DocumentSearch/DocumentDetail?doc_id=2017100600048002" target="_blank"&gt;Verified by Public Record&lt;/a&gt;</t>
  </si>
  <si>
    <t>&lt;a href="http://a836-acris.nyc.gov/DS/DocumentSearch/DocumentDetail?doc_id=2017091200780003" target="_blank"&gt;Verified by Public Record&lt;/a&gt;</t>
  </si>
  <si>
    <t>&lt;a href="http://a836-acris.nyc.gov/DS/DocumentSearch/DocumentDetail?doc_id=2017082400345002" target="_blank"&gt;Verified by Public Record&lt;/a&gt;</t>
  </si>
  <si>
    <t>&lt;a href="http://a836-acris.nyc.gov/DS/DocumentSearch/DocumentDetail?doc_id=2017082300021001" target="_blank"&gt;Verified by Public Record&lt;/a&gt;</t>
  </si>
  <si>
    <t>&lt;a href="http://a836-acris.nyc.gov/DS/DocumentSearch/DocumentDetail?doc_id=2017082400674004" target="_blank"&gt;Verified by Public Record&lt;/a&gt;</t>
  </si>
  <si>
    <t>&lt;a href="http://a836-acris.nyc.gov/DS/DocumentSearch/DocumentDetail?doc_id=2017082900186002" target="_blank"&gt;Verified by Public Record&lt;/a&gt;</t>
  </si>
  <si>
    <t>&lt;a href="http://a836-acris.nyc.gov/DS/DocumentSearch/DocumentDetail?doc_id=2017122600592004" target="_blank"&gt;Verified by Public Record&lt;/a&gt;</t>
  </si>
  <si>
    <t>&lt;a href="http://a836-acris.nyc.gov/DS/DocumentSearch/DocumentDetail?doc_id=2017110600871001" target="_blank"&gt;Verified by Public Record&lt;/a&gt;</t>
  </si>
  <si>
    <t>&lt;a href="http://a836-acris.nyc.gov/DS/DocumentSearch/DocumentDetail?doc_id=2017103100578002" target="_blank"&gt;Verified by Public Record&lt;/a&gt;</t>
  </si>
  <si>
    <t>&lt;a href="http://a836-acris.nyc.gov/DS/DocumentSearch/DocumentDetail?doc_id=2017051200435003" target="_blank"&gt;Verified by Public Record&lt;/a&gt;</t>
  </si>
  <si>
    <t>&lt;a href="http://a836-acris.nyc.gov/DS/DocumentSearch/DocumentDetail?doc_id=2017041700967001" target="_blank"&gt;Verified by Public Record&lt;/a&gt;</t>
  </si>
  <si>
    <t>&lt;a href="http://a836-acris.nyc.gov/DS/DocumentSearch/DocumentDetail?doc_id=2017082300508001" target="_blank"&gt;Verified by Public Record&lt;/a&gt;</t>
  </si>
  <si>
    <t>&lt;a href="http://a836-acris.nyc.gov/DS/DocumentSearch/DocumentDetail?doc_id=2017103000580001" target="_blank"&gt;Verified by Public Record&lt;/a&gt;</t>
  </si>
  <si>
    <t>&lt;a href="http://a836-acris.nyc.gov/DS/DocumentSearch/DocumentDetail?doc_id=2017053001364004" target="_blank"&gt;Verified by Public Record&lt;/a&gt;</t>
  </si>
  <si>
    <t>&lt;a href="http://a836-acris.nyc.gov/DS/DocumentSearch/DocumentDetail?doc_id=2017042400169001" target="_blank"&gt;Verified by Public Record&lt;/a&gt;</t>
  </si>
  <si>
    <t>&lt;a href="http://a836-acris.nyc.gov/DS/DocumentSearch/DocumentDetail?doc_id=2017060900878004" target="_blank"&gt;Verified by Public Record&lt;/a&gt;</t>
  </si>
  <si>
    <t>&lt;a href="http://a836-acris.nyc.gov/DS/DocumentSearch/DocumentDetail?doc_id=2018091700292001" target="_blank"&gt;Verified by Public Record&lt;/a&gt;</t>
  </si>
  <si>
    <t>&lt;a href="http://a836-acris.nyc.gov/DS/DocumentSearch/DocumentDetail?doc_id=2020031801137001" target="_blank"&gt;Public Record Only&lt;/a&gt;</t>
  </si>
  <si>
    <t>&lt;a href="http://a836-acris.nyc.gov/DS/DocumentSearch/DocumentDetail?doc_id=2021070700943002" target="_blank"&gt;Public Record Only&lt;/a&gt;</t>
  </si>
  <si>
    <t>&lt;a href="http://a836-acris.nyc.gov/DS/DocumentSearch/DocumentDetail?doc_id=2017051500227001" target="_blank"&gt;Public Record Only&lt;/a&gt;</t>
  </si>
  <si>
    <t>&lt;a href="http://a836-acris.nyc.gov/DS/DocumentSearch/DocumentDetail?doc_id=2018012500443001" target="_blank"&gt;Verified by Public Record&lt;/a&gt;</t>
  </si>
  <si>
    <t>&lt;a href="http://a836-acris.nyc.gov/DS/DocumentSearch/DocumentDetail?doc_id=2019073000311001" target="_blank"&gt;Verified by Public Record&lt;/a&gt;</t>
  </si>
  <si>
    <t>&lt;a href="http://a836-acris.nyc.gov/DS/DocumentSearch/DocumentDetail?doc_id=2019052900970001" target="_blank"&gt;Verified by Public Record&lt;/a&gt;</t>
  </si>
  <si>
    <t>&lt;a href="http://a836-acris.nyc.gov/DS/DocumentSearch/DocumentDetail?doc_id=2019081500346002" target="_blank"&gt;Verified by Public Record&lt;/a&gt;</t>
  </si>
  <si>
    <t>&lt;a href="http://a836-acris.nyc.gov/DS/DocumentSearch/DocumentDetail?doc_id=2019021201217001" target="_blank"&gt;Verified by Public Record&lt;/a&gt;</t>
  </si>
  <si>
    <t>&lt;a href="http://a836-acris.nyc.gov/DS/DocumentSearch/DocumentDetail?doc_id=2020022000145001" target="_blank"&gt;Verified by Public Record&lt;/a&gt;</t>
  </si>
  <si>
    <t>&lt;a href="http://a836-acris.nyc.gov/DS/DocumentSearch/DocumentDetail?doc_id=2017082000012001" target="_blank"&gt;Verified by Public Record&lt;/a&gt;</t>
  </si>
  <si>
    <t>&lt;a href="http://a836-acris.nyc.gov/DS/DocumentSearch/DocumentDetail?doc_id=2018052300156001" target="_blank"&gt;Verified by Public Record&lt;/a&gt;</t>
  </si>
  <si>
    <t>&lt;a href="http://a836-acris.nyc.gov/DS/DocumentSearch/DocumentDetail?doc_id=2020031801135002" target="_blank"&gt;Verified by Public Record&lt;/a&gt;</t>
  </si>
  <si>
    <t>&lt;a href="http://a836-acris.nyc.gov/DS/DocumentSearch/DocumentDetail?doc_id=2017050300248001" target="_blank"&gt;Verified by Public Record&lt;/a&gt;</t>
  </si>
  <si>
    <t>&lt;a href="http://a836-acris.nyc.gov/DS/DocumentSearch/DocumentDetail?doc_id=2018010300547001" target="_blank"&gt;Verified by Public Record&lt;/a&gt;</t>
  </si>
  <si>
    <t>&lt;a href="http://a836-acris.nyc.gov/DS/DocumentSearch/DocumentDetail?doc_id=2017052300813001" target="_blank"&gt;Verified by Public Record&lt;/a&gt;</t>
  </si>
  <si>
    <t>&lt;a href="http://a836-acris.nyc.gov/DS/DocumentSearch/DocumentDetail?doc_id=2018022101140002" target="_blank"&gt;Verified by Public Record&lt;/a&gt;</t>
  </si>
  <si>
    <t>&lt;a href="http://a836-acris.nyc.gov/DS/DocumentSearch/DocumentDetail?doc_id=2017061500972001" target="_blank"&gt;Verified by Public Record&lt;/a&gt;</t>
  </si>
  <si>
    <t>&lt;a href="http://a836-acris.nyc.gov/DS/DocumentSearch/DocumentDetail?doc_id=2017120400566001" target="_blank"&gt;Verified by Public Record&lt;/a&gt;</t>
  </si>
  <si>
    <t>&lt;a href="http://a836-acris.nyc.gov/DS/DocumentSearch/DocumentDetail?doc_id=2017100300235001" target="_blank"&gt;Verified by Public Record&lt;/a&gt;</t>
  </si>
  <si>
    <t>&lt;a href="http://a836-acris.nyc.gov/DS/DocumentSearch/DocumentDetail?doc_id=2017111600373003" target="_blank"&gt;Verified by Public Record&lt;/a&gt;</t>
  </si>
  <si>
    <t>&lt;a href="http://a836-acris.nyc.gov/DS/DocumentSearch/DocumentDetail?doc_id=2018053100931002" target="_blank"&gt;Verified by Public Record&lt;/a&gt;</t>
  </si>
  <si>
    <t>&lt;a href="http://a836-acris.nyc.gov/DS/DocumentSearch/DocumentDetail?doc_id=2018030200386002" target="_blank"&gt;Verified by Public Record&lt;/a&gt;</t>
  </si>
  <si>
    <t>&lt;a href="http://a836-acris.nyc.gov/DS/DocumentSearch/DocumentDetail?doc_id=2018110600240001" target="_blank"&gt;Verified by Public Record&lt;/a&gt;</t>
  </si>
  <si>
    <t>&lt;a href="http://a836-acris.nyc.gov/DS/DocumentSearch/DocumentDetail?doc_id=2019032600688002" target="_blank"&gt;Public Record Only&lt;/a&gt;</t>
  </si>
  <si>
    <t>&lt;a href="http://a836-acris.nyc.gov/DS/DocumentSearch/DocumentDetail?doc_id=2020011400640001" target="_blank"&gt;Public Record Only&lt;/a&gt;</t>
  </si>
  <si>
    <t>&lt;a href="http://a836-acris.nyc.gov/DS/DocumentSearch/DocumentDetail?doc_id=2017060900538001" target="_blank"&gt;Verified by Public Record&lt;/a&gt;</t>
  </si>
  <si>
    <t>&lt;a href="http://a836-acris.nyc.gov/DS/DocumentSearch/DocumentDetail?doc_id=2018012500275002" target="_blank"&gt;Verified by Public Record&lt;/a&gt;</t>
  </si>
  <si>
    <t>&lt;a href="http://a836-acris.nyc.gov/DS/DocumentSearch/DocumentDetail?doc_id=2018082401012001" target="_blank"&gt;Verified by Public Record&lt;/a&gt;</t>
  </si>
  <si>
    <t>&lt;a href="http://a836-acris.nyc.gov/DS/DocumentSearch/DocumentDetail?doc_id=2018082400906001" target="_blank"&gt;Verified by Public Record&lt;/a&gt;</t>
  </si>
  <si>
    <t>&lt;a href="http://a836-acris.nyc.gov/DS/DocumentSearch/DocumentDetail?doc_id=2018060100427001" target="_blank"&gt;Verified by Public Record&lt;/a&gt;</t>
  </si>
  <si>
    <t>&lt;a href="http://a836-acris.nyc.gov/DS/DocumentSearch/DocumentDetail?doc_id=2017060500572001" target="_blank"&gt;Verified by Public Record&lt;/a&gt;</t>
  </si>
  <si>
    <t>&lt;a href="http://a836-acris.nyc.gov/DS/DocumentSearch/DocumentDetail?doc_id=2017122100656004" target="_blank"&gt;Verified by Public Record&lt;/a&gt;</t>
  </si>
  <si>
    <t>&lt;a href="http://a836-acris.nyc.gov/DS/DocumentSearch/DocumentDetail?doc_id=2017033001161004" target="_blank"&gt;Verified by Public Record&lt;/a&gt;</t>
  </si>
  <si>
    <t>&lt;a href="http://a836-acris.nyc.gov/DS/DocumentSearch/DocumentDetail?doc_id=2018020200957001" target="_blank"&gt;Verified by Public Record&lt;/a&gt;</t>
  </si>
  <si>
    <t>&lt;a href="http://a836-acris.nyc.gov/DS/DocumentSearch/DocumentDetail?doc_id=2017061600180001" target="_blank"&gt;Verified by Public Record&lt;/a&gt;</t>
  </si>
  <si>
    <t>&lt;a href="http://a836-acris.nyc.gov/DS/DocumentSearch/DocumentDetail?doc_id=2018033000264002" target="_blank"&gt;Verified by Public Record&lt;/a&gt;</t>
  </si>
  <si>
    <t>&lt;a href="http://a836-acris.nyc.gov/DS/DocumentSearch/DocumentDetail?doc_id=2017082100803001" target="_blank"&gt;Verified by Public Record&lt;/a&gt;</t>
  </si>
  <si>
    <t>&lt;a href="http://a836-acris.nyc.gov/DS/DocumentSearch/DocumentDetail?doc_id=2018051501317001" target="_blank"&gt;Verified by Public Record&lt;/a&gt;</t>
  </si>
  <si>
    <t>&lt;a href="http://a836-acris.nyc.gov/DS/DocumentSearch/DocumentDetail?doc_id=2018042600300001" target="_blank"&gt;Verified by Public Record&lt;/a&gt;</t>
  </si>
  <si>
    <t>&lt;a href="http://a836-acris.nyc.gov/DS/DocumentSearch/DocumentDetail?doc_id=2017070300445001" target="_blank"&gt;Verified by Public Record&lt;/a&gt;</t>
  </si>
  <si>
    <t>&lt;a href="http://a836-acris.nyc.gov/DS/DocumentSearch/DocumentDetail?doc_id=2018060800960001" target="_blank"&gt;Verified by Public Record&lt;/a&gt;</t>
  </si>
  <si>
    <t>&lt;a href="http://a836-acris.nyc.gov/DS/DocumentSearch/DocumentDetail?doc_id=2018061400161001" target="_blank"&gt;Verified by Public Record&lt;/a&gt;</t>
  </si>
  <si>
    <t>&lt;a href="http://a836-acris.nyc.gov/DS/DocumentSearch/DocumentDetail?doc_id=2017071300922001" target="_blank"&gt;Verified by Public Record&lt;/a&gt;</t>
  </si>
  <si>
    <t>&lt;a href="http://a836-acris.nyc.gov/DS/DocumentSearch/DocumentDetail?doc_id=2018022500046001" target="_blank"&gt;Verified by Public Record&lt;/a&gt;</t>
  </si>
  <si>
    <t>&lt;a href="http://a836-acris.nyc.gov/DS/DocumentSearch/DocumentDetail?doc_id=2017051900752001" target="_blank"&gt;Verified by Public Record&lt;/a&gt;</t>
  </si>
  <si>
    <t>&lt;a href="http://a836-acris.nyc.gov/DS/DocumentSearch/DocumentDetail?doc_id=2017071100763002" target="_blank"&gt;Verified by Public Record&lt;/a&gt;</t>
  </si>
  <si>
    <t>&lt;a href="http://a836-acris.nyc.gov/DS/DocumentSearch/DocumentDetail?doc_id=2017061400857001" target="_blank"&gt;Verified by Public Record&lt;/a&gt;</t>
  </si>
  <si>
    <t>&lt;a href="http://a836-acris.nyc.gov/DS/DocumentSearch/DocumentDetail?doc_id=2017042500851001" target="_blank"&gt;Verified by Public Record&lt;/a&gt;</t>
  </si>
  <si>
    <t>&lt;a href="http://a836-acris.nyc.gov/DS/DocumentSearch/DocumentDetail?doc_id=2017042500943001" target="_blank"&gt;Verified by Public Record&lt;/a&gt;</t>
  </si>
  <si>
    <t>&lt;a href="http://a836-acris.nyc.gov/DS/DocumentSearch/DocumentDetail?doc_id=2017060800044001" target="_blank"&gt;Verified by Public Record&lt;/a&gt;</t>
  </si>
  <si>
    <t>&lt;a href="http://a836-acris.nyc.gov/DS/DocumentSearch/DocumentDetail?doc_id=2017042100952001" target="_blank"&gt;Verified by Public Record&lt;/a&gt;</t>
  </si>
  <si>
    <t>&lt;a href="http://a836-acris.nyc.gov/DS/DocumentSearch/DocumentDetail?doc_id=2017061500769001" target="_blank"&gt;Verified by Public Record&lt;/a&gt;</t>
  </si>
  <si>
    <t>&lt;a href="http://a836-acris.nyc.gov/DS/DocumentSearch/DocumentDetail?doc_id=2017050900629001" target="_blank"&gt;Verified by Public Record&lt;/a&gt;</t>
  </si>
  <si>
    <t>&lt;a href="http://a836-acris.nyc.gov/DS/DocumentSearch/DocumentDetail?doc_id=2017060601166001" target="_blank"&gt;Verified by Public Record&lt;/a&gt;</t>
  </si>
  <si>
    <t>&lt;a href="http://a836-acris.nyc.gov/DS/DocumentSearch/DocumentDetail?doc_id=2017042101165001" target="_blank"&gt;Verified by Public Record&lt;/a&gt;</t>
  </si>
  <si>
    <t>&lt;a href="http://a836-acris.nyc.gov/DS/DocumentSearch/DocumentDetail?doc_id=2017061400876001" target="_blank"&gt;Verified by Public Record&lt;/a&gt;</t>
  </si>
  <si>
    <t>&lt;a href="http://a836-acris.nyc.gov/DS/DocumentSearch/DocumentDetail?doc_id=2019051500075001" target="_blank"&gt;Verified by Public Record&lt;/a&gt;</t>
  </si>
  <si>
    <t>&lt;a href="http://a836-acris.nyc.gov/DS/DocumentSearch/DocumentDetail?doc_id=2019052200062001" target="_blank"&gt;Verified by Public Record&lt;/a&gt;</t>
  </si>
  <si>
    <t>&lt;a href="http://a836-acris.nyc.gov/DS/DocumentSearch/DocumentDetail?doc_id=2017042800954003" target="_blank"&gt;Verified by Public Record&lt;/a&gt;</t>
  </si>
  <si>
    <t>&lt;a href="http://a836-acris.nyc.gov/DS/DocumentSearch/DocumentDetail?doc_id=2018101000882001" target="_blank"&gt;Verified by Public Record&lt;/a&gt;</t>
  </si>
  <si>
    <t>&lt;a href="http://a836-acris.nyc.gov/DS/DocumentSearch/DocumentDetail?doc_id=2019101400018001" target="_blank"&gt;Verified by Public Record&lt;/a&gt;</t>
  </si>
  <si>
    <t>&lt;a href="http://a836-acris.nyc.gov/DS/DocumentSearch/DocumentDetail?doc_id=2018091200954001" target="_blank"&gt;Verified by Public Record&lt;/a&gt;</t>
  </si>
  <si>
    <t>&lt;a href="http://a836-acris.nyc.gov/DS/DocumentSearch/DocumentDetail?doc_id=2018081300028001" target="_blank"&gt;Verified by Public Record&lt;/a&gt;</t>
  </si>
  <si>
    <t>&lt;a href="http://a836-acris.nyc.gov/DS/DocumentSearch/DocumentDetail?doc_id=2018070600535002" target="_blank"&gt;Verified by Public Record&lt;/a&gt;</t>
  </si>
  <si>
    <t>&lt;a href="http://a836-acris.nyc.gov/DS/DocumentSearch/DocumentDetail?doc_id=2018100300359001" target="_blank"&gt;Verified by Public Record&lt;/a&gt;</t>
  </si>
  <si>
    <t>Private Terrace
Deck
Common Roof Deck
Common Outdoor Space
Private Outdoor Space</t>
  </si>
  <si>
    <t>&lt;a href="http://a836-acris.nyc.gov/DS/DocumentSearch/DocumentDetail?doc_id=2019050200645001" target="_blank"&gt;Verified by Public Record&lt;/a&gt;</t>
  </si>
  <si>
    <t>&lt;a href="http://a836-acris.nyc.gov/DS/DocumentSearch/DocumentDetail?doc_id=2019030600425001" target="_blank"&gt;Verified by Public Record&lt;/a&gt;</t>
  </si>
  <si>
    <t>&lt;a href="http://a836-acris.nyc.gov/DS/DocumentSearch/DocumentDetail?doc_id=2017060100997001" target="_blank"&gt;Verified by Public Record&lt;/a&gt;</t>
  </si>
  <si>
    <t>&lt;a href="http://a836-acris.nyc.gov/DS/DocumentSearch/DocumentDetail?doc_id=2018070200475001" target="_blank"&gt;Verified by Public Record&lt;/a&gt;</t>
  </si>
  <si>
    <t>Balcony
Private Terrace
Common Outdoor Space</t>
  </si>
  <si>
    <t>&lt;a href="http://a836-acris.nyc.gov/DS/DocumentSearch/DocumentDetail?doc_id=2018042400734001" target="_blank"&gt;Verified by Public Record&lt;/a&gt;</t>
  </si>
  <si>
    <t>&lt;a href="http://a836-acris.nyc.gov/DS/DocumentSearch/DocumentDetail?doc_id=2018021600940004" target="_blank"&gt;Verified by Public Record&lt;/a&gt;</t>
  </si>
  <si>
    <t>&lt;a href="http://a836-acris.nyc.gov/DS/DocumentSearch/DocumentDetail?doc_id=2017040600828002" target="_blank"&gt;Verified by Public Record&lt;/a&gt;</t>
  </si>
  <si>
    <t>&lt;a href="http://a836-acris.nyc.gov/DS/DocumentSearch/DocumentDetail?doc_id=2017041400501001" target="_blank"&gt;Verified by Public Record&lt;/a&gt;</t>
  </si>
  <si>
    <t>&lt;a href="http://a836-acris.nyc.gov/DS/DocumentSearch/DocumentDetail?doc_id=2018061800718001" target="_blank"&gt;Verified by Public Record&lt;/a&gt;</t>
  </si>
  <si>
    <t>&lt;a href="http://a836-acris.nyc.gov/DS/DocumentSearch/DocumentDetail?doc_id=2018032200078001" target="_blank"&gt;Verified by Public Record&lt;/a&gt;</t>
  </si>
  <si>
    <t>&lt;a href="http://a836-acris.nyc.gov/DS/DocumentSearch/DocumentDetail?doc_id=2018032901091001" target="_blank"&gt;Verified by Public Record&lt;/a&gt;</t>
  </si>
  <si>
    <t>&lt;a href="http://a836-acris.nyc.gov/DS/DocumentSearch/DocumentDetail?doc_id=2018013100213001" target="_blank"&gt;Verified by Public Record&lt;/a&gt;</t>
  </si>
  <si>
    <t>&lt;a href="http://a836-acris.nyc.gov/DS/DocumentSearch/DocumentDetail?doc_id=2018042700362001" target="_blank"&gt;Verified by Public Record&lt;/a&gt;</t>
  </si>
  <si>
    <t>&lt;a href="http://a836-acris.nyc.gov/DS/DocumentSearch/DocumentDetail?doc_id=2018120600712001" target="_blank"&gt;Verified by Public Record&lt;/a&gt;</t>
  </si>
  <si>
    <t>&lt;a href="http://a836-acris.nyc.gov/DS/DocumentSearch/DocumentDetail?doc_id=2019070201584001" target="_blank"&gt;Verified by Public Record&lt;/a&gt;</t>
  </si>
  <si>
    <t>Balcony
Private Terrace
Common Outdoor Space
Private Outdoor Space</t>
  </si>
  <si>
    <t>Co-Operative</t>
  </si>
  <si>
    <t>&lt;a href="http://a836-acris.nyc.gov/DS/DocumentSearch/DocumentDetail?doc_id=2019032700113002" target="_blank"&gt;Verified by Public Record&lt;/a&gt;</t>
  </si>
  <si>
    <t>Co-op/Other</t>
  </si>
  <si>
    <t>&lt;a href="http://a836-acris.nyc.gov/DS/DocumentSearch/DocumentDetail?doc_id=2020102200538001" target="_blank"&gt;Verified by Public Record&lt;/a&gt;</t>
  </si>
  <si>
    <t>&lt;a href="http://a836-acris.nyc.gov/DS/DocumentSearch/DocumentDetail?doc_id=2019012300374001" target="_blank"&gt;Verified by Public Record&lt;/a&gt;</t>
  </si>
  <si>
    <t>&lt;a href="http://a836-acris.nyc.gov/DS/DocumentSearch/DocumentDetail?doc_id=2021062300286004" target="_blank"&gt;Verified by Public Record&lt;/a&gt;</t>
  </si>
  <si>
    <t>Private Terrace
Patio
Common Roof Deck
Common Outdoor Space</t>
  </si>
  <si>
    <t>&lt;a href="http://a836-acris.nyc.gov/DS/DocumentSearch/DocumentDetail?doc_id=2020010600138001" target="_blank"&gt;Verified by Public Record&lt;/a&gt;</t>
  </si>
  <si>
    <t>&lt;a href="http://a836-acris.nyc.gov/DS/DocumentSearch/DocumentDetail?doc_id=2020052900224005" target="_blank"&gt;Verified by Public Record&lt;/a&gt;</t>
  </si>
  <si>
    <t>&lt;a href="http://a836-acris.nyc.gov/DS/DocumentSearch/DocumentDetail?doc_id=2020010200826003" target="_blank"&gt;Verified by Public Record&lt;/a&gt;</t>
  </si>
  <si>
    <t>&lt;a href="http://a836-acris.nyc.gov/DS/DocumentSearch/DocumentDetail?doc_id=2019121800743001" target="_blank"&gt;Verified by Public Record&lt;/a&gt;</t>
  </si>
  <si>
    <t>&lt;a href="http://a836-acris.nyc.gov/DS/DocumentSearch/DocumentDetail?doc_id=2020091500587001" target="_blank"&gt;Verified by Public Record&lt;/a&gt;</t>
  </si>
  <si>
    <t>&lt;a href="http://a836-acris.nyc.gov/DS/DocumentSearch/DocumentDetail?doc_id=2019122400425006" target="_blank"&gt;Verified by Public Record&lt;/a&gt;</t>
  </si>
  <si>
    <t>Private Terrace
Patio
Common Roof Deck
Common Garden
Common Outdoor Space</t>
  </si>
  <si>
    <t>&lt;a href="http://a836-acris.nyc.gov/DS/DocumentSearch/DocumentDetail?doc_id=2019121200758001" target="_blank"&gt;Verified by Public Record&lt;/a&gt;</t>
  </si>
  <si>
    <t>&lt;a href="http://a836-acris.nyc.gov/DS/DocumentSearch/DocumentDetail?doc_id=2020081000276001" target="_blank"&gt;Verified by Public Record&lt;/a&gt;</t>
  </si>
  <si>
    <t>Juliet Balcony
Private Terrace
Patio
Common Roof Deck
Common Outdoor Space</t>
  </si>
  <si>
    <t>&lt;a href="http://a836-acris.nyc.gov/DS/DocumentSearch/DocumentDetail?doc_id=2019111201600002" target="_blank"&gt;Verified by Public Record&lt;/a&gt;</t>
  </si>
  <si>
    <t>&lt;a href="http://a836-acris.nyc.gov/DS/DocumentSearch/DocumentDetail?doc_id=2019122601150001" target="_blank"&gt;Verified by Public Record&lt;/a&gt;</t>
  </si>
  <si>
    <t>Balcony
Juliet Balcony
Private Terrace
Patio
Common Roof Deck
Common Outdoor Space</t>
  </si>
  <si>
    <t>&lt;a href="http://a836-acris.nyc.gov/DS/DocumentSearch/DocumentDetail?doc_id=2020061800466001" target="_blank"&gt;Verified by Public Record&lt;/a&gt;</t>
  </si>
  <si>
    <t>&lt;a href="http://a836-acris.nyc.gov/DS/DocumentSearch/DocumentDetail?doc_id=2020031000299001" target="_blank"&gt;Verified by Public Record&lt;/a&gt;</t>
  </si>
  <si>
    <t>&lt;a href="http://a836-acris.nyc.gov/DS/DocumentSearch/DocumentDetail?doc_id=2021081000263005" target="_blank"&gt;Verified by Public Record&lt;/a&gt;</t>
  </si>
  <si>
    <t>&lt;a href="http://a836-acris.nyc.gov/DS/DocumentSearch/DocumentDetail?doc_id=2020051800581001" target="_blank"&gt;Verified by Public Record&lt;/a&gt;</t>
  </si>
  <si>
    <t>&lt;a href="http://a836-acris.nyc.gov/DS/DocumentSearch/DocumentDetail?doc_id=2020060500432003" target="_blank"&gt;Verified by Public Record&lt;/a&gt;</t>
  </si>
  <si>
    <t>&lt;a href="http://a836-acris.nyc.gov/DS/DocumentSearch/DocumentDetail?doc_id=2020111500060001" target="_blank"&gt;Verified by Public Record&lt;/a&gt;</t>
  </si>
  <si>
    <t>&lt;a href="http://a836-acris.nyc.gov/DS/DocumentSearch/DocumentDetail?doc_id=2020011401374004" target="_blank"&gt;Verified by Public Record&lt;/a&gt;</t>
  </si>
  <si>
    <t>&lt;a href="http://a836-acris.nyc.gov/DS/DocumentSearch/DocumentDetail?doc_id=2021062100173001" target="_blank"&gt;Verified by Public Record&lt;/a&gt;</t>
  </si>
  <si>
    <t>&lt;a href="http://a836-acris.nyc.gov/DS/DocumentSearch/DocumentDetail?doc_id=2020022701130001" target="_blank"&gt;Verified by Public Record&lt;/a&gt;</t>
  </si>
  <si>
    <t>&lt;a href="http://a836-acris.nyc.gov/DS/DocumentSearch/DocumentDetail?doc_id=2017101600577001" target="_blank"&gt;Verified by Public Record&lt;/a&gt;</t>
  </si>
  <si>
    <t>&lt;a href="http://a836-acris.nyc.gov/DS/DocumentSearch/DocumentDetail?doc_id=2021080500511008" target="_blank"&gt;Public Record Only&lt;/a&gt;</t>
  </si>
  <si>
    <t>&lt;a href="http://a836-acris.nyc.gov/DS/DocumentSearch/DocumentDetail?doc_id=2021081201034004" target="_blank"&gt;Public Record Only&lt;/a&gt;</t>
  </si>
  <si>
    <t>&lt;a href="http://a836-acris.nyc.gov/DS/DocumentSearch/DocumentDetail?doc_id=2019090301102001" target="_blank"&gt;Verified by Public Record&lt;/a&gt;</t>
  </si>
  <si>
    <t>&lt;a href="http://a836-acris.nyc.gov/DS/DocumentSearch/DocumentDetail?doc_id=2019080600118004" target="_blank"&gt;Verified by Public Record&lt;/a&gt;</t>
  </si>
  <si>
    <t>Doorman, Remote Doorman</t>
  </si>
  <si>
    <t>&lt;a href="http://a836-acris.nyc.gov/DS/DocumentSearch/DocumentDetail?doc_id=2020112400530002" target="_blank"&gt;Public Record Only&lt;/a&gt;</t>
  </si>
  <si>
    <t>&lt;a href="http://a836-acris.nyc.gov/DS/DocumentSearch/DocumentDetail?doc_id=2020082600804001" target="_blank"&gt;Public Record Only&lt;/a&gt;</t>
  </si>
  <si>
    <t>&lt;a href="http://a836-acris.nyc.gov/DS/DocumentSearch/DocumentDetail?doc_id=2020072900383006" target="_blank"&gt;Public Record Only&lt;/a&gt;</t>
  </si>
  <si>
    <t>&lt;a href="http://a836-acris.nyc.gov/DS/DocumentSearch/DocumentDetail?doc_id=2020111700409001" target="_blank"&gt;Public Record Only&lt;/a&gt;</t>
  </si>
  <si>
    <t>&lt;a href="http://a836-acris.nyc.gov/DS/DocumentSearch/DocumentDetail?doc_id=2020073000333006" target="_blank"&gt;Public Record Only&lt;/a&gt;</t>
  </si>
  <si>
    <t>&lt;a href="http://a836-acris.nyc.gov/DS/DocumentSearch/DocumentDetail?doc_id=2021070100217002" target="_blank"&gt;Public Record Only&lt;/a&gt;</t>
  </si>
  <si>
    <t>&lt;a href="http://a836-acris.nyc.gov/DS/DocumentSearch/DocumentDetail?doc_id=2021021700749002" target="_blank"&gt;Public Record Only&lt;/a&gt;</t>
  </si>
  <si>
    <t>&lt;a href="http://a836-acris.nyc.gov/DS/DocumentSearch/DocumentDetail?doc_id=2020081000868006" target="_blank"&gt;Public Record Only&lt;/a&gt;</t>
  </si>
  <si>
    <t>&lt;a href="http://a836-acris.nyc.gov/DS/DocumentSearch/DocumentDetail?doc_id=2020072701039009" target="_blank"&gt;Public Record Only&lt;/a&gt;</t>
  </si>
  <si>
    <t>&lt;a href="http://a836-acris.nyc.gov/DS/DocumentSearch/DocumentDetail?doc_id=2021010600715001" target="_blank"&gt;Public Record Only&lt;/a&gt;</t>
  </si>
  <si>
    <t>&lt;a href="http://a836-acris.nyc.gov/DS/DocumentSearch/DocumentDetail?doc_id=2020091600486001" target="_blank"&gt;Public Record Only&lt;/a&gt;</t>
  </si>
  <si>
    <t>&lt;a href="http://a836-acris.nyc.gov/DS/DocumentSearch/DocumentDetail?doc_id=2020081900768002" target="_blank"&gt;Verified by Public Record&lt;/a&gt;</t>
  </si>
  <si>
    <t>&lt;a href="http://a836-acris.nyc.gov/DS/DocumentSearch/DocumentDetail?doc_id=2020080500558001" target="_blank"&gt;Public Record Only&lt;/a&gt;</t>
  </si>
  <si>
    <t>&lt;a href="http://a836-acris.nyc.gov/DS/DocumentSearch/DocumentDetail?doc_id=2020081300234006" target="_blank"&gt;Public Record Only&lt;/a&gt;</t>
  </si>
  <si>
    <t>&lt;a href="http://a836-acris.nyc.gov/DS/DocumentSearch/DocumentDetail?doc_id=2020091500456001" target="_blank"&gt;Public Record Only&lt;/a&gt;</t>
  </si>
  <si>
    <t>&lt;a href="http://a836-acris.nyc.gov/DS/DocumentSearch/DocumentDetail?doc_id=2020081201115001" target="_blank"&gt;Public Record Only&lt;/a&gt;</t>
  </si>
  <si>
    <t>&lt;a href="http://a836-acris.nyc.gov/DS/DocumentSearch/DocumentDetail?doc_id=2020080700851002" target="_blank"&gt;Public Record Only&lt;/a&gt;</t>
  </si>
  <si>
    <t>&lt;a href="http://a836-acris.nyc.gov/DS/DocumentSearch/DocumentDetail?doc_id=2020031000677001" target="_blank"&gt;Public Record Only&lt;/a&gt;</t>
  </si>
  <si>
    <t>&lt;a href="http://a836-acris.nyc.gov/DS/DocumentSearch/DocumentDetail?doc_id=2021042700717001" target="_blank"&gt;Public Record Only&lt;/a&gt;</t>
  </si>
  <si>
    <t>&lt;a href="http://a836-acris.nyc.gov/DS/DocumentSearch/DocumentDetail?doc_id=2021060100313001" target="_blank"&gt;Public Record Only&lt;/a&gt;</t>
  </si>
  <si>
    <t>&lt;a href="http://a836-acris.nyc.gov/DS/DocumentSearch/DocumentDetail?doc_id=2020122900322001" target="_blank"&gt;Public Record Only&lt;/a&gt;</t>
  </si>
  <si>
    <t>&lt;a href="http://a836-acris.nyc.gov/DS/DocumentSearch/DocumentDetail?doc_id=2020091601086001" target="_blank"&gt;Public Record Only&lt;/a&gt;</t>
  </si>
  <si>
    <t>&lt;a href="http://a836-acris.nyc.gov/DS/DocumentSearch/DocumentDetail?doc_id=2020120700311003" target="_blank"&gt;Public Record Only&lt;/a&gt;</t>
  </si>
  <si>
    <t>&lt;a href="http://a836-acris.nyc.gov/DS/DocumentSearch/DocumentDetail?doc_id=2021043000869003" target="_blank"&gt;Verified by Public Record&lt;/a&gt;</t>
  </si>
  <si>
    <t>Balcony
Private Terrace
Private Roof Deck
Roof Deck
Common Roof Deck
Common Outdoor Space
Private Outdoor Space</t>
  </si>
  <si>
    <t>&lt;a href="http://a836-acris.nyc.gov/DS/DocumentSearch/DocumentDetail?doc_id=2019032800318002" target="_blank"&gt;Public Record Only&lt;/a&gt;</t>
  </si>
  <si>
    <t>&lt;a href="http://a836-acris.nyc.gov/DS/DocumentSearch/DocumentDetail?doc_id=2019050701061001" target="_blank"&gt;Verified by Public Record&lt;/a&gt;</t>
  </si>
  <si>
    <t>&lt;a href="http://a836-acris.nyc.gov/DS/DocumentSearch/DocumentDetail?doc_id=2020082600726003" target="_blank"&gt;Verified by Public Record&lt;/a&gt;</t>
  </si>
  <si>
    <t>&lt;a href="http://a836-acris.nyc.gov/DS/DocumentSearch/DocumentDetail?doc_id=2020121600624002" target="_blank"&gt;Verified by Public Record&lt;/a&gt;</t>
  </si>
  <si>
    <t>&lt;a href="http://a836-acris.nyc.gov/DS/DocumentSearch/DocumentDetail?doc_id=2020110500423002" target="_blank"&gt;Verified by Public Record&lt;/a&gt;</t>
  </si>
  <si>
    <t>&lt;a href="http://a836-acris.nyc.gov/DS/DocumentSearch/DocumentDetail?doc_id=2020072300997003" target="_blank"&gt;Unverified&lt;/a&gt;</t>
  </si>
  <si>
    <t>&lt;a href="http://a836-acris.nyc.gov/DS/DocumentSearch/DocumentDetail?doc_id=2018103101004001" target="_blank"&gt;Verified by Public Record&lt;/a&gt;</t>
  </si>
  <si>
    <t>&lt;a href="http://a836-acris.nyc.gov/DS/DocumentSearch/DocumentDetail?doc_id=2020072000479001" target="_blank"&gt;Verified by Public Record&lt;/a&gt;</t>
  </si>
  <si>
    <t>&lt;a href="http://a836-acris.nyc.gov/DS/DocumentSearch/DocumentDetail?doc_id=2020080700599009" target="_blank"&gt;Verified by Public Record&lt;/a&gt;</t>
  </si>
  <si>
    <t>&lt;a href="http://a836-acris.nyc.gov/DS/DocumentSearch/DocumentDetail?doc_id=2021072701776001" target="_blank"&gt;Verified by Public Record&lt;/a&gt;</t>
  </si>
  <si>
    <t>Juliet Balcony
Common Outdoor Space
Private Outdoor Space</t>
  </si>
  <si>
    <t>&lt;a href="http://a836-acris.nyc.gov/DS/DocumentSearch/DocumentDetail?doc_id=2021020700039002" target="_blank"&gt;Verified by Public Record&lt;/a&gt;</t>
  </si>
  <si>
    <t>&lt;a href="http://a836-acris.nyc.gov/DS/DocumentSearch/DocumentDetail?doc_id=2020100601223001" target="_blank"&gt;Verified by Public Record&lt;/a&gt;</t>
  </si>
  <si>
    <t>&lt;a href="http://a836-acris.nyc.gov/DS/DocumentSearch/DocumentDetail?doc_id=2020090100432002" target="_blank"&gt;Verified by Public Record&lt;/a&gt;</t>
  </si>
  <si>
    <t>&lt;a href="http://a836-acris.nyc.gov/DS/DocumentSearch/DocumentDetail?doc_id=2020100201156003" target="_blank"&gt;Verified by Public Record&lt;/a&gt;</t>
  </si>
  <si>
    <t>&lt;a href="http://a836-acris.nyc.gov/DS/DocumentSearch/DocumentDetail?doc_id=2019091000830001" target="_blank"&gt;Verified by Public Record&lt;/a&gt;</t>
  </si>
  <si>
    <t>&lt;a href="http://a836-acris.nyc.gov/DS/DocumentSearch/DocumentDetail?doc_id=2019052800680001" target="_blank"&gt;Verified by Public Record&lt;/a&gt;</t>
  </si>
  <si>
    <t>&lt;a href="http://a836-acris.nyc.gov/DS/DocumentSearch/DocumentDetail?doc_id=2019071100959001" target="_blank"&gt;Verified by Public Record&lt;/a&gt;</t>
  </si>
  <si>
    <t>&lt;a href="http://a836-acris.nyc.gov/DS/DocumentSearch/DocumentDetail?doc_id=2021031100022002" target="_blank"&gt;Public Record Only&lt;/a&gt;</t>
  </si>
  <si>
    <t>&lt;a href="http://a836-acris.nyc.gov/DS/DocumentSearch/DocumentDetail?doc_id=2020111300368001" target="_blank"&gt;Verified by Public Record&lt;/a&gt;</t>
  </si>
  <si>
    <t>&lt;a href="http://a836-acris.nyc.gov/DS/DocumentSearch/DocumentDetail?doc_id=2020090300995001" target="_blank"&gt;Verified by Public Record&lt;/a&gt;</t>
  </si>
  <si>
    <t>&lt;a href="http://a836-acris.nyc.gov/DS/DocumentSearch/DocumentDetail?doc_id=2021011400969001" target="_blank"&gt;Verified by Public Record&lt;/a&gt;</t>
  </si>
  <si>
    <t>Juliet Balcony
Patio
Common Outdoor Space</t>
  </si>
  <si>
    <t>&lt;a href="http://a836-acris.nyc.gov/DS/DocumentSearch/DocumentDetail?doc_id=2019031200854001" target="_blank"&gt;Verified by Public Record&lt;/a&gt;</t>
  </si>
  <si>
    <t>&lt;a href="http://a836-acris.nyc.gov/DS/DocumentSearch/DocumentDetail?doc_id=2019071100589001" target="_blank"&gt;Verified by Public Record&lt;/a&gt;</t>
  </si>
  <si>
    <t>&lt;a href="http://a836-acris.nyc.gov/DS/DocumentSearch/DocumentDetail?doc_id=2019040300485002" target="_blank"&gt;Verified by Public Record&lt;/a&gt;</t>
  </si>
  <si>
    <t>&lt;a href="http://a836-acris.nyc.gov/DS/DocumentSearch/DocumentDetail?doc_id=2020102900476003" target="_blank"&gt;Public Record Only&lt;/a&gt;</t>
  </si>
  <si>
    <t>&lt;a href="http://a836-acris.nyc.gov/DS/DocumentSearch/DocumentDetail?doc_id=2020022600726001" target="_blank"&gt;Verified by Public Record&lt;/a&gt;</t>
  </si>
  <si>
    <t>Patio
Common Roof Deck
Barbecue Area
Common Garden</t>
  </si>
  <si>
    <t>&lt;a href="http://a836-acris.nyc.gov/DS/DocumentSearch/DocumentDetail?doc_id=2019062400775001" target="_blank"&gt;Verified by Public Record&lt;/a&gt;</t>
  </si>
  <si>
    <t>&lt;a href="http://a836-acris.nyc.gov/DS/DocumentSearch/DocumentDetail?doc_id=2019060400436001" target="_blank"&gt;Verified by Public Record&lt;/a&gt;</t>
  </si>
  <si>
    <t>&lt;a href="http://a836-acris.nyc.gov/DS/DocumentSearch/DocumentDetail?doc_id=2019062700437001" target="_blank"&gt;Verified by Public Record&lt;/a&gt;</t>
  </si>
  <si>
    <t>&lt;a href="http://a836-acris.nyc.gov/DS/DocumentSearch/DocumentDetail?doc_id=2019101100935001" target="_blank"&gt;Public Record Only&lt;/a&gt;</t>
  </si>
  <si>
    <t>&lt;a href="http://a836-acris.nyc.gov/DS/DocumentSearch/DocumentDetail?doc_id=2017122200683002" target="_blank"&gt;Public Record Only&lt;/a&gt;</t>
  </si>
  <si>
    <t>&lt;a href="http://a836-acris.nyc.gov/DS/DocumentSearch/DocumentDetail?doc_id=2017122100695001" target="_blank"&gt;Public Record Only&lt;/a&gt;</t>
  </si>
  <si>
    <t>&lt;a href="http://a836-acris.nyc.gov/DS/DocumentSearch/DocumentDetail?doc_id=2017091500955006" target="_blank"&gt;Public Record Only&lt;/a&gt;</t>
  </si>
  <si>
    <t>&lt;a href="http://a836-acris.nyc.gov/DS/DocumentSearch/DocumentDetail?doc_id=2019080200787001" target="_blank"&gt;Verified by Public Record&lt;/a&gt;</t>
  </si>
  <si>
    <t>&lt;a href="http://a836-acris.nyc.gov/DS/DocumentSearch/DocumentDetail?doc_id=2021010100061001" target="_blank"&gt;Verified by Public Record&lt;/a&gt;</t>
  </si>
  <si>
    <t>&lt;a href="http://a836-acris.nyc.gov/DS/DocumentSearch/DocumentDetail?doc_id=2021050601310003" target="_blank"&gt;Verified by Public Record&lt;/a&gt;</t>
  </si>
  <si>
    <t>&lt;a href="http://a836-acris.nyc.gov/DS/DocumentSearch/DocumentDetail?doc_id=2021062200557001" target="_blank"&gt;Verified by Public Record&lt;/a&gt;</t>
  </si>
  <si>
    <t>&lt;a href="http://a836-acris.nyc.gov/DS/DocumentSearch/DocumentDetail?doc_id=2020122000043001" target="_blank"&gt;Verified by Public Record&lt;/a&gt;</t>
  </si>
  <si>
    <t>&lt;a href="http://a836-acris.nyc.gov/DS/DocumentSearch/DocumentDetail?doc_id=2020082000874002" target="_blank"&gt;Verified by Public Record&lt;/a&gt;</t>
  </si>
  <si>
    <t>&lt;a href="http://a836-acris.nyc.gov/DS/DocumentSearch/DocumentDetail?doc_id=2020092800353003" target="_blank"&gt;Verified by Public Record&lt;/a&gt;</t>
  </si>
  <si>
    <t>&lt;a href="http://a836-acris.nyc.gov/DS/DocumentSearch/DocumentDetail?doc_id=2021080301056001" target="_blank"&gt;Verified by Public Record&lt;/a&gt;</t>
  </si>
  <si>
    <t>&lt;a href="http://a836-acris.nyc.gov/DS/DocumentSearch/DocumentDetail?doc_id=2019040100593001" target="_blank"&gt;Verified by Public Record&lt;/a&gt;</t>
  </si>
  <si>
    <t>&lt;a href="http://a836-acris.nyc.gov/DS/DocumentSearch/DocumentDetail?doc_id=2019030700934001" target="_blank"&gt;Verified by Public Record&lt;/a&gt;</t>
  </si>
  <si>
    <t>&lt;a href="http://a836-acris.nyc.gov/DS/DocumentSearch/DocumentDetail?doc_id=2019062300068001" target="_blank"&gt;Verified by Public Record&lt;/a&gt;</t>
  </si>
  <si>
    <t>&lt;a href="http://a836-acris.nyc.gov/DS/DocumentSearch/DocumentDetail?doc_id=2019082000179001" target="_blank"&gt;Verified by Public Record&lt;/a&gt;</t>
  </si>
  <si>
    <t>&lt;a href="http://a836-acris.nyc.gov/DS/DocumentSearch/DocumentDetail?doc_id=2020041500333002" target="_blank"&gt;Verified by Public Record&lt;/a&gt;</t>
  </si>
  <si>
    <t>&lt;a href="http://a836-acris.nyc.gov/DS/DocumentSearch/DocumentDetail?doc_id=2021072101669001" target="_blank"&gt;Verified by Public Record&lt;/a&gt;</t>
  </si>
  <si>
    <t>&lt;a href="http://a836-acris.nyc.gov/DS/DocumentSearch/DocumentDetail?doc_id=2021030100626002" target="_blank"&gt;Public Record Only&lt;/a&gt;</t>
  </si>
  <si>
    <t>&lt;a href="http://a836-acris.nyc.gov/DS/DocumentSearch/DocumentDetail?doc_id=2019042900979001" target="_blank"&gt;Verified by Public Record&lt;/a&gt;</t>
  </si>
  <si>
    <t>&lt;a href="http://a836-acris.nyc.gov/DS/DocumentSearch/DocumentDetail?doc_id=2019061400072001" target="_blank"&gt;Verified by Public Record&lt;/a&gt;</t>
  </si>
  <si>
    <t>&lt;a href="http://a836-acris.nyc.gov/DS/DocumentSearch/DocumentDetail?doc_id=2019090600557001" target="_blank"&gt;Verified by Public Record&lt;/a&gt;</t>
  </si>
  <si>
    <t>&lt;a href="http://a836-acris.nyc.gov/DS/DocumentSearch/DocumentDetail?doc_id=2019100300713002" target="_blank"&gt;Verified by Public Record&lt;/a&gt;</t>
  </si>
  <si>
    <t>&lt;a href="http://a836-acris.nyc.gov/DS/DocumentSearch/DocumentDetail?doc_id=2019051300845001" target="_blank"&gt;Verified by Public Record&lt;/a&gt;</t>
  </si>
  <si>
    <t>&lt;a href="http://a836-acris.nyc.gov/DS/DocumentSearch/DocumentDetail?doc_id=2019121700377001" target="_blank"&gt;Verified by Public Record&lt;/a&gt;</t>
  </si>
  <si>
    <t>&lt;a href="http://a836-acris.nyc.gov/DS/DocumentSearch/DocumentDetail?doc_id=2019112100400003" target="_blank"&gt;Verified by Public Record&lt;/a&gt;</t>
  </si>
  <si>
    <t>&lt;a href="http://a836-acris.nyc.gov/DS/DocumentSearch/DocumentDetail?doc_id=2020111100777002" target="_blank"&gt;Public Record Only&lt;/a&gt;</t>
  </si>
  <si>
    <t>&lt;a href="http://a836-acris.nyc.gov/DS/DocumentSearch/DocumentDetail?doc_id=2020122901379001" target="_blank"&gt;Public Record Only&lt;/a&gt;</t>
  </si>
  <si>
    <t>&lt;a href="http://a836-acris.nyc.gov/DS/DocumentSearch/DocumentDetail?doc_id=2021020800037001" target="_blank"&gt;Public Record Only&lt;/a&gt;</t>
  </si>
  <si>
    <t>&lt;a href="http://a836-acris.nyc.gov/DS/DocumentSearch/DocumentDetail?doc_id=2019100701195002" target="_blank"&gt;Verified by Public Record&lt;/a&gt;</t>
  </si>
  <si>
    <t>&lt;a href="http://a836-acris.nyc.gov/DS/DocumentSearch/DocumentDetail?doc_id=2019062700211002" target="_blank"&gt;Verified by Public Record&lt;/a&gt;</t>
  </si>
  <si>
    <t>Private Terrace
Common Roof Deck
Barbecue Area
Common Garden</t>
  </si>
  <si>
    <t>&lt;a href="http://a836-acris.nyc.gov/DS/DocumentSearch/DocumentDetail?doc_id=2019100900543001" target="_blank"&gt;Verified by Public Record&lt;/a&gt;</t>
  </si>
  <si>
    <t>&lt;a href="http://a836-acris.nyc.gov/DS/DocumentSearch/DocumentDetail?doc_id=2019083000021002" target="_blank"&gt;Verified by Public Record&lt;/a&gt;</t>
  </si>
  <si>
    <t>Patio
Common Roof Deck
Barbecue Area
Playground
Common Garden</t>
  </si>
  <si>
    <t>&lt;a href="http://a836-acris.nyc.gov/DS/DocumentSearch/DocumentDetail?doc_id=2019110600376002" target="_blank"&gt;Verified by Public Record&lt;/a&gt;</t>
  </si>
  <si>
    <t>&lt;a href="http://a836-acris.nyc.gov/DS/DocumentSearch/DocumentDetail?doc_id=2019062601050002" target="_blank"&gt;Public Record Only&lt;/a&gt;</t>
  </si>
  <si>
    <t>&lt;a href="http://a836-acris.nyc.gov/DS/DocumentSearch/DocumentDetail?doc_id=2019051500982003" target="_blank"&gt;Verified by Public Record&lt;/a&gt;</t>
  </si>
  <si>
    <t>&lt;a href="http://a836-acris.nyc.gov/DS/DocumentSearch/DocumentDetail?doc_id=2021072101477001" target="_blank"&gt;Verified by Public Record&lt;/a&gt;</t>
  </si>
  <si>
    <t>&lt;a href="http://a836-acris.nyc.gov/DS/DocumentSearch/DocumentDetail?doc_id=2021051500102003" target="_blank"&gt;Verified by Public Record&lt;/a&gt;</t>
  </si>
  <si>
    <t>&lt;a href="http://a836-acris.nyc.gov/DS/DocumentSearch/DocumentDetail?doc_id=2021062901091001" target="_blank"&gt;Verified by Public Record&lt;/a&gt;</t>
  </si>
  <si>
    <t>Juliet Balcony
Private Terrace
Patio
Common Garden
Common Outdoor Space
Private Outdoor Space</t>
  </si>
  <si>
    <t>&lt;a href="http://a836-acris.nyc.gov/DS/DocumentSearch/DocumentDetail?doc_id=2021040100374001" target="_blank"&gt;Verified by Public Record&lt;/a&gt;</t>
  </si>
  <si>
    <t>&lt;a href="http://a836-acris.nyc.gov/DS/DocumentSearch/DocumentDetail?doc_id=2020102700266007" target="_blank"&gt;Verified by Public Record&lt;/a&gt;</t>
  </si>
  <si>
    <t>&lt;a href="http://a836-acris.nyc.gov/DS/DocumentSearch/DocumentDetail?doc_id=2021052700371001" target="_blank"&gt;Verified by Public Record&lt;/a&gt;</t>
  </si>
  <si>
    <t>&lt;a href="http://a836-acris.nyc.gov/DS/DocumentSearch/DocumentDetail?doc_id=2020112900004003" target="_blank"&gt;Verified by Public Record&lt;/a&gt;</t>
  </si>
  <si>
    <t>&lt;a href="http://a836-acris.nyc.gov/DS/DocumentSearch/DocumentDetail?doc_id=2021031300026002" target="_blank"&gt;Verified by Public Record&lt;/a&gt;</t>
  </si>
  <si>
    <t>&lt;a href="http://a836-acris.nyc.gov/DS/DocumentSearch/DocumentDetail?doc_id=2017120100782002" target="_blank"&gt;Public Record Only&lt;/a&gt;</t>
  </si>
  <si>
    <t>&lt;a href="http://a836-acris.nyc.gov/DS/DocumentSearch/DocumentDetail?doc_id=2017102300271001" target="_blank"&gt;Public Record Only&lt;/a&gt;</t>
  </si>
  <si>
    <t>&lt;a href="http://a836-acris.nyc.gov/DS/DocumentSearch/DocumentDetail?doc_id=2017101300340001" target="_blank"&gt;Public Record Only&lt;/a&gt;</t>
  </si>
  <si>
    <t>&lt;a href="http://a836-acris.nyc.gov/DS/DocumentSearch/DocumentDetail?doc_id=2021061000026001" target="_blank"&gt;Verified by Public Record&lt;/a&gt;</t>
  </si>
  <si>
    <t>&lt;a href="http://a836-acris.nyc.gov/DS/DocumentSearch/DocumentDetail?doc_id=2018010800727001" target="_blank"&gt;Verified by Public Record&lt;/a&gt;</t>
  </si>
  <si>
    <t>&lt;a href="http://a836-acris.nyc.gov/DS/DocumentSearch/DocumentDetail?doc_id=2017122100304001" target="_blank"&gt;Verified by Public Record&lt;/a&gt;</t>
  </si>
  <si>
    <t>&lt;a href="http://a836-acris.nyc.gov/DS/DocumentSearch/DocumentDetail?doc_id=2019101500787001" target="_blank"&gt;Verified by Public Record&lt;/a&gt;</t>
  </si>
  <si>
    <t>&lt;a href="http://a836-acris.nyc.gov/DS/DocumentSearch/DocumentDetail?doc_id=2019121100655001" target="_blank"&gt;Verified by Public Record&lt;/a&gt;</t>
  </si>
  <si>
    <t>&lt;a href="http://a836-acris.nyc.gov/DS/DocumentSearch/DocumentDetail?doc_id=2019070301098002" target="_blank"&gt;Verified by Public Record&lt;/a&gt;</t>
  </si>
  <si>
    <t>&lt;a href="http://a836-acris.nyc.gov/DS/DocumentSearch/DocumentDetail?doc_id=2019101501201001" target="_blank"&gt;Verified by Public Record&lt;/a&gt;</t>
  </si>
  <si>
    <t>&lt;a href="http://a836-acris.nyc.gov/DS/DocumentSearch/DocumentDetail?doc_id=2019081500954001" target="_blank"&gt;Verified by Public Record&lt;/a&gt;</t>
  </si>
  <si>
    <t>&lt;a href="http://a836-acris.nyc.gov/DS/DocumentSearch/DocumentDetail?doc_id=2019052800704002" target="_blank"&gt;Verified by Public Record&lt;/a&gt;</t>
  </si>
  <si>
    <t>&lt;a href="http://a836-acris.nyc.gov/DS/DocumentSearch/DocumentDetail?doc_id=2019110700117001" target="_blank"&gt;Verified by Public Record&lt;/a&gt;</t>
  </si>
  <si>
    <t>&lt;a href="http://a836-acris.nyc.gov/DS/DocumentSearch/DocumentDetail?doc_id=2020021300401001" target="_blank"&gt;Verified by Public Record&lt;/a&gt;</t>
  </si>
  <si>
    <t>&lt;a href="http://a836-acris.nyc.gov/DS/DocumentSearch/DocumentDetail?doc_id=2019100900676001" target="_blank"&gt;Verified by Public Record&lt;/a&gt;</t>
  </si>
  <si>
    <t>&lt;a href="http://a836-acris.nyc.gov/DS/DocumentSearch/DocumentDetail?doc_id=2018030601004001" target="_blank"&gt;Verified by Public Record&lt;/a&gt;</t>
  </si>
  <si>
    <t>&lt;a href="http://a836-acris.nyc.gov/DS/DocumentSearch/DocumentDetail?doc_id=2018031200561002" target="_blank"&gt;Verified by Public Record&lt;/a&gt;</t>
  </si>
  <si>
    <t>&lt;a href="http://a836-acris.nyc.gov/DS/DocumentSearch/DocumentDetail?doc_id=2020120400326001" target="_blank"&gt;Verified by Public Record&lt;/a&gt;</t>
  </si>
  <si>
    <t>&lt;a href="http://a836-acris.nyc.gov/DS/DocumentSearch/DocumentDetail?doc_id=2021032300196003" target="_blank"&gt;Verified by Public Record&lt;/a&gt;</t>
  </si>
  <si>
    <t>&lt;a href="http://a836-acris.nyc.gov/DS/DocumentSearch/DocumentDetail?doc_id=2019100901223001" target="_blank"&gt;Verified by Public Record&lt;/a&gt;</t>
  </si>
  <si>
    <t>&lt;a href="http://a836-acris.nyc.gov/DS/DocumentSearch/DocumentDetail?doc_id=2019092500881001" target="_blank"&gt;Verified by Public Record&lt;/a&gt;</t>
  </si>
  <si>
    <t>&lt;a href="http://a836-acris.nyc.gov/DS/DocumentSearch/DocumentDetail?doc_id=2019053100408001" target="_blank"&gt;Verified by Public Record&lt;/a&gt;</t>
  </si>
  <si>
    <t>&lt;a href="http://a836-acris.nyc.gov/DS/DocumentSearch/DocumentDetail?doc_id=2019062700476001" target="_blank"&gt;Verified by Public Record&lt;/a&gt;</t>
  </si>
  <si>
    <t>&lt;a href="http://a836-acris.nyc.gov/DS/DocumentSearch/DocumentDetail?doc_id=2020103001059001" target="_blank"&gt;Public Record Only&lt;/a&gt;</t>
  </si>
  <si>
    <t>&lt;a href="http://a836-acris.nyc.gov/DS/DocumentSearch/DocumentDetail?doc_id=2019072900808001" target="_blank"&gt;Verified by Public Record&lt;/a&gt;</t>
  </si>
  <si>
    <t>&lt;a href="http://a836-acris.nyc.gov/DS/DocumentSearch/DocumentDetail?doc_id=2019052000276003" target="_blank"&gt;Verified by Public Record&lt;/a&gt;</t>
  </si>
  <si>
    <t>&lt;a href="http://a836-acris.nyc.gov/DS/DocumentSearch/DocumentDetail?doc_id=2020021401123001" target="_blank"&gt;Verified by Public Record&lt;/a&gt;</t>
  </si>
  <si>
    <t>&lt;a href="http://a836-acris.nyc.gov/DS/DocumentSearch/DocumentDetail?doc_id=2019051500406001" target="_blank"&gt;Verified by Public Record&lt;/a&gt;</t>
  </si>
  <si>
    <t>&lt;a href="http://a836-acris.nyc.gov/DS/DocumentSearch/DocumentDetail?doc_id=2019062600639002" target="_blank"&gt;Public Record Only&lt;/a&gt;</t>
  </si>
  <si>
    <t>&lt;a href="http://a836-acris.nyc.gov/DS/DocumentSearch/DocumentDetail?doc_id=2019081400206001" target="_blank"&gt;Verified by Public Record&lt;/a&gt;</t>
  </si>
  <si>
    <t>&lt;a href="http://a836-acris.nyc.gov/DS/DocumentSearch/DocumentDetail?doc_id=2019081600408001" target="_blank"&gt;Verified by Public Record&lt;/a&gt;</t>
  </si>
  <si>
    <t>&lt;a href="http://a836-acris.nyc.gov/DS/DocumentSearch/DocumentDetail?doc_id=2019062600801002" target="_blank"&gt;Verified by Public Record&lt;/a&gt;</t>
  </si>
  <si>
    <t>&lt;a href="http://a836-acris.nyc.gov/DS/DocumentSearch/DocumentDetail?doc_id=2019062600907002" target="_blank"&gt;Verified by Public Record&lt;/a&gt;</t>
  </si>
  <si>
    <t>&lt;a href="http://a836-acris.nyc.gov/DS/DocumentSearch/DocumentDetail?doc_id=2019112500445001" target="_blank"&gt;Verified by Public Record&lt;/a&gt;</t>
  </si>
  <si>
    <t>&lt;a href="http://a836-acris.nyc.gov/DS/DocumentSearch/DocumentDetail?doc_id=2019082000958001" target="_blank"&gt;Verified by Public Record&lt;/a&gt;</t>
  </si>
  <si>
    <t>&lt;a href="http://a836-acris.nyc.gov/DS/DocumentSearch/DocumentDetail?doc_id=2019080200561002" target="_blank"&gt;Verified by Public Record&lt;/a&gt;</t>
  </si>
  <si>
    <t>&lt;a href="http://a836-acris.nyc.gov/DS/DocumentSearch/DocumentDetail?doc_id=2019080900251002" target="_blank"&gt;Verified by Public Record&lt;/a&gt;</t>
  </si>
  <si>
    <t>&lt;a href="http://a836-acris.nyc.gov/DS/DocumentSearch/DocumentDetail?doc_id=2019091200845001" target="_blank"&gt;Verified by Public Record&lt;/a&gt;</t>
  </si>
  <si>
    <t>&lt;a href="http://a836-acris.nyc.gov/DS/DocumentSearch/DocumentDetail?doc_id=2021072400066001" target="_blank"&gt;Verified by Public Record&lt;/a&gt;</t>
  </si>
  <si>
    <t>&lt;a href="http://a836-acris.nyc.gov/DS/DocumentSearch/DocumentDetail?doc_id=2019100700107001" target="_blank"&gt;Verified by Public Record&lt;/a&gt;</t>
  </si>
  <si>
    <t>&lt;a href="http://a836-acris.nyc.gov/DS/DocumentSearch/DocumentDetail?doc_id=2019062100407001" target="_blank"&gt;Public Record Only&lt;/a&gt;</t>
  </si>
  <si>
    <t>&lt;a href="http://a836-acris.nyc.gov/DS/DocumentSearch/DocumentDetail?doc_id=2020020501066002" target="_blank"&gt;Public Record Only&lt;/a&gt;</t>
  </si>
  <si>
    <t>&lt;a href="http://a836-acris.nyc.gov/DS/DocumentSearch/DocumentDetail?doc_id=2019082100163001" target="_blank"&gt;Verified by Public Record&lt;/a&gt;</t>
  </si>
  <si>
    <t>&lt;a href="http://a836-acris.nyc.gov/DS/DocumentSearch/DocumentDetail?doc_id=2019062800306001" target="_blank"&gt;Verified by Public Record&lt;/a&gt;</t>
  </si>
  <si>
    <t>&lt;a href="http://a836-acris.nyc.gov/DS/DocumentSearch/DocumentDetail?doc_id=2019091301006002" target="_blank"&gt;Verified by Public Record&lt;/a&gt;</t>
  </si>
  <si>
    <t>&lt;a href="http://a836-acris.nyc.gov/DS/DocumentSearch/DocumentDetail?doc_id=2019070201009001" target="_blank"&gt;Verified by Public Record&lt;/a&gt;</t>
  </si>
  <si>
    <t>&lt;a href="http://a836-acris.nyc.gov/DS/DocumentSearch/DocumentDetail?doc_id=2019093000342001" target="_blank"&gt;Verified by Public Record&lt;/a&gt;</t>
  </si>
  <si>
    <t>&lt;a href="http://a836-acris.nyc.gov/DS/DocumentSearch/DocumentDetail?doc_id=2019052900356002" target="_blank"&gt;Verified by Public Record&lt;/a&gt;</t>
  </si>
  <si>
    <t>&lt;a href="http://a836-acris.nyc.gov/DS/DocumentSearch/DocumentDetail?doc_id=2019080800545002" target="_blank"&gt;Verified by Public Record&lt;/a&gt;</t>
  </si>
  <si>
    <t>&lt;a href="http://a836-acris.nyc.gov/DS/DocumentSearch/DocumentDetail?doc_id=2019070800880001" target="_blank"&gt;Verified by Public Record&lt;/a&gt;</t>
  </si>
  <si>
    <t>&lt;a href="http://a836-acris.nyc.gov/DS/DocumentSearch/DocumentDetail?doc_id=2019101000977001" target="_blank"&gt;Verified by Public Record&lt;/a&gt;</t>
  </si>
  <si>
    <t>&lt;a href="http://a836-acris.nyc.gov/DS/DocumentSearch/DocumentDetail?doc_id=2019072600544001" target="_blank"&gt;Verified by Public Record&lt;/a&gt;</t>
  </si>
  <si>
    <t>&lt;a href="http://a836-acris.nyc.gov/DS/DocumentSearch/DocumentDetail?doc_id=2019060500506001" target="_blank"&gt;Public Record Only&lt;/a&gt;</t>
  </si>
  <si>
    <t>&lt;a href="http://a836-acris.nyc.gov/DS/DocumentSearch/DocumentDetail?doc_id=2019040100640001" target="_blank"&gt;Verified by Public Record&lt;/a&gt;</t>
  </si>
  <si>
    <t>&lt;a href="http://a836-acris.nyc.gov/DS/DocumentSearch/DocumentDetail?doc_id=2020062400661003" target="_blank"&gt;Verified by Public Record&lt;/a&gt;</t>
  </si>
  <si>
    <t>&lt;a href="http://a836-acris.nyc.gov/DS/DocumentSearch/DocumentDetail?doc_id=2020020700222001" target="_blank"&gt;Verified by Public Record&lt;/a&gt;</t>
  </si>
  <si>
    <t>&lt;a href="http://a836-acris.nyc.gov/DS/DocumentSearch/DocumentDetail?doc_id=2021051801255001" target="_blank"&gt;Verified by Public Record&lt;/a&gt;</t>
  </si>
  <si>
    <t>Private Terrace
Patio
Common Roof Deck
Common Garden
Common Outdoor Space
Private Outdoor Space</t>
  </si>
  <si>
    <t>&lt;a href="http://a836-acris.nyc.gov/DS/DocumentSearch/DocumentDetail?doc_id=2021030800898002" target="_blank"&gt;Verified by Public Record&lt;/a&gt;</t>
  </si>
  <si>
    <t>&lt;a href="http://a836-acris.nyc.gov/DS/DocumentSearch/DocumentDetail?doc_id=2021040101467001" target="_blank"&gt;Verified by Public Record&lt;/a&gt;</t>
  </si>
  <si>
    <t>&lt;a href="http://a836-acris.nyc.gov/DS/DocumentSearch/DocumentDetail?doc_id=2020071600787004" target="_blank"&gt;Verified by Public Record&lt;/a&gt;</t>
  </si>
  <si>
    <t>&lt;a href="http://a836-acris.nyc.gov/DS/DocumentSearch/DocumentDetail?doc_id=2020020700479001" target="_blank"&gt;Verified by Public Record&lt;/a&gt;</t>
  </si>
  <si>
    <t>&lt;a href="http://a836-acris.nyc.gov/DS/DocumentSearch/DocumentDetail?doc_id=2020063000973001" target="_blank"&gt;Verified by Public Record&lt;/a&gt;</t>
  </si>
  <si>
    <t>&lt;a href="http://a836-acris.nyc.gov/DS/DocumentSearch/DocumentDetail?doc_id=2020072400016002" target="_blank"&gt;Verified by Public Record&lt;/a&gt;</t>
  </si>
  <si>
    <t>&lt;a href="http://a836-acris.nyc.gov/DS/DocumentSearch/DocumentDetail?doc_id=2019100900692001" target="_blank"&gt;Verified by Public Record&lt;/a&gt;</t>
  </si>
  <si>
    <t>&lt;a href="http://a836-acris.nyc.gov/DS/DocumentSearch/DocumentDetail?doc_id=2019080900660002" target="_blank"&gt;Verified by Public Record&lt;/a&gt;</t>
  </si>
  <si>
    <t>&lt;a href="http://a836-acris.nyc.gov/DS/DocumentSearch/DocumentDetail?doc_id=2019040300934001" target="_blank"&gt;Verified by Public Record&lt;/a&gt;</t>
  </si>
  <si>
    <t>&lt;a href="http://a836-acris.nyc.gov/DS/DocumentSearch/DocumentDetail?doc_id=2018031600088001" target="_blank"&gt;Verified by Public Record&lt;/a&gt;</t>
  </si>
  <si>
    <t>&lt;a href="http://a836-acris.nyc.gov/DS/DocumentSearch/DocumentDetail?doc_id=2020101400792001" target="_blank"&gt;Verified by Public Record&lt;/a&gt;</t>
  </si>
  <si>
    <t>&lt;a href="http://a836-acris.nyc.gov/DS/DocumentSearch/DocumentDetail?doc_id=2020091800885001" target="_blank"&gt;Verified by Public Record&lt;/a&gt;</t>
  </si>
  <si>
    <t>&lt;a href="http://a836-acris.nyc.gov/DS/DocumentSearch/DocumentDetail?doc_id=2021061500991004" target="_blank"&gt;Verified by Public Record&lt;/a&gt;</t>
  </si>
  <si>
    <t>&lt;a href="http://a836-acris.nyc.gov/DS/DocumentSearch/DocumentDetail?doc_id=2019051400326001" target="_blank"&gt;Verified by Public Record&lt;/a&gt;</t>
  </si>
  <si>
    <t>&lt;a href="http://a836-acris.nyc.gov/DS/DocumentSearch/DocumentDetail?doc_id=2019092000450001" target="_blank"&gt;Verified by Public Record&lt;/a&gt;</t>
  </si>
  <si>
    <t>&lt;a href="http://a836-acris.nyc.gov/DS/DocumentSearch/DocumentDetail?doc_id=2019062600966002" target="_blank"&gt;Verified by Public Record&lt;/a&gt;</t>
  </si>
  <si>
    <t>&lt;a href="http://a836-acris.nyc.gov/DS/DocumentSearch/DocumentDetail?doc_id=2019071800550002" target="_blank"&gt;Verified by Public Record&lt;/a&gt;</t>
  </si>
  <si>
    <t>&lt;a href="http://a836-acris.nyc.gov/DS/DocumentSearch/DocumentDetail?doc_id=2019072500829001" target="_blank"&gt;Verified by Public Record&lt;/a&gt;</t>
  </si>
  <si>
    <t>&lt;a href="http://a836-acris.nyc.gov/DS/DocumentSearch/DocumentDetail?doc_id=2019052900860001" target="_blank"&gt;Verified by Public Record&lt;/a&gt;</t>
  </si>
  <si>
    <t>Private Patio
Common Roof Deck
Barbecue Area
Common Garden</t>
  </si>
  <si>
    <t>&lt;a href="http://a836-acris.nyc.gov/DS/DocumentSearch/DocumentDetail?doc_id=2021010701371003" target="_blank"&gt;Verified by Public Record&lt;/a&gt;</t>
  </si>
  <si>
    <t>&lt;a href="http://a836-acris.nyc.gov/DS/DocumentSearch/DocumentDetail?doc_id=2019060601075002" target="_blank"&gt;Verified by Public Record&lt;/a&gt;</t>
  </si>
  <si>
    <t>&lt;a href="http://a836-acris.nyc.gov/DS/DocumentSearch/DocumentDetail?doc_id=2019062601291002" target="_blank"&gt;Verified by Public Record&lt;/a&gt;</t>
  </si>
  <si>
    <t>&lt;a href="http://a836-acris.nyc.gov/DS/DocumentSearch/DocumentDetail?doc_id=2021050600936002" target="_blank"&gt;Verified by Public Record&lt;/a&gt;</t>
  </si>
  <si>
    <t>&lt;a href="http://a836-acris.nyc.gov/DS/DocumentSearch/DocumentDetail?doc_id=2018103000545001" target="_blank"&gt;Verified by Public Record&lt;/a&gt;</t>
  </si>
  <si>
    <t>&lt;a href="http://a836-acris.nyc.gov/DS/DocumentSearch/DocumentDetail?doc_id=2021042300953001" target="_blank"&gt;Verified by Public Record&lt;/a&gt;</t>
  </si>
  <si>
    <t>&lt;a href="http://a836-acris.nyc.gov/DS/DocumentSearch/DocumentDetail?doc_id=2020100100293001" target="_blank"&gt;Verified by Public Record&lt;/a&gt;</t>
  </si>
  <si>
    <t>&lt;a href="http://a836-acris.nyc.gov/DS/DocumentSearch/DocumentDetail?doc_id=2020110500485001" target="_blank"&gt;Verified by Public Record&lt;/a&gt;</t>
  </si>
  <si>
    <t>&lt;a href="http://a836-acris.nyc.gov/DS/DocumentSearch/DocumentDetail?doc_id=2021051901252001" target="_blank"&gt;Verified by Public Record&lt;/a&gt;</t>
  </si>
  <si>
    <t>&lt;a href="http://a836-acris.nyc.gov/DS/DocumentSearch/DocumentDetail?doc_id=2021020501088001" target="_blank"&gt;Verified by Public Record&lt;/a&gt;</t>
  </si>
  <si>
    <t>&lt;a href="http://a836-acris.nyc.gov/DS/DocumentSearch/DocumentDetail?doc_id=2021063001113001" target="_blank"&gt;Verified by Public Record&lt;/a&gt;</t>
  </si>
  <si>
    <t>&lt;a href="http://a836-acris.nyc.gov/DS/DocumentSearch/DocumentDetail?doc_id=2021080300843001" target="_blank"&gt;Verified by Public Record&lt;/a&gt;</t>
  </si>
  <si>
    <t>&lt;a href="http://a836-acris.nyc.gov/DS/DocumentSearch/DocumentDetail?doc_id=2021062501197001" target="_blank"&gt;Verified by Public Record&lt;/a&gt;</t>
  </si>
  <si>
    <t>&lt;a href="http://a836-acris.nyc.gov/DS/DocumentSearch/DocumentDetail?doc_id=2019061000160003" target="_blank"&gt;Verified by Public Record&lt;/a&gt;</t>
  </si>
  <si>
    <t>&lt;a href="http://a836-acris.nyc.gov/DS/DocumentSearch/DocumentDetail?doc_id=2019062401222001" target="_blank"&gt;Verified by Public Record&lt;/a&gt;</t>
  </si>
  <si>
    <t>&lt;a href="http://a836-acris.nyc.gov/DS/DocumentSearch/DocumentDetail?doc_id=2019121200803003" target="_blank"&gt;Verified by Public Record&lt;/a&gt;</t>
  </si>
  <si>
    <t>&lt;a href="http://a836-acris.nyc.gov/DS/DocumentSearch/DocumentDetail?doc_id=2019071101101001" target="_blank"&gt;Verified by Public Record&lt;/a&gt;</t>
  </si>
  <si>
    <t>&lt;a href="http://a836-acris.nyc.gov/DS/DocumentSearch/DocumentDetail?doc_id=2019032600550001" target="_blank"&gt;Verified by Public Record&lt;/a&gt;</t>
  </si>
  <si>
    <t>&lt;a href="http://a836-acris.nyc.gov/DS/DocumentSearch/DocumentDetail?doc_id=2019061800375001" target="_blank"&gt;Verified by Public Record&lt;/a&gt;</t>
  </si>
  <si>
    <t>&lt;a href="http://a836-acris.nyc.gov/DS/DocumentSearch/DocumentDetail?doc_id=2019051601022002" target="_blank"&gt;Verified by Public Record&lt;/a&gt;</t>
  </si>
  <si>
    <t>&lt;a href="http://a836-acris.nyc.gov/DS/DocumentSearch/DocumentDetail?doc_id=2021061101134001" target="_blank"&gt;Verified by Public Record&lt;/a&gt;</t>
  </si>
  <si>
    <t>&lt;a href="http://a836-acris.nyc.gov/DS/DocumentSearch/DocumentDetail?doc_id=2019081400254001" target="_blank"&gt;Verified by Public Record&lt;/a&gt;</t>
  </si>
  <si>
    <t>&lt;a href="http://a836-acris.nyc.gov/DS/DocumentSearch/DocumentDetail?doc_id=2019103100745001" target="_blank"&gt;Verified by Public Record&lt;/a&gt;</t>
  </si>
  <si>
    <t>&lt;a href="http://a836-acris.nyc.gov/DS/DocumentSearch/DocumentDetail?doc_id=2019112600976001" target="_blank"&gt;Verified by Public Record&lt;/a&gt;</t>
  </si>
  <si>
    <t>&lt;a href="http://a836-acris.nyc.gov/DS/DocumentSearch/DocumentDetail?doc_id=2019041100869002" target="_blank"&gt;Verified by Public Record&lt;/a&gt;</t>
  </si>
  <si>
    <t>&lt;a href="http://a836-acris.nyc.gov/DS/DocumentSearch/DocumentDetail?doc_id=2019032800691001" target="_blank"&gt;Verified by Public Record&lt;/a&gt;</t>
  </si>
  <si>
    <t>&lt;a href="http://a836-acris.nyc.gov/DS/DocumentSearch/DocumentDetail?doc_id=2019053000504001" target="_blank"&gt;Verified by Public Record&lt;/a&gt;</t>
  </si>
  <si>
    <t>&lt;a href="http://a836-acris.nyc.gov/DS/DocumentSearch/DocumentDetail?doc_id=2019032100336002" target="_blank"&gt;Verified by Public Record&lt;/a&gt;</t>
  </si>
  <si>
    <t>&lt;a href="http://a836-acris.nyc.gov/DS/DocumentSearch/DocumentDetail?doc_id=2019112001276001" target="_blank"&gt;Verified by Public Record&lt;/a&gt;</t>
  </si>
  <si>
    <t>&lt;a href="http://a836-acris.nyc.gov/DS/DocumentSearch/DocumentDetail?doc_id=2019062501307001" target="_blank"&gt;Verified by Public Record&lt;/a&gt;</t>
  </si>
  <si>
    <t>&lt;a href="http://a836-acris.nyc.gov/DS/DocumentSearch/DocumentDetail?doc_id=2019053100623001" target="_blank"&gt;Verified by Public Record&lt;/a&gt;</t>
  </si>
  <si>
    <t>&lt;a href="http://a836-acris.nyc.gov/DS/DocumentSearch/DocumentDetail?doc_id=2019083000512002" target="_blank"&gt;Verified by Public Record&lt;/a&gt;</t>
  </si>
  <si>
    <t>&lt;a href="http://a836-acris.nyc.gov/DS/DocumentSearch/DocumentDetail?doc_id=2021030300822001" target="_blank"&gt;Verified by Public Record&lt;/a&gt;</t>
  </si>
  <si>
    <t>&lt;a href="http://a836-acris.nyc.gov/DS/DocumentSearch/DocumentDetail?doc_id=2020030300199001" target="_blank"&gt;Verified by Public Record&lt;/a&gt;</t>
  </si>
  <si>
    <t>&lt;a href="http://a836-acris.nyc.gov/DS/DocumentSearch/DocumentDetail?doc_id=2019060400301001" target="_blank"&gt;Verified by Public Record&lt;/a&gt;</t>
  </si>
  <si>
    <t>&lt;a href="http://a836-acris.nyc.gov/DS/DocumentSearch/DocumentDetail?doc_id=2019070900533001" target="_blank"&gt;Verified by Public Record&lt;/a&gt;</t>
  </si>
  <si>
    <t>&lt;a href="http://a836-acris.nyc.gov/DS/DocumentSearch/DocumentDetail?doc_id=2019121300220001" target="_blank"&gt;Verified by Public Record&lt;/a&gt;</t>
  </si>
  <si>
    <t>&lt;a href="http://a836-acris.nyc.gov/DS/DocumentSearch/DocumentDetail?doc_id=2020072900283003" target="_blank"&gt;Verified by Public Record&lt;/a&gt;</t>
  </si>
  <si>
    <t>&lt;a href="http://a836-acris.nyc.gov/DS/DocumentSearch/DocumentDetail?doc_id=2019092400826001" target="_blank"&gt;Verified by Public Record&lt;/a&gt;</t>
  </si>
  <si>
    <t>&lt;a href="http://a836-acris.nyc.gov/DS/DocumentSearch/DocumentDetail?doc_id=2019041700103001" target="_blank"&gt;Verified by Public Record&lt;/a&gt;</t>
  </si>
  <si>
    <t>&lt;a href="http://a836-acris.nyc.gov/DS/DocumentSearch/DocumentDetail?doc_id=2019043000259001" target="_blank"&gt;Verified by Public Record&lt;/a&gt;</t>
  </si>
  <si>
    <t>&lt;a href="http://a836-acris.nyc.gov/DS/DocumentSearch/DocumentDetail?doc_id=2019041100358002" target="_blank"&gt;Verified by Public Record&lt;/a&gt;</t>
  </si>
  <si>
    <t>&lt;a href="http://a836-acris.nyc.gov/DS/DocumentSearch/DocumentDetail?doc_id=2021070601678001" target="_blank"&gt;Verified by Public Record&lt;/a&gt;</t>
  </si>
  <si>
    <t>&lt;a href="http://a836-acris.nyc.gov/DS/DocumentSearch/DocumentDetail?doc_id=2021071301508001" target="_blank"&gt;Verified by Public Record&lt;/a&gt;</t>
  </si>
  <si>
    <t>&lt;a href="http://a836-acris.nyc.gov/DS/DocumentSearch/DocumentDetail?doc_id=2019042300626001" target="_blank"&gt;Verified by Public Record&lt;/a&gt;</t>
  </si>
  <si>
    <t>&lt;a href="http://a836-acris.nyc.gov/DS/DocumentSearch/DocumentDetail?doc_id=2019081400631001" target="_blank"&gt;Verified by Public Record&lt;/a&gt;</t>
  </si>
  <si>
    <t>&lt;a href="http://a836-acris.nyc.gov/DS/DocumentSearch/DocumentDetail?doc_id=2019050600921002" target="_blank"&gt;Verified by Public Record&lt;/a&gt;</t>
  </si>
  <si>
    <t>&lt;a href="http://a836-acris.nyc.gov/DS/DocumentSearch/DocumentDetail?doc_id=2019041000326002" target="_blank"&gt;Verified by Public Record&lt;/a&gt;</t>
  </si>
  <si>
    <t>&lt;a href="http://a836-acris.nyc.gov/DS/DocumentSearch/DocumentDetail?doc_id=2021060800391003" target="_blank"&gt;Verified by Public Record&lt;/a&gt;</t>
  </si>
  <si>
    <t>&lt;a href="http://a836-acris.nyc.gov/DS/DocumentSearch/DocumentDetail?doc_id=2019120700014002" target="_blank"&gt;Verified by Public Record&lt;/a&gt;</t>
  </si>
  <si>
    <t>&lt;a href="http://a836-acris.nyc.gov/DS/DocumentSearch/DocumentDetail?doc_id=2020100601042001" target="_blank"&gt;Verified by Public Record&lt;/a&gt;</t>
  </si>
  <si>
    <t>&lt;a href="http://a836-acris.nyc.gov/DS/DocumentSearch/DocumentDetail?doc_id=2019100900717001" target="_blank"&gt;Verified by Public Record&lt;/a&gt;</t>
  </si>
  <si>
    <t>&lt;a href="http://a836-acris.nyc.gov/DS/DocumentSearch/DocumentDetail?doc_id=2021050600748001" target="_blank"&gt;Verified by Public Record&lt;/a&gt;</t>
  </si>
  <si>
    <t>&lt;a href="http://a836-acris.nyc.gov/DS/DocumentSearch/DocumentDetail?doc_id=2019061700401001" target="_blank"&gt;Verified by Public Record&lt;/a&gt;</t>
  </si>
  <si>
    <t>&lt;a href="http://a836-acris.nyc.gov/DS/DocumentSearch/DocumentDetail?doc_id=2019050600779001" target="_blank"&gt;Verified by Public Record&lt;/a&gt;</t>
  </si>
  <si>
    <t>&lt;a href="http://a836-acris.nyc.gov/DS/DocumentSearch/DocumentDetail?doc_id=2019091901024001" target="_blank"&gt;Verified by Public Record&lt;/a&gt;</t>
  </si>
  <si>
    <t>&lt;a href="http://a836-acris.nyc.gov/DS/DocumentSearch/DocumentDetail?doc_id=2019032500104001" target="_blank"&gt;Verified by Public Record&lt;/a&gt;</t>
  </si>
  <si>
    <t>&lt;a href="http://a836-acris.nyc.gov/DS/DocumentSearch/DocumentDetail?doc_id=2019070300472002" target="_blank"&gt;Verified by Public Record&lt;/a&gt;</t>
  </si>
  <si>
    <t>&lt;a href="http://a836-acris.nyc.gov/DS/DocumentSearch/DocumentDetail?doc_id=2019111100552001" target="_blank"&gt;Verified by Public Record&lt;/a&gt;</t>
  </si>
  <si>
    <t>&lt;a href="http://a836-acris.nyc.gov/DS/DocumentSearch/DocumentDetail?doc_id=2019122301371001" target="_blank"&gt;Verified by Public Record&lt;/a&gt;</t>
  </si>
  <si>
    <t>&lt;a href="http://a836-acris.nyc.gov/DS/DocumentSearch/DocumentDetail?doc_id=2019081600515002" target="_blank"&gt;Verified by Public Record&lt;/a&gt;</t>
  </si>
  <si>
    <t>&lt;a href="http://a836-acris.nyc.gov/DS/DocumentSearch/DocumentDetail?doc_id=2019060600501002" target="_blank"&gt;Verified by Public Record&lt;/a&gt;</t>
  </si>
  <si>
    <t>&lt;a href="http://a836-acris.nyc.gov/DS/DocumentSearch/DocumentDetail?doc_id=2019101600439002" target="_blank"&gt;Verified by Public Record&lt;/a&gt;</t>
  </si>
  <si>
    <t>&lt;a href="http://a836-acris.nyc.gov/DS/DocumentSearch/DocumentDetail?doc_id=2019042900296001" target="_blank"&gt;Verified by Public Record&lt;/a&gt;</t>
  </si>
  <si>
    <t>&lt;a href="http://a836-acris.nyc.gov/DS/DocumentSearch/DocumentDetail?doc_id=2019032800659001" target="_blank"&gt;Verified by Public Record&lt;/a&gt;</t>
  </si>
  <si>
    <t>&lt;a href="http://a836-acris.nyc.gov/DS/DocumentSearch/DocumentDetail?doc_id=2019082800879002" target="_blank"&gt;Verified by Public Record&lt;/a&gt;</t>
  </si>
  <si>
    <t>&lt;a href="http://a836-acris.nyc.gov/DS/DocumentSearch/DocumentDetail?doc_id=2020020701258001" target="_blank"&gt;Verified by Public Record&lt;/a&gt;</t>
  </si>
  <si>
    <t>&lt;a href="http://a836-acris.nyc.gov/DS/DocumentSearch/DocumentDetail?doc_id=2019062700093001" target="_blank"&gt;Verified by Public Record&lt;/a&gt;</t>
  </si>
  <si>
    <t>&lt;a href="http://a836-acris.nyc.gov/DS/DocumentSearch/DocumentDetail?doc_id=2019021300170001" target="_blank"&gt;Verified by Public Record&lt;/a&gt;</t>
  </si>
  <si>
    <t>&lt;a href="http://a836-acris.nyc.gov/DS/DocumentSearch/DocumentDetail?doc_id=2019091600319001" target="_blank"&gt;Verified by Public Record&lt;/a&gt;</t>
  </si>
  <si>
    <t>&lt;a href="http://a836-acris.nyc.gov/DS/DocumentSearch/DocumentDetail?doc_id=2019090900281003" target="_blank"&gt;Verified by Public Record&lt;/a&gt;</t>
  </si>
  <si>
    <t>&lt;a href="http://a836-acris.nyc.gov/DS/DocumentSearch/DocumentDetail?doc_id=2019052800820002" target="_blank"&gt;Verified by Public Record&lt;/a&gt;</t>
  </si>
  <si>
    <t>&lt;a href="http://a836-acris.nyc.gov/DS/DocumentSearch/DocumentDetail?doc_id=2019040901072002" target="_blank"&gt;Verified by Public Record&lt;/a&gt;</t>
  </si>
  <si>
    <t>&lt;a href="http://a836-acris.nyc.gov/DS/DocumentSearch/DocumentDetail?doc_id=2019071001173001" target="_blank"&gt;Verified by Public Record&lt;/a&gt;</t>
  </si>
  <si>
    <t>&lt;a href="http://a836-acris.nyc.gov/DS/DocumentSearch/DocumentDetail?doc_id=2019071500343002" target="_blank"&gt;Verified by Public Record&lt;/a&gt;</t>
  </si>
  <si>
    <t>&lt;a href="http://a836-acris.nyc.gov/DS/DocumentSearch/DocumentDetail?doc_id=2019070200632001" target="_blank"&gt;Verified by Public Record&lt;/a&gt;</t>
  </si>
  <si>
    <t>&lt;a href="http://a836-acris.nyc.gov/DS/DocumentSearch/DocumentDetail?doc_id=2019081600953003" target="_blank"&gt;Verified by Public Record&lt;/a&gt;</t>
  </si>
  <si>
    <t>&lt;a href="http://a836-acris.nyc.gov/DS/DocumentSearch/DocumentDetail?doc_id=2019120900837001" target="_blank"&gt;Verified by Public Record&lt;/a&gt;</t>
  </si>
  <si>
    <t>&lt;a href="http://a836-acris.nyc.gov/DS/DocumentSearch/DocumentDetail?doc_id=2019120600448002" target="_blank"&gt;Verified by Public Record&lt;/a&gt;</t>
  </si>
  <si>
    <t>&lt;a href="http://a836-acris.nyc.gov/DS/DocumentSearch/DocumentDetail?doc_id=2019071801223002" target="_blank"&gt;Verified by Public Record&lt;/a&gt;</t>
  </si>
  <si>
    <t>&lt;a href="http://a836-acris.nyc.gov/DS/DocumentSearch/DocumentDetail?doc_id=2019070500744001" target="_blank"&gt;Verified by Public Record&lt;/a&gt;</t>
  </si>
  <si>
    <t>&lt;a href="http://a836-acris.nyc.gov/DS/DocumentSearch/DocumentDetail?doc_id=2019031200217001" target="_blank"&gt;Verified by Public Record&lt;/a&gt;</t>
  </si>
  <si>
    <t>&lt;a href="http://a836-acris.nyc.gov/DS/DocumentSearch/DocumentDetail?doc_id=2021062000094001" target="_blank"&gt;Verified by Public Record&lt;/a&gt;</t>
  </si>
  <si>
    <t>&lt;a href="http://a836-acris.nyc.gov/DS/DocumentSearch/DocumentDetail?doc_id=2019120700089002" target="_blank"&gt;Verified by Public Record&lt;/a&gt;</t>
  </si>
  <si>
    <t>&lt;a href="http://a836-acris.nyc.gov/DS/DocumentSearch/DocumentDetail?doc_id=2019070500159001" target="_blank"&gt;Verified by Public Record&lt;/a&gt;</t>
  </si>
  <si>
    <t>&lt;a href="http://a836-acris.nyc.gov/DS/DocumentSearch/DocumentDetail?doc_id=2020050700434001" target="_blank"&gt;Verified by Public Record&lt;/a&gt;</t>
  </si>
  <si>
    <t>&lt;a href="http://a836-acris.nyc.gov/DS/DocumentSearch/DocumentDetail?doc_id=2021061100460001" target="_blank"&gt;Verified by Public Record&lt;/a&gt;</t>
  </si>
  <si>
    <t>&lt;a href="http://a836-acris.nyc.gov/DS/DocumentSearch/DocumentDetail?doc_id=2021072700608001" target="_blank"&gt;Verified by Public Record&lt;/a&gt;</t>
  </si>
  <si>
    <t>&lt;a href="http://a836-acris.nyc.gov/DS/DocumentSearch/DocumentDetail?doc_id=2021033100210001" target="_blank"&gt;Verified by Public Record&lt;/a&gt;</t>
  </si>
  <si>
    <t>&lt;a href="http://a836-acris.nyc.gov/DS/DocumentSearch/DocumentDetail?doc_id=2019102201207001" target="_blank"&gt;Verified by Public Record&lt;/a&gt;</t>
  </si>
  <si>
    <t>&lt;a href="http://a836-acris.nyc.gov/DS/DocumentSearch/DocumentDetail?doc_id=2021030100526002" target="_blank"&gt;Verified by Public Record&lt;/a&gt;</t>
  </si>
  <si>
    <t>&lt;a href="http://a836-acris.nyc.gov/DS/DocumentSearch/DocumentDetail?doc_id=2019102300539001" target="_blank"&gt;Verified by Public Record&lt;/a&gt;</t>
  </si>
  <si>
    <t>&lt;a href="http://a836-acris.nyc.gov/DS/DocumentSearch/DocumentDetail?doc_id=2019091200680002" target="_blank"&gt;Verified by Public Record&lt;/a&gt;</t>
  </si>
  <si>
    <t>&lt;a href="http://a836-acris.nyc.gov/DS/DocumentSearch/DocumentDetail?doc_id=2019080600645001" target="_blank"&gt;Verified by Public Record&lt;/a&gt;</t>
  </si>
  <si>
    <t>&lt;a href="http://a836-acris.nyc.gov/DS/DocumentSearch/DocumentDetail?doc_id=2021072300450002" target="_blank"&gt;Verified by Public Record&lt;/a&gt;</t>
  </si>
  <si>
    <t>&lt;a href="http://a836-acris.nyc.gov/DS/DocumentSearch/DocumentDetail?doc_id=2021020801502001" target="_blank"&gt;Verified by Public Record&lt;/a&gt;</t>
  </si>
  <si>
    <t>&lt;a href="http://a836-acris.nyc.gov/DS/DocumentSearch/DocumentDetail?doc_id=2021010500472002" target="_blank"&gt;Verified by Public Record&lt;/a&gt;</t>
  </si>
  <si>
    <t>&lt;a href="http://a836-acris.nyc.gov/DS/DocumentSearch/DocumentDetail?doc_id=2019082200987002" target="_blank"&gt;Verified by Public Record&lt;/a&gt;</t>
  </si>
  <si>
    <t>&lt;a href="http://a836-acris.nyc.gov/DS/DocumentSearch/DocumentDetail?doc_id=2019042600545001" target="_blank"&gt;Verified by Public Record&lt;/a&gt;</t>
  </si>
  <si>
    <t>&lt;a href="http://a836-acris.nyc.gov/DS/DocumentSearch/DocumentDetail?doc_id=2019042300723002" target="_blank"&gt;Verified by Public Record&lt;/a&gt;</t>
  </si>
  <si>
    <t>&lt;a href="http://a836-acris.nyc.gov/DS/DocumentSearch/DocumentDetail?doc_id=2019091000309002" target="_blank"&gt;Verified by Public Record&lt;/a&gt;</t>
  </si>
  <si>
    <t>&lt;a href="http://a836-acris.nyc.gov/DS/DocumentSearch/DocumentDetail?doc_id=2019091200919002" target="_blank"&gt;Verified by Public Record&lt;/a&gt;</t>
  </si>
  <si>
    <t>&lt;a href="http://a836-acris.nyc.gov/DS/DocumentSearch/DocumentDetail?doc_id=2019091901109001" target="_blank"&gt;Verified by Public Record&lt;/a&gt;</t>
  </si>
  <si>
    <t>&lt;a href="http://a836-acris.nyc.gov/DS/DocumentSearch/DocumentDetail?doc_id=2020051200831001" target="_blank"&gt;Verified by Public Record&lt;/a&gt;</t>
  </si>
  <si>
    <t>&lt;a href="http://a836-acris.nyc.gov/DS/DocumentSearch/DocumentDetail?doc_id=2021052001007002" target="_blank"&gt;Verified by Public Record&lt;/a&gt;</t>
  </si>
  <si>
    <t>&lt;a href="http://a836-acris.nyc.gov/DS/DocumentSearch/DocumentDetail?doc_id=2019062700589001" target="_blank"&gt;Verified by Public Record&lt;/a&gt;</t>
  </si>
  <si>
    <t>&lt;a href="http://a836-acris.nyc.gov/DS/DocumentSearch/DocumentDetail?doc_id=2019120300416001" target="_blank"&gt;Verified by Public Record&lt;/a&gt;</t>
  </si>
  <si>
    <t>&lt;a href="http://a836-acris.nyc.gov/DS/DocumentSearch/DocumentDetail?doc_id=2019071100566001" target="_blank"&gt;Verified by Public Record&lt;/a&gt;</t>
  </si>
  <si>
    <t>&lt;a href="http://a836-acris.nyc.gov/DS/DocumentSearch/DocumentDetail?doc_id=2019070101091002" target="_blank"&gt;Verified by Public Record&lt;/a&gt;</t>
  </si>
  <si>
    <t>&lt;a href="http://a836-acris.nyc.gov/DS/DocumentSearch/DocumentDetail?doc_id=2019071600337002" target="_blank"&gt;Verified by Public Record&lt;/a&gt;</t>
  </si>
  <si>
    <t>&lt;a href="http://a836-acris.nyc.gov/DS/DocumentSearch/DocumentDetail?doc_id=2021021500350004" target="_blank"&gt;Verified by Public Record&lt;/a&gt;</t>
  </si>
  <si>
    <t>&lt;a href="http://a836-acris.nyc.gov/DS/DocumentSearch/DocumentDetail?doc_id=2019060501219002" target="_blank"&gt;Verified by Public Record&lt;/a&gt;</t>
  </si>
  <si>
    <t>&lt;a href="http://a836-acris.nyc.gov/DS/DocumentSearch/DocumentDetail?doc_id=2019050600936003" target="_blank"&gt;Verified by Public Record&lt;/a&gt;</t>
  </si>
  <si>
    <t>&lt;a href="http://a836-acris.nyc.gov/DS/DocumentSearch/DocumentDetail?doc_id=2020112500461001" target="_blank"&gt;Verified by Public Record&lt;/a&gt;</t>
  </si>
  <si>
    <t>&lt;a href="http://a836-acris.nyc.gov/DS/DocumentSearch/DocumentDetail?doc_id=2020021100315002" target="_blank"&gt;Verified by Public Record&lt;/a&gt;</t>
  </si>
  <si>
    <t>&lt;a href="http://a836-acris.nyc.gov/DS/DocumentSearch/DocumentDetail?doc_id=2019090501045003" target="_blank"&gt;Verified by Public Record&lt;/a&gt;</t>
  </si>
  <si>
    <t>&lt;a href="http://a836-acris.nyc.gov/DS/DocumentSearch/DocumentDetail?doc_id=2019082100639001" target="_blank"&gt;Verified by Public Record&lt;/a&gt;</t>
  </si>
  <si>
    <t>&lt;a href="http://a836-acris.nyc.gov/DS/DocumentSearch/DocumentDetail?doc_id=2020031001335001" target="_blank"&gt;Verified by Public Record&lt;/a&gt;</t>
  </si>
  <si>
    <t>&lt;a href="http://a836-acris.nyc.gov/DS/DocumentSearch/DocumentDetail?doc_id=2019072300453001" target="_blank"&gt;Verified by Public Record&lt;/a&gt;</t>
  </si>
  <si>
    <t>&lt;a href="http://a836-acris.nyc.gov/DS/DocumentSearch/DocumentDetail?doc_id=2020021301225001" target="_blank"&gt;Verified by Public Record&lt;/a&gt;</t>
  </si>
  <si>
    <t>&lt;a href="http://a836-acris.nyc.gov/DS/DocumentSearch/DocumentDetail?doc_id=2020021101117001" target="_blank"&gt;Verified by Public Record&lt;/a&gt;</t>
  </si>
  <si>
    <t>&lt;a href="http://a836-acris.nyc.gov/DS/DocumentSearch/DocumentDetail?doc_id=2019073000731001" target="_blank"&gt;Verified by Public Record&lt;/a&gt;</t>
  </si>
  <si>
    <t>&lt;a href="http://a836-acris.nyc.gov/DS/DocumentSearch/DocumentDetail?doc_id=2019083000109001" target="_blank"&gt;Verified by Public Record&lt;/a&gt;</t>
  </si>
  <si>
    <t>&lt;a href="http://a836-acris.nyc.gov/DS/DocumentSearch/DocumentDetail?doc_id=2020081100305002" target="_blank"&gt;Verified by Public Record&lt;/a&gt;</t>
  </si>
  <si>
    <t>&lt;a href="http://a836-acris.nyc.gov/DS/DocumentSearch/DocumentDetail?doc_id=2020100300080001" target="_blank"&gt;Verified by Public Record&lt;/a&gt;</t>
  </si>
  <si>
    <t>&lt;a href="http://a836-acris.nyc.gov/DS/DocumentSearch/DocumentDetail?doc_id=2019081900260002" target="_blank"&gt;Verified by Public Record&lt;/a&gt;</t>
  </si>
  <si>
    <t>&lt;a href="http://a836-acris.nyc.gov/DS/DocumentSearch/DocumentDetail?doc_id=2020052100150001" target="_blank"&gt;Verified by Public Record&lt;/a&gt;</t>
  </si>
  <si>
    <t>&lt;a href="http://a836-acris.nyc.gov/DS/DocumentSearch/DocumentDetail?doc_id=2021042001306001" target="_blank"&gt;Verified by Public Record&lt;/a&gt;</t>
  </si>
  <si>
    <t>Patio
Deck
Common Roof Deck
Barbecue Area
Playground
Common Garden</t>
  </si>
  <si>
    <t>&lt;a href="http://a836-acris.nyc.gov/DS/DocumentSearch/DocumentDetail?doc_id=2021061101481001" target="_blank"&gt;Verified by Public Record&lt;/a&gt;</t>
  </si>
  <si>
    <t>&lt;a href="http://a836-acris.nyc.gov/DS/DocumentSearch/DocumentDetail?doc_id=2019081200434002" target="_blank"&gt;Verified by Public Record&lt;/a&gt;</t>
  </si>
  <si>
    <t>&lt;a href="http://a836-acris.nyc.gov/DS/DocumentSearch/DocumentDetail?doc_id=2020010200705002" target="_blank"&gt;Verified by Public Record&lt;/a&gt;</t>
  </si>
  <si>
    <t>&lt;a href="http://a836-acris.nyc.gov/DS/DocumentSearch/DocumentDetail?doc_id=2019060601026001" target="_blank"&gt;Verified by Public Record&lt;/a&gt;</t>
  </si>
  <si>
    <t>&lt;a href="http://a836-acris.nyc.gov/DS/DocumentSearch/DocumentDetail?doc_id=2020122100847001" target="_blank"&gt;Verified by Public Record&lt;/a&gt;</t>
  </si>
  <si>
    <t>&lt;a href="http://a836-acris.nyc.gov/DS/DocumentSearch/DocumentDetail?doc_id=2019050900352001" target="_blank"&gt;Verified by Public Record&lt;/a&gt;</t>
  </si>
  <si>
    <t>&lt;a href="http://a836-acris.nyc.gov/DS/DocumentSearch/DocumentDetail?doc_id=2019060600408002" target="_blank"&gt;Verified by Public Record&lt;/a&gt;</t>
  </si>
  <si>
    <t>&lt;a href="http://a836-acris.nyc.gov/DS/DocumentSearch/DocumentDetail?doc_id=2019051400996002" target="_blank"&gt;Verified by Public Record&lt;/a&gt;</t>
  </si>
  <si>
    <t>&lt;a href="http://a836-acris.nyc.gov/DS/DocumentSearch/DocumentDetail?doc_id=2019123000576001" target="_blank"&gt;Verified by Public Record&lt;/a&gt;</t>
  </si>
  <si>
    <t>&lt;a href="http://a836-acris.nyc.gov/DS/DocumentSearch/DocumentDetail?doc_id=2019062600012002" target="_blank"&gt;Verified by Public Record&lt;/a&gt;</t>
  </si>
  <si>
    <t>&lt;a href="http://a836-acris.nyc.gov/DS/DocumentSearch/DocumentDetail?doc_id=2019050600634001" target="_blank"&gt;Verified by Public Record&lt;/a&gt;</t>
  </si>
  <si>
    <t>&lt;a href="http://a836-acris.nyc.gov/DS/DocumentSearch/DocumentDetail?doc_id=2019122400216001" target="_blank"&gt;Verified by Public Record&lt;/a&gt;</t>
  </si>
  <si>
    <t>&lt;a href="http://a836-acris.nyc.gov/DS/DocumentSearch/DocumentDetail?doc_id=2019081500228001" target="_blank"&gt;Verified by Public Record&lt;/a&gt;</t>
  </si>
  <si>
    <t>&lt;a href="http://a836-acris.nyc.gov/DS/DocumentSearch/DocumentDetail?doc_id=2019061200706001" target="_blank"&gt;Verified by Public Record&lt;/a&gt;</t>
  </si>
  <si>
    <t>&lt;a href="http://a836-acris.nyc.gov/DS/DocumentSearch/DocumentDetail?doc_id=2019102900341002" target="_blank"&gt;Verified by Public Record&lt;/a&gt;</t>
  </si>
  <si>
    <t>&lt;a href="http://a836-acris.nyc.gov/DS/DocumentSearch/DocumentDetail?doc_id=2019070201308001" target="_blank"&gt;Verified by Public Record&lt;/a&gt;</t>
  </si>
  <si>
    <t>&lt;a href="http://a836-acris.nyc.gov/DS/DocumentSearch/DocumentDetail?doc_id=2018050400671001" target="_blank"&gt;Verified by Public Record&lt;/a&gt;</t>
  </si>
  <si>
    <t>&lt;a href="http://a836-acris.nyc.gov/DS/DocumentSearch/DocumentDetail?doc_id=2021072701196001" target="_blank"&gt;Verified by Public Record&lt;/a&gt;</t>
  </si>
  <si>
    <t>&lt;a href="http://a836-acris.nyc.gov/DS/DocumentSearch/DocumentDetail?doc_id=2019021800080001" target="_blank"&gt;Verified by Public Record&lt;/a&gt;</t>
  </si>
  <si>
    <t>&lt;a href="http://a836-acris.nyc.gov/DS/DocumentSearch/DocumentDetail?doc_id=2016062100765001" target="_blank"&gt;Verified by Public Record&lt;/a&gt;</t>
  </si>
  <si>
    <t>&lt;a href="http://a836-acris.nyc.gov/DS/DocumentSearch/DocumentDetail?doc_id=2016051300495002" target="_blank"&gt;Verified by Public Record&lt;/a&gt;</t>
  </si>
  <si>
    <t>&lt;a href="http://a836-acris.nyc.gov/DS/DocumentSearch/DocumentDetail?doc_id=2018061100915001" target="_blank"&gt;Verified by Public Record&lt;/a&gt;</t>
  </si>
  <si>
    <t>&lt;a href="http://a836-acris.nyc.gov/DS/DocumentSearch/DocumentDetail?doc_id=2017051801208002" target="_blank"&gt;Verified by Public Record&lt;/a&gt;</t>
  </si>
  <si>
    <t>Playground
Common Garden
Common Outdoor Space
Private Outdoor Space</t>
  </si>
  <si>
    <t>&lt;a href="http://a836-acris.nyc.gov/DS/DocumentSearch/DocumentDetail?doc_id=2016081101117001" target="_blank"&gt;Verified by Public Record&lt;/a&gt;</t>
  </si>
  <si>
    <t>&lt;a href="http://a836-acris.nyc.gov/DS/DocumentSearch/DocumentDetail?doc_id=2021072101305001" target="_blank"&gt;Verified by Public Record&lt;/a&gt;</t>
  </si>
  <si>
    <t>&lt;a href="http://a836-acris.nyc.gov/DS/DocumentSearch/DocumentDetail?doc_id=2018111600915001" target="_blank"&gt;Verified by Public Record&lt;/a&gt;</t>
  </si>
  <si>
    <t>&lt;a href="http://a836-acris.nyc.gov/DS/DocumentSearch/DocumentDetail?doc_id=2016050300214002" target="_blank"&gt;Verified by Public Record&lt;/a&gt;</t>
  </si>
  <si>
    <t>&lt;a href="http://a836-acris.nyc.gov/DS/DocumentSearch/DocumentDetail?doc_id=2021070201520001" target="_blank"&gt;Verified by Public Record&lt;/a&gt;</t>
  </si>
  <si>
    <t>&lt;a href="http://a836-acris.nyc.gov/DS/DocumentSearch/DocumentDetail?doc_id=2017030600956001" target="_blank"&gt;Verified by Public Record&lt;/a&gt;</t>
  </si>
  <si>
    <t>&lt;a href="http://a836-acris.nyc.gov/DS/DocumentSearch/DocumentDetail?doc_id=2021041401392002" target="_blank"&gt;Verified by Public Record&lt;/a&gt;</t>
  </si>
  <si>
    <t>Private Terrace
Private Wrap Around Terrace
Common Garden
Common Outdoor Space
Private Outdoor Space</t>
  </si>
  <si>
    <t>&lt;a href="http://a836-acris.nyc.gov/DS/DocumentSearch/DocumentDetail?doc_id=2017122100337001" target="_blank"&gt;Verified by Public Record&lt;/a&gt;</t>
  </si>
  <si>
    <t>&lt;a href="http://a836-acris.nyc.gov/DS/DocumentSearch/DocumentDetail?doc_id=2017061500361001" target="_blank"&gt;Verified by Public Record&lt;/a&gt;</t>
  </si>
  <si>
    <t>&lt;a href="http://a836-acris.nyc.gov/DS/DocumentSearch/DocumentDetail?doc_id=2017081300003001" target="_blank"&gt;Verified by Public Record&lt;/a&gt;</t>
  </si>
  <si>
    <t>&lt;a href="http://a836-acris.nyc.gov/DS/DocumentSearch/DocumentDetail?doc_id=2020010600831002" target="_blank"&gt;Verified by Public Record&lt;/a&gt;</t>
  </si>
  <si>
    <t>&lt;a href="http://a836-acris.nyc.gov/DS/DocumentSearch/DocumentDetail?doc_id=2020061900402003" target="_blank"&gt;Verified by Public Record&lt;/a&gt;</t>
  </si>
  <si>
    <t>&lt;a href="http://a836-acris.nyc.gov/DS/DocumentSearch/DocumentDetail?doc_id=2016121400423004" target="_blank"&gt;Verified by Public Record&lt;/a&gt;</t>
  </si>
  <si>
    <t>&lt;a href="http://a836-acris.nyc.gov/DS/DocumentSearch/DocumentDetail?doc_id=2021042600575002" target="_blank"&gt;Verified by Public Record&lt;/a&gt;</t>
  </si>
  <si>
    <t>&lt;a href="http://a836-acris.nyc.gov/DS/DocumentSearch/DocumentDetail?doc_id=2016031600196001" target="_blank"&gt;Verified by Public Record&lt;/a&gt;</t>
  </si>
  <si>
    <t>&lt;a href="http://a836-acris.nyc.gov/DS/DocumentSearch/DocumentDetail?doc_id=2017042600968002" target="_blank"&gt;Verified by Public Record&lt;/a&gt;</t>
  </si>
  <si>
    <t>&lt;a href="http://a836-acris.nyc.gov/DS/DocumentSearch/DocumentDetail?doc_id=2017063000591001" target="_blank"&gt;Verified by Public Record&lt;/a&gt;</t>
  </si>
  <si>
    <t>&lt;a href="http://a836-acris.nyc.gov/DS/DocumentSearch/DocumentDetail?doc_id=2019112600743003" target="_blank"&gt;Verified by Public Record&lt;/a&gt;</t>
  </si>
  <si>
    <t>&lt;a href="http://a836-acris.nyc.gov/DS/DocumentSearch/DocumentDetail?doc_id=2016050600423001" target="_blank"&gt;Verified by Public Record&lt;/a&gt;</t>
  </si>
  <si>
    <t>&lt;a href="http://a836-acris.nyc.gov/DS/DocumentSearch/DocumentDetail?doc_id=2016072500127001" target="_blank"&gt;Verified by Public Record&lt;/a&gt;</t>
  </si>
  <si>
    <t>&lt;a href="http://a836-acris.nyc.gov/DS/DocumentSearch/DocumentDetail?doc_id=2020071000374003" target="_blank"&gt;Verified by Public Record&lt;/a&gt;</t>
  </si>
  <si>
    <t>&lt;a href="http://a836-acris.nyc.gov/DS/DocumentSearch/DocumentDetail?doc_id=2016060900561002" target="_blank"&gt;Public Record Only&lt;/a&gt;</t>
  </si>
  <si>
    <t>&lt;a href="http://a836-acris.nyc.gov/DS/DocumentSearch/DocumentDetail?doc_id=2016102000460001" target="_blank"&gt;Public Record Only&lt;/a&gt;</t>
  </si>
  <si>
    <t>&lt;a href="http://a836-acris.nyc.gov/DS/DocumentSearch/DocumentDetail?doc_id=2016050301271001" target="_blank"&gt;Public Record Only&lt;/a&gt;</t>
  </si>
  <si>
    <t>&lt;a href="http://a836-acris.nyc.gov/DS/DocumentSearch/DocumentDetail?doc_id=2017060200219001" target="_blank"&gt;Public Record Only&lt;/a&gt;</t>
  </si>
  <si>
    <t>&lt;a href="http://a836-acris.nyc.gov/DS/DocumentSearch/DocumentDetail?doc_id=2016020200243001" target="_blank"&gt;Public Record Only&lt;/a&gt;</t>
  </si>
  <si>
    <t>&lt;a href="http://a836-acris.nyc.gov/DS/DocumentSearch/DocumentDetail?doc_id=2016042900193001" target="_blank"&gt;Verified by Public Record&lt;/a&gt;</t>
  </si>
  <si>
    <t>&lt;a href="http://a836-acris.nyc.gov/DS/DocumentSearch/DocumentDetail?doc_id=2016090801500001" target="_blank"&gt;Public Record Only&lt;/a&gt;</t>
  </si>
  <si>
    <t>&lt;a href="http://a836-acris.nyc.gov/DS/DocumentSearch/DocumentDetail?doc_id=2016032800959001" target="_blank"&gt;Public Record Only&lt;/a&gt;</t>
  </si>
  <si>
    <t>&lt;a href="http://a836-acris.nyc.gov/DS/DocumentSearch/DocumentDetail?doc_id=2016040600296003" target="_blank"&gt;Public Record Only&lt;/a&gt;</t>
  </si>
  <si>
    <t>&lt;a href="http://a836-acris.nyc.gov/DS/DocumentSearch/DocumentDetail?doc_id=2020042600032001" target="_blank"&gt;Public Record Only&lt;/a&gt;</t>
  </si>
  <si>
    <t>&lt;a href="http://a836-acris.nyc.gov/DS/DocumentSearch/DocumentDetail?doc_id=2018101200142001" target="_blank"&gt;Public Record Only&lt;/a&gt;</t>
  </si>
  <si>
    <t>&lt;a href="http://a836-acris.nyc.gov/DS/DocumentSearch/DocumentDetail?doc_id=2019062500815001" target="_blank"&gt;Verified by Public Record&lt;/a&gt;</t>
  </si>
  <si>
    <t>&lt;a href="http://a836-acris.nyc.gov/DS/DocumentSearch/DocumentDetail?doc_id=2018100301096001" target="_blank"&gt;Public Record Only&lt;/a&gt;</t>
  </si>
  <si>
    <t>&lt;a href="http://a836-acris.nyc.gov/DS/DocumentSearch/DocumentDetail?doc_id=2018111600234001" target="_blank"&gt;Public Record Only&lt;/a&gt;</t>
  </si>
  <si>
    <t>&lt;a href="http://a836-acris.nyc.gov/DS/DocumentSearch/DocumentDetail?doc_id=2018112000015001" target="_blank"&gt;Public Record Only&lt;/a&gt;</t>
  </si>
  <si>
    <t>&lt;a href="http://a836-acris.nyc.gov/DS/DocumentSearch/DocumentDetail?doc_id=2018112100273003" target="_blank"&gt;Public Record Only&lt;/a&gt;</t>
  </si>
  <si>
    <t>&lt;a href="http://a836-acris.nyc.gov/DS/DocumentSearch/DocumentDetail?doc_id=2018112700282001" target="_blank"&gt;Public Record Only&lt;/a&gt;</t>
  </si>
  <si>
    <t>&lt;a href="http://a836-acris.nyc.gov/DS/DocumentSearch/DocumentDetail?doc_id=2018112600820004" target="_blank"&gt;Public Record Only&lt;/a&gt;</t>
  </si>
  <si>
    <t>&lt;a href="http://a836-acris.nyc.gov/DS/DocumentSearch/DocumentDetail?doc_id=2018122600512004" target="_blank"&gt;Public Record Only&lt;/a&gt;</t>
  </si>
  <si>
    <t>&lt;a href="http://a836-acris.nyc.gov/DS/DocumentSearch/DocumentDetail?doc_id=2019011000606001" target="_blank"&gt;Public Record Only&lt;/a&gt;</t>
  </si>
  <si>
    <t>&lt;a href="http://a836-acris.nyc.gov/DS/DocumentSearch/DocumentDetail?doc_id=2019010200664001" target="_blank"&gt;Public Record Only&lt;/a&gt;</t>
  </si>
  <si>
    <t>&lt;a href="http://a836-acris.nyc.gov/DS/DocumentSearch/DocumentDetail?doc_id=2019011801063001" target="_blank"&gt;Public Record Only&lt;/a&gt;</t>
  </si>
  <si>
    <t>&lt;a href="http://a836-acris.nyc.gov/DS/DocumentSearch/DocumentDetail?doc_id=2019012900276001" target="_blank"&gt;Public Record Only&lt;/a&gt;</t>
  </si>
  <si>
    <t>&lt;a href="http://a836-acris.nyc.gov/DS/DocumentSearch/DocumentDetail?doc_id=2019012800564001" target="_blank"&gt;Public Record Only&lt;/a&gt;</t>
  </si>
  <si>
    <t>&lt;a href="http://a836-acris.nyc.gov/DS/DocumentSearch/DocumentDetail?doc_id=2018121400384006" target="_blank"&gt;Public Record Only&lt;/a&gt;</t>
  </si>
  <si>
    <t>&lt;a href="http://a836-acris.nyc.gov/DS/DocumentSearch/DocumentDetail?doc_id=2019020700172001" target="_blank"&gt;Public Record Only&lt;/a&gt;</t>
  </si>
  <si>
    <t>&lt;a href="http://a836-acris.nyc.gov/DS/DocumentSearch/DocumentDetail?doc_id=2019052200865001" target="_blank"&gt;Verified by Public Record&lt;/a&gt;</t>
  </si>
  <si>
    <t>&lt;a href="http://a836-acris.nyc.gov/DS/DocumentSearch/DocumentDetail?doc_id=2019030700238001" target="_blank"&gt;Public Record Only&lt;/a&gt;</t>
  </si>
  <si>
    <t>&lt;a href="http://a836-acris.nyc.gov/DS/DocumentSearch/DocumentDetail?doc_id=2019031200901002" target="_blank"&gt;Public Record Only&lt;/a&gt;</t>
  </si>
  <si>
    <t>&lt;a href="http://a836-acris.nyc.gov/DS/DocumentSearch/DocumentDetail?doc_id=2019031200975003" target="_blank"&gt;Public Record Only&lt;/a&gt;</t>
  </si>
  <si>
    <t>&lt;a href="http://a836-acris.nyc.gov/DS/DocumentSearch/DocumentDetail?doc_id=2019031801143001" target="_blank"&gt;Public Record Only&lt;/a&gt;</t>
  </si>
  <si>
    <t>&lt;a href="http://a836-acris.nyc.gov/DS/DocumentSearch/DocumentDetail?doc_id=2019032601324001" target="_blank"&gt;Public Record Only&lt;/a&gt;</t>
  </si>
  <si>
    <t>&lt;a href="http://a836-acris.nyc.gov/DS/DocumentSearch/DocumentDetail?doc_id=2019030600302001" target="_blank"&gt;Public Record Only&lt;/a&gt;</t>
  </si>
  <si>
    <t>&lt;a href="http://a836-acris.nyc.gov/DS/DocumentSearch/DocumentDetail?doc_id=2019040400296001" target="_blank"&gt;Public Record Only&lt;/a&gt;</t>
  </si>
  <si>
    <t>&lt;a href="http://a836-acris.nyc.gov/DS/DocumentSearch/DocumentDetail?doc_id=2019041000327003" target="_blank"&gt;Public Record Only&lt;/a&gt;</t>
  </si>
  <si>
    <t>&lt;a href="http://a836-acris.nyc.gov/DS/DocumentSearch/DocumentDetail?doc_id=2019041100642001" target="_blank"&gt;Public Record Only&lt;/a&gt;</t>
  </si>
  <si>
    <t>&lt;a href="http://a836-acris.nyc.gov/DS/DocumentSearch/DocumentDetail?doc_id=2019042200398003" target="_blank"&gt;Public Record Only&lt;/a&gt;</t>
  </si>
  <si>
    <t>&lt;a href="http://a836-acris.nyc.gov/DS/DocumentSearch/DocumentDetail?doc_id=2019042300974002" target="_blank"&gt;Public Record Only&lt;/a&gt;</t>
  </si>
  <si>
    <t>&lt;a href="http://a836-acris.nyc.gov/DS/DocumentSearch/DocumentDetail?doc_id=2019053000882002" target="_blank"&gt;Public Record Only&lt;/a&gt;</t>
  </si>
  <si>
    <t>&lt;a href="http://a836-acris.nyc.gov/DS/DocumentSearch/DocumentDetail?doc_id=2019042900234001" target="_blank"&gt;Public Record Only&lt;/a&gt;</t>
  </si>
  <si>
    <t>&lt;a href="http://a836-acris.nyc.gov/DS/DocumentSearch/DocumentDetail?doc_id=2019050701181001" target="_blank"&gt;Public Record Only&lt;/a&gt;</t>
  </si>
  <si>
    <t>&lt;a href="http://a836-acris.nyc.gov/DS/DocumentSearch/DocumentDetail?doc_id=2019052000826001" target="_blank"&gt;Public Record Only&lt;/a&gt;</t>
  </si>
  <si>
    <t>&lt;a href="http://a836-acris.nyc.gov/DS/DocumentSearch/DocumentDetail?doc_id=2019052901037002" target="_blank"&gt;Public Record Only&lt;/a&gt;</t>
  </si>
  <si>
    <t>&lt;a href="http://a836-acris.nyc.gov/DS/DocumentSearch/DocumentDetail?doc_id=2019052900231002" target="_blank"&gt;Public Record Only&lt;/a&gt;</t>
  </si>
  <si>
    <t>&lt;a href="http://a836-acris.nyc.gov/DS/DocumentSearch/DocumentDetail?doc_id=2019042200156001" target="_blank"&gt;Public Record Only&lt;/a&gt;</t>
  </si>
  <si>
    <t>&lt;a href="http://a836-acris.nyc.gov/DS/DocumentSearch/DocumentDetail?doc_id=2019060700598001" target="_blank"&gt;Public Record Only&lt;/a&gt;</t>
  </si>
  <si>
    <t>&lt;a href="http://a836-acris.nyc.gov/DS/DocumentSearch/DocumentDetail?doc_id=2019052200789002" target="_blank"&gt;Public Record Only&lt;/a&gt;</t>
  </si>
  <si>
    <t>&lt;a href="http://a836-acris.nyc.gov/DS/DocumentSearch/DocumentDetail?doc_id=2019060500447001" target="_blank"&gt;Public Record Only&lt;/a&gt;</t>
  </si>
  <si>
    <t>&lt;a href="http://a836-acris.nyc.gov/DS/DocumentSearch/DocumentDetail?doc_id=2019052000109001" target="_blank"&gt;Public Record Only&lt;/a&gt;</t>
  </si>
  <si>
    <t>&lt;a href="http://a836-acris.nyc.gov/DS/DocumentSearch/DocumentDetail?doc_id=2019052101122001" target="_blank"&gt;Public Record Only&lt;/a&gt;</t>
  </si>
  <si>
    <t>&lt;a href="http://a836-acris.nyc.gov/DS/DocumentSearch/DocumentDetail?doc_id=2019060300711002" target="_blank"&gt;Public Record Only&lt;/a&gt;</t>
  </si>
  <si>
    <t>&lt;a href="http://a836-acris.nyc.gov/DS/DocumentSearch/DocumentDetail?doc_id=2019053100939001" target="_blank"&gt;Public Record Only&lt;/a&gt;</t>
  </si>
  <si>
    <t>&lt;a href="http://a836-acris.nyc.gov/DS/DocumentSearch/DocumentDetail?doc_id=2019060300827001" target="_blank"&gt;Public Record Only&lt;/a&gt;</t>
  </si>
  <si>
    <t>&lt;a href="http://a836-acris.nyc.gov/DS/DocumentSearch/DocumentDetail?doc_id=2019053001193002" target="_blank"&gt;Public Record Only&lt;/a&gt;</t>
  </si>
  <si>
    <t>&lt;a href="http://a836-acris.nyc.gov/DS/DocumentSearch/DocumentDetail?doc_id=2016041301169001" target="_blank"&gt;Public Record Only&lt;/a&gt;</t>
  </si>
  <si>
    <t>&lt;a href="http://a836-acris.nyc.gov/DS/DocumentSearch/DocumentDetail?doc_id=2016030901062001" target="_blank"&gt;Public Record Only&lt;/a&gt;</t>
  </si>
  <si>
    <t>&lt;a href="http://a836-acris.nyc.gov/DS/DocumentSearch/DocumentDetail?doc_id=2019052800100001" target="_blank"&gt;Public Record Only&lt;/a&gt;</t>
  </si>
  <si>
    <t>&lt;a href="http://a836-acris.nyc.gov/DS/DocumentSearch/DocumentDetail?doc_id=2019050100555002" target="_blank"&gt;Public Record Only&lt;/a&gt;</t>
  </si>
  <si>
    <t>&lt;a href="http://a836-acris.nyc.gov/DS/DocumentSearch/DocumentDetail?doc_id=2018021500163001" target="_blank"&gt;Public Record Only&lt;/a&gt;</t>
  </si>
  <si>
    <t>&lt;a href="http://a836-acris.nyc.gov/DS/DocumentSearch/DocumentDetail?doc_id=2018100400018003" target="_blank"&gt;Public Record Only&lt;/a&gt;</t>
  </si>
  <si>
    <t>&lt;a href="http://a836-acris.nyc.gov/DS/DocumentSearch/DocumentDetail?doc_id=2018032200243001" target="_blank"&gt;Public Record Only&lt;/a&gt;</t>
  </si>
  <si>
    <t>&lt;a href="http://a836-acris.nyc.gov/DS/DocumentSearch/DocumentDetail?doc_id=2017071700628006" target="_blank"&gt;Public Record Only&lt;/a&gt;</t>
  </si>
  <si>
    <t>&lt;a href="http://a836-acris.nyc.gov/DS/DocumentSearch/DocumentDetail?doc_id=2017082500727001" target="_blank"&gt;Public Record Only&lt;/a&gt;</t>
  </si>
  <si>
    <t>&lt;a href="http://a836-acris.nyc.gov/DS/DocumentSearch/DocumentDetail?doc_id=2017071100843001" target="_blank"&gt;Public Record Only&lt;/a&gt;</t>
  </si>
  <si>
    <t>&lt;a href="http://a836-acris.nyc.gov/DS/DocumentSearch/DocumentDetail?doc_id=2017071200514001" target="_blank"&gt;Public Record Only&lt;/a&gt;</t>
  </si>
  <si>
    <t>&lt;a href="http://a836-acris.nyc.gov/DS/DocumentSearch/DocumentDetail?doc_id=2018083000378001" target="_blank"&gt;Public Record Only&lt;/a&gt;</t>
  </si>
  <si>
    <t>&lt;a href="http://a836-acris.nyc.gov/DS/DocumentSearch/DocumentDetail?doc_id=2018013100263001" target="_blank"&gt;Public Record Only&lt;/a&gt;</t>
  </si>
  <si>
    <t>&lt;a href="http://a836-acris.nyc.gov/DS/DocumentSearch/DocumentDetail?doc_id=2017101000584001" target="_blank"&gt;Public Record Only&lt;/a&gt;</t>
  </si>
  <si>
    <t>&lt;a href="http://a836-acris.nyc.gov/DS/DocumentSearch/DocumentDetail?doc_id=2017071400287001" target="_blank"&gt;Public Record Only&lt;/a&gt;</t>
  </si>
  <si>
    <t>&lt;a href="http://a836-acris.nyc.gov/DS/DocumentSearch/DocumentDetail?doc_id=2017073101332001" target="_blank"&gt;Public Record Only&lt;/a&gt;</t>
  </si>
  <si>
    <t>&lt;a href="http://a836-acris.nyc.gov/DS/DocumentSearch/DocumentDetail?doc_id=2019041500622006" target="_blank"&gt;Public Record Only&lt;/a&gt;</t>
  </si>
  <si>
    <t>&lt;a href="http://a836-acris.nyc.gov/DS/DocumentSearch/DocumentDetail?doc_id=2018020800074001" target="_blank"&gt;Public Record Only&lt;/a&gt;</t>
  </si>
  <si>
    <t>&lt;a href="http://a836-acris.nyc.gov/DS/DocumentSearch/DocumentDetail?doc_id=2018040300248001" target="_blank"&gt;Public Record Only&lt;/a&gt;</t>
  </si>
  <si>
    <t>&lt;a href="http://a836-acris.nyc.gov/DS/DocumentSearch/DocumentDetail?doc_id=2017072000587001" target="_blank"&gt;Public Record Only&lt;/a&gt;</t>
  </si>
  <si>
    <t>&lt;a href="http://a836-acris.nyc.gov/DS/DocumentSearch/DocumentDetail?doc_id=2017071000981004" target="_blank"&gt;Public Record Only&lt;/a&gt;</t>
  </si>
  <si>
    <t>&lt;a href="http://a836-acris.nyc.gov/DS/DocumentSearch/DocumentDetail?doc_id=2017080200010001" target="_blank"&gt;Public Record Only&lt;/a&gt;</t>
  </si>
  <si>
    <t>&lt;a href="http://a836-acris.nyc.gov/DS/DocumentSearch/DocumentDetail?doc_id=2017080200012001" target="_blank"&gt;Public Record Only&lt;/a&gt;</t>
  </si>
  <si>
    <t>&lt;a href="http://a836-acris.nyc.gov/DS/DocumentSearch/DocumentDetail?doc_id=2018052500397001" target="_blank"&gt;Public Record Only&lt;/a&gt;</t>
  </si>
  <si>
    <t>&lt;a href="http://a836-acris.nyc.gov/DS/DocumentSearch/DocumentDetail?doc_id=2018022700046001" target="_blank"&gt;Public Record Only&lt;/a&gt;</t>
  </si>
  <si>
    <t>&lt;a href="http://a836-acris.nyc.gov/DS/DocumentSearch/DocumentDetail?doc_id=2018020601228001" target="_blank"&gt;Public Record Only&lt;/a&gt;</t>
  </si>
  <si>
    <t>&lt;a href="http://a836-acris.nyc.gov/DS/DocumentSearch/DocumentDetail?doc_id=2018072500942001" target="_blank"&gt;Public Record Only&lt;/a&gt;</t>
  </si>
  <si>
    <t>&lt;a href="http://a836-acris.nyc.gov/DS/DocumentSearch/DocumentDetail?doc_id=2017091901071001" target="_blank"&gt;Public Record Only&lt;/a&gt;</t>
  </si>
  <si>
    <t>&lt;a href="http://a836-acris.nyc.gov/DS/DocumentSearch/DocumentDetail?doc_id=2017081400143001" target="_blank"&gt;Public Record Only&lt;/a&gt;</t>
  </si>
  <si>
    <t>&lt;a href="http://a836-acris.nyc.gov/DS/DocumentSearch/DocumentDetail?doc_id=2017121200589001" target="_blank"&gt;Public Record Only&lt;/a&gt;</t>
  </si>
  <si>
    <t>&lt;a href="http://a836-acris.nyc.gov/DS/DocumentSearch/DocumentDetail?doc_id=2018110200212001" target="_blank"&gt;Public Record Only&lt;/a&gt;</t>
  </si>
  <si>
    <t>&lt;a href="http://a836-acris.nyc.gov/DS/DocumentSearch/DocumentDetail?doc_id=2015031600817001" target="_blank"&gt;Public Record Only&lt;/a&gt;</t>
  </si>
  <si>
    <t>&lt;a href="http://a836-acris.nyc.gov/DS/DocumentSearch/DocumentDetail?doc_id=2015070701418001" target="_blank"&gt;Public Record Only&lt;/a&gt;</t>
  </si>
  <si>
    <t>&lt;a href="http://a836-acris.nyc.gov/DS/DocumentSearch/DocumentDetail?doc_id=2015030600795001" target="_blank"&gt;Public Record Only&lt;/a&gt;</t>
  </si>
  <si>
    <t>&lt;a href="http://a836-acris.nyc.gov/DS/DocumentSearch/DocumentDetail?doc_id=2014122300232001" target="_blank"&gt;Public Record Only&lt;/a&gt;</t>
  </si>
  <si>
    <t>&lt;a href="http://a836-acris.nyc.gov/DS/DocumentSearch/DocumentDetail?doc_id=2015041300414001" target="_blank"&gt;Public Record Only&lt;/a&gt;</t>
  </si>
  <si>
    <t>&lt;a href="http://a836-acris.nyc.gov/DS/DocumentSearch/DocumentDetail?doc_id=2015091600759001" target="_blank"&gt;Public Record Only&lt;/a&gt;</t>
  </si>
  <si>
    <t>&lt;a href="http://a836-acris.nyc.gov/DS/DocumentSearch/DocumentDetail?doc_id=2014121700246001" target="_blank"&gt;Public Record Only&lt;/a&gt;</t>
  </si>
  <si>
    <t>&lt;a href="http://a836-acris.nyc.gov/DS/DocumentSearch/DocumentDetail?doc_id=2015022501112001" target="_blank"&gt;Public Record Only&lt;/a&gt;</t>
  </si>
  <si>
    <t>&lt;a href="http://a836-acris.nyc.gov/DS/DocumentSearch/DocumentDetail?doc_id=2015040900246001" target="_blank"&gt;Public Record Only&lt;/a&gt;</t>
  </si>
  <si>
    <t>&lt;a href="http://a836-acris.nyc.gov/DS/DocumentSearch/DocumentDetail?doc_id=2015011201114001" target="_blank"&gt;Public Record Only&lt;/a&gt;</t>
  </si>
  <si>
    <t>&lt;a href="http://a836-acris.nyc.gov/DS/DocumentSearch/DocumentDetail?doc_id=2015011200692001" target="_blank"&gt;Public Record Only&lt;/a&gt;</t>
  </si>
  <si>
    <t>&lt;a href="http://a836-acris.nyc.gov/DS/DocumentSearch/DocumentDetail?doc_id=2014122600460001" target="_blank"&gt;Public Record Only&lt;/a&gt;</t>
  </si>
  <si>
    <t>&lt;a href="http://a836-acris.nyc.gov/DS/DocumentSearch/DocumentDetail?doc_id=2015030601018001" target="_blank"&gt;Public Record Only&lt;/a&gt;</t>
  </si>
  <si>
    <t>&lt;a href="http://a836-acris.nyc.gov/DS/DocumentSearch/DocumentDetail?doc_id=2016020100975001" target="_blank"&gt;Public Record Only&lt;/a&gt;</t>
  </si>
  <si>
    <t>&lt;a href="http://a836-acris.nyc.gov/DS/DocumentSearch/DocumentDetail?doc_id=2017092201110003" target="_blank"&gt;Public Record Only&lt;/a&gt;</t>
  </si>
  <si>
    <t>&lt;a href="http://a836-acris.nyc.gov/DS/DocumentSearch/DocumentDetail?doc_id=2017062600199001" target="_blank"&gt;Public Record Only&lt;/a&gt;</t>
  </si>
  <si>
    <t>&lt;a href="http://a836-acris.nyc.gov/DS/DocumentSearch/DocumentDetail?doc_id=2017092600600001" target="_blank"&gt;Verified by Public Record&lt;/a&gt;</t>
  </si>
  <si>
    <t>&lt;a href="http://a836-acris.nyc.gov/DS/DocumentSearch/DocumentDetail?doc_id=2016112200779001" target="_blank"&gt;Public Record Only&lt;/a&gt;</t>
  </si>
  <si>
    <t>&lt;a href="http://a836-acris.nyc.gov/DS/DocumentSearch/DocumentDetail?doc_id=2016091201289002" target="_blank"&gt;Public Record Only&lt;/a&gt;</t>
  </si>
  <si>
    <t>&lt;a href="http://a836-acris.nyc.gov/DS/DocumentSearch/DocumentDetail?doc_id=2017101000266001" target="_blank"&gt;Public Record Only&lt;/a&gt;</t>
  </si>
  <si>
    <t>&lt;a href="http://a836-acris.nyc.gov/DS/DocumentSearch/DocumentDetail?doc_id=2016101401305001" target="_blank"&gt;Public Record Only&lt;/a&gt;</t>
  </si>
  <si>
    <t>&lt;a href="http://a836-acris.nyc.gov/DS/DocumentSearch/DocumentDetail?doc_id=2017020800495002" target="_blank"&gt;Public Record Only&lt;/a&gt;</t>
  </si>
  <si>
    <t>&lt;a href="http://a836-acris.nyc.gov/DS/DocumentSearch/DocumentDetail?doc_id=2017012600531001" target="_blank"&gt;Public Record Only&lt;/a&gt;</t>
  </si>
  <si>
    <t>&lt;a href="http://a836-acris.nyc.gov/DS/DocumentSearch/DocumentDetail?doc_id=2017022701616001" target="_blank"&gt;Public Record Only&lt;/a&gt;</t>
  </si>
  <si>
    <t>&lt;a href="http://a836-acris.nyc.gov/DS/DocumentSearch/DocumentDetail?doc_id=2017040200012001" target="_blank"&gt;Public Record Only&lt;/a&gt;</t>
  </si>
  <si>
    <t>&lt;a href="http://a836-acris.nyc.gov/DS/DocumentSearch/DocumentDetail?doc_id=2017042700789001" target="_blank"&gt;Public Record Only&lt;/a&gt;</t>
  </si>
  <si>
    <t>&lt;a href="http://a836-acris.nyc.gov/DS/DocumentSearch/DocumentDetail?doc_id=2017061500077001" target="_blank"&gt;Public Record Only&lt;/a&gt;</t>
  </si>
  <si>
    <t>&lt;a href="http://a836-acris.nyc.gov/DS/DocumentSearch/DocumentDetail?doc_id=2017021501123001" target="_blank"&gt;Public Record Only&lt;/a&gt;</t>
  </si>
  <si>
    <t>&lt;a href="http://a836-acris.nyc.gov/DS/DocumentSearch/DocumentDetail?doc_id=2015071000083001" target="_blank"&gt;Public Record Only&lt;/a&gt;</t>
  </si>
  <si>
    <t>&lt;a href="http://a836-acris.nyc.gov/DS/DocumentSearch/DocumentDetail?doc_id=2015071700935002" target="_blank"&gt;Public Record Only&lt;/a&gt;</t>
  </si>
  <si>
    <t>&lt;a href="http://a836-acris.nyc.gov/DS/DocumentSearch/DocumentDetail?doc_id=2015071000847001" target="_blank"&gt;Public Record Only&lt;/a&gt;</t>
  </si>
  <si>
    <t>&lt;a href="http://a836-acris.nyc.gov/DS/DocumentSearch/DocumentDetail?doc_id=2015070800403001" target="_blank"&gt;Public Record Only&lt;/a&gt;</t>
  </si>
  <si>
    <t>&lt;a href="http://a836-acris.nyc.gov/DS/DocumentSearch/DocumentDetail?doc_id=2015072300387007" target="_blank"&gt;Public Record Only&lt;/a&gt;</t>
  </si>
  <si>
    <t>&lt;a href="http://a836-acris.nyc.gov/DS/DocumentSearch/DocumentDetail?doc_id=2018061100132003" target="_blank"&gt;Public Record Only&lt;/a&gt;</t>
  </si>
  <si>
    <t>&lt;a href="http://a836-acris.nyc.gov/DS/DocumentSearch/DocumentDetail?doc_id=2015071300080001" target="_blank"&gt;Public Record Only&lt;/a&gt;</t>
  </si>
  <si>
    <t>&lt;a href="http://a836-acris.nyc.gov/DS/DocumentSearch/DocumentDetail?doc_id=2015070801122003" target="_blank"&gt;Public Record Only&lt;/a&gt;</t>
  </si>
  <si>
    <t>&lt;a href="http://a836-acris.nyc.gov/DS/DocumentSearch/DocumentDetail?doc_id=2015070900401003" target="_blank"&gt;Public Record Only&lt;/a&gt;</t>
  </si>
  <si>
    <t>&lt;a href="http://a836-acris.nyc.gov/DS/DocumentSearch/DocumentDetail?doc_id=2015101501547001" target="_blank"&gt;Public Record Only&lt;/a&gt;</t>
  </si>
  <si>
    <t>&lt;a href="http://a836-acris.nyc.gov/DS/DocumentSearch/DocumentDetail?doc_id=2015071300030003" target="_blank"&gt;Public Record Only&lt;/a&gt;</t>
  </si>
  <si>
    <t>&lt;a href="http://a836-acris.nyc.gov/DS/DocumentSearch/DocumentDetail?doc_id=2015071300580001" target="_blank"&gt;Public Record Only&lt;/a&gt;</t>
  </si>
  <si>
    <t>&lt;a href="http://a836-acris.nyc.gov/DS/DocumentSearch/DocumentDetail?doc_id=2016082201080001" target="_blank"&gt;Public Record Only&lt;/a&gt;</t>
  </si>
  <si>
    <t>&lt;a href="http://a836-acris.nyc.gov/DS/DocumentSearch/DocumentDetail?doc_id=2016061401795001" target="_blank"&gt;Public Record Only&lt;/a&gt;</t>
  </si>
  <si>
    <t>&lt;a href="http://a836-acris.nyc.gov/DS/DocumentSearch/DocumentDetail?doc_id=2017032100439003" target="_blank"&gt;Public Record Only&lt;/a&gt;</t>
  </si>
  <si>
    <t>&lt;a href="http://a836-acris.nyc.gov/DS/DocumentSearch/DocumentDetail?doc_id=2017121100448001" target="_blank"&gt;Public Record Only&lt;/a&gt;</t>
  </si>
  <si>
    <t>&lt;a href="http://a836-acris.nyc.gov/DS/DocumentSearch/DocumentDetail?doc_id=2018010200378002" target="_blank"&gt;Public Record Only&lt;/a&gt;</t>
  </si>
  <si>
    <t>&lt;a href="http://a836-acris.nyc.gov/DS/DocumentSearch/DocumentDetail?doc_id=2018011700254001" target="_blank"&gt;Public Record Only&lt;/a&gt;</t>
  </si>
  <si>
    <t>&lt;a href="http://a836-acris.nyc.gov/DS/DocumentSearch/DocumentDetail?doc_id=2018030501170001" target="_blank"&gt;Public Record Only&lt;/a&gt;</t>
  </si>
  <si>
    <t>&lt;a href="http://a836-acris.nyc.gov/DS/DocumentSearch/DocumentDetail?doc_id=2017122800496001" target="_blank"&gt;Public Record Only&lt;/a&gt;</t>
  </si>
  <si>
    <t>&lt;a href="http://a836-acris.nyc.gov/DS/DocumentSearch/DocumentDetail?doc_id=2017121401129001" target="_blank"&gt;Public Record Only&lt;/a&gt;</t>
  </si>
  <si>
    <t>&lt;a href="http://a836-acris.nyc.gov/DS/DocumentSearch/DocumentDetail?doc_id=2017122101166001" target="_blank"&gt;Public Record Only&lt;/a&gt;</t>
  </si>
  <si>
    <t>&lt;a href="http://a836-acris.nyc.gov/DS/DocumentSearch/DocumentDetail?doc_id=2018011700319001" target="_blank"&gt;Public Record Only&lt;/a&gt;</t>
  </si>
  <si>
    <t>&lt;a href="http://a836-acris.nyc.gov/DS/DocumentSearch/DocumentDetail?doc_id=2017122100864001" target="_blank"&gt;Public Record Only&lt;/a&gt;</t>
  </si>
  <si>
    <t>&lt;a href="http://a836-acris.nyc.gov/DS/DocumentSearch/DocumentDetail?doc_id=2017120600711001" target="_blank"&gt;Public Record Only&lt;/a&gt;</t>
  </si>
  <si>
    <t>&lt;a href="http://a836-acris.nyc.gov/DS/DocumentSearch/DocumentDetail?doc_id=2017122100491001" target="_blank"&gt;Public Record Only&lt;/a&gt;</t>
  </si>
  <si>
    <t>&lt;a href="http://a836-acris.nyc.gov/DS/DocumentSearch/DocumentDetail?doc_id=2018011700530001" target="_blank"&gt;Public Record Only&lt;/a&gt;</t>
  </si>
  <si>
    <t>&lt;a href="http://a836-acris.nyc.gov/DS/DocumentSearch/DocumentDetail?doc_id=2017122101069001" target="_blank"&gt;Public Record Only&lt;/a&gt;</t>
  </si>
  <si>
    <t>&lt;a href="http://a836-acris.nyc.gov/DS/DocumentSearch/DocumentDetail?doc_id=2018021500992001" target="_blank"&gt;Public Record Only&lt;/a&gt;</t>
  </si>
  <si>
    <t>&lt;a href="http://a836-acris.nyc.gov/DS/DocumentSearch/DocumentDetail?doc_id=2017120800820001" target="_blank"&gt;Public Record Only&lt;/a&gt;</t>
  </si>
  <si>
    <t>&lt;a href="http://a836-acris.nyc.gov/DS/DocumentSearch/DocumentDetail?doc_id=2017122701193001" target="_blank"&gt;Public Record Only&lt;/a&gt;</t>
  </si>
  <si>
    <t>&lt;a href="http://a836-acris.nyc.gov/DS/DocumentSearch/DocumentDetail?doc_id=2018012401208001" target="_blank"&gt;Public Record Only&lt;/a&gt;</t>
  </si>
  <si>
    <t>&lt;a href="http://a836-acris.nyc.gov/DS/DocumentSearch/DocumentDetail?doc_id=2017100201409002" target="_blank"&gt;Public Record Only&lt;/a&gt;</t>
  </si>
  <si>
    <t>&lt;a href="http://a836-acris.nyc.gov/DS/DocumentSearch/DocumentDetail?doc_id=2017122200676001" target="_blank"&gt;Public Record Only&lt;/a&gt;</t>
  </si>
  <si>
    <t>&lt;a href="http://a836-acris.nyc.gov/DS/DocumentSearch/DocumentDetail?doc_id=2018010500272001" target="_blank"&gt;Public Record Only&lt;/a&gt;</t>
  </si>
  <si>
    <t>&lt;a href="http://a836-acris.nyc.gov/DS/DocumentSearch/DocumentDetail?doc_id=2017122100706001" target="_blank"&gt;Public Record Only&lt;/a&gt;</t>
  </si>
  <si>
    <t>&lt;a href="http://a836-acris.nyc.gov/DS/DocumentSearch/DocumentDetail?doc_id=2018011600521001" target="_blank"&gt;Public Record Only&lt;/a&gt;</t>
  </si>
  <si>
    <t>&lt;a href="http://a836-acris.nyc.gov/DS/DocumentSearch/DocumentDetail?doc_id=2017072701228001" target="_blank"&gt;Public Record Only&lt;/a&gt;</t>
  </si>
  <si>
    <t>&lt;a href="http://a836-acris.nyc.gov/DS/DocumentSearch/DocumentDetail?doc_id=2018040200304001" target="_blank"&gt;Public Record Only&lt;/a&gt;</t>
  </si>
  <si>
    <t>&lt;a href="http://a836-acris.nyc.gov/DS/DocumentSearch/DocumentDetail?doc_id=2018032100261001" target="_blank"&gt;Public Record Only&lt;/a&gt;</t>
  </si>
  <si>
    <t>&lt;a href="http://a836-acris.nyc.gov/DS/DocumentSearch/DocumentDetail?doc_id=2018030500554001" target="_blank"&gt;Public Record Only&lt;/a&gt;</t>
  </si>
  <si>
    <t>&lt;a href="http://a836-acris.nyc.gov/DS/DocumentSearch/DocumentDetail?doc_id=2018052300796001" target="_blank"&gt;Public Record Only&lt;/a&gt;</t>
  </si>
  <si>
    <t>&lt;a href="http://a836-acris.nyc.gov/DS/DocumentSearch/DocumentDetail?doc_id=2016041301298001" target="_blank"&gt;Public Record Only&lt;/a&gt;</t>
  </si>
  <si>
    <t>&lt;a href="http://a836-acris.nyc.gov/DS/DocumentSearch/DocumentDetail?doc_id=2016022600974001" target="_blank"&gt;Public Record Only&lt;/a&gt;</t>
  </si>
  <si>
    <t>&lt;a href="http://a836-acris.nyc.gov/DS/DocumentSearch/DocumentDetail?doc_id=2016032100818001" target="_blank"&gt;Public Record Only&lt;/a&gt;</t>
  </si>
  <si>
    <t>&lt;a href="http://a836-acris.nyc.gov/DS/DocumentSearch/DocumentDetail?doc_id=2016021700562001" target="_blank"&gt;Public Record Only&lt;/a&gt;</t>
  </si>
  <si>
    <t>&lt;a href="http://a836-acris.nyc.gov/DS/DocumentSearch/DocumentDetail?doc_id=2016032900346001" target="_blank"&gt;Public Record Only&lt;/a&gt;</t>
  </si>
  <si>
    <t>&lt;a href="http://a836-acris.nyc.gov/DS/DocumentSearch/DocumentDetail?doc_id=2016032900007001" target="_blank"&gt;Public Record Only&lt;/a&gt;</t>
  </si>
  <si>
    <t>&lt;a href="http://a836-acris.nyc.gov/DS/DocumentSearch/DocumentDetail?doc_id=2016032900503001" target="_blank"&gt;Public Record Only&lt;/a&gt;</t>
  </si>
  <si>
    <t>&lt;a href="http://a836-acris.nyc.gov/DS/DocumentSearch/DocumentDetail?doc_id=2016021900413001" target="_blank"&gt;Public Record Only&lt;/a&gt;</t>
  </si>
  <si>
    <t>&lt;a href="http://a836-acris.nyc.gov/DS/DocumentSearch/DocumentDetail?doc_id=2016021601184007" target="_blank"&gt;Public Record Only&lt;/a&gt;</t>
  </si>
  <si>
    <t>&lt;a href="http://a836-acris.nyc.gov/DS/DocumentSearch/DocumentDetail?doc_id=2016021900599001" target="_blank"&gt;Public Record Only&lt;/a&gt;</t>
  </si>
  <si>
    <t>&lt;a href="http://a836-acris.nyc.gov/DS/DocumentSearch/DocumentDetail?doc_id=2016031000248001" target="_blank"&gt;Public Record Only&lt;/a&gt;</t>
  </si>
  <si>
    <t>&lt;a href="http://a836-acris.nyc.gov/DS/DocumentSearch/DocumentDetail?doc_id=2016030700460001" target="_blank"&gt;Public Record Only&lt;/a&gt;</t>
  </si>
  <si>
    <t>&lt;a href="http://a836-acris.nyc.gov/DS/DocumentSearch/DocumentDetail?doc_id=2016031601244002" target="_blank"&gt;Public Record Only&lt;/a&gt;</t>
  </si>
  <si>
    <t>&lt;a href="http://a836-acris.nyc.gov/DS/DocumentSearch/DocumentDetail?doc_id=2017111600437001" target="_blank"&gt;Public Record Only&lt;/a&gt;</t>
  </si>
  <si>
    <t>&lt;a href="http://a836-acris.nyc.gov/DS/DocumentSearch/DocumentDetail?doc_id=2016031000119001" target="_blank"&gt;Public Record Only&lt;/a&gt;</t>
  </si>
  <si>
    <t>&lt;a href="http://a836-acris.nyc.gov/DS/DocumentSearch/DocumentDetail?doc_id=2016042100398001" target="_blank"&gt;Public Record Only&lt;/a&gt;</t>
  </si>
  <si>
    <t>&lt;a href="http://a836-acris.nyc.gov/DS/DocumentSearch/DocumentDetail?doc_id=2016050400966001" target="_blank"&gt;Public Record Only&lt;/a&gt;</t>
  </si>
  <si>
    <t>&lt;a href="http://a836-acris.nyc.gov/DS/DocumentSearch/DocumentDetail?doc_id=2017091100405001" target="_blank"&gt;Public Record Only&lt;/a&gt;</t>
  </si>
  <si>
    <t>&lt;a href="http://a836-acris.nyc.gov/DS/DocumentSearch/DocumentDetail?doc_id=2017082200954001" target="_blank"&gt;Public Record Only&lt;/a&gt;</t>
  </si>
  <si>
    <t>&lt;a href="http://a836-acris.nyc.gov/DS/DocumentSearch/DocumentDetail?doc_id=2017090501077001" target="_blank"&gt;Public Record Only&lt;/a&gt;</t>
  </si>
  <si>
    <t>&lt;a href="http://a836-acris.nyc.gov/DS/DocumentSearch/DocumentDetail?doc_id=2017091100025001" target="_blank"&gt;Public Record Only&lt;/a&gt;</t>
  </si>
  <si>
    <t>&lt;a href="http://a836-acris.nyc.gov/DS/DocumentSearch/DocumentDetail?doc_id=2016122700372002" target="_blank"&gt;Public Record Only&lt;/a&gt;</t>
  </si>
  <si>
    <t>&lt;a href="http://a836-acris.nyc.gov/DS/DocumentSearch/DocumentDetail?doc_id=2017121300769001" target="_blank"&gt;Verified by Public Record&lt;/a&gt;</t>
  </si>
  <si>
    <t>&lt;a href="http://a836-acris.nyc.gov/DS/DocumentSearch/DocumentDetail?doc_id=2015091101198002" target="_blank"&gt;Verified by Public Record&lt;/a&gt;</t>
  </si>
  <si>
    <t>&lt;a href="http://a836-acris.nyc.gov/DS/DocumentSearch/DocumentDetail?doc_id=2018053100404001" target="_blank"&gt;Public Record Only&lt;/a&gt;</t>
  </si>
  <si>
    <t>&lt;a href="http://a836-acris.nyc.gov/DS/DocumentSearch/DocumentDetail?doc_id=2017071400059001" target="_blank"&gt;Public Record Only&lt;/a&gt;</t>
  </si>
  <si>
    <t>&lt;a href="http://a836-acris.nyc.gov/DS/DocumentSearch/DocumentDetail?doc_id=2017072100892002" target="_blank"&gt;Public Record Only&lt;/a&gt;</t>
  </si>
  <si>
    <t>&lt;a href="http://a836-acris.nyc.gov/DS/DocumentSearch/DocumentDetail?doc_id=2017080300257001" target="_blank"&gt;Public Record Only&lt;/a&gt;</t>
  </si>
  <si>
    <t>&lt;a href="http://a836-acris.nyc.gov/DS/DocumentSearch/DocumentDetail?doc_id=2017072600585001" target="_blank"&gt;Public Record Only&lt;/a&gt;</t>
  </si>
  <si>
    <t>&lt;a href="http://a836-acris.nyc.gov/DS/DocumentSearch/DocumentDetail?doc_id=2017072700295001" target="_blank"&gt;Public Record Only&lt;/a&gt;</t>
  </si>
  <si>
    <t>&lt;a href="http://a836-acris.nyc.gov/DS/DocumentSearch/DocumentDetail?doc_id=2017081500581003" target="_blank"&gt;Public Record Only&lt;/a&gt;</t>
  </si>
  <si>
    <t>&lt;a href="http://a836-acris.nyc.gov/DS/DocumentSearch/DocumentDetail?doc_id=2018031000013001" target="_blank"&gt;Public Record Only&lt;/a&gt;</t>
  </si>
  <si>
    <t>&lt;a href="http://a836-acris.nyc.gov/DS/DocumentSearch/DocumentDetail?doc_id=2017070501139001" target="_blank"&gt;Public Record Only&lt;/a&gt;</t>
  </si>
  <si>
    <t>&lt;a href="http://a836-acris.nyc.gov/DS/DocumentSearch/DocumentDetail?doc_id=2017072600866003" target="_blank"&gt;Public Record Only&lt;/a&gt;</t>
  </si>
  <si>
    <t>&lt;a href="http://a836-acris.nyc.gov/DS/DocumentSearch/DocumentDetail?doc_id=2017072400468001" target="_blank"&gt;Public Record Only&lt;/a&gt;</t>
  </si>
  <si>
    <t>&lt;a href="http://a836-acris.nyc.gov/DS/DocumentSearch/DocumentDetail?doc_id=2017072700607001" target="_blank"&gt;Public Record Only&lt;/a&gt;</t>
  </si>
  <si>
    <t>&lt;a href="http://a836-acris.nyc.gov/DS/DocumentSearch/DocumentDetail?doc_id=2016050900011001" target="_blank"&gt;Public Record Only&lt;/a&gt;</t>
  </si>
  <si>
    <t>&lt;a href="http://a836-acris.nyc.gov/DS/DocumentSearch/DocumentDetail?doc_id=2015111300038001" target="_blank"&gt;Public Record Only&lt;/a&gt;</t>
  </si>
  <si>
    <t>&lt;a href="http://a836-acris.nyc.gov/DS/DocumentSearch/DocumentDetail?doc_id=2016040400653001" target="_blank"&gt;Public Record Only&lt;/a&gt;</t>
  </si>
  <si>
    <t>&lt;a href="http://a836-acris.nyc.gov/DS/DocumentSearch/DocumentDetail?doc_id=2016070701439001" target="_blank"&gt;Public Record Only&lt;/a&gt;</t>
  </si>
  <si>
    <t>&lt;a href="http://a836-acris.nyc.gov/DS/DocumentSearch/DocumentDetail?doc_id=2015113000803001" target="_blank"&gt;Public Record Only&lt;/a&gt;</t>
  </si>
  <si>
    <t>&lt;a href="http://a836-acris.nyc.gov/DS/DocumentSearch/DocumentDetail?doc_id=2017022800714001" target="_blank"&gt;Public Record Only&lt;/a&gt;</t>
  </si>
  <si>
    <t>&lt;a href="http://a836-acris.nyc.gov/DS/DocumentSearch/DocumentDetail?doc_id=2016031000552001" target="_blank"&gt;Public Record Only&lt;/a&gt;</t>
  </si>
  <si>
    <t>&lt;a href="http://a836-acris.nyc.gov/DS/DocumentSearch/DocumentDetail?doc_id=2015120100501001" target="_blank"&gt;Public Record Only&lt;/a&gt;</t>
  </si>
  <si>
    <t>&lt;a href="http://a836-acris.nyc.gov/DS/DocumentSearch/DocumentDetail?doc_id=2015080900032001" target="_blank"&gt;Public Record Only&lt;/a&gt;</t>
  </si>
  <si>
    <t>&lt;a href="http://a836-acris.nyc.gov/DS/DocumentSearch/DocumentDetail?doc_id=2015072901397001" target="_blank"&gt;Public Record Only&lt;/a&gt;</t>
  </si>
  <si>
    <t>&lt;a href="http://a836-acris.nyc.gov/DS/DocumentSearch/DocumentDetail?doc_id=2016090900457001" target="_blank"&gt;Public Record Only&lt;/a&gt;</t>
  </si>
  <si>
    <t>&lt;a href="http://a836-acris.nyc.gov/DS/DocumentSearch/DocumentDetail?doc_id=2015102201030001" target="_blank"&gt;Public Record Only&lt;/a&gt;</t>
  </si>
  <si>
    <t>&lt;a href="http://a836-acris.nyc.gov/DS/DocumentSearch/DocumentDetail?doc_id=2017062800596001" target="_blank"&gt;Public Record Only&lt;/a&gt;</t>
  </si>
  <si>
    <t>&lt;a href="http://a836-acris.nyc.gov/DS/DocumentSearch/DocumentDetail?doc_id=2015111701236001" target="_blank"&gt;Public Record Only&lt;/a&gt;</t>
  </si>
  <si>
    <t>&lt;a href="http://a836-acris.nyc.gov/DS/DocumentSearch/DocumentDetail?doc_id=2017033100988001" target="_blank"&gt;Public Record Only&lt;/a&gt;</t>
  </si>
  <si>
    <t>&lt;a href="http://a836-acris.nyc.gov/DS/DocumentSearch/DocumentDetail?doc_id=2015080900031001" target="_blank"&gt;Public Record Only&lt;/a&gt;</t>
  </si>
  <si>
    <t>&lt;a href="http://a836-acris.nyc.gov/DS/DocumentSearch/DocumentDetail?doc_id=2015100800164001" target="_blank"&gt;Public Record Only&lt;/a&gt;</t>
  </si>
  <si>
    <t>&lt;a href="http://a836-acris.nyc.gov/DS/DocumentSearch/DocumentDetail?doc_id=2015111800989001" target="_blank"&gt;Public Record Only&lt;/a&gt;</t>
  </si>
  <si>
    <t>&lt;a href="http://a836-acris.nyc.gov/DS/DocumentSearch/DocumentDetail?doc_id=2017062701528001" target="_blank"&gt;Public Record Only&lt;/a&gt;</t>
  </si>
  <si>
    <t>&lt;a href="http://a836-acris.nyc.gov/DS/DocumentSearch/DocumentDetail?doc_id=2016042701007001" target="_blank"&gt;Public Record Only&lt;/a&gt;</t>
  </si>
  <si>
    <t>&lt;a href="http://a836-acris.nyc.gov/DS/DocumentSearch/DocumentDetail?doc_id=2015113000779001" target="_blank"&gt;Public Record Only&lt;/a&gt;</t>
  </si>
  <si>
    <t>&lt;a href="http://a836-acris.nyc.gov/DS/DocumentSearch/DocumentDetail?doc_id=2016030300999001" target="_blank"&gt;Public Record Only&lt;/a&gt;</t>
  </si>
  <si>
    <t>&lt;a href="http://a836-acris.nyc.gov/DS/DocumentSearch/DocumentDetail?doc_id=2017033100902001" target="_blank"&gt;Public Record Only&lt;/a&gt;</t>
  </si>
  <si>
    <t>&lt;a href="http://a836-acris.nyc.gov/DS/DocumentSearch/DocumentDetail?doc_id=2015100800155001" target="_blank"&gt;Public Record Only&lt;/a&gt;</t>
  </si>
  <si>
    <t>&lt;a href="http://a836-acris.nyc.gov/DS/DocumentSearch/DocumentDetail?doc_id=2015120100388001" target="_blank"&gt;Public Record Only&lt;/a&gt;</t>
  </si>
  <si>
    <t>&lt;a href="http://a836-acris.nyc.gov/DS/DocumentSearch/DocumentDetail?doc_id=2017021700579001" target="_blank"&gt;Public Record Only&lt;/a&gt;</t>
  </si>
  <si>
    <t>&lt;a href="http://a836-acris.nyc.gov/DS/DocumentSearch/DocumentDetail?doc_id=2016120901137001" target="_blank"&gt;Public Record Only&lt;/a&gt;</t>
  </si>
  <si>
    <t>&lt;a href="http://a836-acris.nyc.gov/DS/DocumentSearch/DocumentDetail?doc_id=2015120200801001" target="_blank"&gt;Public Record Only&lt;/a&gt;</t>
  </si>
  <si>
    <t>&lt;a href="http://a836-acris.nyc.gov/DS/DocumentSearch/DocumentDetail?doc_id=2017060900147001" target="_blank"&gt;Public Record Only&lt;/a&gt;</t>
  </si>
  <si>
    <t>&lt;a href="http://a836-acris.nyc.gov/DS/DocumentSearch/DocumentDetail?doc_id=2017032400929001" target="_blank"&gt;Public Record Only&lt;/a&gt;</t>
  </si>
  <si>
    <t>&lt;a href="http://a836-acris.nyc.gov/DS/DocumentSearch/DocumentDetail?doc_id=2016051300539001" target="_blank"&gt;Public Record Only&lt;/a&gt;</t>
  </si>
  <si>
    <t>&lt;a href="http://a836-acris.nyc.gov/DS/DocumentSearch/DocumentDetail?doc_id=2015073000016001" target="_blank"&gt;Public Record Only&lt;/a&gt;</t>
  </si>
  <si>
    <t>&lt;a href="http://a836-acris.nyc.gov/DS/DocumentSearch/DocumentDetail?doc_id=2017010601393001" target="_blank"&gt;Public Record Only&lt;/a&gt;</t>
  </si>
  <si>
    <t>&lt;a href="http://a836-acris.nyc.gov/DS/DocumentSearch/DocumentDetail?doc_id=2015120300730001" target="_blank"&gt;Public Record Only&lt;/a&gt;</t>
  </si>
  <si>
    <t>&lt;a href="http://a836-acris.nyc.gov/DS/DocumentSearch/DocumentDetail?doc_id=2016072000741001" target="_blank"&gt;Public Record Only&lt;/a&gt;</t>
  </si>
  <si>
    <t>&lt;a href="http://a836-acris.nyc.gov/DS/DocumentSearch/DocumentDetail?doc_id=2016112300252001" target="_blank"&gt;Public Record Only&lt;/a&gt;</t>
  </si>
  <si>
    <t>&lt;a href="http://a836-acris.nyc.gov/DS/DocumentSearch/DocumentDetail?doc_id=2016040400673001" target="_blank"&gt;Public Record Only&lt;/a&gt;</t>
  </si>
  <si>
    <t>&lt;a href="http://a836-acris.nyc.gov/DS/DocumentSearch/DocumentDetail?doc_id=2015113000742001" target="_blank"&gt;Public Record Only&lt;/a&gt;</t>
  </si>
  <si>
    <t>&lt;a href="http://a836-acris.nyc.gov/DS/DocumentSearch/DocumentDetail?doc_id=2017071000104001" target="_blank"&gt;Public Record Only&lt;/a&gt;</t>
  </si>
  <si>
    <t>&lt;a href="http://a836-acris.nyc.gov/DS/DocumentSearch/DocumentDetail?doc_id=2016120100793001" target="_blank"&gt;Public Record Only&lt;/a&gt;</t>
  </si>
  <si>
    <t>&lt;a href="http://a836-acris.nyc.gov/DS/DocumentSearch/DocumentDetail?doc_id=2017030100510001" target="_blank"&gt;Public Record Only&lt;/a&gt;</t>
  </si>
  <si>
    <t>&lt;a href="http://a836-acris.nyc.gov/DS/DocumentSearch/DocumentDetail?doc_id=2017080101498001" target="_blank"&gt;Public Record Only&lt;/a&gt;</t>
  </si>
  <si>
    <t>&lt;a href="http://a836-acris.nyc.gov/DS/DocumentSearch/DocumentDetail?doc_id=2015072901360001" target="_blank"&gt;Public Record Only&lt;/a&gt;</t>
  </si>
  <si>
    <t>&lt;a href="http://a836-acris.nyc.gov/DS/DocumentSearch/DocumentDetail?doc_id=2015100800176001" target="_blank"&gt;Public Record Only&lt;/a&gt;</t>
  </si>
  <si>
    <t>&lt;a href="http://a836-acris.nyc.gov/DS/DocumentSearch/DocumentDetail?doc_id=2015100800793001" target="_blank"&gt;Public Record Only&lt;/a&gt;</t>
  </si>
  <si>
    <t>&lt;a href="http://a836-acris.nyc.gov/DS/DocumentSearch/DocumentDetail?doc_id=2016052700528001" target="_blank"&gt;Public Record Only&lt;/a&gt;</t>
  </si>
  <si>
    <t>&lt;a href="http://a836-acris.nyc.gov/DS/DocumentSearch/DocumentDetail?doc_id=2015121500162001" target="_blank"&gt;Public Record Only&lt;/a&gt;</t>
  </si>
  <si>
    <t>&lt;a href="http://a836-acris.nyc.gov/DS/DocumentSearch/DocumentDetail?doc_id=2015062901442001" target="_blank"&gt;Public Record Only&lt;/a&gt;</t>
  </si>
  <si>
    <t>&lt;a href="http://a836-acris.nyc.gov/DS/DocumentSearch/DocumentDetail?doc_id=2015072900152001" target="_blank"&gt;Public Record Only&lt;/a&gt;</t>
  </si>
  <si>
    <t>&lt;a href="http://a836-acris.nyc.gov/DS/DocumentSearch/DocumentDetail?doc_id=2015072900160001" target="_blank"&gt;Public Record Only&lt;/a&gt;</t>
  </si>
  <si>
    <t>&lt;a href="http://a836-acris.nyc.gov/DS/DocumentSearch/DocumentDetail?doc_id=2015072900142001" target="_blank"&gt;Public Record Only&lt;/a&gt;</t>
  </si>
  <si>
    <t>&lt;a href="http://a836-acris.nyc.gov/DS/DocumentSearch/DocumentDetail?doc_id=2015081001523001" target="_blank"&gt;Public Record Only&lt;/a&gt;</t>
  </si>
  <si>
    <t>&lt;a href="http://a836-acris.nyc.gov/DS/DocumentSearch/DocumentDetail?doc_id=2015081001520001" target="_blank"&gt;Public Record Only&lt;/a&gt;</t>
  </si>
  <si>
    <t>&lt;a href="http://a836-acris.nyc.gov/DS/DocumentSearch/DocumentDetail?doc_id=2015081001521001" target="_blank"&gt;Public Record Only&lt;/a&gt;</t>
  </si>
  <si>
    <t>&lt;a href="http://a836-acris.nyc.gov/DS/DocumentSearch/DocumentDetail?doc_id=2015072900258001" target="_blank"&gt;Public Record Only&lt;/a&gt;</t>
  </si>
  <si>
    <t>&lt;a href="http://a836-acris.nyc.gov/DS/DocumentSearch/DocumentDetail?doc_id=2015072900194001" target="_blank"&gt;Public Record Only&lt;/a&gt;</t>
  </si>
  <si>
    <t>&lt;a href="http://a836-acris.nyc.gov/DS/DocumentSearch/DocumentDetail?doc_id=2015072900251001" target="_blank"&gt;Public Record Only&lt;/a&gt;</t>
  </si>
  <si>
    <t>&lt;a href="http://a836-acris.nyc.gov/DS/DocumentSearch/DocumentDetail?doc_id=2015072900206001" target="_blank"&gt;Public Record Only&lt;/a&gt;</t>
  </si>
  <si>
    <t>&lt;a href="http://a836-acris.nyc.gov/DS/DocumentSearch/DocumentDetail?doc_id=2015072900183001" target="_blank"&gt;Public Record Only&lt;/a&gt;</t>
  </si>
  <si>
    <t>&lt;a href="http://a836-acris.nyc.gov/DS/DocumentSearch/DocumentDetail?doc_id=2015072900138001" target="_blank"&gt;Public Record Only&lt;/a&gt;</t>
  </si>
  <si>
    <t>&lt;a href="http://a836-acris.nyc.gov/DS/DocumentSearch/DocumentDetail?doc_id=2015081001516001" target="_blank"&gt;Public Record Only&lt;/a&gt;</t>
  </si>
  <si>
    <t>&lt;a href="http://a836-acris.nyc.gov/DS/DocumentSearch/DocumentDetail?doc_id=2015072900226001" target="_blank"&gt;Public Record Only&lt;/a&gt;</t>
  </si>
  <si>
    <t>&lt;a href="http://a836-acris.nyc.gov/DS/DocumentSearch/DocumentDetail?doc_id=2019080800873001" target="_blank"&gt;Public Record Only&lt;/a&gt;</t>
  </si>
  <si>
    <t>&lt;a href="http://a836-acris.nyc.gov/DS/DocumentSearch/DocumentDetail?doc_id=2019080601231001" target="_blank"&gt;Public Record Only&lt;/a&gt;</t>
  </si>
  <si>
    <t>&lt;a href="http://a836-acris.nyc.gov/DS/DocumentSearch/DocumentDetail?doc_id=2019081300130001" target="_blank"&gt;Public Record Only&lt;/a&gt;</t>
  </si>
  <si>
    <t>&lt;a href="http://a836-acris.nyc.gov/DS/DocumentSearch/DocumentDetail?doc_id=2019081400119001" target="_blank"&gt;Public Record Only&lt;/a&gt;</t>
  </si>
  <si>
    <t>&lt;a href="http://a836-acris.nyc.gov/DS/DocumentSearch/DocumentDetail?doc_id=2019081400111001" target="_blank"&gt;Public Record Only&lt;/a&gt;</t>
  </si>
  <si>
    <t>&lt;a href="http://a836-acris.nyc.gov/DS/DocumentSearch/DocumentDetail?doc_id=2019080900829001" target="_blank"&gt;Public Record Only&lt;/a&gt;</t>
  </si>
  <si>
    <t>&lt;a href="http://a836-acris.nyc.gov/DS/DocumentSearch/DocumentDetail?doc_id=2019062401205001" target="_blank"&gt;Public Record Only&lt;/a&gt;</t>
  </si>
  <si>
    <t>&lt;a href="http://a836-acris.nyc.gov/DS/DocumentSearch/DocumentDetail?doc_id=2019061400478002" target="_blank"&gt;Public Record Only&lt;/a&gt;</t>
  </si>
  <si>
    <t>&lt;a href="http://a836-acris.nyc.gov/DS/DocumentSearch/DocumentDetail?doc_id=2019062701176001" target="_blank"&gt;Public Record Only&lt;/a&gt;</t>
  </si>
  <si>
    <t>&lt;a href="http://a836-acris.nyc.gov/DS/DocumentSearch/DocumentDetail?doc_id=2019070300527002" target="_blank"&gt;Public Record Only&lt;/a&gt;</t>
  </si>
  <si>
    <t>&lt;a href="http://a836-acris.nyc.gov/DS/DocumentSearch/DocumentDetail?doc_id=2019071400018001" target="_blank"&gt;Public Record Only&lt;/a&gt;</t>
  </si>
  <si>
    <t>&lt;a href="http://a836-acris.nyc.gov/DS/DocumentSearch/DocumentDetail?doc_id=2019071100935001" target="_blank"&gt;Public Record Only&lt;/a&gt;</t>
  </si>
  <si>
    <t>&lt;a href="http://a836-acris.nyc.gov/DS/DocumentSearch/DocumentDetail?doc_id=2019071201125002" target="_blank"&gt;Public Record Only&lt;/a&gt;</t>
  </si>
  <si>
    <t>&lt;a href="http://a836-acris.nyc.gov/DS/DocumentSearch/DocumentDetail?doc_id=2019061200887001" target="_blank"&gt;Public Record Only&lt;/a&gt;</t>
  </si>
  <si>
    <t>&lt;a href="http://a836-acris.nyc.gov/DS/DocumentSearch/DocumentDetail?doc_id=2019070200251001" target="_blank"&gt;Public Record Only&lt;/a&gt;</t>
  </si>
  <si>
    <t>&lt;a href="http://a836-acris.nyc.gov/DS/DocumentSearch/DocumentDetail?doc_id=2019061800440002" target="_blank"&gt;Public Record Only&lt;/a&gt;</t>
  </si>
  <si>
    <t>&lt;a href="http://a836-acris.nyc.gov/DS/DocumentSearch/DocumentDetail?doc_id=2019071200308001" target="_blank"&gt;Public Record Only&lt;/a&gt;</t>
  </si>
  <si>
    <t>&lt;a href="http://a836-acris.nyc.gov/DS/DocumentSearch/DocumentDetail?doc_id=2019061400995002" target="_blank"&gt;Public Record Only&lt;/a&gt;</t>
  </si>
  <si>
    <t>&lt;a href="http://a836-acris.nyc.gov/DS/DocumentSearch/DocumentDetail?doc_id=2019070100407001" target="_blank"&gt;Public Record Only&lt;/a&gt;</t>
  </si>
  <si>
    <t>&lt;a href="http://a836-acris.nyc.gov/DS/DocumentSearch/DocumentDetail?doc_id=2019062700630001" target="_blank"&gt;Public Record Only&lt;/a&gt;</t>
  </si>
  <si>
    <t>&lt;a href="http://a836-acris.nyc.gov/DS/DocumentSearch/DocumentDetail?doc_id=2019062601054001" target="_blank"&gt;Public Record Only&lt;/a&gt;</t>
  </si>
  <si>
    <t>&lt;a href="http://a836-acris.nyc.gov/DS/DocumentSearch/DocumentDetail?doc_id=2019070500718001" target="_blank"&gt;Public Record Only&lt;/a&gt;</t>
  </si>
  <si>
    <t>&lt;a href="http://a836-acris.nyc.gov/DS/DocumentSearch/DocumentDetail?doc_id=2019062500180001" target="_blank"&gt;Public Record Only&lt;/a&gt;</t>
  </si>
  <si>
    <t>&lt;a href="http://a836-acris.nyc.gov/DS/DocumentSearch/DocumentDetail?doc_id=2019061100367002" target="_blank"&gt;Public Record Only&lt;/a&gt;</t>
  </si>
  <si>
    <t>&lt;a href="http://a836-acris.nyc.gov/DS/DocumentSearch/DocumentDetail?doc_id=2019072500653001" target="_blank"&gt;Public Record Only&lt;/a&gt;</t>
  </si>
  <si>
    <t>&lt;a href="http://a836-acris.nyc.gov/DS/DocumentSearch/DocumentDetail?doc_id=2019071600367003" target="_blank"&gt;Public Record Only&lt;/a&gt;</t>
  </si>
  <si>
    <t>&lt;a href="http://a836-acris.nyc.gov/DS/DocumentSearch/DocumentDetail?doc_id=2019071501059001" target="_blank"&gt;Public Record Only&lt;/a&gt;</t>
  </si>
  <si>
    <t>&lt;a href="http://a836-acris.nyc.gov/DS/DocumentSearch/DocumentDetail?doc_id=2019062801015001" target="_blank"&gt;Public Record Only&lt;/a&gt;</t>
  </si>
  <si>
    <t>&lt;a href="http://a836-acris.nyc.gov/DS/DocumentSearch/DocumentDetail?doc_id=2019062400948001" target="_blank"&gt;Public Record Only&lt;/a&gt;</t>
  </si>
  <si>
    <t>&lt;a href="http://a836-acris.nyc.gov/DS/DocumentSearch/DocumentDetail?doc_id=2019070100490001" target="_blank"&gt;Public Record Only&lt;/a&gt;</t>
  </si>
  <si>
    <t>&lt;a href="http://a836-acris.nyc.gov/DS/DocumentSearch/DocumentDetail?doc_id=2019062601082004" target="_blank"&gt;Public Record Only&lt;/a&gt;</t>
  </si>
  <si>
    <t>&lt;a href="http://a836-acris.nyc.gov/DS/DocumentSearch/DocumentDetail?doc_id=2019081501394001" target="_blank"&gt;Public Record Only&lt;/a&gt;</t>
  </si>
  <si>
    <t>&lt;a href="http://a836-acris.nyc.gov/DS/DocumentSearch/DocumentDetail?doc_id=2019081300154001" target="_blank"&gt;Public Record Only&lt;/a&gt;</t>
  </si>
  <si>
    <t>&lt;a href="http://a836-acris.nyc.gov/DS/DocumentSearch/DocumentDetail?doc_id=2019081300137001" target="_blank"&gt;Public Record Only&lt;/a&gt;</t>
  </si>
  <si>
    <t>&lt;a href="http://a836-acris.nyc.gov/DS/DocumentSearch/DocumentDetail?doc_id=2019081300595001" target="_blank"&gt;Public Record Only&lt;/a&gt;</t>
  </si>
  <si>
    <t>&lt;a href="http://a836-acris.nyc.gov/DS/DocumentSearch/DocumentDetail?doc_id=2018071400037001" target="_blank"&gt;Public Record Only&lt;/a&gt;</t>
  </si>
  <si>
    <t>&lt;a href="http://a836-acris.nyc.gov/DS/DocumentSearch/DocumentDetail?doc_id=2019082000424001" target="_blank"&gt;Public Record Only&lt;/a&gt;</t>
  </si>
  <si>
    <t>&lt;a href="http://a836-acris.nyc.gov/DS/DocumentSearch/DocumentDetail?doc_id=2019080500309002" target="_blank"&gt;Public Record Only&lt;/a&gt;</t>
  </si>
  <si>
    <t>&lt;a href="http://a836-acris.nyc.gov/DS/DocumentSearch/DocumentDetail?doc_id=2019072601070001" target="_blank"&gt;Public Record Only&lt;/a&gt;</t>
  </si>
  <si>
    <t>&lt;a href="http://a836-acris.nyc.gov/DS/DocumentSearch/DocumentDetail?doc_id=2019080100142001" target="_blank"&gt;Public Record Only&lt;/a&gt;</t>
  </si>
  <si>
    <t>&lt;a href="http://a836-acris.nyc.gov/DS/DocumentSearch/DocumentDetail?doc_id=2019081300913001" target="_blank"&gt;Public Record Only&lt;/a&gt;</t>
  </si>
  <si>
    <t>&lt;a href="http://a836-acris.nyc.gov/DS/DocumentSearch/DocumentDetail?doc_id=2019081900596001" target="_blank"&gt;Public Record Only&lt;/a&gt;</t>
  </si>
  <si>
    <t>&lt;a href="http://a836-acris.nyc.gov/DS/DocumentSearch/DocumentDetail?doc_id=2019080900794001" target="_blank"&gt;Public Record Only&lt;/a&gt;</t>
  </si>
  <si>
    <t>&lt;a href="http://a836-acris.nyc.gov/DS/DocumentSearch/DocumentDetail?doc_id=2018111301154001" target="_blank"&gt;Public Record Only&lt;/a&gt;</t>
  </si>
  <si>
    <t>&lt;a href="http://a836-acris.nyc.gov/DS/DocumentSearch/DocumentDetail?doc_id=2019082200270006" target="_blank"&gt;Public Record Only&lt;/a&gt;</t>
  </si>
  <si>
    <t>&lt;a href="http://a836-acris.nyc.gov/DS/DocumentSearch/DocumentDetail?doc_id=2019091800736003" target="_blank"&gt;Public Record Only&lt;/a&gt;</t>
  </si>
  <si>
    <t>&lt;a href="http://a836-acris.nyc.gov/DS/DocumentSearch/DocumentDetail?doc_id=2019101000859001" target="_blank"&gt;Public Record Only&lt;/a&gt;</t>
  </si>
  <si>
    <t>&lt;a href="http://a836-acris.nyc.gov/DS/DocumentSearch/DocumentDetail?doc_id=2019100400506003" target="_blank"&gt;Public Record Only&lt;/a&gt;</t>
  </si>
  <si>
    <t>&lt;a href="http://a836-acris.nyc.gov/DS/DocumentSearch/DocumentDetail?doc_id=2019101700572001" target="_blank"&gt;Public Record Only&lt;/a&gt;</t>
  </si>
  <si>
    <t>&lt;a href="http://a836-acris.nyc.gov/DS/DocumentSearch/DocumentDetail?doc_id=2015100100060001" target="_blank"&gt;Public Record Only&lt;/a&gt;</t>
  </si>
  <si>
    <t>&lt;a href="http://a836-acris.nyc.gov/DS/DocumentSearch/DocumentDetail?doc_id=2015100501299001" target="_blank"&gt;Public Record Only&lt;/a&gt;</t>
  </si>
  <si>
    <t>&lt;a href="http://a836-acris.nyc.gov/DS/DocumentSearch/DocumentDetail?doc_id=2015091700031001" target="_blank"&gt;Public Record Only&lt;/a&gt;</t>
  </si>
  <si>
    <t>&lt;a href="http://a836-acris.nyc.gov/DS/DocumentSearch/DocumentDetail?doc_id=2015091700033001" target="_blank"&gt;Public Record Only&lt;/a&gt;</t>
  </si>
  <si>
    <t>&lt;a href="http://a836-acris.nyc.gov/DS/DocumentSearch/DocumentDetail?doc_id=2015100501324001" target="_blank"&gt;Public Record Only&lt;/a&gt;</t>
  </si>
  <si>
    <t>&lt;a href="http://a836-acris.nyc.gov/DS/DocumentSearch/DocumentDetail?doc_id=2015092900018001" target="_blank"&gt;Public Record Only&lt;/a&gt;</t>
  </si>
  <si>
    <t>&lt;a href="http://a836-acris.nyc.gov/DS/DocumentSearch/DocumentDetail?doc_id=2015091700029001" target="_blank"&gt;Public Record Only&lt;/a&gt;</t>
  </si>
  <si>
    <t>&lt;a href="http://a836-acris.nyc.gov/DS/DocumentSearch/DocumentDetail?doc_id=2015100501319001" target="_blank"&gt;Public Record Only&lt;/a&gt;</t>
  </si>
  <si>
    <t>&lt;a href="http://a836-acris.nyc.gov/DS/DocumentSearch/DocumentDetail?doc_id=2015091700030001" target="_blank"&gt;Public Record Only&lt;/a&gt;</t>
  </si>
  <si>
    <t>&lt;a href="http://a836-acris.nyc.gov/DS/DocumentSearch/DocumentDetail?doc_id=2015100501307001" target="_blank"&gt;Public Record Only&lt;/a&gt;</t>
  </si>
  <si>
    <t>&lt;a href="http://a836-acris.nyc.gov/DS/DocumentSearch/DocumentDetail?doc_id=2019102800340003" target="_blank"&gt;Public Record Only&lt;/a&gt;</t>
  </si>
  <si>
    <t>&lt;a href="http://a836-acris.nyc.gov/DS/DocumentSearch/DocumentDetail?doc_id=2019110400618001" target="_blank"&gt;Public Record Only&lt;/a&gt;</t>
  </si>
  <si>
    <t>&lt;a href="http://a836-acris.nyc.gov/DS/DocumentSearch/DocumentDetail?doc_id=2017090300017001" target="_blank"&gt;Public Record Only&lt;/a&gt;</t>
  </si>
  <si>
    <t>&lt;a href="http://a836-acris.nyc.gov/DS/DocumentSearch/DocumentDetail?doc_id=2017080100924001" target="_blank"&gt;Public Record Only&lt;/a&gt;</t>
  </si>
  <si>
    <t>&lt;a href="http://a836-acris.nyc.gov/DS/DocumentSearch/DocumentDetail?doc_id=2017071300252001" target="_blank"&gt;Public Record Only&lt;/a&gt;</t>
  </si>
  <si>
    <t>&lt;a href="http://a836-acris.nyc.gov/DS/DocumentSearch/DocumentDetail?doc_id=2017062800513006" target="_blank"&gt;Public Record Only&lt;/a&gt;</t>
  </si>
  <si>
    <t>&lt;a href="http://a836-acris.nyc.gov/DS/DocumentSearch/DocumentDetail?doc_id=2017072100630001" target="_blank"&gt;Public Record Only&lt;/a&gt;</t>
  </si>
  <si>
    <t>&lt;a href="http://a836-acris.nyc.gov/DS/DocumentSearch/DocumentDetail?doc_id=2017122600529003" target="_blank"&gt;Public Record Only&lt;/a&gt;</t>
  </si>
  <si>
    <t>&lt;a href="http://a836-acris.nyc.gov/DS/DocumentSearch/DocumentDetail?doc_id=2014103000256001" target="_blank"&gt;Public Record Only&lt;/a&gt;</t>
  </si>
  <si>
    <t>&lt;a href="http://a836-acris.nyc.gov/DS/DocumentSearch/DocumentDetail?doc_id=2019110800425001" target="_blank"&gt;Public Record Only&lt;/a&gt;</t>
  </si>
  <si>
    <t>551 Main St</t>
  </si>
  <si>
    <t>&lt;a href="http://a836-acris.nyc.gov/DS/DocumentSearch/DocumentDetail?doc_id=2018011800325001" target="_blank"&gt;Public Record Only&lt;/a&gt;</t>
  </si>
  <si>
    <t>&lt;a href="http://a836-acris.nyc.gov/DS/DocumentSearch/DocumentDetail?doc_id=2018013001059001" target="_blank"&gt;Public Record Only&lt;/a&gt;</t>
  </si>
  <si>
    <t>&lt;a href="http://a836-acris.nyc.gov/DS/DocumentSearch/DocumentDetail?doc_id=2018050801037001" target="_blank"&gt;Public Record Only&lt;/a&gt;</t>
  </si>
  <si>
    <t>&lt;a href="http://a836-acris.nyc.gov/DS/DocumentSearch/DocumentDetail?doc_id=2018050801123001" target="_blank"&gt;Public Record Only&lt;/a&gt;</t>
  </si>
  <si>
    <t>&lt;a href="http://a836-acris.nyc.gov/DS/DocumentSearch/DocumentDetail?doc_id=2018071700511001" target="_blank"&gt;Public Record Only&lt;/a&gt;</t>
  </si>
  <si>
    <t>&lt;a href="http://a836-acris.nyc.gov/DS/DocumentSearch/DocumentDetail?doc_id=2018110700564001" target="_blank"&gt;Public Record Only&lt;/a&gt;</t>
  </si>
  <si>
    <t>&lt;a href="http://a836-acris.nyc.gov/DS/DocumentSearch/DocumentDetail?doc_id=2019052200975001" target="_blank"&gt;Public Record Only&lt;/a&gt;</t>
  </si>
  <si>
    <t>&lt;a href="http://a836-acris.nyc.gov/DS/DocumentSearch/DocumentDetail?doc_id=2019092501392001" target="_blank"&gt;Public Record Only&lt;/a&gt;</t>
  </si>
  <si>
    <t>&lt;a href="http://a836-acris.nyc.gov/DS/DocumentSearch/DocumentDetail?doc_id=2019111100141001" target="_blank"&gt;Public Record Only&lt;/a&gt;</t>
  </si>
  <si>
    <t>&lt;a href="http://a836-acris.nyc.gov/DS/DocumentSearch/DocumentDetail?doc_id=2019092700944003" target="_blank"&gt;Public Record Only&lt;/a&gt;</t>
  </si>
  <si>
    <t>&lt;a href="http://a836-acris.nyc.gov/DS/DocumentSearch/DocumentDetail?doc_id=2018071900496005" target="_blank"&gt;Public Record Only&lt;/a&gt;</t>
  </si>
  <si>
    <t>&lt;a href="http://a836-acris.nyc.gov/DS/DocumentSearch/DocumentDetail?doc_id=2020111700731002" target="_blank"&gt;Verified by Public Record&lt;/a&gt;</t>
  </si>
  <si>
    <t>&lt;a href="http://a836-acris.nyc.gov/DS/DocumentSearch/DocumentDetail?doc_id=2019121901131001" target="_blank"&gt;Public Record Only&lt;/a&gt;</t>
  </si>
  <si>
    <t>&lt;a href="http://a836-acris.nyc.gov/DS/DocumentSearch/DocumentDetail?doc_id=2019121800736001" target="_blank"&gt;Public Record Only&lt;/a&gt;</t>
  </si>
  <si>
    <t>&lt;a href="http://a836-acris.nyc.gov/DS/DocumentSearch/DocumentDetail?doc_id=2019122300503001" target="_blank"&gt;Public Record Only&lt;/a&gt;</t>
  </si>
  <si>
    <t>&lt;a href="http://a836-acris.nyc.gov/DS/DocumentSearch/DocumentDetail?doc_id=2019123100325001" target="_blank"&gt;Public Record Only&lt;/a&gt;</t>
  </si>
  <si>
    <t>&lt;a href="http://a836-acris.nyc.gov/DS/DocumentSearch/DocumentDetail?doc_id=2019103100515002" target="_blank"&gt;Public Record Only&lt;/a&gt;</t>
  </si>
  <si>
    <t>&lt;a href="http://a836-acris.nyc.gov/DS/DocumentSearch/DocumentDetail?doc_id=2019111801094001" target="_blank"&gt;Public Record Only&lt;/a&gt;</t>
  </si>
  <si>
    <t>&lt;a href="http://a836-acris.nyc.gov/DS/DocumentSearch/DocumentDetail?doc_id=2019103000704001" target="_blank"&gt;Public Record Only&lt;/a&gt;</t>
  </si>
  <si>
    <t>&lt;a href="http://a836-acris.nyc.gov/DS/DocumentSearch/DocumentDetail?doc_id=2019102901181001" target="_blank"&gt;Public Record Only&lt;/a&gt;</t>
  </si>
  <si>
    <t>&lt;a href="http://a836-acris.nyc.gov/DS/DocumentSearch/DocumentDetail?doc_id=2019112001291001" target="_blank"&gt;Public Record Only&lt;/a&gt;</t>
  </si>
  <si>
    <t>&lt;a href="http://a836-acris.nyc.gov/DS/DocumentSearch/DocumentDetail?doc_id=2019120200599001" target="_blank"&gt;Public Record Only&lt;/a&gt;</t>
  </si>
  <si>
    <t>&lt;a href="http://a836-acris.nyc.gov/DS/DocumentSearch/DocumentDetail?doc_id=2019112700243001" target="_blank"&gt;Public Record Only&lt;/a&gt;</t>
  </si>
  <si>
    <t>&lt;a href="http://a836-acris.nyc.gov/DS/DocumentSearch/DocumentDetail?doc_id=2019112700696001" target="_blank"&gt;Public Record Only&lt;/a&gt;</t>
  </si>
  <si>
    <t>&lt;a href="http://a836-acris.nyc.gov/DS/DocumentSearch/DocumentDetail?doc_id=2019120200516002" target="_blank"&gt;Public Record Only&lt;/a&gt;</t>
  </si>
  <si>
    <t>&lt;a href="http://a836-acris.nyc.gov/DS/DocumentSearch/DocumentDetail?doc_id=2020011401220001" target="_blank"&gt;Public Record Only&lt;/a&gt;</t>
  </si>
  <si>
    <t>&lt;a href="http://a836-acris.nyc.gov/DS/DocumentSearch/DocumentDetail?doc_id=2020011400245002" target="_blank"&gt;Public Record Only&lt;/a&gt;</t>
  </si>
  <si>
    <t>&lt;a href="http://a836-acris.nyc.gov/DS/DocumentSearch/DocumentDetail?doc_id=2019111500403007" target="_blank"&gt;Public Record Only&lt;/a&gt;</t>
  </si>
  <si>
    <t>&lt;a href="http://a836-acris.nyc.gov/DS/DocumentSearch/DocumentDetail?doc_id=2019060600185001" target="_blank"&gt;Public Record Only&lt;/a&gt;</t>
  </si>
  <si>
    <t>&lt;a href="http://a836-acris.nyc.gov/DS/DocumentSearch/DocumentDetail?doc_id=2019111900646004" target="_blank"&gt;Public Record Only&lt;/a&gt;</t>
  </si>
  <si>
    <t>&lt;a href="http://a836-acris.nyc.gov/DS/DocumentSearch/DocumentDetail?doc_id=2019080200520002" target="_blank"&gt;Public Record Only&lt;/a&gt;</t>
  </si>
  <si>
    <t>&lt;a href="http://a836-acris.nyc.gov/DS/DocumentSearch/DocumentDetail?doc_id=2019090400846006" target="_blank"&gt;Public Record Only&lt;/a&gt;</t>
  </si>
  <si>
    <t>&lt;a href="http://a836-acris.nyc.gov/DS/DocumentSearch/DocumentDetail?doc_id=2019051000297002" target="_blank"&gt;Public Record Only&lt;/a&gt;</t>
  </si>
  <si>
    <t>&lt;a href="http://a836-acris.nyc.gov/DS/DocumentSearch/DocumentDetail?doc_id=2019050100415002" target="_blank"&gt;Public Record Only&lt;/a&gt;</t>
  </si>
  <si>
    <t>&lt;a href="http://a836-acris.nyc.gov/DS/DocumentSearch/DocumentDetail?doc_id=2019042200207001" target="_blank"&gt;Public Record Only&lt;/a&gt;</t>
  </si>
  <si>
    <t>&lt;a href="http://a836-acris.nyc.gov/DS/DocumentSearch/DocumentDetail?doc_id=2019122400181001" target="_blank"&gt;Public Record Only&lt;/a&gt;</t>
  </si>
  <si>
    <t>&lt;a href="http://a836-acris.nyc.gov/DS/DocumentSearch/DocumentDetail?doc_id=2019052801010001" target="_blank"&gt;Public Record Only&lt;/a&gt;</t>
  </si>
  <si>
    <t>&lt;a href="http://a836-acris.nyc.gov/DS/DocumentSearch/DocumentDetail?doc_id=2019060300124001" target="_blank"&gt;Public Record Only&lt;/a&gt;</t>
  </si>
  <si>
    <t>&lt;a href="http://a836-acris.nyc.gov/DS/DocumentSearch/DocumentDetail?doc_id=2019042900293001" target="_blank"&gt;Public Record Only&lt;/a&gt;</t>
  </si>
  <si>
    <t>&lt;a href="http://a836-acris.nyc.gov/DS/DocumentSearch/DocumentDetail?doc_id=2019080900243001" target="_blank"&gt;Public Record Only&lt;/a&gt;</t>
  </si>
  <si>
    <t>&lt;a href="http://a836-acris.nyc.gov/DS/DocumentSearch/DocumentDetail?doc_id=2019051500342001" target="_blank"&gt;Public Record Only&lt;/a&gt;</t>
  </si>
  <si>
    <t>&lt;a href="http://a836-acris.nyc.gov/DS/DocumentSearch/DocumentDetail?doc_id=2019071800887007" target="_blank"&gt;Public Record Only&lt;/a&gt;</t>
  </si>
  <si>
    <t>&lt;a href="http://a836-acris.nyc.gov/DS/DocumentSearch/DocumentDetail?doc_id=2019050100566001" target="_blank"&gt;Public Record Only&lt;/a&gt;</t>
  </si>
  <si>
    <t>&lt;a href="http://a836-acris.nyc.gov/DS/DocumentSearch/DocumentDetail?doc_id=2019090500450001" target="_blank"&gt;Public Record Only&lt;/a&gt;</t>
  </si>
  <si>
    <t>&lt;a href="http://a836-acris.nyc.gov/DS/DocumentSearch/DocumentDetail?doc_id=2019102900728001" target="_blank"&gt;Public Record Only&lt;/a&gt;</t>
  </si>
  <si>
    <t>&lt;a href="http://a836-acris.nyc.gov/DS/DocumentSearch/DocumentDetail?doc_id=2020012100858001" target="_blank"&gt;Public Record Only&lt;/a&gt;</t>
  </si>
  <si>
    <t>&lt;a href="http://a836-acris.nyc.gov/DS/DocumentSearch/DocumentDetail?doc_id=2020012300708001" target="_blank"&gt;Public Record Only&lt;/a&gt;</t>
  </si>
  <si>
    <t>&lt;a href="http://a836-acris.nyc.gov/DS/DocumentSearch/DocumentDetail?doc_id=2020010701015001" target="_blank"&gt;Public Record Only&lt;/a&gt;</t>
  </si>
  <si>
    <t>&lt;a href="http://a836-acris.nyc.gov/DS/DocumentSearch/DocumentDetail?doc_id=2020010800241001" target="_blank"&gt;Public Record Only&lt;/a&gt;</t>
  </si>
  <si>
    <t>&lt;a href="http://a836-acris.nyc.gov/DS/DocumentSearch/DocumentDetail?doc_id=2020010800926001" target="_blank"&gt;Public Record Only&lt;/a&gt;</t>
  </si>
  <si>
    <t>&lt;a href="http://a836-acris.nyc.gov/DS/DocumentSearch/DocumentDetail?doc_id=2020010300114001" target="_blank"&gt;Public Record Only&lt;/a&gt;</t>
  </si>
  <si>
    <t>&lt;a href="http://a836-acris.nyc.gov/DS/DocumentSearch/DocumentDetail?doc_id=2019122700681001" target="_blank"&gt;Public Record Only&lt;/a&gt;</t>
  </si>
  <si>
    <t>&lt;a href="http://a836-acris.nyc.gov/DS/DocumentSearch/DocumentDetail?doc_id=2020012800932001" target="_blank"&gt;Public Record Only&lt;/a&gt;</t>
  </si>
  <si>
    <t>&lt;a href="http://a836-acris.nyc.gov/DS/DocumentSearch/DocumentDetail?doc_id=2020013101013006" target="_blank"&gt;Public Record Only&lt;/a&gt;</t>
  </si>
  <si>
    <t>&lt;a href="http://a836-acris.nyc.gov/DS/DocumentSearch/DocumentDetail?doc_id=2018080700624003" target="_blank"&gt;Public Record Only&lt;/a&gt;</t>
  </si>
  <si>
    <t>&lt;a href="http://a836-acris.nyc.gov/DS/DocumentSearch/DocumentDetail?doc_id=2020020500611001" target="_blank"&gt;Public Record Only&lt;/a&gt;</t>
  </si>
  <si>
    <t>&lt;a href="http://a836-acris.nyc.gov/DS/DocumentSearch/DocumentDetail?doc_id=2020021101150001" target="_blank"&gt;Public Record Only&lt;/a&gt;</t>
  </si>
  <si>
    <t>&lt;a href="http://a836-acris.nyc.gov/DS/DocumentSearch/DocumentDetail?doc_id=2020021101264001" target="_blank"&gt;Verified by Public Record&lt;/a&gt;</t>
  </si>
  <si>
    <t>&lt;a href="http://a836-acris.nyc.gov/DS/DocumentSearch/DocumentDetail?doc_id=2020021001307001" target="_blank"&gt;Verified by Public Record&lt;/a&gt;</t>
  </si>
  <si>
    <t>&lt;a href="http://a836-acris.nyc.gov/DS/DocumentSearch/DocumentDetail?doc_id=2020021100333001" target="_blank"&gt;Public Record Only&lt;/a&gt;</t>
  </si>
  <si>
    <t>&lt;a href="http://a836-acris.nyc.gov/DS/DocumentSearch/DocumentDetail?doc_id=2020020600413002" target="_blank"&gt;Public Record Only&lt;/a&gt;</t>
  </si>
  <si>
    <t>&lt;a href="http://a836-acris.nyc.gov/DS/DocumentSearch/DocumentDetail?doc_id=2020021700248001" target="_blank"&gt;Verified by Public Record&lt;/a&gt;</t>
  </si>
  <si>
    <t>&lt;a href="http://a836-acris.nyc.gov/DS/DocumentSearch/DocumentDetail?doc_id=2020021900985002" target="_blank"&gt;Verified by Public Record&lt;/a&gt;</t>
  </si>
  <si>
    <t>&lt;a href="http://a836-acris.nyc.gov/DS/DocumentSearch/DocumentDetail?doc_id=2018073000487001" target="_blank"&gt;Public Record Only&lt;/a&gt;</t>
  </si>
  <si>
    <t>&lt;a href="http://a836-acris.nyc.gov/DS/DocumentSearch/DocumentDetail?doc_id=2018073100934001" target="_blank"&gt;Public Record Only&lt;/a&gt;</t>
  </si>
  <si>
    <t>&lt;a href="http://a836-acris.nyc.gov/DS/DocumentSearch/DocumentDetail?doc_id=2020022600713001" target="_blank"&gt;Verified by Public Record&lt;/a&gt;</t>
  </si>
  <si>
    <t>&lt;a href="http://a836-acris.nyc.gov/DS/DocumentSearch/DocumentDetail?doc_id=2020022500610003" target="_blank"&gt;Verified by Public Record&lt;/a&gt;</t>
  </si>
  <si>
    <t>&lt;a href="http://a836-acris.nyc.gov/DS/DocumentSearch/DocumentDetail?doc_id=2020022800236001" target="_blank"&gt;Verified by Public Record&lt;/a&gt;</t>
  </si>
  <si>
    <t>&lt;a href="http://a836-acris.nyc.gov/DS/DocumentSearch/DocumentDetail?doc_id=2020022800217001" target="_blank"&gt;Public Record Only&lt;/a&gt;</t>
  </si>
  <si>
    <t>&lt;a href="http://a836-acris.nyc.gov/DS/DocumentSearch/DocumentDetail?doc_id=2020030400593001" target="_blank"&gt;Public Record Only&lt;/a&gt;</t>
  </si>
  <si>
    <t>&lt;a href="http://a836-acris.nyc.gov/DS/DocumentSearch/DocumentDetail?doc_id=2020030200969001" target="_blank"&gt;Verified by Public Record&lt;/a&gt;</t>
  </si>
  <si>
    <t>&lt;a href="http://a836-acris.nyc.gov/DS/DocumentSearch/DocumentDetail?doc_id=2020030200630001" target="_blank"&gt;Public Record Only&lt;/a&gt;</t>
  </si>
  <si>
    <t>&lt;a href="http://a836-acris.nyc.gov/DS/DocumentSearch/DocumentDetail?doc_id=2020022800978001" target="_blank"&gt;Public Record Only&lt;/a&gt;</t>
  </si>
  <si>
    <t>&lt;a href="http://a836-acris.nyc.gov/DS/DocumentSearch/DocumentDetail?doc_id=2020030600953003" target="_blank"&gt;Verified by Public Record&lt;/a&gt;</t>
  </si>
  <si>
    <t>&lt;a href="http://a836-acris.nyc.gov/DS/DocumentSearch/DocumentDetail?doc_id=2020031000508001" target="_blank"&gt;Public Record Only&lt;/a&gt;</t>
  </si>
  <si>
    <t>&lt;a href="http://a836-acris.nyc.gov/DS/DocumentSearch/DocumentDetail?doc_id=2020022000666002" target="_blank"&gt;Verified by Public Record&lt;/a&gt;</t>
  </si>
  <si>
    <t>&lt;a href="http://a836-acris.nyc.gov/DS/DocumentSearch/DocumentDetail?doc_id=2020031301004001" target="_blank"&gt;Public Record Only&lt;/a&gt;</t>
  </si>
  <si>
    <t>&lt;a href="http://a836-acris.nyc.gov/DS/DocumentSearch/DocumentDetail?doc_id=2020031300247001" target="_blank"&gt;Verified by Public Record&lt;/a&gt;</t>
  </si>
  <si>
    <t>&lt;a href="http://a836-acris.nyc.gov/DS/DocumentSearch/DocumentDetail?doc_id=2020031600879001" target="_blank"&gt;Verified by Public Record&lt;/a&gt;</t>
  </si>
  <si>
    <t>&lt;a href="http://a836-acris.nyc.gov/DS/DocumentSearch/DocumentDetail?doc_id=2020031900512002" target="_blank"&gt;Verified by Public Record&lt;/a&gt;</t>
  </si>
  <si>
    <t>&lt;a href="http://a836-acris.nyc.gov/DS/DocumentSearch/DocumentDetail?doc_id=2020031600792001" target="_blank"&gt;Verified by Public Record&lt;/a&gt;</t>
  </si>
  <si>
    <t>&lt;a href="http://a836-acris.nyc.gov/DS/DocumentSearch/DocumentDetail?doc_id=2020031601315002" target="_blank"&gt;Public Record Only&lt;/a&gt;</t>
  </si>
  <si>
    <t>&lt;a href="http://a836-acris.nyc.gov/DS/DocumentSearch/DocumentDetail?doc_id=2020052600551001" target="_blank"&gt;Verified by Public Record&lt;/a&gt;</t>
  </si>
  <si>
    <t>&lt;a href="http://a836-acris.nyc.gov/DS/DocumentSearch/DocumentDetail?doc_id=2020041600449002" target="_blank"&gt;Verified by Public Record&lt;/a&gt;</t>
  </si>
  <si>
    <t>&lt;a href="http://a836-acris.nyc.gov/DS/DocumentSearch/DocumentDetail?doc_id=2020031900857002" target="_blank"&gt;Verified by Public Record&lt;/a&gt;</t>
  </si>
  <si>
    <t>&lt;a href="http://a836-acris.nyc.gov/DS/DocumentSearch/DocumentDetail?doc_id=2020031900844001" target="_blank"&gt;Verified by Public Record&lt;/a&gt;</t>
  </si>
  <si>
    <t>&lt;a href="http://a836-acris.nyc.gov/DS/DocumentSearch/DocumentDetail?doc_id=2020031900756001" target="_blank"&gt;Public Record Only&lt;/a&gt;</t>
  </si>
  <si>
    <t>&lt;a href="http://a836-acris.nyc.gov/DS/DocumentSearch/DocumentDetail?doc_id=2020032001033001" target="_blank"&gt;Public Record Only&lt;/a&gt;</t>
  </si>
  <si>
    <t>&lt;a href="http://a836-acris.nyc.gov/DS/DocumentSearch/DocumentDetail?doc_id=2020031100502003" target="_blank"&gt;Public Record Only&lt;/a&gt;</t>
  </si>
  <si>
    <t>&lt;a href="http://a836-acris.nyc.gov/DS/DocumentSearch/DocumentDetail?doc_id=2020040900125001" target="_blank"&gt;Public Record Only&lt;/a&gt;</t>
  </si>
  <si>
    <t>&lt;a href="http://a836-acris.nyc.gov/DS/DocumentSearch/DocumentDetail?doc_id=2020041300261001" target="_blank"&gt;Verified by Public Record&lt;/a&gt;</t>
  </si>
  <si>
    <t>&lt;a href="http://a836-acris.nyc.gov/DS/DocumentSearch/DocumentDetail?doc_id=2018080200083005" target="_blank"&gt;Public Record Only&lt;/a&gt;</t>
  </si>
  <si>
    <t>&lt;a href="http://a836-acris.nyc.gov/DS/DocumentSearch/DocumentDetail?doc_id=2020041700751001" target="_blank"&gt;Public Record Only&lt;/a&gt;</t>
  </si>
  <si>
    <t>&lt;a href="http://a836-acris.nyc.gov/DS/DocumentSearch/DocumentDetail?doc_id=2020042900406001" target="_blank"&gt;Public Record Only&lt;/a&gt;</t>
  </si>
  <si>
    <t>&lt;a href="http://a836-acris.nyc.gov/DS/DocumentSearch/DocumentDetail?doc_id=2020050800091002" target="_blank"&gt;Public Record Only&lt;/a&gt;</t>
  </si>
  <si>
    <t>&lt;a href="http://a836-acris.nyc.gov/DS/DocumentSearch/DocumentDetail?doc_id=2015081701105001" target="_blank"&gt;Public Record Only&lt;/a&gt;</t>
  </si>
  <si>
    <t>&lt;a href="http://a836-acris.nyc.gov/DS/DocumentSearch/DocumentDetail?doc_id=2015091000760001" target="_blank"&gt;Public Record Only&lt;/a&gt;</t>
  </si>
  <si>
    <t>&lt;a href="http://a836-acris.nyc.gov/DS/DocumentSearch/DocumentDetail?doc_id=2015090201166001" target="_blank"&gt;Public Record Only&lt;/a&gt;</t>
  </si>
  <si>
    <t>&lt;a href="http://a836-acris.nyc.gov/DS/DocumentSearch/DocumentDetail?doc_id=2015080900056001" target="_blank"&gt;Public Record Only&lt;/a&gt;</t>
  </si>
  <si>
    <t>&lt;a href="http://a836-acris.nyc.gov/DS/DocumentSearch/DocumentDetail?doc_id=2015090101206001" target="_blank"&gt;Public Record Only&lt;/a&gt;</t>
  </si>
  <si>
    <t>&lt;a href="http://a836-acris.nyc.gov/DS/DocumentSearch/DocumentDetail?doc_id=2015090201174001" target="_blank"&gt;Public Record Only&lt;/a&gt;</t>
  </si>
  <si>
    <t>&lt;a href="http://a836-acris.nyc.gov/DS/DocumentSearch/DocumentDetail?doc_id=2015090900142001" target="_blank"&gt;Public Record Only&lt;/a&gt;</t>
  </si>
  <si>
    <t>&lt;a href="http://a836-acris.nyc.gov/DS/DocumentSearch/DocumentDetail?doc_id=2015090901197001" target="_blank"&gt;Public Record Only&lt;/a&gt;</t>
  </si>
  <si>
    <t>&lt;a href="http://a836-acris.nyc.gov/DS/DocumentSearch/DocumentDetail?doc_id=2015091000749001" target="_blank"&gt;Public Record Only&lt;/a&gt;</t>
  </si>
  <si>
    <t>&lt;a href="http://a836-acris.nyc.gov/DS/DocumentSearch/DocumentDetail?doc_id=2015081400097001" target="_blank"&gt;Public Record Only&lt;/a&gt;</t>
  </si>
  <si>
    <t>&lt;a href="http://a836-acris.nyc.gov/DS/DocumentSearch/DocumentDetail?doc_id=2015090101210001" target="_blank"&gt;Public Record Only&lt;/a&gt;</t>
  </si>
  <si>
    <t>&lt;a href="http://a836-acris.nyc.gov/DS/DocumentSearch/DocumentDetail?doc_id=2015081701148001" target="_blank"&gt;Public Record Only&lt;/a&gt;</t>
  </si>
  <si>
    <t>&lt;a href="http://a836-acris.nyc.gov/DS/DocumentSearch/DocumentDetail?doc_id=2015082401782001" target="_blank"&gt;Public Record Only&lt;/a&gt;</t>
  </si>
  <si>
    <t>&lt;a href="http://a836-acris.nyc.gov/DS/DocumentSearch/DocumentDetail?doc_id=2015082501579001" target="_blank"&gt;Public Record Only&lt;/a&gt;</t>
  </si>
  <si>
    <t>&lt;a href="http://a836-acris.nyc.gov/DS/DocumentSearch/DocumentDetail?doc_id=2015081600063001" target="_blank"&gt;Public Record Only&lt;/a&gt;</t>
  </si>
  <si>
    <t>&lt;a href="http://a836-acris.nyc.gov/DS/DocumentSearch/DocumentDetail?doc_id=2015082501565001" target="_blank"&gt;Public Record Only&lt;/a&gt;</t>
  </si>
  <si>
    <t>&lt;a href="http://a836-acris.nyc.gov/DS/DocumentSearch/DocumentDetail?doc_id=2015090201169001" target="_blank"&gt;Public Record Only&lt;/a&gt;</t>
  </si>
  <si>
    <t>&lt;a href="http://a836-acris.nyc.gov/DS/DocumentSearch/DocumentDetail?doc_id=2015081600061001" target="_blank"&gt;Public Record Only&lt;/a&gt;</t>
  </si>
  <si>
    <t>&lt;a href="http://a836-acris.nyc.gov/DS/DocumentSearch/DocumentDetail?doc_id=2015080900057001" target="_blank"&gt;Public Record Only&lt;/a&gt;</t>
  </si>
  <si>
    <t>&lt;a href="http://a836-acris.nyc.gov/DS/DocumentSearch/DocumentDetail?doc_id=2015080900058001" target="_blank"&gt;Public Record Only&lt;/a&gt;</t>
  </si>
  <si>
    <t>&lt;a href="http://a836-acris.nyc.gov/DS/DocumentSearch/DocumentDetail?doc_id=2015081001527001" target="_blank"&gt;Public Record Only&lt;/a&gt;</t>
  </si>
  <si>
    <t>&lt;a href="http://a836-acris.nyc.gov/DS/DocumentSearch/DocumentDetail?doc_id=2015081001533001" target="_blank"&gt;Public Record Only&lt;/a&gt;</t>
  </si>
  <si>
    <t>&lt;a href="http://a836-acris.nyc.gov/DS/DocumentSearch/DocumentDetail?doc_id=2015081200045001" target="_blank"&gt;Public Record Only&lt;/a&gt;</t>
  </si>
  <si>
    <t>&lt;a href="http://a836-acris.nyc.gov/DS/DocumentSearch/DocumentDetail?doc_id=2015081701150001" target="_blank"&gt;Public Record Only&lt;/a&gt;</t>
  </si>
  <si>
    <t>&lt;a href="http://a836-acris.nyc.gov/DS/DocumentSearch/DocumentDetail?doc_id=2015090201188001" target="_blank"&gt;Public Record Only&lt;/a&gt;</t>
  </si>
  <si>
    <t>&lt;a href="http://a836-acris.nyc.gov/DS/DocumentSearch/DocumentDetail?doc_id=2015081001525001" target="_blank"&gt;Public Record Only&lt;/a&gt;</t>
  </si>
  <si>
    <t>&lt;a href="http://a836-acris.nyc.gov/DS/DocumentSearch/DocumentDetail?doc_id=2015082401784001" target="_blank"&gt;Public Record Only&lt;/a&gt;</t>
  </si>
  <si>
    <t>&lt;a href="http://a836-acris.nyc.gov/DS/DocumentSearch/DocumentDetail?doc_id=2015082501563001" target="_blank"&gt;Public Record Only&lt;/a&gt;</t>
  </si>
  <si>
    <t>&lt;a href="http://a836-acris.nyc.gov/DS/DocumentSearch/DocumentDetail?doc_id=2015082401800001" target="_blank"&gt;Public Record Only&lt;/a&gt;</t>
  </si>
  <si>
    <t>&lt;a href="http://a836-acris.nyc.gov/DS/DocumentSearch/DocumentDetail?doc_id=2015090100042001" target="_blank"&gt;Public Record Only&lt;/a&gt;</t>
  </si>
  <si>
    <t>&lt;a href="http://a836-acris.nyc.gov/DS/DocumentSearch/DocumentDetail?doc_id=2015081200046001" target="_blank"&gt;Public Record Only&lt;/a&gt;</t>
  </si>
  <si>
    <t>&lt;a href="http://a836-acris.nyc.gov/DS/DocumentSearch/DocumentDetail?doc_id=2015081600059001" target="_blank"&gt;Public Record Only&lt;/a&gt;</t>
  </si>
  <si>
    <t>&lt;a href="http://a836-acris.nyc.gov/DS/DocumentSearch/DocumentDetail?doc_id=2015081701134001" target="_blank"&gt;Public Record Only&lt;/a&gt;</t>
  </si>
  <si>
    <t>&lt;a href="http://a836-acris.nyc.gov/DS/DocumentSearch/DocumentDetail?doc_id=2015090100041001" target="_blank"&gt;Public Record Only&lt;/a&gt;</t>
  </si>
  <si>
    <t>&lt;a href="http://a836-acris.nyc.gov/DS/DocumentSearch/DocumentDetail?doc_id=2015081701117001" target="_blank"&gt;Public Record Only&lt;/a&gt;</t>
  </si>
  <si>
    <t>&lt;a href="http://a836-acris.nyc.gov/DS/DocumentSearch/DocumentDetail?doc_id=2015081200040001" target="_blank"&gt;Public Record Only&lt;/a&gt;</t>
  </si>
  <si>
    <t>&lt;a href="http://a836-acris.nyc.gov/DS/DocumentSearch/DocumentDetail?doc_id=2015080900035001" target="_blank"&gt;Public Record Only&lt;/a&gt;</t>
  </si>
  <si>
    <t>&lt;a href="http://a836-acris.nyc.gov/DS/DocumentSearch/DocumentDetail?doc_id=2015090100048001" target="_blank"&gt;Public Record Only&lt;/a&gt;</t>
  </si>
  <si>
    <t>&lt;a href="http://a836-acris.nyc.gov/DS/DocumentSearch/DocumentDetail?doc_id=2015080900040001" target="_blank"&gt;Public Record Only&lt;/a&gt;</t>
  </si>
  <si>
    <t>&lt;a href="http://a836-acris.nyc.gov/DS/DocumentSearch/DocumentDetail?doc_id=2015081701097001" target="_blank"&gt;Public Record Only&lt;/a&gt;</t>
  </si>
  <si>
    <t>&lt;a href="http://a836-acris.nyc.gov/DS/DocumentSearch/DocumentDetail?doc_id=2015082501567001" target="_blank"&gt;Public Record Only&lt;/a&gt;</t>
  </si>
  <si>
    <t>&lt;a href="http://a836-acris.nyc.gov/DS/DocumentSearch/DocumentDetail?doc_id=2015081201223001" target="_blank"&gt;Public Record Only&lt;/a&gt;</t>
  </si>
  <si>
    <t>&lt;a href="http://a836-acris.nyc.gov/DS/DocumentSearch/DocumentDetail?doc_id=2015082501504001" target="_blank"&gt;Public Record Only&lt;/a&gt;</t>
  </si>
  <si>
    <t>&lt;a href="http://a836-acris.nyc.gov/DS/DocumentSearch/DocumentDetail?doc_id=2015080900043001" target="_blank"&gt;Public Record Only&lt;/a&gt;</t>
  </si>
  <si>
    <t>&lt;a href="http://a836-acris.nyc.gov/DS/DocumentSearch/DocumentDetail?doc_id=2015090900150001" target="_blank"&gt;Public Record Only&lt;/a&gt;</t>
  </si>
  <si>
    <t>&lt;a href="http://a836-acris.nyc.gov/DS/DocumentSearch/DocumentDetail?doc_id=2015082401798001" target="_blank"&gt;Public Record Only&lt;/a&gt;</t>
  </si>
  <si>
    <t>&lt;a href="http://a836-acris.nyc.gov/DS/DocumentSearch/DocumentDetail?doc_id=2015090300422001" target="_blank"&gt;Public Record Only&lt;/a&gt;</t>
  </si>
  <si>
    <t>&lt;a href="http://a836-acris.nyc.gov/DS/DocumentSearch/DocumentDetail?doc_id=2015081300835001" target="_blank"&gt;Public Record Only&lt;/a&gt;</t>
  </si>
  <si>
    <t>&lt;a href="http://a836-acris.nyc.gov/DS/DocumentSearch/DocumentDetail?doc_id=2015082401796001" target="_blank"&gt;Public Record Only&lt;/a&gt;</t>
  </si>
  <si>
    <t>&lt;a href="http://a836-acris.nyc.gov/DS/DocumentSearch/DocumentDetail?doc_id=2015091000747001" target="_blank"&gt;Public Record Only&lt;/a&gt;</t>
  </si>
  <si>
    <t>&lt;a href="http://a836-acris.nyc.gov/DS/DocumentSearch/DocumentDetail?doc_id=2015082401805001" target="_blank"&gt;Public Record Only&lt;/a&gt;</t>
  </si>
  <si>
    <t>&lt;a href="http://a836-acris.nyc.gov/DS/DocumentSearch/DocumentDetail?doc_id=2015091000738001" target="_blank"&gt;Public Record Only&lt;/a&gt;</t>
  </si>
  <si>
    <t>&lt;a href="http://a836-acris.nyc.gov/DS/DocumentSearch/DocumentDetail?doc_id=2015080900055001" target="_blank"&gt;Public Record Only&lt;/a&gt;</t>
  </si>
  <si>
    <t>&lt;a href="http://a836-acris.nyc.gov/DS/DocumentSearch/DocumentDetail?doc_id=2015080900026001" target="_blank"&gt;Public Record Only&lt;/a&gt;</t>
  </si>
  <si>
    <t>&lt;a href="http://a836-acris.nyc.gov/DS/DocumentSearch/DocumentDetail?doc_id=2015090100056001" target="_blank"&gt;Public Record Only&lt;/a&gt;</t>
  </si>
  <si>
    <t>&lt;a href="http://a836-acris.nyc.gov/DS/DocumentSearch/DocumentDetail?doc_id=2015090100675001" target="_blank"&gt;Public Record Only&lt;/a&gt;</t>
  </si>
  <si>
    <t>&lt;a href="http://a836-acris.nyc.gov/DS/DocumentSearch/DocumentDetail?doc_id=2015091001334001" target="_blank"&gt;Public Record Only&lt;/a&gt;</t>
  </si>
  <si>
    <t>&lt;a href="http://a836-acris.nyc.gov/DS/DocumentSearch/DocumentDetail?doc_id=2015090100053001" target="_blank"&gt;Public Record Only&lt;/a&gt;</t>
  </si>
  <si>
    <t>&lt;a href="http://a836-acris.nyc.gov/DS/DocumentSearch/DocumentDetail?doc_id=2015080900044001" target="_blank"&gt;Public Record Only&lt;/a&gt;</t>
  </si>
  <si>
    <t>&lt;a href="http://a836-acris.nyc.gov/DS/DocumentSearch/DocumentDetail?doc_id=2015081701139001" target="_blank"&gt;Public Record Only&lt;/a&gt;</t>
  </si>
  <si>
    <t>&lt;a href="http://a836-acris.nyc.gov/DS/DocumentSearch/DocumentDetail?doc_id=2015082501571001" target="_blank"&gt;Public Record Only&lt;/a&gt;</t>
  </si>
  <si>
    <t>&lt;a href="http://a836-acris.nyc.gov/DS/DocumentSearch/DocumentDetail?doc_id=2015082501581001" target="_blank"&gt;Public Record Only&lt;/a&gt;</t>
  </si>
  <si>
    <t>&lt;a href="http://a836-acris.nyc.gov/DS/DocumentSearch/DocumentDetail?doc_id=2015090100670001" target="_blank"&gt;Public Record Only&lt;/a&gt;</t>
  </si>
  <si>
    <t>&lt;a href="http://a836-acris.nyc.gov/DS/DocumentSearch/DocumentDetail?doc_id=2015081300845001" target="_blank"&gt;Public Record Only&lt;/a&gt;</t>
  </si>
  <si>
    <t>&lt;a href="http://a836-acris.nyc.gov/DS/DocumentSearch/DocumentDetail?doc_id=2015082401770001" target="_blank"&gt;Public Record Only&lt;/a&gt;</t>
  </si>
  <si>
    <t>&lt;a href="http://a836-acris.nyc.gov/DS/DocumentSearch/DocumentDetail?doc_id=2015090100039001" target="_blank"&gt;Public Record Only&lt;/a&gt;</t>
  </si>
  <si>
    <t>&lt;a href="http://a836-acris.nyc.gov/DS/DocumentSearch/DocumentDetail?doc_id=2015081200050001" target="_blank"&gt;Public Record Only&lt;/a&gt;</t>
  </si>
  <si>
    <t>&lt;a href="http://a836-acris.nyc.gov/DS/DocumentSearch/DocumentDetail?doc_id=2015081001536001" target="_blank"&gt;Public Record Only&lt;/a&gt;</t>
  </si>
  <si>
    <t>&lt;a href="http://a836-acris.nyc.gov/DS/DocumentSearch/DocumentDetail?doc_id=2015082401803001" target="_blank"&gt;Public Record Only&lt;/a&gt;</t>
  </si>
  <si>
    <t>&lt;a href="http://a836-acris.nyc.gov/DS/DocumentSearch/DocumentDetail?doc_id=2015081600060001" target="_blank"&gt;Public Record Only&lt;/a&gt;</t>
  </si>
  <si>
    <t>&lt;a href="http://a836-acris.nyc.gov/DS/DocumentSearch/DocumentDetail?doc_id=2015090300428001" target="_blank"&gt;Public Record Only&lt;/a&gt;</t>
  </si>
  <si>
    <t>&lt;a href="http://a836-acris.nyc.gov/DS/DocumentSearch/DocumentDetail?doc_id=2015081701092001" target="_blank"&gt;Public Record Only&lt;/a&gt;</t>
  </si>
  <si>
    <t>&lt;a href="http://a836-acris.nyc.gov/DS/DocumentSearch/DocumentDetail?doc_id=2015091000736001" target="_blank"&gt;Public Record Only&lt;/a&gt;</t>
  </si>
  <si>
    <t>&lt;a href="http://a836-acris.nyc.gov/DS/DocumentSearch/DocumentDetail?doc_id=2015080900038001" target="_blank"&gt;Public Record Only&lt;/a&gt;</t>
  </si>
  <si>
    <t>&lt;a href="http://a836-acris.nyc.gov/DS/DocumentSearch/DocumentDetail?doc_id=2015081701123001" target="_blank"&gt;Public Record Only&lt;/a&gt;</t>
  </si>
  <si>
    <t>&lt;a href="http://a836-acris.nyc.gov/DS/DocumentSearch/DocumentDetail?doc_id=2015090900141001" target="_blank"&gt;Public Record Only&lt;/a&gt;</t>
  </si>
  <si>
    <t>&lt;a href="http://a836-acris.nyc.gov/DS/DocumentSearch/DocumentDetail?doc_id=2015081200044001" target="_blank"&gt;Public Record Only&lt;/a&gt;</t>
  </si>
  <si>
    <t>&lt;a href="http://a836-acris.nyc.gov/DS/DocumentSearch/DocumentDetail?doc_id=2015090201212001" target="_blank"&gt;Public Record Only&lt;/a&gt;</t>
  </si>
  <si>
    <t>&lt;a href="http://a836-acris.nyc.gov/DS/DocumentSearch/DocumentDetail?doc_id=2015090300423001" target="_blank"&gt;Public Record Only&lt;/a&gt;</t>
  </si>
  <si>
    <t>&lt;a href="http://a836-acris.nyc.gov/DS/DocumentSearch/DocumentDetail?doc_id=2015081701130001" target="_blank"&gt;Public Record Only&lt;/a&gt;</t>
  </si>
  <si>
    <t>&lt;a href="http://a836-acris.nyc.gov/DS/DocumentSearch/DocumentDetail?doc_id=2015082401788001" target="_blank"&gt;Public Record Only&lt;/a&gt;</t>
  </si>
  <si>
    <t>&lt;a href="http://a836-acris.nyc.gov/DS/DocumentSearch/DocumentDetail?doc_id=2015082401767001" target="_blank"&gt;Public Record Only&lt;/a&gt;</t>
  </si>
  <si>
    <t>&lt;a href="http://a836-acris.nyc.gov/DS/DocumentSearch/DocumentDetail?doc_id=2015081001524001" target="_blank"&gt;Public Record Only&lt;/a&gt;</t>
  </si>
  <si>
    <t>&lt;a href="http://a836-acris.nyc.gov/DS/DocumentSearch/DocumentDetail?doc_id=2015090201196001" target="_blank"&gt;Public Record Only&lt;/a&gt;</t>
  </si>
  <si>
    <t>&lt;a href="http://a836-acris.nyc.gov/DS/DocumentSearch/DocumentDetail?doc_id=2015082401791001" target="_blank"&gt;Public Record Only&lt;/a&gt;</t>
  </si>
  <si>
    <t>&lt;a href="http://a836-acris.nyc.gov/DS/DocumentSearch/DocumentDetail?doc_id=2015090100045001" target="_blank"&gt;Public Record Only&lt;/a&gt;</t>
  </si>
  <si>
    <t>&lt;a href="http://a836-acris.nyc.gov/DS/DocumentSearch/DocumentDetail?doc_id=2015090201176001" target="_blank"&gt;Public Record Only&lt;/a&gt;</t>
  </si>
  <si>
    <t>&lt;a href="http://a836-acris.nyc.gov/DS/DocumentSearch/DocumentDetail?doc_id=2015082501553001" target="_blank"&gt;Public Record Only&lt;/a&gt;</t>
  </si>
  <si>
    <t>&lt;a href="http://a836-acris.nyc.gov/DS/DocumentSearch/DocumentDetail?doc_id=2015090100666001" target="_blank"&gt;Public Record Only&lt;/a&gt;</t>
  </si>
  <si>
    <t>&lt;a href="http://a836-acris.nyc.gov/DS/DocumentSearch/DocumentDetail?doc_id=2015080900039001" target="_blank"&gt;Public Record Only&lt;/a&gt;</t>
  </si>
  <si>
    <t>&lt;a href="http://a836-acris.nyc.gov/DS/DocumentSearch/DocumentDetail?doc_id=2015081600056001" target="_blank"&gt;Public Record Only&lt;/a&gt;</t>
  </si>
  <si>
    <t>&lt;a href="http://a836-acris.nyc.gov/DS/DocumentSearch/DocumentDetail?doc_id=2015082401772001" target="_blank"&gt;Public Record Only&lt;/a&gt;</t>
  </si>
  <si>
    <t>&lt;a href="http://a836-acris.nyc.gov/DS/DocumentSearch/DocumentDetail?doc_id=2015082501559001" target="_blank"&gt;Public Record Only&lt;/a&gt;</t>
  </si>
  <si>
    <t>&lt;a href="http://a836-acris.nyc.gov/DS/DocumentSearch/DocumentDetail?doc_id=2015090100684001" target="_blank"&gt;Public Record Only&lt;/a&gt;</t>
  </si>
  <si>
    <t>&lt;a href="http://a836-acris.nyc.gov/DS/DocumentSearch/DocumentDetail?doc_id=2015090100662001" target="_blank"&gt;Public Record Only&lt;/a&gt;</t>
  </si>
  <si>
    <t>&lt;a href="http://a836-acris.nyc.gov/DS/DocumentSearch/DocumentDetail?doc_id=2015081001531001" target="_blank"&gt;Public Record Only&lt;/a&gt;</t>
  </si>
  <si>
    <t>&lt;a href="http://a836-acris.nyc.gov/DS/DocumentSearch/DocumentDetail?doc_id=2015080900053001" target="_blank"&gt;Public Record Only&lt;/a&gt;</t>
  </si>
  <si>
    <t>&lt;a href="http://a836-acris.nyc.gov/DS/DocumentSearch/DocumentDetail?doc_id=2015090100043001" target="_blank"&gt;Public Record Only&lt;/a&gt;</t>
  </si>
  <si>
    <t>&lt;a href="http://a836-acris.nyc.gov/DS/DocumentSearch/DocumentDetail?doc_id=2015081600058001" target="_blank"&gt;Public Record Only&lt;/a&gt;</t>
  </si>
  <si>
    <t>&lt;a href="http://a836-acris.nyc.gov/DS/DocumentSearch/DocumentDetail?doc_id=2015082501495001" target="_blank"&gt;Public Record Only&lt;/a&gt;</t>
  </si>
  <si>
    <t>&lt;a href="http://a836-acris.nyc.gov/DS/DocumentSearch/DocumentDetail?doc_id=2015090201215001" target="_blank"&gt;Public Record Only&lt;/a&gt;</t>
  </si>
  <si>
    <t>&lt;a href="http://a836-acris.nyc.gov/DS/DocumentSearch/DocumentDetail?doc_id=2015080900042001" target="_blank"&gt;Public Record Only&lt;/a&gt;</t>
  </si>
  <si>
    <t>&lt;a href="http://a836-acris.nyc.gov/DS/DocumentSearch/DocumentDetail?doc_id=2015091000751001" target="_blank"&gt;Public Record Only&lt;/a&gt;</t>
  </si>
  <si>
    <t>&lt;a href="http://a836-acris.nyc.gov/DS/DocumentSearch/DocumentDetail?doc_id=2015080900059001" target="_blank"&gt;Public Record Only&lt;/a&gt;</t>
  </si>
  <si>
    <t>&lt;a href="http://a836-acris.nyc.gov/DS/DocumentSearch/DocumentDetail?doc_id=2015081300862001" target="_blank"&gt;Public Record Only&lt;/a&gt;</t>
  </si>
  <si>
    <t>&lt;a href="http://a836-acris.nyc.gov/DS/DocumentSearch/DocumentDetail?doc_id=2015082501492001" target="_blank"&gt;Public Record Only&lt;/a&gt;</t>
  </si>
  <si>
    <t>&lt;a href="http://a836-acris.nyc.gov/DS/DocumentSearch/DocumentDetail?doc_id=2015090100050001" target="_blank"&gt;Public Record Only&lt;/a&gt;</t>
  </si>
  <si>
    <t>&lt;a href="http://a836-acris.nyc.gov/DS/DocumentSearch/DocumentDetail?doc_id=2015081300832001" target="_blank"&gt;Public Record Only&lt;/a&gt;</t>
  </si>
  <si>
    <t>&lt;a href="http://a836-acris.nyc.gov/DS/DocumentSearch/DocumentDetail?doc_id=2015082401794001" target="_blank"&gt;Public Record Only&lt;/a&gt;</t>
  </si>
  <si>
    <t>&lt;a href="http://a836-acris.nyc.gov/DS/DocumentSearch/DocumentDetail?doc_id=2015081001529001" target="_blank"&gt;Public Record Only&lt;/a&gt;</t>
  </si>
  <si>
    <t>&lt;a href="http://a836-acris.nyc.gov/DS/DocumentSearch/DocumentDetail?doc_id=2015082501499001" target="_blank"&gt;Public Record Only&lt;/a&gt;</t>
  </si>
  <si>
    <t>&lt;a href="http://a836-acris.nyc.gov/DS/DocumentSearch/DocumentDetail?doc_id=2015091000759001" target="_blank"&gt;Public Record Only&lt;/a&gt;</t>
  </si>
  <si>
    <t>&lt;a href="http://a836-acris.nyc.gov/DS/DocumentSearch/DocumentDetail?doc_id=2015081600057001" target="_blank"&gt;Public Record Only&lt;/a&gt;</t>
  </si>
  <si>
    <t>&lt;a href="http://a836-acris.nyc.gov/DS/DocumentSearch/DocumentDetail?doc_id=2015090100038001" target="_blank"&gt;Public Record Only&lt;/a&gt;</t>
  </si>
  <si>
    <t>&lt;a href="http://a836-acris.nyc.gov/DS/DocumentSearch/DocumentDetail?doc_id=2015090100055001" target="_blank"&gt;Public Record Only&lt;/a&gt;</t>
  </si>
  <si>
    <t>&lt;a href="http://a836-acris.nyc.gov/DS/DocumentSearch/DocumentDetail?doc_id=2020060200997001" target="_blank"&gt;Verified by Public Record&lt;/a&gt;</t>
  </si>
  <si>
    <t>&lt;a href="http://a836-acris.nyc.gov/DS/DocumentSearch/DocumentDetail?doc_id=2020060900410002" target="_blank"&gt;Verified by Public Record&lt;/a&gt;</t>
  </si>
  <si>
    <t>&lt;a href="http://a836-acris.nyc.gov/DS/DocumentSearch/DocumentDetail?doc_id=2020052800872006" target="_blank"&gt;Public Record Only&lt;/a&gt;</t>
  </si>
  <si>
    <t>&lt;a href="http://a836-acris.nyc.gov/DS/DocumentSearch/DocumentDetail?doc_id=2020060900745003" target="_blank"&gt;Verified by Public Record&lt;/a&gt;</t>
  </si>
  <si>
    <t>&lt;a href="http://a836-acris.nyc.gov/DS/DocumentSearch/DocumentDetail?doc_id=2020061500926003" target="_blank"&gt;Verified by Public Record&lt;/a&gt;</t>
  </si>
  <si>
    <t>&lt;a href="http://a836-acris.nyc.gov/DS/DocumentSearch/DocumentDetail?doc_id=2020061600429002" target="_blank"&gt;Public Record Only&lt;/a&gt;</t>
  </si>
  <si>
    <t>&lt;a href="http://a836-acris.nyc.gov/DS/DocumentSearch/DocumentDetail?doc_id=2020061600768001" target="_blank"&gt;Public Record Only&lt;/a&gt;</t>
  </si>
  <si>
    <t>&lt;a href="http://a836-acris.nyc.gov/DS/DocumentSearch/DocumentDetail?doc_id=2020062500904001" target="_blank"&gt;Public Record Only&lt;/a&gt;</t>
  </si>
  <si>
    <t>&lt;a href="http://a836-acris.nyc.gov/DS/DocumentSearch/DocumentDetail?doc_id=2020072100476002" target="_blank"&gt;Verified by Public Record&lt;/a&gt;</t>
  </si>
  <si>
    <t>&lt;a href="http://a836-acris.nyc.gov/DS/DocumentSearch/DocumentDetail?doc_id=2020070701133001" target="_blank"&gt;Public Record Only&lt;/a&gt;</t>
  </si>
  <si>
    <t>&lt;a href="http://a836-acris.nyc.gov/DS/DocumentSearch/DocumentDetail?doc_id=2020071300534002" target="_blank"&gt;Public Record Only&lt;/a&gt;</t>
  </si>
  <si>
    <t>&lt;a href="http://a836-acris.nyc.gov/DS/DocumentSearch/DocumentDetail?doc_id=2020071501017001" target="_blank"&gt;Verified by Public Record&lt;/a&gt;</t>
  </si>
  <si>
    <t>&lt;a href="http://a836-acris.nyc.gov/DS/DocumentSearch/DocumentDetail?doc_id=2020072000308003" target="_blank"&gt;Verified by Public Record&lt;/a&gt;</t>
  </si>
  <si>
    <t>&lt;a href="http://a836-acris.nyc.gov/DS/DocumentSearch/DocumentDetail?doc_id=2020071600812001" target="_blank"&gt;Public Record Only&lt;/a&gt;</t>
  </si>
  <si>
    <t>&lt;a href="http://a836-acris.nyc.gov/DS/DocumentSearch/DocumentDetail?doc_id=2020073000441001" target="_blank"&gt;Public Record Only&lt;/a&gt;</t>
  </si>
  <si>
    <t>&lt;a href="http://a836-acris.nyc.gov/DS/DocumentSearch/DocumentDetail?doc_id=2020072900810001" target="_blank"&gt;Public Record Only&lt;/a&gt;</t>
  </si>
  <si>
    <t>&lt;a href="http://a836-acris.nyc.gov/DS/DocumentSearch/DocumentDetail?doc_id=2020072901093006" target="_blank"&gt;Public Record Only&lt;/a&gt;</t>
  </si>
  <si>
    <t>&lt;a href="http://a836-acris.nyc.gov/DS/DocumentSearch/DocumentDetail?doc_id=2020081100615001" target="_blank"&gt;Public Record Only&lt;/a&gt;</t>
  </si>
  <si>
    <t>&lt;a href="http://a836-acris.nyc.gov/DS/DocumentSearch/DocumentDetail?doc_id=2020071800001001" target="_blank"&gt;Public Record Only&lt;/a&gt;</t>
  </si>
  <si>
    <t>&lt;a href="http://a836-acris.nyc.gov/DS/DocumentSearch/DocumentDetail?doc_id=2020081300383003" target="_blank"&gt;Public Record Only&lt;/a&gt;</t>
  </si>
  <si>
    <t>&lt;a href="http://a836-acris.nyc.gov/DS/DocumentSearch/DocumentDetail?doc_id=2020081800043001" target="_blank"&gt;Public Record Only&lt;/a&gt;</t>
  </si>
  <si>
    <t>&lt;a href="http://a836-acris.nyc.gov/DS/DocumentSearch/DocumentDetail?doc_id=2020081900248002" target="_blank"&gt;Public Record Only&lt;/a&gt;</t>
  </si>
  <si>
    <t>&lt;a href="http://a836-acris.nyc.gov/DS/DocumentSearch/DocumentDetail?doc_id=2020082000927001" target="_blank"&gt;Public Record Only&lt;/a&gt;</t>
  </si>
  <si>
    <t>&lt;a href="http://a836-acris.nyc.gov/DS/DocumentSearch/DocumentDetail?doc_id=2020082000825001" target="_blank"&gt;Public Record Only&lt;/a&gt;</t>
  </si>
  <si>
    <t>&lt;a href="http://a836-acris.nyc.gov/DS/DocumentSearch/DocumentDetail?doc_id=2018082100845001" target="_blank"&gt;Public Record Only&lt;/a&gt;</t>
  </si>
  <si>
    <t>&lt;a href="http://a836-acris.nyc.gov/DS/DocumentSearch/DocumentDetail?doc_id=2020090900063001" target="_blank"&gt;Public Record Only&lt;/a&gt;</t>
  </si>
  <si>
    <t>&lt;a href="http://a836-acris.nyc.gov/DS/DocumentSearch/DocumentDetail?doc_id=2020090201017003" target="_blank"&gt;Public Record Only&lt;/a&gt;</t>
  </si>
  <si>
    <t>&lt;a href="http://a836-acris.nyc.gov/DS/DocumentSearch/DocumentDetail?doc_id=2020090800326002" target="_blank"&gt;Public Record Only&lt;/a&gt;</t>
  </si>
  <si>
    <t>&lt;a href="http://a836-acris.nyc.gov/DS/DocumentSearch/DocumentDetail?doc_id=2020091101017001" target="_blank"&gt;Public Record Only&lt;/a&gt;</t>
  </si>
  <si>
    <t>&lt;a href="http://a836-acris.nyc.gov/DS/DocumentSearch/DocumentDetail?doc_id=2020090800541001" target="_blank"&gt;Public Record Only&lt;/a&gt;</t>
  </si>
  <si>
    <t>&lt;a href="http://a836-acris.nyc.gov/DS/DocumentSearch/DocumentDetail?doc_id=2020051300279001" target="_blank"&gt;Public Record Only&lt;/a&gt;</t>
  </si>
  <si>
    <t>&lt;a href="http://a836-acris.nyc.gov/DS/DocumentSearch/DocumentDetail?doc_id=2020091800177002" target="_blank"&gt;Public Record Only&lt;/a&gt;</t>
  </si>
  <si>
    <t>&lt;a href="http://a836-acris.nyc.gov/DS/DocumentSearch/DocumentDetail?doc_id=2020093000586001" target="_blank"&gt;Public Record Only&lt;/a&gt;</t>
  </si>
  <si>
    <t>&lt;a href="http://a836-acris.nyc.gov/DS/DocumentSearch/DocumentDetail?doc_id=2018070300943001" target="_blank"&gt;Public Record Only&lt;/a&gt;</t>
  </si>
  <si>
    <t>&lt;a href="http://a836-acris.nyc.gov/DS/DocumentSearch/DocumentDetail?doc_id=2020102800327006" target="_blank"&gt;Public Record Only&lt;/a&gt;</t>
  </si>
  <si>
    <t>&lt;a href="http://a836-acris.nyc.gov/DS/DocumentSearch/DocumentDetail?doc_id=2020110500014002" target="_blank"&gt;Public Record Only&lt;/a&gt;</t>
  </si>
  <si>
    <t>&lt;a href="http://a836-acris.nyc.gov/DS/DocumentSearch/DocumentDetail?doc_id=2020102700439001" target="_blank"&gt;Public Record Only&lt;/a&gt;</t>
  </si>
  <si>
    <t>&lt;a href="http://a836-acris.nyc.gov/DS/DocumentSearch/DocumentDetail?doc_id=2020102300729002" target="_blank"&gt;Public Record Only&lt;/a&gt;</t>
  </si>
  <si>
    <t>&lt;a href="http://a836-acris.nyc.gov/DS/DocumentSearch/DocumentDetail?doc_id=2020102400054001" target="_blank"&gt;Public Record Only&lt;/a&gt;</t>
  </si>
  <si>
    <t>&lt;a href="http://a836-acris.nyc.gov/DS/DocumentSearch/DocumentDetail?doc_id=2020100600542001" target="_blank"&gt;Public Record Only&lt;/a&gt;</t>
  </si>
  <si>
    <t>&lt;a href="http://a836-acris.nyc.gov/DS/DocumentSearch/DocumentDetail?doc_id=2020101900854001" target="_blank"&gt;Public Record Only&lt;/a&gt;</t>
  </si>
  <si>
    <t>&lt;a href="http://a836-acris.nyc.gov/DS/DocumentSearch/DocumentDetail?doc_id=2020101300738001" target="_blank"&gt;Public Record Only&lt;/a&gt;</t>
  </si>
  <si>
    <t>&lt;a href="http://a836-acris.nyc.gov/DS/DocumentSearch/DocumentDetail?doc_id=2020111701241001" target="_blank"&gt;Public Record Only&lt;/a&gt;</t>
  </si>
  <si>
    <t>&lt;a href="http://a836-acris.nyc.gov/DS/DocumentSearch/DocumentDetail?doc_id=2020113000716007" target="_blank"&gt;Public Record Only&lt;/a&gt;</t>
  </si>
  <si>
    <t>&lt;a href="http://a836-acris.nyc.gov/DS/DocumentSearch/DocumentDetail?doc_id=2020120200142003" target="_blank"&gt;Public Record Only&lt;/a&gt;</t>
  </si>
  <si>
    <t>&lt;a href="http://a836-acris.nyc.gov/DS/DocumentSearch/DocumentDetail?doc_id=2020091700592001" target="_blank"&gt;Public Record Only&lt;/a&gt;</t>
  </si>
  <si>
    <t>&lt;a href="http://a836-acris.nyc.gov/DS/DocumentSearch/DocumentDetail?doc_id=2020122301307003" target="_blank"&gt;Public Record Only&lt;/a&gt;</t>
  </si>
  <si>
    <t>&lt;a href="http://a836-acris.nyc.gov/DS/DocumentSearch/DocumentDetail?doc_id=2020122400107002" target="_blank"&gt;Public Record Only&lt;/a&gt;</t>
  </si>
  <si>
    <t>&lt;a href="http://a836-acris.nyc.gov/DS/DocumentSearch/DocumentDetail?doc_id=2020121801082003" target="_blank"&gt;Public Record Only&lt;/a&gt;</t>
  </si>
  <si>
    <t>&lt;a href="http://a836-acris.nyc.gov/DS/DocumentSearch/DocumentDetail?doc_id=2020121600904006" target="_blank"&gt;Public Record Only&lt;/a&gt;</t>
  </si>
  <si>
    <t>&lt;a href="http://a836-acris.nyc.gov/DS/DocumentSearch/DocumentDetail?doc_id=2021010500260001" target="_blank"&gt;Public Record Only&lt;/a&gt;</t>
  </si>
  <si>
    <t>&lt;a href="http://a836-acris.nyc.gov/DS/DocumentSearch/DocumentDetail?doc_id=2021011401280006" target="_blank"&gt;Public Record Only&lt;/a&gt;</t>
  </si>
  <si>
    <t>&lt;a href="http://a836-acris.nyc.gov/DS/DocumentSearch/DocumentDetail?doc_id=2020121000949001" target="_blank"&gt;Public Record Only&lt;/a&gt;</t>
  </si>
  <si>
    <t>&lt;a href="http://a836-acris.nyc.gov/DS/DocumentSearch/DocumentDetail?doc_id=2021012300095001" target="_blank"&gt;Public Record Only&lt;/a&gt;</t>
  </si>
  <si>
    <t>&lt;a href="http://a836-acris.nyc.gov/DS/DocumentSearch/DocumentDetail?doc_id=2021011201477001" target="_blank"&gt;Public Record Only&lt;/a&gt;</t>
  </si>
  <si>
    <t>&lt;a href="http://a836-acris.nyc.gov/DS/DocumentSearch/DocumentDetail?doc_id=2021012100495002" target="_blank"&gt;Public Record Only&lt;/a&gt;</t>
  </si>
  <si>
    <t>&lt;a href="http://a836-acris.nyc.gov/DS/DocumentSearch/DocumentDetail?doc_id=2021012600981001" target="_blank"&gt;Public Record Only&lt;/a&gt;</t>
  </si>
  <si>
    <t>&lt;a href="http://a836-acris.nyc.gov/DS/DocumentSearch/DocumentDetail?doc_id=2021011101504001" target="_blank"&gt;Public Record Only&lt;/a&gt;</t>
  </si>
  <si>
    <t>&lt;a href="http://a836-acris.nyc.gov/DS/DocumentSearch/DocumentDetail?doc_id=2021013000018001" target="_blank"&gt;Public Record Only&lt;/a&gt;</t>
  </si>
  <si>
    <t>&lt;a href="http://a836-acris.nyc.gov/DS/DocumentSearch/DocumentDetail?doc_id=2021012600713001" target="_blank"&gt;Public Record Only&lt;/a&gt;</t>
  </si>
  <si>
    <t>&lt;a href="http://a836-acris.nyc.gov/DS/DocumentSearch/DocumentDetail?doc_id=2021020400191003" target="_blank"&gt;Public Record Only&lt;/a&gt;</t>
  </si>
  <si>
    <t>&lt;a href="http://a836-acris.nyc.gov/DS/DocumentSearch/DocumentDetail?doc_id=2018090400062001" target="_blank"&gt;Public Record Only&lt;/a&gt;</t>
  </si>
  <si>
    <t>&lt;a href="http://a836-acris.nyc.gov/DS/DocumentSearch/DocumentDetail?doc_id=2018090500734001" target="_blank"&gt;Public Record Only&lt;/a&gt;</t>
  </si>
  <si>
    <t>&lt;a href="http://a836-acris.nyc.gov/DS/DocumentSearch/DocumentDetail?doc_id=2021020500961002" target="_blank"&gt;Public Record Only&lt;/a&gt;</t>
  </si>
  <si>
    <t>&lt;a href="http://a836-acris.nyc.gov/DS/DocumentSearch/DocumentDetail?doc_id=2021020401186001" target="_blank"&gt;Public Record Only&lt;/a&gt;</t>
  </si>
  <si>
    <t>&lt;a href="http://a836-acris.nyc.gov/DS/DocumentSearch/DocumentDetail?doc_id=2018090500074001" target="_blank"&gt;Public Record Only&lt;/a&gt;</t>
  </si>
  <si>
    <t>&lt;a href="http://a836-acris.nyc.gov/DS/DocumentSearch/DocumentDetail?doc_id=2021021300111002" target="_blank"&gt;Public Record Only&lt;/a&gt;</t>
  </si>
  <si>
    <t>&lt;a href="http://a836-acris.nyc.gov/DS/DocumentSearch/DocumentDetail?doc_id=2020082500697002" target="_blank"&gt;Public Record Only&lt;/a&gt;</t>
  </si>
  <si>
    <t>&lt;a href="http://a836-acris.nyc.gov/DS/DocumentSearch/DocumentDetail?doc_id=2021021600787002" target="_blank"&gt;Public Record Only&lt;/a&gt;</t>
  </si>
  <si>
    <t>&lt;a href="http://a836-acris.nyc.gov/DS/DocumentSearch/DocumentDetail?doc_id=2021030200427002" target="_blank"&gt;Public Record Only&lt;/a&gt;</t>
  </si>
  <si>
    <t>&lt;a href="http://a836-acris.nyc.gov/DS/DocumentSearch/DocumentDetail?doc_id=2021030200501003" target="_blank"&gt;Public Record Only&lt;/a&gt;</t>
  </si>
  <si>
    <t>&lt;a href="http://a836-acris.nyc.gov/DS/DocumentSearch/DocumentDetail?doc_id=2021031100296001" target="_blank"&gt;Public Record Only&lt;/a&gt;</t>
  </si>
  <si>
    <t>&lt;a href="http://a836-acris.nyc.gov/DS/DocumentSearch/DocumentDetail?doc_id=2021020801106004" target="_blank"&gt;Public Record Only&lt;/a&gt;</t>
  </si>
  <si>
    <t>&lt;a href="http://a836-acris.nyc.gov/DS/DocumentSearch/DocumentDetail?doc_id=2021032400740001" target="_blank"&gt;Public Record Only&lt;/a&gt;</t>
  </si>
  <si>
    <t>&lt;a href="http://a836-acris.nyc.gov/DS/DocumentSearch/DocumentDetail?doc_id=2021032301080001" target="_blank"&gt;Public Record Only&lt;/a&gt;</t>
  </si>
  <si>
    <t>&lt;a href="http://a836-acris.nyc.gov/DS/DocumentSearch/DocumentDetail?doc_id=2021032401171002" target="_blank"&gt;Verified by Public Record&lt;/a&gt;</t>
  </si>
  <si>
    <t>&lt;a href="http://a836-acris.nyc.gov/DS/DocumentSearch/DocumentDetail?doc_id=2018091001077002" target="_blank"&gt;Public Record Only&lt;/a&gt;</t>
  </si>
  <si>
    <t>&lt;a href="http://a836-acris.nyc.gov/DS/DocumentSearch/DocumentDetail?doc_id=2021032901206001" target="_blank"&gt;Public Record Only&lt;/a&gt;</t>
  </si>
  <si>
    <t>&lt;a href="http://a836-acris.nyc.gov/DS/DocumentSearch/DocumentDetail?doc_id=2021040100684003" target="_blank"&gt;Public Record Only&lt;/a&gt;</t>
  </si>
  <si>
    <t>&lt;a href="http://a836-acris.nyc.gov/DS/DocumentSearch/DocumentDetail?doc_id=2021040900218002" target="_blank"&gt;Public Record Only&lt;/a&gt;</t>
  </si>
  <si>
    <t>&lt;a href="http://a836-acris.nyc.gov/DS/DocumentSearch/DocumentDetail?doc_id=2021040800393001" target="_blank"&gt;Public Record Only&lt;/a&gt;</t>
  </si>
  <si>
    <t>&lt;a href="http://a836-acris.nyc.gov/DS/DocumentSearch/DocumentDetail?doc_id=2021041201302001" target="_blank"&gt;Public Record Only&lt;/a&gt;</t>
  </si>
  <si>
    <t>&lt;a href="http://a836-acris.nyc.gov/DS/DocumentSearch/DocumentDetail?doc_id=2021041201250001" target="_blank"&gt;Public Record Only&lt;/a&gt;</t>
  </si>
  <si>
    <t>&lt;a href="http://a836-acris.nyc.gov/DS/DocumentSearch/DocumentDetail?doc_id=2021041200498001" target="_blank"&gt;Public Record Only&lt;/a&gt;</t>
  </si>
  <si>
    <t>&lt;a href="http://a836-acris.nyc.gov/DS/DocumentSearch/DocumentDetail?doc_id=2021042000984001" target="_blank"&gt;Public Record Only&lt;/a&gt;</t>
  </si>
  <si>
    <t>&lt;a href="http://a836-acris.nyc.gov/DS/DocumentSearch/DocumentDetail?doc_id=2021041901103004" target="_blank"&gt;Public Record Only&lt;/a&gt;</t>
  </si>
  <si>
    <t>&lt;a href="http://a836-acris.nyc.gov/DS/DocumentSearch/DocumentDetail?doc_id=2021041901358001" target="_blank"&gt;Public Record Only&lt;/a&gt;</t>
  </si>
  <si>
    <t>&lt;a href="http://a836-acris.nyc.gov/DS/DocumentSearch/DocumentDetail?doc_id=2021042001477001" target="_blank"&gt;Public Record Only&lt;/a&gt;</t>
  </si>
  <si>
    <t>&lt;a href="http://a836-acris.nyc.gov/DS/DocumentSearch/DocumentDetail?doc_id=2021012800637009" target="_blank"&gt;Public Record Only&lt;/a&gt;</t>
  </si>
  <si>
    <t>&lt;a href="http://a836-acris.nyc.gov/DS/DocumentSearch/DocumentDetail?doc_id=2021050300849001" target="_blank"&gt;Public Record Only&lt;/a&gt;</t>
  </si>
  <si>
    <t>&lt;a href="http://a836-acris.nyc.gov/DS/DocumentSearch/DocumentDetail?doc_id=2021033000039001" target="_blank"&gt;Public Record Only&lt;/a&gt;</t>
  </si>
  <si>
    <t>&lt;a href="http://a836-acris.nyc.gov/DS/DocumentSearch/DocumentDetail?doc_id=2021050301195001" target="_blank"&gt;Public Record Only&lt;/a&gt;</t>
  </si>
  <si>
    <t>&lt;a href="http://a836-acris.nyc.gov/DS/DocumentSearch/DocumentDetail?doc_id=2021051701149001" target="_blank"&gt;Public Record Only&lt;/a&gt;</t>
  </si>
  <si>
    <t>&lt;a href="http://a836-acris.nyc.gov/DS/DocumentSearch/DocumentDetail?doc_id=2021052400242003" target="_blank"&gt;Public Record Only&lt;/a&gt;</t>
  </si>
  <si>
    <t>&lt;a href="http://a836-acris.nyc.gov/DS/DocumentSearch/DocumentDetail?doc_id=2021052701382003" target="_blank"&gt;Public Record Only&lt;/a&gt;</t>
  </si>
  <si>
    <t>&lt;a href="http://a836-acris.nyc.gov/DS/DocumentSearch/DocumentDetail?doc_id=2021060700716001" target="_blank"&gt;Public Record Only&lt;/a&gt;</t>
  </si>
  <si>
    <t>&lt;a href="http://a836-acris.nyc.gov/DS/DocumentSearch/DocumentDetail?doc_id=2021060901551001" target="_blank"&gt;Public Record Only&lt;/a&gt;</t>
  </si>
  <si>
    <t>&lt;a href="http://a836-acris.nyc.gov/DS/DocumentSearch/DocumentDetail?doc_id=2021060901293001" target="_blank"&gt;Public Record Only&lt;/a&gt;</t>
  </si>
  <si>
    <t>&lt;a href="http://a836-acris.nyc.gov/DS/DocumentSearch/DocumentDetail?doc_id=2021060900459001" target="_blank"&gt;Public Record Only&lt;/a&gt;</t>
  </si>
  <si>
    <t>&lt;a href="http://a836-acris.nyc.gov/DS/DocumentSearch/DocumentDetail?doc_id=2021061001518001" target="_blank"&gt;Public Record Only&lt;/a&gt;</t>
  </si>
  <si>
    <t>&lt;a href="http://a836-acris.nyc.gov/DS/DocumentSearch/DocumentDetail?doc_id=2021061501398001" target="_blank"&gt;Public Record Only&lt;/a&gt;</t>
  </si>
  <si>
    <t>&lt;a href="http://a836-acris.nyc.gov/DS/DocumentSearch/DocumentDetail?doc_id=2021052701355001" target="_blank"&gt;Public Record Only&lt;/a&gt;</t>
  </si>
  <si>
    <t>&lt;a href="http://a836-acris.nyc.gov/DS/DocumentSearch/DocumentDetail?doc_id=2021062101339001" target="_blank"&gt;Public Record Only&lt;/a&gt;</t>
  </si>
  <si>
    <t>&lt;a href="http://a836-acris.nyc.gov/DS/DocumentSearch/DocumentDetail?doc_id=2018091900251001" target="_blank"&gt;Public Record Only&lt;/a&gt;</t>
  </si>
  <si>
    <t>&lt;a href="http://a836-acris.nyc.gov/DS/DocumentSearch/DocumentDetail?doc_id=2021052701153004" target="_blank"&gt;Public Record Only&lt;/a&gt;</t>
  </si>
  <si>
    <t>&lt;a href="http://a836-acris.nyc.gov/DS/DocumentSearch/DocumentDetail?doc_id=2021062400185002" target="_blank"&gt;Public Record Only&lt;/a&gt;</t>
  </si>
  <si>
    <t>&lt;a href="http://a836-acris.nyc.gov/DS/DocumentSearch/DocumentDetail?doc_id=2021062201208001" target="_blank"&gt;Public Record Only&lt;/a&gt;</t>
  </si>
  <si>
    <t>&lt;a href="http://a836-acris.nyc.gov/DS/DocumentSearch/DocumentDetail?doc_id=2021062600074001" target="_blank"&gt;Public Record Only&lt;/a&gt;</t>
  </si>
  <si>
    <t>&lt;a href="http://a836-acris.nyc.gov/DS/DocumentSearch/DocumentDetail?doc_id=2021062600040001" target="_blank"&gt;Public Record Only&lt;/a&gt;</t>
  </si>
  <si>
    <t>&lt;a href="http://a836-acris.nyc.gov/DS/DocumentSearch/DocumentDetail?doc_id=2021062600110001" target="_blank"&gt;Public Record Only&lt;/a&gt;</t>
  </si>
  <si>
    <t>&lt;a href="http://a836-acris.nyc.gov/DS/DocumentSearch/DocumentDetail?doc_id=2021062801631001" target="_blank"&gt;Public Record Only&lt;/a&gt;</t>
  </si>
  <si>
    <t>&lt;a href="http://a836-acris.nyc.gov/DS/DocumentSearch/DocumentDetail?doc_id=2021060700408001" target="_blank"&gt;Public Record Only&lt;/a&gt;</t>
  </si>
  <si>
    <t>&lt;a href="http://a836-acris.nyc.gov/DS/DocumentSearch/DocumentDetail?doc_id=2021063000875004" target="_blank"&gt;Public Record Only&lt;/a&gt;</t>
  </si>
  <si>
    <t>&lt;a href="http://a836-acris.nyc.gov/DS/DocumentSearch/DocumentDetail?doc_id=2021031200520002" target="_blank"&gt;Public Record Only&lt;/a&gt;</t>
  </si>
  <si>
    <t>&lt;a href="http://a836-acris.nyc.gov/DS/DocumentSearch/DocumentDetail?doc_id=2021031200180001" target="_blank"&gt;Public Record Only&lt;/a&gt;</t>
  </si>
  <si>
    <t>&lt;a href="http://a836-acris.nyc.gov/DS/DocumentSearch/DocumentDetail?doc_id=2021070601227004" target="_blank"&gt;Public Record Only&lt;/a&gt;</t>
  </si>
  <si>
    <t>&lt;a href="http://a836-acris.nyc.gov/DS/DocumentSearch/DocumentDetail?doc_id=2021071501758001" target="_blank"&gt;Public Record Only&lt;/a&gt;</t>
  </si>
  <si>
    <t>&lt;a href="http://a836-acris.nyc.gov/DS/DocumentSearch/DocumentDetail?doc_id=2021071900663001" target="_blank"&gt;Public Record Only&lt;/a&gt;</t>
  </si>
  <si>
    <t>&lt;a href="http://a836-acris.nyc.gov/DS/DocumentSearch/DocumentDetail?doc_id=2021070800105001" target="_blank"&gt;Public Record Only&lt;/a&gt;</t>
  </si>
  <si>
    <t>&lt;a href="http://a836-acris.nyc.gov/DS/DocumentSearch/DocumentDetail?doc_id=2018100300730001" target="_blank"&gt;Public Record Only&lt;/a&gt;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</si>
</sst>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$&quot;#,##0"/>
    <numFmt numFmtId="177" formatCode="yyyy\-mm\-dd"/>
  </numFmts>
  <fonts count="4" x14ac:knownFonts="1">
    <font>
      <sz val="10"/>
      <color rgb="FF000000"/>
      <name val="Arial"/>
    </font>
    <font>
      <sz val="10"/>
      <name val="Arial"/>
      <family val="2"/>
    </font>
    <font>
      <u/>
      <sz val="10"/>
      <color rgb="FF0000FF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176" fontId="1" fillId="0" borderId="0" xfId="0" applyNumberFormat="1" applyFont="1" applyAlignment="1"/>
    <xf numFmtId="3" fontId="1" fillId="0" borderId="0" xfId="0" applyNumberFormat="1" applyFont="1" applyAlignment="1"/>
    <xf numFmtId="177" fontId="1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M3689"/>
  <sheetViews>
    <sheetView tabSelected="1" workbookViewId="0">
      <selection activeCell="D3" sqref="D3"/>
    </sheetView>
  </sheetViews>
  <sheetFormatPr defaultColWidth="14.42578125" defaultRowHeight="15.75" customHeight="1" x14ac:dyDescent="0.2"/>
  <sheetData>
    <row r="1" spans="1:39" x14ac:dyDescent="0.2">
      <c r="A1" s="1" t="s">
        <v>0</v>
      </c>
    </row>
    <row r="2" spans="1:39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  <c r="AG2" s="1" t="s">
        <v>33</v>
      </c>
      <c r="AH2" s="1" t="s">
        <v>34</v>
      </c>
      <c r="AI2" s="1" t="s">
        <v>35</v>
      </c>
      <c r="AJ2" s="1" t="s">
        <v>36</v>
      </c>
      <c r="AK2" s="1" t="s">
        <v>37</v>
      </c>
      <c r="AL2" s="1" t="s">
        <v>38</v>
      </c>
      <c r="AM2" s="1" t="s">
        <v>39</v>
      </c>
    </row>
    <row r="3" spans="1:39" x14ac:dyDescent="0.2">
      <c r="A3" s="2" t="str">
        <f>HYPERLINK("https://www.compass.com/listing/100-barclay-street-unit-15k-manhattan-ny-10007/849933354718706905/","100 Barclay St, Unit 15K")</f>
        <v>100 Barclay St, Unit 15K</v>
      </c>
      <c r="B3" s="2" t="str">
        <f>HYPERLINK("https://www.compass.com/building/100-barclay-manhattan-ny/281896670466155525/","100 Barclay")</f>
        <v>100 Barclay</v>
      </c>
      <c r="C3" s="1" t="s">
        <v>40</v>
      </c>
      <c r="D3" s="1" t="s">
        <v>41</v>
      </c>
      <c r="E3" s="3">
        <v>2800000</v>
      </c>
      <c r="F3" s="1">
        <v>1865.4230512991301</v>
      </c>
      <c r="G3" s="1">
        <v>5.5</v>
      </c>
      <c r="H3" s="1">
        <v>2</v>
      </c>
      <c r="I3" s="1">
        <v>3</v>
      </c>
      <c r="J3" s="1">
        <v>2.5</v>
      </c>
      <c r="K3" s="1">
        <v>2</v>
      </c>
      <c r="L3" s="1">
        <v>1</v>
      </c>
      <c r="M3" s="4">
        <v>1501</v>
      </c>
      <c r="N3" s="1">
        <v>2164.02</v>
      </c>
      <c r="O3" s="1">
        <v>4214.54</v>
      </c>
      <c r="P3" s="1">
        <v>2050.5</v>
      </c>
      <c r="S3" s="1" t="s">
        <v>42</v>
      </c>
      <c r="T3" s="1" t="s">
        <v>43</v>
      </c>
      <c r="U3" s="1">
        <v>2</v>
      </c>
      <c r="V3" s="5">
        <v>44425</v>
      </c>
      <c r="W3" s="5">
        <v>44425</v>
      </c>
      <c r="X3" s="1">
        <v>2800000</v>
      </c>
      <c r="AB3" s="1" t="s">
        <v>44</v>
      </c>
      <c r="AF3" s="1">
        <v>10007</v>
      </c>
      <c r="AI3" s="1" t="s">
        <v>45</v>
      </c>
      <c r="AJ3" s="1">
        <v>1930</v>
      </c>
      <c r="AK3" s="1" t="s">
        <v>46</v>
      </c>
      <c r="AL3" s="1">
        <v>156</v>
      </c>
    </row>
    <row r="4" spans="1:39" x14ac:dyDescent="0.2">
      <c r="A4" s="2" t="str">
        <f>HYPERLINK("https://www.compass.com/listing/570-broome-street-unit-16b-manhattan-ny-10013/850656586862051121/","570 Broome St, Unit 16B")</f>
        <v>570 Broome St, Unit 16B</v>
      </c>
      <c r="B4" s="2" t="str">
        <f>HYPERLINK("https://www.compass.com/building/570-broome-manhattan-ny/292818583757562981/","570 Broome")</f>
        <v>570 Broome</v>
      </c>
      <c r="C4" s="1" t="s">
        <v>47</v>
      </c>
      <c r="D4" s="1" t="s">
        <v>41</v>
      </c>
      <c r="E4" s="3">
        <v>2950000</v>
      </c>
      <c r="F4" s="1">
        <v>2493.6601859678699</v>
      </c>
      <c r="G4" s="1">
        <v>4</v>
      </c>
      <c r="H4" s="1">
        <v>2</v>
      </c>
      <c r="I4" s="1">
        <v>3</v>
      </c>
      <c r="J4" s="1">
        <v>2.5</v>
      </c>
      <c r="K4" s="1">
        <v>2</v>
      </c>
      <c r="L4" s="1">
        <v>1</v>
      </c>
      <c r="M4" s="4">
        <v>1183</v>
      </c>
      <c r="N4" s="1">
        <v>1379</v>
      </c>
      <c r="O4" s="1">
        <v>3750</v>
      </c>
      <c r="P4" s="1">
        <v>2371</v>
      </c>
      <c r="S4" s="1" t="s">
        <v>42</v>
      </c>
      <c r="T4" s="1" t="s">
        <v>43</v>
      </c>
      <c r="U4" s="1">
        <v>1</v>
      </c>
      <c r="V4" s="5">
        <v>44426</v>
      </c>
      <c r="W4" s="5">
        <v>44426</v>
      </c>
      <c r="X4" s="1">
        <v>2950000</v>
      </c>
      <c r="AB4" s="1" t="s">
        <v>44</v>
      </c>
      <c r="AF4" s="1">
        <v>10013</v>
      </c>
      <c r="AI4" s="1" t="s">
        <v>48</v>
      </c>
      <c r="AJ4" s="1">
        <v>2019</v>
      </c>
      <c r="AK4" s="1" t="s">
        <v>49</v>
      </c>
      <c r="AL4" s="1">
        <v>54</v>
      </c>
    </row>
    <row r="5" spans="1:39" x14ac:dyDescent="0.2">
      <c r="A5" s="2" t="str">
        <f>HYPERLINK("https://www.compass.com/listing/221-west-77th-street-unit-11w-manhattan-ny-10024/844750977849473665/","221 W 77th St, Unit 11W")</f>
        <v>221 W 77th St, Unit 11W</v>
      </c>
      <c r="B5" s="2" t="str">
        <f>HYPERLINK("https://www.compass.com/building/221-west-77th-street-manhattan-ny/292869344491294229/","221 West 77th Street")</f>
        <v>221 West 77th Street</v>
      </c>
      <c r="C5" s="1" t="s">
        <v>50</v>
      </c>
      <c r="D5" s="1" t="s">
        <v>41</v>
      </c>
      <c r="E5" s="3">
        <v>6995000</v>
      </c>
      <c r="F5" s="1">
        <v>2565.0898423175599</v>
      </c>
      <c r="G5" s="1">
        <v>7</v>
      </c>
      <c r="H5" s="1">
        <v>4</v>
      </c>
      <c r="I5" s="1">
        <v>5</v>
      </c>
      <c r="J5" s="1">
        <v>4.5</v>
      </c>
      <c r="K5" s="1">
        <v>4</v>
      </c>
      <c r="L5" s="1">
        <v>1</v>
      </c>
      <c r="M5" s="4">
        <v>2727</v>
      </c>
      <c r="N5" s="1">
        <v>3232.32</v>
      </c>
      <c r="O5" s="1">
        <v>6781.82</v>
      </c>
      <c r="P5" s="1">
        <v>3549.5</v>
      </c>
      <c r="S5" s="1" t="s">
        <v>42</v>
      </c>
      <c r="T5" s="1" t="s">
        <v>43</v>
      </c>
      <c r="U5" s="1">
        <v>9</v>
      </c>
      <c r="V5" s="5">
        <v>44417</v>
      </c>
      <c r="W5" s="5">
        <v>44417</v>
      </c>
      <c r="X5" s="1">
        <v>6995000</v>
      </c>
      <c r="AB5" s="1" t="s">
        <v>44</v>
      </c>
      <c r="AF5" s="1">
        <v>10024</v>
      </c>
      <c r="AI5" s="1" t="s">
        <v>51</v>
      </c>
      <c r="AJ5" s="1">
        <v>2017</v>
      </c>
      <c r="AK5" s="1" t="s">
        <v>49</v>
      </c>
      <c r="AL5" s="1">
        <v>26</v>
      </c>
    </row>
    <row r="6" spans="1:39" x14ac:dyDescent="0.2">
      <c r="A6" s="2" t="str">
        <f>HYPERLINK("https://www.compass.com/listing/100-barclay-street-unit-14m-manhattan-ny-10007/811701814728411441/","100 Barclay St, Unit 14M")</f>
        <v>100 Barclay St, Unit 14M</v>
      </c>
      <c r="B6" s="2" t="str">
        <f t="shared" ref="B6:B8" si="0">HYPERLINK("https://www.compass.com/building/100-barclay-manhattan-ny/281896670466155525/","100 Barclay")</f>
        <v>100 Barclay</v>
      </c>
      <c r="C6" s="1" t="s">
        <v>40</v>
      </c>
      <c r="D6" s="1" t="s">
        <v>41</v>
      </c>
      <c r="E6" s="3">
        <v>3250000</v>
      </c>
      <c r="F6" s="1">
        <v>2553.0243519245801</v>
      </c>
      <c r="G6" s="1">
        <v>4</v>
      </c>
      <c r="H6" s="1">
        <v>2</v>
      </c>
      <c r="I6" s="1">
        <v>3</v>
      </c>
      <c r="J6" s="1">
        <v>2.5</v>
      </c>
      <c r="K6" s="1">
        <v>2</v>
      </c>
      <c r="L6" s="1">
        <v>1</v>
      </c>
      <c r="M6" s="4">
        <v>1273</v>
      </c>
      <c r="N6" s="1">
        <v>1960</v>
      </c>
      <c r="O6" s="1">
        <v>4112.87</v>
      </c>
      <c r="P6" s="1">
        <v>2152.8333333333298</v>
      </c>
      <c r="S6" s="1" t="s">
        <v>42</v>
      </c>
      <c r="T6" s="1" t="s">
        <v>43</v>
      </c>
      <c r="U6" s="1">
        <v>54</v>
      </c>
      <c r="V6" s="5">
        <v>44399</v>
      </c>
      <c r="W6" s="5">
        <v>44373</v>
      </c>
      <c r="X6" s="1">
        <v>3250000</v>
      </c>
      <c r="AB6" s="1" t="s">
        <v>44</v>
      </c>
      <c r="AF6" s="1">
        <v>10007</v>
      </c>
      <c r="AI6" s="1" t="s">
        <v>52</v>
      </c>
      <c r="AJ6" s="1">
        <v>1930</v>
      </c>
      <c r="AK6" s="1" t="s">
        <v>46</v>
      </c>
      <c r="AL6" s="1">
        <v>156</v>
      </c>
    </row>
    <row r="7" spans="1:39" x14ac:dyDescent="0.2">
      <c r="A7" s="2" t="str">
        <f>HYPERLINK("https://www.compass.com/listing/100-barclay-street-unit-15g-manhattan-ny-10007/786864896606746089/","100 Barclay St, Unit 15G")</f>
        <v>100 Barclay St, Unit 15G</v>
      </c>
      <c r="B7" s="2" t="str">
        <f t="shared" si="0"/>
        <v>100 Barclay</v>
      </c>
      <c r="C7" s="1" t="s">
        <v>40</v>
      </c>
      <c r="D7" s="1" t="s">
        <v>41</v>
      </c>
      <c r="E7" s="3">
        <v>3550000</v>
      </c>
      <c r="F7" s="1">
        <v>1498.5225833685099</v>
      </c>
      <c r="G7" s="1">
        <v>5</v>
      </c>
      <c r="H7" s="1">
        <v>3</v>
      </c>
      <c r="I7" s="1">
        <v>4</v>
      </c>
      <c r="J7" s="1">
        <v>3.5</v>
      </c>
      <c r="K7" s="1">
        <v>3</v>
      </c>
      <c r="L7" s="1">
        <v>1</v>
      </c>
      <c r="M7" s="4">
        <v>2369</v>
      </c>
      <c r="N7" s="1">
        <v>3415.42</v>
      </c>
      <c r="O7" s="1">
        <v>7337.6</v>
      </c>
      <c r="P7" s="1">
        <v>3922.1666666666601</v>
      </c>
      <c r="S7" s="1" t="s">
        <v>42</v>
      </c>
      <c r="T7" s="1" t="s">
        <v>43</v>
      </c>
      <c r="U7" s="1">
        <v>89</v>
      </c>
      <c r="V7" s="5">
        <v>44369</v>
      </c>
      <c r="W7" s="5">
        <v>44338</v>
      </c>
      <c r="X7" s="1">
        <v>3750000</v>
      </c>
      <c r="AB7" s="1" t="s">
        <v>44</v>
      </c>
      <c r="AF7" s="1">
        <v>10007</v>
      </c>
      <c r="AI7" s="1" t="s">
        <v>53</v>
      </c>
      <c r="AJ7" s="1">
        <v>1930</v>
      </c>
      <c r="AK7" s="1" t="s">
        <v>46</v>
      </c>
      <c r="AL7" s="1">
        <v>156</v>
      </c>
    </row>
    <row r="8" spans="1:39" x14ac:dyDescent="0.2">
      <c r="A8" s="2" t="str">
        <f>HYPERLINK("https://www.compass.com/listing/100-barclay-street-unit-17l-manhattan-ny-10007/786061644060062721/","100 Barclay St, Unit 17L")</f>
        <v>100 Barclay St, Unit 17L</v>
      </c>
      <c r="B8" s="2" t="str">
        <f t="shared" si="0"/>
        <v>100 Barclay</v>
      </c>
      <c r="C8" s="1" t="s">
        <v>40</v>
      </c>
      <c r="D8" s="1" t="s">
        <v>41</v>
      </c>
      <c r="E8" s="3">
        <v>4100000</v>
      </c>
      <c r="F8" s="1">
        <v>1986.4341085271301</v>
      </c>
      <c r="G8" s="1">
        <v>5</v>
      </c>
      <c r="H8" s="1">
        <v>3</v>
      </c>
      <c r="I8" s="1">
        <v>3</v>
      </c>
      <c r="J8" s="1">
        <v>3</v>
      </c>
      <c r="K8" s="1">
        <v>3</v>
      </c>
      <c r="M8" s="4">
        <v>2064</v>
      </c>
      <c r="N8" s="1">
        <v>3050</v>
      </c>
      <c r="O8" s="1">
        <v>5950</v>
      </c>
      <c r="P8" s="1">
        <v>2900</v>
      </c>
      <c r="S8" s="1" t="s">
        <v>42</v>
      </c>
      <c r="T8" s="1" t="s">
        <v>43</v>
      </c>
      <c r="U8" s="1">
        <v>90</v>
      </c>
      <c r="V8" s="5">
        <v>44336</v>
      </c>
      <c r="W8" s="5">
        <v>44336</v>
      </c>
      <c r="X8" s="1">
        <v>4100000</v>
      </c>
      <c r="AB8" s="1" t="s">
        <v>44</v>
      </c>
      <c r="AF8" s="1">
        <v>10007</v>
      </c>
      <c r="AI8" s="1" t="s">
        <v>53</v>
      </c>
      <c r="AJ8" s="1">
        <v>1930</v>
      </c>
      <c r="AK8" s="1" t="s">
        <v>46</v>
      </c>
      <c r="AL8" s="1">
        <v>156</v>
      </c>
    </row>
    <row r="9" spans="1:39" x14ac:dyDescent="0.2">
      <c r="A9" s="2" t="str">
        <f>HYPERLINK("https://www.compass.com/listing/30-park-place-unit-ph76b-manhattan-ny-10007/611539392206635265/","30 Park Pl, Unit PH76B")</f>
        <v>30 Park Pl, Unit PH76B</v>
      </c>
      <c r="B9" s="2" t="str">
        <f>HYPERLINK("https://www.compass.com/building/30-park-pl-manhattan-ny-10007/281896912905317605/","30 Park Pl")</f>
        <v>30 Park Pl</v>
      </c>
      <c r="C9" s="1" t="s">
        <v>40</v>
      </c>
      <c r="D9" s="1" t="s">
        <v>41</v>
      </c>
      <c r="E9" s="3">
        <v>13850000</v>
      </c>
      <c r="F9" s="1">
        <v>4364.9543019224702</v>
      </c>
      <c r="G9" s="1">
        <v>6.5</v>
      </c>
      <c r="H9" s="1">
        <v>3</v>
      </c>
      <c r="I9" s="1">
        <v>5</v>
      </c>
      <c r="J9" s="1">
        <v>4.5</v>
      </c>
      <c r="K9" s="1">
        <v>4</v>
      </c>
      <c r="L9" s="1">
        <v>1</v>
      </c>
      <c r="M9" s="4">
        <v>3173</v>
      </c>
      <c r="N9" s="1">
        <v>2924</v>
      </c>
      <c r="O9" s="1">
        <v>10586</v>
      </c>
      <c r="P9" s="1">
        <v>7662</v>
      </c>
      <c r="S9" s="1" t="s">
        <v>42</v>
      </c>
      <c r="T9" s="1" t="s">
        <v>43</v>
      </c>
      <c r="U9" s="1">
        <v>323</v>
      </c>
      <c r="V9" s="5">
        <v>44372</v>
      </c>
      <c r="W9" s="5">
        <v>44103</v>
      </c>
      <c r="X9" s="1">
        <v>13850000</v>
      </c>
      <c r="AB9" s="1" t="s">
        <v>44</v>
      </c>
      <c r="AF9" s="1">
        <v>10007</v>
      </c>
      <c r="AJ9" s="1">
        <v>2016</v>
      </c>
      <c r="AK9" s="1" t="s">
        <v>46</v>
      </c>
      <c r="AL9" s="1">
        <v>157</v>
      </c>
    </row>
    <row r="10" spans="1:39" x14ac:dyDescent="0.2">
      <c r="A10" s="2" t="str">
        <f>HYPERLINK("https://www.compass.com/listing/121-east-22nd-street-unit-n1005-manhattan-ny-10010/583252428684818321/","121 E 22nd St, Unit N1005")</f>
        <v>121 E 22nd St, Unit N1005</v>
      </c>
      <c r="B10" s="2" t="str">
        <f>HYPERLINK("https://www.compass.com/building/121-e-22nd-manhattan-ny/292795784653461493/","121 E 22nd")</f>
        <v>121 E 22nd</v>
      </c>
      <c r="C10" s="1" t="s">
        <v>54</v>
      </c>
      <c r="D10" s="1" t="s">
        <v>41</v>
      </c>
      <c r="E10" s="3">
        <v>1824999</v>
      </c>
      <c r="F10" s="1">
        <v>2315.9885786802001</v>
      </c>
      <c r="G10" s="1">
        <v>3</v>
      </c>
      <c r="H10" s="1">
        <v>1</v>
      </c>
      <c r="I10" s="1">
        <v>1</v>
      </c>
      <c r="J10" s="1">
        <v>1</v>
      </c>
      <c r="K10" s="1">
        <v>1</v>
      </c>
      <c r="M10" s="1">
        <v>788</v>
      </c>
      <c r="N10" s="1">
        <v>871</v>
      </c>
      <c r="O10" s="1">
        <v>2652</v>
      </c>
      <c r="P10" s="1">
        <v>1781</v>
      </c>
      <c r="S10" s="1" t="s">
        <v>42</v>
      </c>
      <c r="T10" s="1" t="s">
        <v>43</v>
      </c>
      <c r="U10" s="1">
        <v>280</v>
      </c>
      <c r="V10" s="5">
        <v>44378</v>
      </c>
      <c r="W10" s="5">
        <v>44145</v>
      </c>
      <c r="X10" s="1">
        <v>1824999</v>
      </c>
      <c r="AB10" s="1" t="s">
        <v>44</v>
      </c>
      <c r="AF10" s="1">
        <v>10010</v>
      </c>
      <c r="AI10" s="1" t="s">
        <v>55</v>
      </c>
      <c r="AJ10" s="1">
        <v>2016</v>
      </c>
      <c r="AK10" s="1" t="s">
        <v>46</v>
      </c>
      <c r="AL10" s="1">
        <v>140</v>
      </c>
    </row>
    <row r="11" spans="1:39" x14ac:dyDescent="0.2">
      <c r="A11" s="2" t="str">
        <f>HYPERLINK("https://www.compass.com/listing/221-west-77th-street-unit-10w-manhattan-ny-10024/805012190411182617/","221 W 77th St, Unit 10W")</f>
        <v>221 W 77th St, Unit 10W</v>
      </c>
      <c r="B11" s="2" t="str">
        <f t="shared" ref="B11:B12" si="1">HYPERLINK("https://www.compass.com/building/221-west-77th-street-manhattan-ny/292869344491294229/","221 West 77th Street")</f>
        <v>221 West 77th Street</v>
      </c>
      <c r="C11" s="1" t="s">
        <v>50</v>
      </c>
      <c r="D11" s="1" t="s">
        <v>41</v>
      </c>
      <c r="E11" s="3">
        <v>7995000</v>
      </c>
      <c r="F11" s="1">
        <v>2931.79317931793</v>
      </c>
      <c r="G11" s="1">
        <v>6</v>
      </c>
      <c r="H11" s="1">
        <v>4</v>
      </c>
      <c r="I11" s="1">
        <v>5</v>
      </c>
      <c r="J11" s="1">
        <v>4.5</v>
      </c>
      <c r="K11" s="1">
        <v>4</v>
      </c>
      <c r="L11" s="1">
        <v>1</v>
      </c>
      <c r="M11" s="4">
        <v>2727</v>
      </c>
      <c r="N11" s="1">
        <v>3360</v>
      </c>
      <c r="O11" s="1">
        <v>8109.82</v>
      </c>
      <c r="P11" s="1">
        <v>4749.8333333333303</v>
      </c>
      <c r="S11" s="1" t="s">
        <v>42</v>
      </c>
      <c r="T11" s="1" t="s">
        <v>43</v>
      </c>
      <c r="U11" s="1">
        <v>64</v>
      </c>
      <c r="V11" s="5">
        <v>44366</v>
      </c>
      <c r="W11" s="5">
        <v>44363</v>
      </c>
      <c r="X11" s="1">
        <v>7995000</v>
      </c>
      <c r="AB11" s="1" t="s">
        <v>44</v>
      </c>
      <c r="AF11" s="1">
        <v>10024</v>
      </c>
      <c r="AI11" s="1" t="s">
        <v>53</v>
      </c>
      <c r="AJ11" s="1">
        <v>2017</v>
      </c>
      <c r="AK11" s="1" t="s">
        <v>49</v>
      </c>
      <c r="AL11" s="1">
        <v>26</v>
      </c>
    </row>
    <row r="12" spans="1:39" x14ac:dyDescent="0.2">
      <c r="A12" s="2" t="str">
        <f>HYPERLINK("https://www.compass.com/listing/221-west-77th-street-unit-15-manhattan-ny-10024/781833873921481993/","221 W 77th St, Unit 15")</f>
        <v>221 W 77th St, Unit 15</v>
      </c>
      <c r="B12" s="2" t="str">
        <f t="shared" si="1"/>
        <v>221 West 77th Street</v>
      </c>
      <c r="C12" s="1" t="s">
        <v>50</v>
      </c>
      <c r="D12" s="1" t="s">
        <v>41</v>
      </c>
      <c r="E12" s="3">
        <v>10950000</v>
      </c>
      <c r="F12" s="1">
        <v>3224.3816254416902</v>
      </c>
      <c r="G12" s="1">
        <v>7</v>
      </c>
      <c r="H12" s="1">
        <v>4</v>
      </c>
      <c r="I12" s="1">
        <v>5</v>
      </c>
      <c r="J12" s="1">
        <v>4.5</v>
      </c>
      <c r="K12" s="1">
        <v>4</v>
      </c>
      <c r="L12" s="1">
        <v>1</v>
      </c>
      <c r="M12" s="4">
        <v>3396</v>
      </c>
      <c r="N12" s="1">
        <v>3941.61</v>
      </c>
      <c r="O12" s="1">
        <v>9376.52</v>
      </c>
      <c r="P12" s="1">
        <v>5434.9166666666597</v>
      </c>
      <c r="S12" s="1" t="s">
        <v>42</v>
      </c>
      <c r="T12" s="1" t="s">
        <v>43</v>
      </c>
      <c r="U12" s="1">
        <v>96</v>
      </c>
      <c r="V12" s="5">
        <v>44419</v>
      </c>
      <c r="W12" s="5">
        <v>44331</v>
      </c>
      <c r="X12" s="1">
        <v>10950000</v>
      </c>
      <c r="AB12" s="1" t="s">
        <v>44</v>
      </c>
      <c r="AF12" s="1">
        <v>10024</v>
      </c>
      <c r="AI12" s="1" t="s">
        <v>52</v>
      </c>
      <c r="AJ12" s="1">
        <v>2017</v>
      </c>
      <c r="AK12" s="1" t="s">
        <v>49</v>
      </c>
      <c r="AL12" s="1">
        <v>26</v>
      </c>
    </row>
    <row r="13" spans="1:39" x14ac:dyDescent="0.2">
      <c r="A13" s="2" t="str">
        <f>HYPERLINK("https://www.compass.com/listing/555-w-end-ave-unit-the-solarium-penthouse-new-york-ny-10024/296996379037712337/","555 W End Ave, Unit The Solarium Penthouse")</f>
        <v>555 W End Ave, Unit The Solarium Penthouse</v>
      </c>
      <c r="B13" s="2" t="str">
        <f>HYPERLINK("https://www.compass.com/building/555-west-end-avenue-new-york-ny/292874438096018885/","555 West End Avenue")</f>
        <v>555 West End Avenue</v>
      </c>
      <c r="C13" s="1" t="s">
        <v>50</v>
      </c>
      <c r="D13" s="1" t="s">
        <v>56</v>
      </c>
      <c r="E13" s="3">
        <v>18000000</v>
      </c>
      <c r="F13" s="1">
        <v>5263.1578947368398</v>
      </c>
      <c r="G13" s="1">
        <v>6</v>
      </c>
      <c r="H13" s="1">
        <v>3</v>
      </c>
      <c r="I13" s="1">
        <v>4</v>
      </c>
      <c r="J13" s="1">
        <v>3.5</v>
      </c>
      <c r="K13" s="1">
        <v>3</v>
      </c>
      <c r="L13" s="1">
        <v>1</v>
      </c>
      <c r="M13" s="4">
        <v>3420</v>
      </c>
      <c r="N13" s="1">
        <v>5880.14</v>
      </c>
      <c r="O13" s="1">
        <v>15264.14</v>
      </c>
      <c r="P13" s="1">
        <v>9384</v>
      </c>
      <c r="S13" s="1" t="s">
        <v>42</v>
      </c>
      <c r="T13" s="1" t="s">
        <v>43</v>
      </c>
      <c r="U13" s="1">
        <v>671</v>
      </c>
      <c r="V13" s="5">
        <v>44411</v>
      </c>
      <c r="W13" s="5">
        <v>43662</v>
      </c>
      <c r="X13" s="1">
        <v>18000000</v>
      </c>
      <c r="AB13" s="1" t="s">
        <v>44</v>
      </c>
      <c r="AF13" s="1">
        <v>10024</v>
      </c>
      <c r="AI13" s="1" t="s">
        <v>57</v>
      </c>
      <c r="AJ13" s="1">
        <v>2019</v>
      </c>
      <c r="AK13" s="1" t="s">
        <v>49</v>
      </c>
      <c r="AL13" s="1">
        <v>13</v>
      </c>
    </row>
    <row r="14" spans="1:39" x14ac:dyDescent="0.2">
      <c r="A14" s="2" t="str">
        <f>HYPERLINK("https://www.compass.com/listing/555-west-end-avenue-unit-3w-manhattan-ny-10024/297171919577329473/","555 W End Ave, Unit 3W")</f>
        <v>555 W End Ave, Unit 3W</v>
      </c>
      <c r="B14" s="2" t="str">
        <f t="shared" ref="B14:B16" si="2">HYPERLINK("https://www.compass.com/building/555-west-end-avenue-manhattan-ny/292874438096018885/","555 West End Avenue")</f>
        <v>555 West End Avenue</v>
      </c>
      <c r="C14" s="1" t="s">
        <v>50</v>
      </c>
      <c r="D14" s="1" t="s">
        <v>41</v>
      </c>
      <c r="E14" s="3">
        <v>7500000</v>
      </c>
      <c r="F14" s="1">
        <v>2761.41384388807</v>
      </c>
      <c r="G14" s="1">
        <v>6</v>
      </c>
      <c r="H14" s="1">
        <v>4</v>
      </c>
      <c r="I14" s="1">
        <v>5</v>
      </c>
      <c r="J14" s="1">
        <v>4.5</v>
      </c>
      <c r="K14" s="1">
        <v>4</v>
      </c>
      <c r="L14" s="1">
        <v>1</v>
      </c>
      <c r="M14" s="4">
        <v>2716</v>
      </c>
      <c r="N14" s="1">
        <v>3735.9</v>
      </c>
      <c r="O14" s="1">
        <v>9697.9</v>
      </c>
      <c r="P14" s="1">
        <v>5962</v>
      </c>
      <c r="S14" s="1" t="s">
        <v>42</v>
      </c>
      <c r="T14" s="1" t="s">
        <v>43</v>
      </c>
      <c r="U14" s="1">
        <v>671</v>
      </c>
      <c r="V14" s="5">
        <v>44394</v>
      </c>
      <c r="W14" s="5">
        <v>43662</v>
      </c>
      <c r="X14" s="1">
        <v>7900000</v>
      </c>
      <c r="AB14" s="1" t="s">
        <v>44</v>
      </c>
      <c r="AF14" s="1">
        <v>10024</v>
      </c>
      <c r="AJ14" s="1">
        <v>2019</v>
      </c>
      <c r="AK14" s="1" t="s">
        <v>49</v>
      </c>
      <c r="AL14" s="1">
        <v>13</v>
      </c>
    </row>
    <row r="15" spans="1:39" x14ac:dyDescent="0.2">
      <c r="A15" s="2" t="str">
        <f>HYPERLINK("https://www.compass.com/listing/555-west-end-avenue-unit-the-terrace-penthouse-manhattan-ny-10024/556541357811287177/","555 W End Ave, Unit The Terrace Penthouse")</f>
        <v>555 W End Ave, Unit The Terrace Penthouse</v>
      </c>
      <c r="B15" s="2" t="str">
        <f t="shared" si="2"/>
        <v>555 West End Avenue</v>
      </c>
      <c r="C15" s="1" t="s">
        <v>50</v>
      </c>
      <c r="D15" s="1" t="s">
        <v>41</v>
      </c>
      <c r="E15" s="3">
        <v>22500000</v>
      </c>
      <c r="F15" s="1">
        <v>4491.9145538031498</v>
      </c>
      <c r="G15" s="1">
        <v>9</v>
      </c>
      <c r="H15" s="1">
        <v>4</v>
      </c>
      <c r="I15" s="1">
        <v>5</v>
      </c>
      <c r="J15" s="1">
        <v>4.5</v>
      </c>
      <c r="K15" s="1">
        <v>4</v>
      </c>
      <c r="L15" s="1">
        <v>1</v>
      </c>
      <c r="M15" s="4">
        <v>5009</v>
      </c>
      <c r="N15" s="1">
        <v>7923</v>
      </c>
      <c r="O15" s="1">
        <v>20567</v>
      </c>
      <c r="P15" s="1">
        <v>12644</v>
      </c>
      <c r="S15" s="1" t="s">
        <v>42</v>
      </c>
      <c r="T15" s="1" t="s">
        <v>43</v>
      </c>
      <c r="U15" s="1">
        <v>407</v>
      </c>
      <c r="V15" s="5">
        <v>44365</v>
      </c>
      <c r="W15" s="5">
        <v>44020</v>
      </c>
      <c r="X15" s="1">
        <v>22500000</v>
      </c>
      <c r="AB15" s="1" t="s">
        <v>44</v>
      </c>
      <c r="AF15" s="1">
        <v>10024</v>
      </c>
      <c r="AI15" s="1" t="s">
        <v>58</v>
      </c>
      <c r="AJ15" s="1">
        <v>2019</v>
      </c>
      <c r="AK15" s="1" t="s">
        <v>49</v>
      </c>
      <c r="AL15" s="1">
        <v>13</v>
      </c>
    </row>
    <row r="16" spans="1:39" x14ac:dyDescent="0.2">
      <c r="A16" s="2" t="str">
        <f>HYPERLINK("https://www.compass.com/listing/555-west-end-avenue-unit-penthouse-manhattan-ny-10024/743394163336465425/","555 W End Ave, Unit Penthouse")</f>
        <v>555 W End Ave, Unit Penthouse</v>
      </c>
      <c r="B16" s="2" t="str">
        <f t="shared" si="2"/>
        <v>555 West End Avenue</v>
      </c>
      <c r="C16" s="1" t="s">
        <v>50</v>
      </c>
      <c r="D16" s="1" t="s">
        <v>41</v>
      </c>
      <c r="E16" s="3">
        <v>42000000</v>
      </c>
      <c r="F16" s="1">
        <v>4982.7974848736503</v>
      </c>
      <c r="G16" s="1">
        <v>15</v>
      </c>
      <c r="H16" s="1">
        <v>6</v>
      </c>
      <c r="I16" s="1">
        <v>8</v>
      </c>
      <c r="J16" s="1">
        <v>6.5</v>
      </c>
      <c r="K16" s="1">
        <v>6</v>
      </c>
      <c r="L16" s="1">
        <v>2</v>
      </c>
      <c r="M16" s="4">
        <v>8429</v>
      </c>
      <c r="N16" s="1">
        <v>13803</v>
      </c>
      <c r="O16" s="1">
        <v>35831</v>
      </c>
      <c r="P16" s="1">
        <v>22028</v>
      </c>
      <c r="S16" s="1" t="s">
        <v>42</v>
      </c>
      <c r="T16" s="1" t="s">
        <v>43</v>
      </c>
      <c r="U16" s="1">
        <v>149</v>
      </c>
      <c r="V16" s="5">
        <v>44411</v>
      </c>
      <c r="W16" s="5">
        <v>44278</v>
      </c>
      <c r="X16" s="1">
        <v>42000000</v>
      </c>
      <c r="AB16" s="1" t="s">
        <v>44</v>
      </c>
      <c r="AF16" s="1">
        <v>10024</v>
      </c>
      <c r="AI16" s="1" t="s">
        <v>58</v>
      </c>
      <c r="AJ16" s="1">
        <v>2019</v>
      </c>
      <c r="AK16" s="1" t="s">
        <v>49</v>
      </c>
      <c r="AL16" s="1">
        <v>13</v>
      </c>
    </row>
    <row r="17" spans="1:38" x14ac:dyDescent="0.2">
      <c r="A17" s="2" t="str">
        <f>HYPERLINK("https://www.compass.com/listing/570-broome-street-unit-8b-manhattan-ny-10013/576021465600796601/","570 Broome St, Unit 8B")</f>
        <v>570 Broome St, Unit 8B</v>
      </c>
      <c r="B17" s="2" t="str">
        <f t="shared" ref="B17:B18" si="3">HYPERLINK("https://www.compass.com/building/570-broome-manhattan-ny/292818583757562981/","570 Broome")</f>
        <v>570 Broome</v>
      </c>
      <c r="C17" s="1" t="s">
        <v>47</v>
      </c>
      <c r="D17" s="1" t="s">
        <v>41</v>
      </c>
      <c r="E17" s="3">
        <v>3425000</v>
      </c>
      <c r="F17" s="1">
        <v>2225.4710851201999</v>
      </c>
      <c r="G17" s="1">
        <v>6</v>
      </c>
      <c r="H17" s="1">
        <v>3</v>
      </c>
      <c r="I17" s="1">
        <v>3</v>
      </c>
      <c r="J17" s="1">
        <v>3</v>
      </c>
      <c r="K17" s="1">
        <v>3</v>
      </c>
      <c r="M17" s="4">
        <v>1539</v>
      </c>
      <c r="N17" s="1">
        <v>1797</v>
      </c>
      <c r="O17" s="1">
        <v>4866</v>
      </c>
      <c r="P17" s="1">
        <v>3069</v>
      </c>
      <c r="S17" s="1" t="s">
        <v>42</v>
      </c>
      <c r="T17" s="1" t="s">
        <v>43</v>
      </c>
      <c r="U17" s="1">
        <v>380</v>
      </c>
      <c r="V17" s="5">
        <v>44299</v>
      </c>
      <c r="W17" s="5">
        <v>44047</v>
      </c>
      <c r="X17" s="1">
        <v>3425000</v>
      </c>
      <c r="AB17" s="1" t="s">
        <v>44</v>
      </c>
      <c r="AF17" s="1">
        <v>10013</v>
      </c>
      <c r="AI17" s="1" t="s">
        <v>59</v>
      </c>
      <c r="AJ17" s="1">
        <v>2019</v>
      </c>
      <c r="AK17" s="1" t="s">
        <v>49</v>
      </c>
      <c r="AL17" s="1">
        <v>54</v>
      </c>
    </row>
    <row r="18" spans="1:38" x14ac:dyDescent="0.2">
      <c r="A18" s="2" t="str">
        <f>HYPERLINK("https://www.compass.com/listing/570-broome-street-unit-14a-manhattan-ny-10013/454869612146931289/","570 Broome St, Unit 14A")</f>
        <v>570 Broome St, Unit 14A</v>
      </c>
      <c r="B18" s="2" t="str">
        <f t="shared" si="3"/>
        <v>570 Broome</v>
      </c>
      <c r="C18" s="1" t="s">
        <v>47</v>
      </c>
      <c r="D18" s="1" t="s">
        <v>41</v>
      </c>
      <c r="E18" s="3">
        <v>3625000</v>
      </c>
      <c r="F18" s="1">
        <v>2465.9863945578199</v>
      </c>
      <c r="G18" s="1">
        <v>4</v>
      </c>
      <c r="H18" s="1">
        <v>2</v>
      </c>
      <c r="I18" s="1">
        <v>3</v>
      </c>
      <c r="J18" s="1">
        <v>2.5</v>
      </c>
      <c r="K18" s="1">
        <v>2</v>
      </c>
      <c r="L18" s="1">
        <v>1</v>
      </c>
      <c r="M18" s="4">
        <v>1470</v>
      </c>
      <c r="N18" s="1">
        <v>1717</v>
      </c>
      <c r="O18" s="1">
        <v>4637</v>
      </c>
      <c r="P18" s="1">
        <v>2920</v>
      </c>
      <c r="S18" s="1" t="s">
        <v>42</v>
      </c>
      <c r="T18" s="1" t="s">
        <v>43</v>
      </c>
      <c r="U18" s="1">
        <v>453</v>
      </c>
      <c r="V18" s="5">
        <v>44299</v>
      </c>
      <c r="W18" s="5">
        <v>43879</v>
      </c>
      <c r="X18" s="1">
        <v>3625000</v>
      </c>
      <c r="AB18" s="1" t="s">
        <v>44</v>
      </c>
      <c r="AF18" s="1">
        <v>10013</v>
      </c>
      <c r="AI18" s="1" t="s">
        <v>59</v>
      </c>
      <c r="AJ18" s="1">
        <v>2019</v>
      </c>
      <c r="AK18" s="1" t="s">
        <v>49</v>
      </c>
      <c r="AL18" s="1">
        <v>54</v>
      </c>
    </row>
    <row r="19" spans="1:38" x14ac:dyDescent="0.2">
      <c r="A19" s="2" t="str">
        <f>HYPERLINK("https://www.compass.com/listing/50-riverside-boulevard-unit-ph2a-manhattan-ny-10069/779157915137887033/","50 Riverside Blvd, Unit PH2A")</f>
        <v>50 Riverside Blvd, Unit PH2A</v>
      </c>
      <c r="B19" s="2" t="str">
        <f>HYPERLINK("https://www.compass.com/building/one-riverside-park-manhattan-ny/282041440266113253/","One Riverside Park")</f>
        <v>One Riverside Park</v>
      </c>
      <c r="C19" s="1" t="s">
        <v>50</v>
      </c>
      <c r="D19" s="1" t="s">
        <v>41</v>
      </c>
      <c r="E19" s="3">
        <v>27500000</v>
      </c>
      <c r="F19" s="1">
        <v>4458.4954604409804</v>
      </c>
      <c r="G19" s="1">
        <v>12</v>
      </c>
      <c r="H19" s="1">
        <v>6</v>
      </c>
      <c r="I19" s="1">
        <v>8</v>
      </c>
      <c r="J19" s="1">
        <v>7.5</v>
      </c>
      <c r="K19" s="1">
        <v>7</v>
      </c>
      <c r="L19" s="1">
        <v>1</v>
      </c>
      <c r="M19" s="4">
        <v>6168</v>
      </c>
      <c r="N19" s="1">
        <v>6914</v>
      </c>
      <c r="O19" s="1">
        <v>11142</v>
      </c>
      <c r="P19" s="1">
        <v>4228</v>
      </c>
      <c r="S19" s="1" t="s">
        <v>42</v>
      </c>
      <c r="T19" s="1" t="s">
        <v>43</v>
      </c>
      <c r="U19" s="1">
        <v>99</v>
      </c>
      <c r="V19" s="5">
        <v>44376</v>
      </c>
      <c r="W19" s="5">
        <v>44328</v>
      </c>
      <c r="X19" s="1">
        <v>27500000</v>
      </c>
      <c r="AB19" s="1" t="s">
        <v>44</v>
      </c>
      <c r="AF19" s="1">
        <v>10069</v>
      </c>
      <c r="AI19" s="1" t="s">
        <v>60</v>
      </c>
      <c r="AJ19" s="1">
        <v>2016</v>
      </c>
      <c r="AK19" s="1" t="s">
        <v>46</v>
      </c>
      <c r="AL19" s="1">
        <v>657</v>
      </c>
    </row>
    <row r="20" spans="1:38" x14ac:dyDescent="0.2">
      <c r="A20" s="2" t="str">
        <f>HYPERLINK("https://www.compass.com/listing/48-east-132nd-street-unit-4d-manhattan-ny-10037/774411862342452089/","48 E 132nd St, Unit 4D")</f>
        <v>48 E 132nd St, Unit 4D</v>
      </c>
      <c r="B20" s="2" t="str">
        <f>HYPERLINK("https://www.compass.com/building/48-e-132nd-st-manhattan-ny-10037/282028625274876293/","48 E 132nd St")</f>
        <v>48 E 132nd St</v>
      </c>
      <c r="C20" s="1" t="s">
        <v>61</v>
      </c>
      <c r="D20" s="1" t="s">
        <v>41</v>
      </c>
      <c r="E20" s="3">
        <v>405000</v>
      </c>
      <c r="G20" s="1">
        <v>3</v>
      </c>
      <c r="H20" s="1">
        <v>1</v>
      </c>
      <c r="I20" s="1">
        <v>1</v>
      </c>
      <c r="J20" s="1">
        <v>1</v>
      </c>
      <c r="K20" s="1">
        <v>1</v>
      </c>
      <c r="N20" s="1">
        <v>416</v>
      </c>
      <c r="O20" s="1">
        <v>1010</v>
      </c>
      <c r="P20" s="1">
        <v>594</v>
      </c>
      <c r="S20" s="1" t="s">
        <v>42</v>
      </c>
      <c r="T20" s="1" t="s">
        <v>43</v>
      </c>
      <c r="U20" s="1">
        <v>106</v>
      </c>
      <c r="V20" s="5">
        <v>44427</v>
      </c>
      <c r="W20" s="5">
        <v>44321</v>
      </c>
      <c r="X20" s="1">
        <v>455000</v>
      </c>
      <c r="AB20" s="1" t="s">
        <v>44</v>
      </c>
      <c r="AF20" s="1">
        <v>10037</v>
      </c>
      <c r="AI20" s="1" t="s">
        <v>62</v>
      </c>
      <c r="AJ20" s="1">
        <v>2016</v>
      </c>
      <c r="AK20" s="1" t="s">
        <v>63</v>
      </c>
      <c r="AL20" s="1">
        <v>19</v>
      </c>
    </row>
    <row r="21" spans="1:38" x14ac:dyDescent="0.2">
      <c r="A21" s="2" t="str">
        <f>HYPERLINK("https://www.compass.com/listing/252-east-57th-street-unit-58c-manhattan-ny-10022/613191835567192681/","252 E 57th St, Unit 58C")</f>
        <v>252 E 57th St, Unit 58C</v>
      </c>
      <c r="B21" s="2" t="str">
        <f>HYPERLINK("https://www.compass.com/building/252-e-57th-st-manhattan-ny-10022/281924023602945813/","252 E 57th St")</f>
        <v>252 E 57th St</v>
      </c>
      <c r="C21" s="1" t="s">
        <v>64</v>
      </c>
      <c r="D21" s="1" t="s">
        <v>41</v>
      </c>
      <c r="E21" s="3">
        <v>9400000</v>
      </c>
      <c r="F21" s="1">
        <v>3137.5166889185498</v>
      </c>
      <c r="G21" s="1">
        <v>5</v>
      </c>
      <c r="H21" s="1">
        <v>3</v>
      </c>
      <c r="I21" s="1">
        <v>4</v>
      </c>
      <c r="J21" s="1">
        <v>3.5</v>
      </c>
      <c r="K21" s="1">
        <v>3</v>
      </c>
      <c r="L21" s="1">
        <v>1</v>
      </c>
      <c r="M21" s="4">
        <v>2996</v>
      </c>
      <c r="N21" s="1">
        <v>6302</v>
      </c>
      <c r="O21" s="1">
        <v>10520</v>
      </c>
      <c r="P21" s="1">
        <v>4218</v>
      </c>
      <c r="S21" s="1" t="s">
        <v>42</v>
      </c>
      <c r="T21" s="1" t="s">
        <v>43</v>
      </c>
      <c r="U21" s="1">
        <v>251</v>
      </c>
      <c r="V21" s="5">
        <v>44392</v>
      </c>
      <c r="W21" s="5">
        <v>44099</v>
      </c>
      <c r="X21" s="1">
        <v>9475000</v>
      </c>
      <c r="AB21" s="1" t="s">
        <v>44</v>
      </c>
      <c r="AF21" s="1">
        <v>10022</v>
      </c>
      <c r="AI21" s="1" t="s">
        <v>65</v>
      </c>
      <c r="AJ21" s="1">
        <v>2016</v>
      </c>
      <c r="AK21" s="1" t="s">
        <v>46</v>
      </c>
      <c r="AL21" s="1">
        <v>95</v>
      </c>
    </row>
    <row r="22" spans="1:38" x14ac:dyDescent="0.2">
      <c r="A22" s="2" t="str">
        <f>HYPERLINK("https://www.compass.com/listing/148-attorney-street-unit-ph-manhattan-ny-10002/646916510298997849/","148 Attorney St, Unit PH")</f>
        <v>148 Attorney St, Unit PH</v>
      </c>
      <c r="B22" s="2" t="str">
        <f>HYPERLINK("https://www.compass.com/building/148-attorney-st-manhattan-ny-10002/281885295740194149/","148 Attorney St")</f>
        <v>148 Attorney St</v>
      </c>
      <c r="C22" s="1" t="s">
        <v>66</v>
      </c>
      <c r="D22" s="1" t="s">
        <v>41</v>
      </c>
      <c r="E22" s="3">
        <v>2500000</v>
      </c>
      <c r="F22" s="1">
        <v>1992.0318725099601</v>
      </c>
      <c r="G22" s="1">
        <v>5</v>
      </c>
      <c r="H22" s="1">
        <v>2</v>
      </c>
      <c r="I22" s="1">
        <v>2</v>
      </c>
      <c r="J22" s="1">
        <v>2</v>
      </c>
      <c r="K22" s="1">
        <v>2</v>
      </c>
      <c r="M22" s="4">
        <v>1255</v>
      </c>
      <c r="N22" s="1">
        <v>838</v>
      </c>
      <c r="O22" s="1">
        <v>3024</v>
      </c>
      <c r="P22" s="1">
        <v>2186</v>
      </c>
      <c r="S22" s="1" t="s">
        <v>42</v>
      </c>
      <c r="T22" s="1" t="s">
        <v>43</v>
      </c>
      <c r="U22" s="1">
        <v>57</v>
      </c>
      <c r="V22" s="5">
        <v>44371</v>
      </c>
      <c r="W22" s="5">
        <v>44369</v>
      </c>
      <c r="X22" s="1">
        <v>2500000</v>
      </c>
      <c r="AB22" s="1" t="s">
        <v>44</v>
      </c>
      <c r="AF22" s="1">
        <v>10002</v>
      </c>
      <c r="AI22" s="1" t="s">
        <v>67</v>
      </c>
      <c r="AJ22" s="1">
        <v>2019</v>
      </c>
      <c r="AL22" s="1">
        <v>6</v>
      </c>
    </row>
    <row r="23" spans="1:38" x14ac:dyDescent="0.2">
      <c r="A23" s="2" t="str">
        <f>HYPERLINK("https://www.compass.com/listing/265-east-houston-street-manhattan-ny-10002/704246790876956969/","265 E Houston St, Unit 7")</f>
        <v>265 E Houston St, Unit 7</v>
      </c>
      <c r="B23" s="2" t="str">
        <f>HYPERLINK("https://www.compass.com/building/265-e-houston-st-manhattan-ny-10002/281886808264939173/","265 E Houston St")</f>
        <v>265 E Houston St</v>
      </c>
      <c r="C23" s="1" t="s">
        <v>66</v>
      </c>
      <c r="D23" s="1" t="s">
        <v>41</v>
      </c>
      <c r="E23" s="3">
        <v>1895000</v>
      </c>
      <c r="F23" s="1">
        <v>1353.57142857142</v>
      </c>
      <c r="G23" s="1">
        <v>5</v>
      </c>
      <c r="H23" s="1">
        <v>2</v>
      </c>
      <c r="I23" s="1">
        <v>2</v>
      </c>
      <c r="J23" s="1">
        <v>2</v>
      </c>
      <c r="K23" s="1">
        <v>2</v>
      </c>
      <c r="M23" s="4">
        <v>1400</v>
      </c>
      <c r="N23" s="1">
        <v>1459.02</v>
      </c>
      <c r="O23" s="1">
        <v>3185.33</v>
      </c>
      <c r="P23" s="1">
        <v>1726.3333333333301</v>
      </c>
      <c r="S23" s="1" t="s">
        <v>42</v>
      </c>
      <c r="T23" s="1" t="s">
        <v>43</v>
      </c>
      <c r="U23" s="1">
        <v>169</v>
      </c>
      <c r="V23" s="5">
        <v>44427</v>
      </c>
      <c r="W23" s="5">
        <v>44246</v>
      </c>
      <c r="X23" s="1">
        <v>2000000</v>
      </c>
      <c r="AB23" s="1" t="s">
        <v>44</v>
      </c>
      <c r="AD23" s="1" t="s">
        <v>68</v>
      </c>
      <c r="AE23" s="1" t="s">
        <v>69</v>
      </c>
      <c r="AF23" s="1">
        <v>10002</v>
      </c>
      <c r="AI23" s="1" t="s">
        <v>70</v>
      </c>
      <c r="AJ23" s="1">
        <v>2015</v>
      </c>
      <c r="AK23" s="1" t="s">
        <v>63</v>
      </c>
      <c r="AL23" s="1">
        <v>7</v>
      </c>
    </row>
    <row r="24" spans="1:38" x14ac:dyDescent="0.2">
      <c r="A24" s="2" t="str">
        <f>HYPERLINK("https://www.compass.com/listing/252-south-street-unit-28d-manhattan-ny-10002/795037546250007697/","252 South St, Unit 28D")</f>
        <v>252 South St, Unit 28D</v>
      </c>
      <c r="B24" s="2" t="str">
        <f>HYPERLINK("https://www.compass.com/building/one-manhattan-square-manhattan-ny/294844950218926165/","One Manhattan Square")</f>
        <v>One Manhattan Square</v>
      </c>
      <c r="C24" s="1" t="s">
        <v>66</v>
      </c>
      <c r="D24" s="1" t="s">
        <v>41</v>
      </c>
      <c r="E24" s="3">
        <v>2495000</v>
      </c>
      <c r="F24" s="1">
        <v>2221.7275155832499</v>
      </c>
      <c r="G24" s="1">
        <v>5</v>
      </c>
      <c r="H24" s="1">
        <v>2</v>
      </c>
      <c r="I24" s="1">
        <v>2</v>
      </c>
      <c r="J24" s="1">
        <v>2</v>
      </c>
      <c r="K24" s="1">
        <v>2</v>
      </c>
      <c r="M24" s="4">
        <v>1123</v>
      </c>
      <c r="N24" s="1">
        <v>1317</v>
      </c>
      <c r="O24" s="1">
        <v>1337.23</v>
      </c>
      <c r="P24" s="1">
        <v>20.25</v>
      </c>
      <c r="S24" s="1" t="s">
        <v>42</v>
      </c>
      <c r="T24" s="1" t="s">
        <v>43</v>
      </c>
      <c r="U24" s="1">
        <v>76</v>
      </c>
      <c r="V24" s="5">
        <v>44350</v>
      </c>
      <c r="W24" s="5">
        <v>44350</v>
      </c>
      <c r="X24" s="1">
        <v>2495000</v>
      </c>
      <c r="AB24" s="1" t="s">
        <v>44</v>
      </c>
      <c r="AF24" s="1">
        <v>10002</v>
      </c>
      <c r="AI24" s="1" t="s">
        <v>60</v>
      </c>
      <c r="AJ24" s="1">
        <v>2019</v>
      </c>
      <c r="AK24" s="1" t="s">
        <v>46</v>
      </c>
      <c r="AL24" s="1">
        <v>787</v>
      </c>
    </row>
    <row r="25" spans="1:38" x14ac:dyDescent="0.2">
      <c r="A25" s="2" t="str">
        <f>HYPERLINK("https://www.compass.com/listing/555-w-end-ave-unit-the-library-manhattan-ny-10024/297131605059626177/","555 W End Ave, Unit The Library")</f>
        <v>555 W End Ave, Unit The Library</v>
      </c>
      <c r="B25" s="2" t="str">
        <f>HYPERLINK("https://www.compass.com/building/555-west-end-avenue-manhattan-ny/292874438096018885/","555 West End Avenue")</f>
        <v>555 West End Avenue</v>
      </c>
      <c r="C25" s="1" t="s">
        <v>50</v>
      </c>
      <c r="D25" s="1" t="s">
        <v>41</v>
      </c>
      <c r="E25" s="3">
        <v>10500000</v>
      </c>
      <c r="F25" s="1">
        <v>3032.0531331215702</v>
      </c>
      <c r="G25" s="1">
        <v>7</v>
      </c>
      <c r="H25" s="1">
        <v>5</v>
      </c>
      <c r="I25" s="1">
        <v>6</v>
      </c>
      <c r="J25" s="1">
        <v>5.5</v>
      </c>
      <c r="K25" s="1">
        <v>5</v>
      </c>
      <c r="L25" s="1">
        <v>1</v>
      </c>
      <c r="M25" s="4">
        <v>3463</v>
      </c>
      <c r="N25" s="1">
        <v>4763.3999999999996</v>
      </c>
      <c r="O25" s="1">
        <v>12364.4</v>
      </c>
      <c r="P25" s="1">
        <v>7601</v>
      </c>
      <c r="S25" s="1" t="s">
        <v>42</v>
      </c>
      <c r="T25" s="1" t="s">
        <v>43</v>
      </c>
      <c r="U25" s="1">
        <v>671</v>
      </c>
      <c r="V25" s="5">
        <v>44410</v>
      </c>
      <c r="W25" s="5">
        <v>43662</v>
      </c>
      <c r="X25" s="1">
        <v>10500000</v>
      </c>
      <c r="AB25" s="1" t="s">
        <v>44</v>
      </c>
      <c r="AF25" s="1">
        <v>10024</v>
      </c>
      <c r="AJ25" s="1">
        <v>2019</v>
      </c>
      <c r="AK25" s="1" t="s">
        <v>49</v>
      </c>
      <c r="AL25" s="1">
        <v>13</v>
      </c>
    </row>
    <row r="26" spans="1:38" x14ac:dyDescent="0.2">
      <c r="A26" s="2" t="str">
        <f>HYPERLINK("https://www.compass.com/listing/150-west-12th-street-unit-4e-manhattan-ny-10011/847041054593831089/","150 W 12th St, Unit 4E")</f>
        <v>150 W 12th St, Unit 4E</v>
      </c>
      <c r="B26" s="2" t="str">
        <f>HYPERLINK("https://www.compass.com/building/the-greenwich-lane-manhattan-ny/567553885067785157/","The Greenwich Lane")</f>
        <v>The Greenwich Lane</v>
      </c>
      <c r="C26" s="1" t="s">
        <v>71</v>
      </c>
      <c r="D26" s="1" t="s">
        <v>41</v>
      </c>
      <c r="E26" s="3">
        <v>4500000</v>
      </c>
      <c r="F26" s="1">
        <v>3101.3094417643001</v>
      </c>
      <c r="G26" s="1">
        <v>3</v>
      </c>
      <c r="H26" s="1">
        <v>1</v>
      </c>
      <c r="I26" s="1">
        <v>2</v>
      </c>
      <c r="J26" s="1">
        <v>1.5</v>
      </c>
      <c r="K26" s="1">
        <v>1</v>
      </c>
      <c r="L26" s="1">
        <v>1</v>
      </c>
      <c r="M26" s="4">
        <v>1451</v>
      </c>
      <c r="N26" s="1">
        <v>2640</v>
      </c>
      <c r="O26" s="1">
        <v>5823</v>
      </c>
      <c r="P26" s="1">
        <v>3183</v>
      </c>
      <c r="Q26" s="1" t="s">
        <v>42</v>
      </c>
      <c r="S26" s="1" t="s">
        <v>42</v>
      </c>
      <c r="T26" s="1" t="s">
        <v>43</v>
      </c>
      <c r="U26" s="1">
        <v>6</v>
      </c>
      <c r="V26" s="5">
        <v>44425</v>
      </c>
      <c r="W26" s="5">
        <v>44421</v>
      </c>
      <c r="X26" s="1">
        <v>4500000</v>
      </c>
      <c r="AB26" s="1" t="s">
        <v>44</v>
      </c>
      <c r="AF26" s="1">
        <v>10011</v>
      </c>
      <c r="AI26" s="1" t="s">
        <v>72</v>
      </c>
      <c r="AK26" s="1" t="s">
        <v>73</v>
      </c>
      <c r="AL26" s="1">
        <v>24</v>
      </c>
    </row>
    <row r="27" spans="1:38" x14ac:dyDescent="0.2">
      <c r="A27" s="2" t="str">
        <f>HYPERLINK("https://www.compass.com/listing/100-barclay-street-unit-26c-manhattan-ny-10007/847204635285883481/","100 Barclay St, Unit 26C")</f>
        <v>100 Barclay St, Unit 26C</v>
      </c>
      <c r="B27" s="2" t="str">
        <f t="shared" ref="B27:B28" si="4">HYPERLINK("https://www.compass.com/building/100-barclay-manhattan-ny/281896670466155525/","100 Barclay")</f>
        <v>100 Barclay</v>
      </c>
      <c r="C27" s="1" t="s">
        <v>40</v>
      </c>
      <c r="D27" s="1" t="s">
        <v>41</v>
      </c>
      <c r="E27" s="3">
        <v>6350000</v>
      </c>
      <c r="F27" s="1">
        <v>2341.44542772861</v>
      </c>
      <c r="G27" s="1">
        <v>7</v>
      </c>
      <c r="H27" s="1">
        <v>3</v>
      </c>
      <c r="I27" s="1">
        <v>4</v>
      </c>
      <c r="J27" s="1">
        <v>4</v>
      </c>
      <c r="K27" s="1">
        <v>4</v>
      </c>
      <c r="M27" s="4">
        <v>2712</v>
      </c>
      <c r="N27" s="1">
        <v>3910</v>
      </c>
      <c r="O27" s="1">
        <v>8403</v>
      </c>
      <c r="P27" s="1">
        <v>4493</v>
      </c>
      <c r="Q27" s="1" t="s">
        <v>42</v>
      </c>
      <c r="S27" s="1" t="s">
        <v>42</v>
      </c>
      <c r="T27" s="1" t="s">
        <v>43</v>
      </c>
      <c r="U27" s="1">
        <v>7</v>
      </c>
      <c r="V27" s="5">
        <v>44424</v>
      </c>
      <c r="W27" s="5">
        <v>44420</v>
      </c>
      <c r="X27" s="1">
        <v>6350000</v>
      </c>
      <c r="AB27" s="1" t="s">
        <v>44</v>
      </c>
      <c r="AF27" s="1">
        <v>10007</v>
      </c>
      <c r="AI27" s="1" t="s">
        <v>45</v>
      </c>
      <c r="AJ27" s="1">
        <v>1930</v>
      </c>
      <c r="AK27" s="1" t="s">
        <v>73</v>
      </c>
      <c r="AL27" s="1">
        <v>156</v>
      </c>
    </row>
    <row r="28" spans="1:38" x14ac:dyDescent="0.2">
      <c r="A28" s="2" t="str">
        <f>HYPERLINK("https://www.compass.com/listing/100-barclay-street-unit-16d-manhattan-ny-10007/847204283316106561/","100 Barclay St, Unit 16D")</f>
        <v>100 Barclay St, Unit 16D</v>
      </c>
      <c r="B28" s="2" t="str">
        <f t="shared" si="4"/>
        <v>100 Barclay</v>
      </c>
      <c r="C28" s="1" t="s">
        <v>40</v>
      </c>
      <c r="D28" s="1" t="s">
        <v>41</v>
      </c>
      <c r="E28" s="3">
        <v>5995000</v>
      </c>
      <c r="F28" s="1">
        <v>2035.6536502546601</v>
      </c>
      <c r="G28" s="1">
        <v>8</v>
      </c>
      <c r="H28" s="1">
        <v>4</v>
      </c>
      <c r="I28" s="1">
        <v>5</v>
      </c>
      <c r="J28" s="1">
        <v>5</v>
      </c>
      <c r="K28" s="1">
        <v>5</v>
      </c>
      <c r="M28" s="4">
        <v>2945</v>
      </c>
      <c r="N28" s="1">
        <v>4300</v>
      </c>
      <c r="O28" s="1">
        <v>9234</v>
      </c>
      <c r="P28" s="1">
        <v>4934</v>
      </c>
      <c r="Q28" s="1" t="s">
        <v>42</v>
      </c>
      <c r="S28" s="1" t="s">
        <v>42</v>
      </c>
      <c r="T28" s="1" t="s">
        <v>43</v>
      </c>
      <c r="U28" s="1">
        <v>7</v>
      </c>
      <c r="V28" s="5">
        <v>44424</v>
      </c>
      <c r="W28" s="5">
        <v>44420</v>
      </c>
      <c r="X28" s="1">
        <v>5995000</v>
      </c>
      <c r="AB28" s="1" t="s">
        <v>44</v>
      </c>
      <c r="AF28" s="1">
        <v>10007</v>
      </c>
      <c r="AI28" s="1" t="s">
        <v>74</v>
      </c>
      <c r="AJ28" s="1">
        <v>1930</v>
      </c>
      <c r="AK28" s="1" t="s">
        <v>73</v>
      </c>
      <c r="AL28" s="1">
        <v>156</v>
      </c>
    </row>
    <row r="29" spans="1:38" x14ac:dyDescent="0.2">
      <c r="A29" s="2" t="str">
        <f>HYPERLINK("https://www.compass.com/listing/30-park-place-unit-41a-manhattan-ny-10007/846025444305964185/","30 Park Pl, Unit 41A")</f>
        <v>30 Park Pl, Unit 41A</v>
      </c>
      <c r="B29" s="2" t="str">
        <f>HYPERLINK("https://www.compass.com/building/30-park-pl-manhattan-ny-10007/281896912905317605/","30 Park Pl")</f>
        <v>30 Park Pl</v>
      </c>
      <c r="C29" s="1" t="s">
        <v>40</v>
      </c>
      <c r="D29" s="1" t="s">
        <v>41</v>
      </c>
      <c r="E29" s="3">
        <v>6395000</v>
      </c>
      <c r="F29" s="1">
        <v>2881.92879675529</v>
      </c>
      <c r="G29" s="1">
        <v>5.5</v>
      </c>
      <c r="H29" s="1">
        <v>3</v>
      </c>
      <c r="I29" s="1">
        <v>4</v>
      </c>
      <c r="J29" s="1">
        <v>3.5</v>
      </c>
      <c r="K29" s="1">
        <v>3</v>
      </c>
      <c r="L29" s="1">
        <v>1</v>
      </c>
      <c r="M29" s="4">
        <v>2219</v>
      </c>
      <c r="N29" s="1">
        <v>1942</v>
      </c>
      <c r="O29" s="1">
        <v>6306</v>
      </c>
      <c r="P29" s="1">
        <v>4364</v>
      </c>
      <c r="Q29" s="1" t="s">
        <v>42</v>
      </c>
      <c r="S29" s="1" t="s">
        <v>42</v>
      </c>
      <c r="T29" s="1" t="s">
        <v>43</v>
      </c>
      <c r="U29" s="1">
        <v>9</v>
      </c>
      <c r="V29" s="5">
        <v>44420</v>
      </c>
      <c r="W29" s="5">
        <v>44418</v>
      </c>
      <c r="X29" s="1">
        <v>6395000</v>
      </c>
      <c r="AB29" s="1" t="s">
        <v>44</v>
      </c>
      <c r="AF29" s="1">
        <v>10007</v>
      </c>
      <c r="AJ29" s="1">
        <v>2016</v>
      </c>
      <c r="AK29" s="1" t="s">
        <v>46</v>
      </c>
      <c r="AL29" s="1">
        <v>157</v>
      </c>
    </row>
    <row r="30" spans="1:38" x14ac:dyDescent="0.2">
      <c r="A30" s="2" t="str">
        <f>HYPERLINK("https://www.compass.com/listing/121-east-22nd-street-unit-n907-manhattan-ny-10010/839057059188740697/","121 E 22nd St, Unit N907")</f>
        <v>121 E 22nd St, Unit N907</v>
      </c>
      <c r="B30" s="2" t="str">
        <f>HYPERLINK("https://www.compass.com/building/121-e-22nd-manhattan-ny/292795784653461493/","121 E 22nd")</f>
        <v>121 E 22nd</v>
      </c>
      <c r="C30" s="1" t="s">
        <v>54</v>
      </c>
      <c r="D30" s="1" t="s">
        <v>41</v>
      </c>
      <c r="E30" s="3">
        <v>3710000</v>
      </c>
      <c r="F30" s="1">
        <v>2173.4036321030999</v>
      </c>
      <c r="G30" s="1">
        <v>4</v>
      </c>
      <c r="H30" s="1">
        <v>2</v>
      </c>
      <c r="I30" s="1">
        <v>3</v>
      </c>
      <c r="J30" s="1">
        <v>2.5</v>
      </c>
      <c r="K30" s="1">
        <v>2</v>
      </c>
      <c r="L30" s="1">
        <v>1</v>
      </c>
      <c r="M30" s="4">
        <v>1707</v>
      </c>
      <c r="N30" s="1">
        <v>1764</v>
      </c>
      <c r="O30" s="1">
        <v>5063</v>
      </c>
      <c r="P30" s="1">
        <v>3299</v>
      </c>
      <c r="Q30" s="1" t="s">
        <v>42</v>
      </c>
      <c r="S30" s="1" t="s">
        <v>42</v>
      </c>
      <c r="T30" s="1" t="s">
        <v>43</v>
      </c>
      <c r="U30" s="1">
        <v>17</v>
      </c>
      <c r="V30" s="5">
        <v>44419</v>
      </c>
      <c r="W30" s="5">
        <v>44410</v>
      </c>
      <c r="X30" s="1">
        <v>3710000</v>
      </c>
      <c r="AB30" s="1" t="s">
        <v>44</v>
      </c>
      <c r="AF30" s="1">
        <v>10010</v>
      </c>
      <c r="AI30" s="1" t="s">
        <v>75</v>
      </c>
      <c r="AJ30" s="1">
        <v>2016</v>
      </c>
      <c r="AK30" s="1" t="s">
        <v>73</v>
      </c>
      <c r="AL30" s="1">
        <v>140</v>
      </c>
    </row>
    <row r="31" spans="1:38" x14ac:dyDescent="0.2">
      <c r="A31" s="2" t="str">
        <f>HYPERLINK("https://www.compass.com/listing/30-park-place-unit-63c-manhattan-ny-10007/837030166189127737/","30 Park Pl, Unit 63C")</f>
        <v>30 Park Pl, Unit 63C</v>
      </c>
      <c r="B31" s="2" t="str">
        <f>HYPERLINK("https://www.compass.com/building/30-park-pl-manhattan-ny-10007/281896912905317605/","30 Park Pl")</f>
        <v>30 Park Pl</v>
      </c>
      <c r="C31" s="1" t="s">
        <v>40</v>
      </c>
      <c r="D31" s="1" t="s">
        <v>41</v>
      </c>
      <c r="E31" s="3">
        <v>4980000</v>
      </c>
      <c r="G31" s="1">
        <v>4</v>
      </c>
      <c r="H31" s="1">
        <v>2</v>
      </c>
      <c r="I31" s="1">
        <v>3</v>
      </c>
      <c r="J31" s="1">
        <v>2.5</v>
      </c>
      <c r="K31" s="1">
        <v>2</v>
      </c>
      <c r="L31" s="1">
        <v>1</v>
      </c>
      <c r="N31" s="1">
        <v>1348</v>
      </c>
      <c r="O31" s="1">
        <v>4515</v>
      </c>
      <c r="P31" s="1">
        <v>3167</v>
      </c>
      <c r="Q31" s="1" t="s">
        <v>42</v>
      </c>
      <c r="S31" s="1" t="s">
        <v>42</v>
      </c>
      <c r="T31" s="1" t="s">
        <v>43</v>
      </c>
      <c r="U31" s="1">
        <v>21</v>
      </c>
      <c r="V31" s="5">
        <v>44420</v>
      </c>
      <c r="W31" s="5">
        <v>44406</v>
      </c>
      <c r="X31" s="1">
        <v>5260000</v>
      </c>
      <c r="AB31" s="1" t="s">
        <v>44</v>
      </c>
      <c r="AF31" s="1">
        <v>10007</v>
      </c>
      <c r="AJ31" s="1">
        <v>2016</v>
      </c>
      <c r="AK31" s="1" t="s">
        <v>73</v>
      </c>
      <c r="AL31" s="1">
        <v>157</v>
      </c>
    </row>
    <row r="32" spans="1:38" x14ac:dyDescent="0.2">
      <c r="A32" s="2" t="str">
        <f>HYPERLINK("https://www.compass.com/listing/15-west-61st-street-unit-5f-manhattan-ny-10023/845592276317508289/","15 W 61st St, Unit 5F")</f>
        <v>15 W 61st St, Unit 5F</v>
      </c>
      <c r="B32" s="2" t="str">
        <f>HYPERLINK("https://www.compass.com/building/the-park-loggia-manhattan-ny/292861833130357557/","The Park Loggia")</f>
        <v>The Park Loggia</v>
      </c>
      <c r="C32" s="1" t="s">
        <v>50</v>
      </c>
      <c r="D32" s="1" t="s">
        <v>41</v>
      </c>
      <c r="E32" s="3">
        <v>1620000</v>
      </c>
      <c r="F32" s="1">
        <v>2334.2939481267999</v>
      </c>
      <c r="G32" s="1">
        <v>3</v>
      </c>
      <c r="H32" s="1">
        <v>1</v>
      </c>
      <c r="I32" s="1">
        <v>1</v>
      </c>
      <c r="J32" s="1">
        <v>1</v>
      </c>
      <c r="K32" s="1">
        <v>1</v>
      </c>
      <c r="M32" s="1">
        <v>694</v>
      </c>
      <c r="N32" s="1">
        <v>705</v>
      </c>
      <c r="O32" s="1">
        <v>1414</v>
      </c>
      <c r="P32" s="1">
        <v>709</v>
      </c>
      <c r="Q32" s="1" t="s">
        <v>42</v>
      </c>
      <c r="S32" s="1" t="s">
        <v>42</v>
      </c>
      <c r="T32" s="1" t="s">
        <v>43</v>
      </c>
      <c r="U32" s="1">
        <v>9</v>
      </c>
      <c r="V32" s="5">
        <v>44419</v>
      </c>
      <c r="W32" s="5">
        <v>44418</v>
      </c>
      <c r="X32" s="1">
        <v>1620000</v>
      </c>
      <c r="AB32" s="1" t="s">
        <v>44</v>
      </c>
      <c r="AF32" s="1">
        <v>10023</v>
      </c>
      <c r="AI32" s="1" t="s">
        <v>76</v>
      </c>
      <c r="AJ32" s="1">
        <v>2019</v>
      </c>
      <c r="AK32" s="1" t="s">
        <v>77</v>
      </c>
      <c r="AL32" s="1">
        <v>172</v>
      </c>
    </row>
    <row r="33" spans="1:38" x14ac:dyDescent="0.2">
      <c r="A33" s="2" t="str">
        <f>HYPERLINK("https://www.compass.com/listing/121-east-22nd-street-unit-n1101-manhattan-ny-10010/836131399453731001/","121 E 22nd St, Unit N1101")</f>
        <v>121 E 22nd St, Unit N1101</v>
      </c>
      <c r="B33" s="2" t="str">
        <f>HYPERLINK("https://www.compass.com/building/121-e-22nd-manhattan-ny/292795784653461493/","121 E 22nd")</f>
        <v>121 E 22nd</v>
      </c>
      <c r="C33" s="1" t="s">
        <v>54</v>
      </c>
      <c r="D33" s="1" t="s">
        <v>41</v>
      </c>
      <c r="E33" s="3">
        <v>2805000</v>
      </c>
      <c r="F33" s="1">
        <v>2073.1707317073101</v>
      </c>
      <c r="G33" s="1">
        <v>3.5</v>
      </c>
      <c r="H33" s="1">
        <v>2</v>
      </c>
      <c r="I33" s="1">
        <v>3</v>
      </c>
      <c r="J33" s="1">
        <v>2.5</v>
      </c>
      <c r="K33" s="1">
        <v>2</v>
      </c>
      <c r="L33" s="1">
        <v>1</v>
      </c>
      <c r="M33" s="4">
        <v>1353</v>
      </c>
      <c r="N33" s="1">
        <v>1501</v>
      </c>
      <c r="O33" s="1">
        <v>4324</v>
      </c>
      <c r="P33" s="1">
        <v>2823</v>
      </c>
      <c r="Q33" s="1" t="s">
        <v>42</v>
      </c>
      <c r="S33" s="1" t="s">
        <v>42</v>
      </c>
      <c r="T33" s="1" t="s">
        <v>43</v>
      </c>
      <c r="U33" s="1">
        <v>21</v>
      </c>
      <c r="V33" s="5">
        <v>44412</v>
      </c>
      <c r="W33" s="5">
        <v>44405</v>
      </c>
      <c r="X33" s="1">
        <v>3005000</v>
      </c>
      <c r="AB33" s="1" t="s">
        <v>44</v>
      </c>
      <c r="AF33" s="1">
        <v>10010</v>
      </c>
      <c r="AI33" s="1" t="s">
        <v>78</v>
      </c>
      <c r="AJ33" s="1">
        <v>2016</v>
      </c>
      <c r="AK33" s="1" t="s">
        <v>73</v>
      </c>
      <c r="AL33" s="1">
        <v>140</v>
      </c>
    </row>
    <row r="34" spans="1:38" x14ac:dyDescent="0.2">
      <c r="A34" s="2" t="str">
        <f>HYPERLINK("https://www.compass.com/listing/15-west-61st-street-unit-4d-manhattan-ny-10023/845575166975477281/","15 W 61st St, Unit 4D")</f>
        <v>15 W 61st St, Unit 4D</v>
      </c>
      <c r="B34" s="2" t="str">
        <f>HYPERLINK("https://www.compass.com/building/the-park-loggia-manhattan-ny/292861833130357557/","The Park Loggia")</f>
        <v>The Park Loggia</v>
      </c>
      <c r="C34" s="1" t="s">
        <v>50</v>
      </c>
      <c r="D34" s="1" t="s">
        <v>41</v>
      </c>
      <c r="E34" s="3">
        <v>1200000</v>
      </c>
      <c r="F34" s="1">
        <v>1826.48401826484</v>
      </c>
      <c r="G34" s="1">
        <v>2</v>
      </c>
      <c r="H34" s="1" t="s">
        <v>79</v>
      </c>
      <c r="I34" s="1">
        <v>1</v>
      </c>
      <c r="J34" s="1">
        <v>1</v>
      </c>
      <c r="K34" s="1">
        <v>1</v>
      </c>
      <c r="M34" s="1">
        <v>657</v>
      </c>
      <c r="N34" s="1">
        <v>667</v>
      </c>
      <c r="O34" s="1">
        <v>1338</v>
      </c>
      <c r="P34" s="1">
        <v>671</v>
      </c>
      <c r="Q34" s="1" t="s">
        <v>42</v>
      </c>
      <c r="S34" s="1" t="s">
        <v>42</v>
      </c>
      <c r="T34" s="1" t="s">
        <v>43</v>
      </c>
      <c r="U34" s="1">
        <v>9</v>
      </c>
      <c r="V34" s="5">
        <v>44419</v>
      </c>
      <c r="W34" s="5">
        <v>44418</v>
      </c>
      <c r="X34" s="1">
        <v>1200000</v>
      </c>
      <c r="AB34" s="1" t="s">
        <v>44</v>
      </c>
      <c r="AF34" s="1">
        <v>10023</v>
      </c>
      <c r="AI34" s="1" t="s">
        <v>76</v>
      </c>
      <c r="AJ34" s="1">
        <v>2019</v>
      </c>
      <c r="AK34" s="1" t="s">
        <v>77</v>
      </c>
      <c r="AL34" s="1">
        <v>172</v>
      </c>
    </row>
    <row r="35" spans="1:38" x14ac:dyDescent="0.2">
      <c r="A35" s="2" t="str">
        <f>HYPERLINK("https://www.compass.com/listing/121-east-22nd-street-unit-n908-manhattan-ny-10010/831042214967423401/","121 E 22nd St, Unit N908")</f>
        <v>121 E 22nd St, Unit N908</v>
      </c>
      <c r="B35" s="2" t="str">
        <f>HYPERLINK("https://www.compass.com/building/121-e-22nd-manhattan-ny/292795784653461493/","121 E 22nd")</f>
        <v>121 E 22nd</v>
      </c>
      <c r="C35" s="1" t="s">
        <v>54</v>
      </c>
      <c r="D35" s="1" t="s">
        <v>41</v>
      </c>
      <c r="E35" s="3">
        <v>3055000</v>
      </c>
      <c r="F35" s="1">
        <v>2179.0299572039899</v>
      </c>
      <c r="G35" s="1">
        <v>3</v>
      </c>
      <c r="H35" s="1">
        <v>2</v>
      </c>
      <c r="I35" s="1">
        <v>2</v>
      </c>
      <c r="J35" s="1">
        <v>2</v>
      </c>
      <c r="K35" s="1">
        <v>2</v>
      </c>
      <c r="M35" s="4">
        <v>1402</v>
      </c>
      <c r="N35" s="1">
        <v>1548</v>
      </c>
      <c r="O35" s="1">
        <v>4457</v>
      </c>
      <c r="P35" s="1">
        <v>2909</v>
      </c>
      <c r="Q35" s="1" t="s">
        <v>42</v>
      </c>
      <c r="S35" s="1" t="s">
        <v>42</v>
      </c>
      <c r="T35" s="1" t="s">
        <v>43</v>
      </c>
      <c r="U35" s="1">
        <v>28</v>
      </c>
      <c r="V35" s="5">
        <v>44412</v>
      </c>
      <c r="W35" s="5">
        <v>44398</v>
      </c>
      <c r="X35" s="1">
        <v>3055000</v>
      </c>
      <c r="AB35" s="1" t="s">
        <v>44</v>
      </c>
      <c r="AF35" s="1">
        <v>10010</v>
      </c>
      <c r="AI35" s="1" t="s">
        <v>78</v>
      </c>
      <c r="AJ35" s="1">
        <v>2016</v>
      </c>
      <c r="AK35" s="1" t="s">
        <v>73</v>
      </c>
      <c r="AL35" s="1">
        <v>140</v>
      </c>
    </row>
    <row r="36" spans="1:38" x14ac:dyDescent="0.2">
      <c r="A36" s="2" t="str">
        <f>HYPERLINK("https://www.compass.com/listing/221-west-77th-street-unit-7e-manhattan-ny-10024/836464544204172889/","221 W 77th St, Unit 7E")</f>
        <v>221 W 77th St, Unit 7E</v>
      </c>
      <c r="B36" s="2" t="str">
        <f>HYPERLINK("https://www.compass.com/building/221-west-77th-street-manhattan-ny/292869344491294229/","221 West 77th Street")</f>
        <v>221 West 77th Street</v>
      </c>
      <c r="C36" s="1" t="s">
        <v>50</v>
      </c>
      <c r="D36" s="1" t="s">
        <v>41</v>
      </c>
      <c r="E36" s="3">
        <v>3750000</v>
      </c>
      <c r="F36" s="1">
        <v>2161.3832853025901</v>
      </c>
      <c r="G36" s="1">
        <v>4</v>
      </c>
      <c r="H36" s="1">
        <v>2</v>
      </c>
      <c r="I36" s="1">
        <v>3</v>
      </c>
      <c r="J36" s="1">
        <v>2.5</v>
      </c>
      <c r="K36" s="1">
        <v>2</v>
      </c>
      <c r="L36" s="1">
        <v>1</v>
      </c>
      <c r="M36" s="4">
        <v>1735</v>
      </c>
      <c r="N36" s="1">
        <v>1998</v>
      </c>
      <c r="O36" s="1">
        <v>7493</v>
      </c>
      <c r="P36" s="1">
        <v>5495</v>
      </c>
      <c r="Q36" s="1" t="s">
        <v>42</v>
      </c>
      <c r="S36" s="1" t="s">
        <v>42</v>
      </c>
      <c r="T36" s="1" t="s">
        <v>43</v>
      </c>
      <c r="U36" s="1">
        <v>22</v>
      </c>
      <c r="V36" s="5">
        <v>44412</v>
      </c>
      <c r="W36" s="5">
        <v>44405</v>
      </c>
      <c r="X36" s="1">
        <v>3750000</v>
      </c>
      <c r="AB36" s="1" t="s">
        <v>44</v>
      </c>
      <c r="AF36" s="1">
        <v>10024</v>
      </c>
      <c r="AI36" s="1" t="s">
        <v>80</v>
      </c>
      <c r="AJ36" s="1">
        <v>2017</v>
      </c>
      <c r="AK36" s="1" t="s">
        <v>49</v>
      </c>
      <c r="AL36" s="1">
        <v>26</v>
      </c>
    </row>
    <row r="37" spans="1:38" x14ac:dyDescent="0.2">
      <c r="A37" s="2" t="str">
        <f>HYPERLINK("https://www.compass.com/listing/121-east-22nd-street-unit-s501-manhattan-ny-10010/829738639306773201/","121 E 22nd St, Unit S501")</f>
        <v>121 E 22nd St, Unit S501</v>
      </c>
      <c r="B37" s="2" t="str">
        <f>HYPERLINK("https://www.compass.com/building/121-e-22nd-manhattan-ny/292795784653461493/","121 E 22nd")</f>
        <v>121 E 22nd</v>
      </c>
      <c r="C37" s="1" t="s">
        <v>54</v>
      </c>
      <c r="D37" s="1" t="s">
        <v>41</v>
      </c>
      <c r="E37" s="3">
        <v>3435000</v>
      </c>
      <c r="F37" s="1">
        <v>2100.9174311926599</v>
      </c>
      <c r="G37" s="1">
        <v>4</v>
      </c>
      <c r="H37" s="1">
        <v>2</v>
      </c>
      <c r="I37" s="1">
        <v>3</v>
      </c>
      <c r="J37" s="1">
        <v>2.5</v>
      </c>
      <c r="K37" s="1">
        <v>2</v>
      </c>
      <c r="L37" s="1">
        <v>1</v>
      </c>
      <c r="M37" s="4">
        <v>1635</v>
      </c>
      <c r="N37" s="1">
        <v>1685</v>
      </c>
      <c r="O37" s="1">
        <v>4837</v>
      </c>
      <c r="P37" s="1">
        <v>3152</v>
      </c>
      <c r="Q37" s="1" t="s">
        <v>42</v>
      </c>
      <c r="S37" s="1" t="s">
        <v>42</v>
      </c>
      <c r="T37" s="1" t="s">
        <v>43</v>
      </c>
      <c r="U37" s="1">
        <v>30</v>
      </c>
      <c r="V37" s="5">
        <v>44411</v>
      </c>
      <c r="W37" s="5">
        <v>44397</v>
      </c>
      <c r="X37" s="1">
        <v>3435000</v>
      </c>
      <c r="AB37" s="1" t="s">
        <v>44</v>
      </c>
      <c r="AF37" s="1">
        <v>10010</v>
      </c>
      <c r="AI37" s="1" t="s">
        <v>78</v>
      </c>
      <c r="AJ37" s="1">
        <v>2016</v>
      </c>
      <c r="AK37" s="1" t="s">
        <v>73</v>
      </c>
      <c r="AL37" s="1">
        <v>140</v>
      </c>
    </row>
    <row r="38" spans="1:38" x14ac:dyDescent="0.2">
      <c r="A38" s="2" t="str">
        <f>HYPERLINK("https://www.compass.com/listing/30-park-place-unit-54b-manhattan-ny-10007/821705910696691561/","30 Park Pl, Unit 54B")</f>
        <v>30 Park Pl, Unit 54B</v>
      </c>
      <c r="B38" s="2" t="str">
        <f>HYPERLINK("https://www.compass.com/building/30-park-pl-manhattan-ny-10007/281896912905317605/","30 Park Pl")</f>
        <v>30 Park Pl</v>
      </c>
      <c r="C38" s="1" t="s">
        <v>40</v>
      </c>
      <c r="D38" s="1" t="s">
        <v>41</v>
      </c>
      <c r="E38" s="3">
        <v>6650000</v>
      </c>
      <c r="F38" s="1">
        <v>3004.9706281066401</v>
      </c>
      <c r="G38" s="1">
        <v>6</v>
      </c>
      <c r="H38" s="1">
        <v>3</v>
      </c>
      <c r="I38" s="1">
        <v>4</v>
      </c>
      <c r="J38" s="1">
        <v>3.5</v>
      </c>
      <c r="K38" s="1">
        <v>3</v>
      </c>
      <c r="L38" s="1">
        <v>1</v>
      </c>
      <c r="M38" s="4">
        <v>2213</v>
      </c>
      <c r="N38" s="1">
        <v>1940</v>
      </c>
      <c r="O38" s="1">
        <v>6322</v>
      </c>
      <c r="P38" s="1">
        <v>4382</v>
      </c>
      <c r="Q38" s="1" t="s">
        <v>42</v>
      </c>
      <c r="S38" s="1" t="s">
        <v>42</v>
      </c>
      <c r="T38" s="1" t="s">
        <v>43</v>
      </c>
      <c r="U38" s="1">
        <v>42</v>
      </c>
      <c r="V38" s="5">
        <v>44427</v>
      </c>
      <c r="W38" s="5">
        <v>44385</v>
      </c>
      <c r="X38" s="1">
        <v>6800000</v>
      </c>
      <c r="AB38" s="1" t="s">
        <v>44</v>
      </c>
      <c r="AF38" s="1">
        <v>10007</v>
      </c>
      <c r="AJ38" s="1">
        <v>2016</v>
      </c>
      <c r="AK38" s="1" t="s">
        <v>73</v>
      </c>
      <c r="AL38" s="1">
        <v>157</v>
      </c>
    </row>
    <row r="39" spans="1:38" x14ac:dyDescent="0.2">
      <c r="A39" s="2" t="str">
        <f>HYPERLINK("https://www.compass.com/listing/277-5th-avenue-unit-36a-manhattan-ny-10016/842063144424225249/","277 5th Ave, Unit 36A")</f>
        <v>277 5th Ave, Unit 36A</v>
      </c>
      <c r="B39" s="2" t="str">
        <f t="shared" ref="B39:B40" si="5">HYPERLINK("https://www.compass.com/building/277-fifth-avenue-manhattan-ny/281939285475645317/","277 FIFTH AVENUE")</f>
        <v>277 FIFTH AVENUE</v>
      </c>
      <c r="C39" s="1" t="s">
        <v>81</v>
      </c>
      <c r="D39" s="1" t="s">
        <v>41</v>
      </c>
      <c r="E39" s="3">
        <v>5760000</v>
      </c>
      <c r="G39" s="1">
        <v>5</v>
      </c>
      <c r="H39" s="1">
        <v>3</v>
      </c>
      <c r="I39" s="1">
        <v>3</v>
      </c>
      <c r="J39" s="1">
        <v>3</v>
      </c>
      <c r="K39" s="1">
        <v>3</v>
      </c>
      <c r="N39" s="1">
        <v>2568</v>
      </c>
      <c r="O39" s="1">
        <v>4920</v>
      </c>
      <c r="P39" s="1">
        <v>2352</v>
      </c>
      <c r="Q39" s="1" t="s">
        <v>42</v>
      </c>
      <c r="S39" s="1" t="s">
        <v>42</v>
      </c>
      <c r="T39" s="1" t="s">
        <v>43</v>
      </c>
      <c r="U39" s="1">
        <v>14</v>
      </c>
      <c r="V39" s="5">
        <v>44414</v>
      </c>
      <c r="W39" s="5">
        <v>44413</v>
      </c>
      <c r="X39" s="1">
        <v>5760000</v>
      </c>
      <c r="AB39" s="1" t="s">
        <v>44</v>
      </c>
      <c r="AF39" s="1">
        <v>10016</v>
      </c>
      <c r="AI39" s="1" t="s">
        <v>82</v>
      </c>
      <c r="AJ39" s="1">
        <v>2019</v>
      </c>
      <c r="AK39" s="1" t="s">
        <v>46</v>
      </c>
      <c r="AL39" s="1">
        <v>130</v>
      </c>
    </row>
    <row r="40" spans="1:38" x14ac:dyDescent="0.2">
      <c r="A40" s="2" t="str">
        <f>HYPERLINK("https://www.compass.com/listing/277-5th-avenue-unit-46b-manhattan-ny-10016/841398384560910705/","277 5th Ave, Unit 46B")</f>
        <v>277 5th Ave, Unit 46B</v>
      </c>
      <c r="B40" s="2" t="str">
        <f t="shared" si="5"/>
        <v>277 FIFTH AVENUE</v>
      </c>
      <c r="C40" s="1" t="s">
        <v>81</v>
      </c>
      <c r="D40" s="1" t="s">
        <v>41</v>
      </c>
      <c r="E40" s="3">
        <v>11500000</v>
      </c>
      <c r="F40" s="1">
        <v>4929.2756108015401</v>
      </c>
      <c r="G40" s="1">
        <v>5</v>
      </c>
      <c r="H40" s="1">
        <v>3</v>
      </c>
      <c r="I40" s="1">
        <v>4</v>
      </c>
      <c r="J40" s="1">
        <v>3.5</v>
      </c>
      <c r="K40" s="1">
        <v>3</v>
      </c>
      <c r="L40" s="1">
        <v>1</v>
      </c>
      <c r="M40" s="4">
        <v>2333</v>
      </c>
      <c r="N40" s="1">
        <v>3433</v>
      </c>
      <c r="O40" s="1">
        <v>6576</v>
      </c>
      <c r="P40" s="1">
        <v>3143</v>
      </c>
      <c r="Q40" s="1" t="s">
        <v>42</v>
      </c>
      <c r="S40" s="1" t="s">
        <v>42</v>
      </c>
      <c r="T40" s="1" t="s">
        <v>43</v>
      </c>
      <c r="U40" s="1">
        <v>15</v>
      </c>
      <c r="V40" s="5">
        <v>44427</v>
      </c>
      <c r="W40" s="5">
        <v>44412</v>
      </c>
      <c r="X40" s="1">
        <v>11500000</v>
      </c>
      <c r="AB40" s="1" t="s">
        <v>44</v>
      </c>
      <c r="AF40" s="1">
        <v>10016</v>
      </c>
      <c r="AI40" s="1" t="s">
        <v>83</v>
      </c>
      <c r="AJ40" s="1">
        <v>2019</v>
      </c>
      <c r="AK40" s="1" t="s">
        <v>46</v>
      </c>
      <c r="AL40" s="1">
        <v>130</v>
      </c>
    </row>
    <row r="41" spans="1:38" x14ac:dyDescent="0.2">
      <c r="A41" s="2" t="str">
        <f>HYPERLINK("https://www.compass.com/listing/100-barclay-street-unit-12d-manhattan-ny-10007/222813662845396481/","100 Barclay St, Unit 12D")</f>
        <v>100 Barclay St, Unit 12D</v>
      </c>
      <c r="B41" s="2" t="str">
        <f>HYPERLINK("https://www.compass.com/building/100-barclay-manhattan-ny/281896670466155525/","100 Barclay")</f>
        <v>100 Barclay</v>
      </c>
      <c r="C41" s="1" t="s">
        <v>40</v>
      </c>
      <c r="D41" s="1" t="s">
        <v>41</v>
      </c>
      <c r="E41" s="3">
        <v>2815000</v>
      </c>
      <c r="F41" s="1">
        <v>2059.2538405267001</v>
      </c>
      <c r="G41" s="1">
        <v>4</v>
      </c>
      <c r="H41" s="1">
        <v>2</v>
      </c>
      <c r="I41" s="1">
        <v>2</v>
      </c>
      <c r="J41" s="1">
        <v>2</v>
      </c>
      <c r="K41" s="1">
        <v>2</v>
      </c>
      <c r="M41" s="4">
        <v>1367</v>
      </c>
      <c r="N41" s="1">
        <v>2320</v>
      </c>
      <c r="O41" s="1">
        <v>4486</v>
      </c>
      <c r="P41" s="1">
        <v>2166</v>
      </c>
      <c r="Q41" s="1" t="s">
        <v>42</v>
      </c>
      <c r="S41" s="1" t="s">
        <v>42</v>
      </c>
      <c r="T41" s="1" t="s">
        <v>43</v>
      </c>
      <c r="U41" s="1">
        <v>93</v>
      </c>
      <c r="V41" s="5">
        <v>44361</v>
      </c>
      <c r="W41" s="5">
        <v>44334</v>
      </c>
      <c r="AB41" s="1" t="s">
        <v>44</v>
      </c>
      <c r="AF41" s="1">
        <v>10007</v>
      </c>
      <c r="AI41" s="1" t="s">
        <v>45</v>
      </c>
      <c r="AJ41" s="1">
        <v>1930</v>
      </c>
      <c r="AK41" s="1" t="s">
        <v>46</v>
      </c>
      <c r="AL41" s="1">
        <v>156</v>
      </c>
    </row>
    <row r="42" spans="1:38" x14ac:dyDescent="0.2">
      <c r="A42" s="2" t="str">
        <f>HYPERLINK("https://www.compass.com/listing/30-park-place-unit-39g-manhattan-ny-10007/764381984809653721/","30 Park Pl, Unit 39G")</f>
        <v>30 Park Pl, Unit 39G</v>
      </c>
      <c r="B42" s="2" t="str">
        <f t="shared" ref="B42:B44" si="6">HYPERLINK("https://www.compass.com/building/30-park-pl-manhattan-ny-10007/281896912905317605/","30 Park Pl")</f>
        <v>30 Park Pl</v>
      </c>
      <c r="C42" s="1" t="s">
        <v>40</v>
      </c>
      <c r="D42" s="1" t="s">
        <v>41</v>
      </c>
      <c r="E42" s="3">
        <v>2495000</v>
      </c>
      <c r="F42" s="1">
        <v>3403.8199181446098</v>
      </c>
      <c r="G42" s="1">
        <v>3</v>
      </c>
      <c r="H42" s="1">
        <v>1</v>
      </c>
      <c r="I42" s="1">
        <v>1</v>
      </c>
      <c r="J42" s="1">
        <v>1</v>
      </c>
      <c r="K42" s="1">
        <v>1</v>
      </c>
      <c r="M42" s="1">
        <v>733</v>
      </c>
      <c r="N42" s="1">
        <v>625.33000000000004</v>
      </c>
      <c r="O42" s="1">
        <v>2153.66</v>
      </c>
      <c r="P42" s="1">
        <v>1528.3333333333301</v>
      </c>
      <c r="Q42" s="1" t="s">
        <v>42</v>
      </c>
      <c r="S42" s="1" t="s">
        <v>42</v>
      </c>
      <c r="T42" s="1" t="s">
        <v>43</v>
      </c>
      <c r="U42" s="1">
        <v>121</v>
      </c>
      <c r="V42" s="5">
        <v>44426</v>
      </c>
      <c r="W42" s="5">
        <v>44306</v>
      </c>
      <c r="X42" s="1">
        <v>2495000</v>
      </c>
      <c r="AB42" s="1" t="s">
        <v>44</v>
      </c>
      <c r="AF42" s="1">
        <v>10007</v>
      </c>
      <c r="AI42" s="1" t="s">
        <v>84</v>
      </c>
      <c r="AJ42" s="1">
        <v>2016</v>
      </c>
      <c r="AK42" s="1" t="s">
        <v>73</v>
      </c>
      <c r="AL42" s="1">
        <v>157</v>
      </c>
    </row>
    <row r="43" spans="1:38" x14ac:dyDescent="0.2">
      <c r="A43" s="2" t="str">
        <f>HYPERLINK("https://www.compass.com/listing/30-park-place-unit-60c-manhattan-ny-10007/603545580234795409/","30 Park Pl, Unit 60C")</f>
        <v>30 Park Pl, Unit 60C</v>
      </c>
      <c r="B43" s="2" t="str">
        <f t="shared" si="6"/>
        <v>30 Park Pl</v>
      </c>
      <c r="C43" s="1" t="s">
        <v>40</v>
      </c>
      <c r="D43" s="1" t="s">
        <v>41</v>
      </c>
      <c r="E43" s="3">
        <v>4850000</v>
      </c>
      <c r="F43" s="1">
        <v>3143.2274789371299</v>
      </c>
      <c r="G43" s="1">
        <v>4</v>
      </c>
      <c r="H43" s="1">
        <v>2</v>
      </c>
      <c r="I43" s="1">
        <v>3</v>
      </c>
      <c r="J43" s="1">
        <v>2.5</v>
      </c>
      <c r="K43" s="1">
        <v>2</v>
      </c>
      <c r="L43" s="1">
        <v>1</v>
      </c>
      <c r="M43" s="4">
        <v>1543</v>
      </c>
      <c r="N43" s="1">
        <v>1341</v>
      </c>
      <c r="O43" s="1">
        <v>4580</v>
      </c>
      <c r="P43" s="1">
        <v>3239</v>
      </c>
      <c r="Q43" s="1" t="s">
        <v>42</v>
      </c>
      <c r="S43" s="1" t="s">
        <v>42</v>
      </c>
      <c r="T43" s="1" t="s">
        <v>43</v>
      </c>
      <c r="U43" s="1">
        <v>343</v>
      </c>
      <c r="V43" s="5">
        <v>44421</v>
      </c>
      <c r="W43" s="5">
        <v>44084</v>
      </c>
      <c r="X43" s="1">
        <v>5150000</v>
      </c>
      <c r="AB43" s="1" t="s">
        <v>44</v>
      </c>
      <c r="AF43" s="1">
        <v>10007</v>
      </c>
      <c r="AI43" s="1" t="s">
        <v>85</v>
      </c>
      <c r="AJ43" s="1">
        <v>2016</v>
      </c>
      <c r="AK43" s="1" t="s">
        <v>73</v>
      </c>
      <c r="AL43" s="1">
        <v>157</v>
      </c>
    </row>
    <row r="44" spans="1:38" x14ac:dyDescent="0.2">
      <c r="A44" s="2" t="str">
        <f>HYPERLINK("https://www.compass.com/listing/30-park-place-unit-68a-manhattan-ny-10007/547961379691547849/","30 Park Pl, Unit 68A")</f>
        <v>30 Park Pl, Unit 68A</v>
      </c>
      <c r="B44" s="2" t="str">
        <f t="shared" si="6"/>
        <v>30 Park Pl</v>
      </c>
      <c r="C44" s="1" t="s">
        <v>40</v>
      </c>
      <c r="D44" s="1" t="s">
        <v>41</v>
      </c>
      <c r="E44" s="3">
        <v>11000000</v>
      </c>
      <c r="F44" s="1">
        <v>2973.7766964044299</v>
      </c>
      <c r="G44" s="1">
        <v>8</v>
      </c>
      <c r="H44" s="1">
        <v>4</v>
      </c>
      <c r="I44" s="1">
        <v>6</v>
      </c>
      <c r="J44" s="1">
        <v>5.5</v>
      </c>
      <c r="K44" s="1">
        <v>5</v>
      </c>
      <c r="L44" s="1">
        <v>1</v>
      </c>
      <c r="M44" s="4">
        <v>3699</v>
      </c>
      <c r="N44" s="1">
        <v>3415</v>
      </c>
      <c r="O44" s="1">
        <v>11895</v>
      </c>
      <c r="P44" s="1">
        <v>8480</v>
      </c>
      <c r="Q44" s="1" t="s">
        <v>42</v>
      </c>
      <c r="S44" s="1" t="s">
        <v>42</v>
      </c>
      <c r="T44" s="1" t="s">
        <v>43</v>
      </c>
      <c r="U44" s="1">
        <v>210</v>
      </c>
      <c r="V44" s="5">
        <v>44427</v>
      </c>
      <c r="W44" s="5">
        <v>44008</v>
      </c>
      <c r="X44" s="1">
        <v>12800000</v>
      </c>
      <c r="AB44" s="1" t="s">
        <v>44</v>
      </c>
      <c r="AF44" s="1">
        <v>10007</v>
      </c>
      <c r="AJ44" s="1">
        <v>2016</v>
      </c>
      <c r="AK44" s="1" t="s">
        <v>73</v>
      </c>
      <c r="AL44" s="1">
        <v>157</v>
      </c>
    </row>
    <row r="45" spans="1:38" x14ac:dyDescent="0.2">
      <c r="A45" s="2" t="str">
        <f>HYPERLINK("https://www.compass.com/listing/200-east-21st-street-unit-2c-manhattan-ny-10010/799232425362927137/","200 E 21st St, Unit 2C")</f>
        <v>200 E 21st St, Unit 2C</v>
      </c>
      <c r="B45" s="2" t="str">
        <f>HYPERLINK("https://www.compass.com/building/200-east-21st-street-manhattan-ny/292796762689658005/","200 East 21st Street")</f>
        <v>200 East 21st Street</v>
      </c>
      <c r="C45" s="1" t="s">
        <v>54</v>
      </c>
      <c r="D45" s="1" t="s">
        <v>41</v>
      </c>
      <c r="E45" s="3">
        <v>1625000</v>
      </c>
      <c r="F45" s="1">
        <v>1846.5909090908999</v>
      </c>
      <c r="G45" s="1">
        <v>3</v>
      </c>
      <c r="H45" s="1">
        <v>1</v>
      </c>
      <c r="I45" s="1">
        <v>1</v>
      </c>
      <c r="J45" s="1">
        <v>1</v>
      </c>
      <c r="K45" s="1">
        <v>1</v>
      </c>
      <c r="M45" s="1">
        <v>880</v>
      </c>
      <c r="N45" s="1">
        <v>854</v>
      </c>
      <c r="O45" s="1">
        <v>1957</v>
      </c>
      <c r="P45" s="1">
        <v>1103</v>
      </c>
      <c r="Q45" s="1" t="s">
        <v>42</v>
      </c>
      <c r="S45" s="1" t="s">
        <v>42</v>
      </c>
      <c r="T45" s="1" t="s">
        <v>43</v>
      </c>
      <c r="U45" s="1">
        <v>73</v>
      </c>
      <c r="V45" s="5">
        <v>44427</v>
      </c>
      <c r="W45" s="5">
        <v>44354</v>
      </c>
      <c r="X45" s="1">
        <v>1625000</v>
      </c>
      <c r="AB45" s="1" t="s">
        <v>44</v>
      </c>
      <c r="AF45" s="1">
        <v>10010</v>
      </c>
      <c r="AI45" s="1" t="s">
        <v>86</v>
      </c>
      <c r="AJ45" s="1">
        <v>2018</v>
      </c>
      <c r="AK45" s="1" t="s">
        <v>87</v>
      </c>
      <c r="AL45" s="1">
        <v>67</v>
      </c>
    </row>
    <row r="46" spans="1:38" x14ac:dyDescent="0.2">
      <c r="A46" s="2" t="str">
        <f>HYPERLINK("https://www.compass.com/listing/30-park-place-unit-47e-manhattan-ny-10007/687950930850846593/","30 Park Pl, Unit 47E")</f>
        <v>30 Park Pl, Unit 47E</v>
      </c>
      <c r="B46" s="2" t="str">
        <f>HYPERLINK("https://www.compass.com/building/30-park-pl-manhattan-ny-10007/281896912905317605/","30 Park Pl")</f>
        <v>30 Park Pl</v>
      </c>
      <c r="C46" s="1" t="s">
        <v>40</v>
      </c>
      <c r="D46" s="1" t="s">
        <v>41</v>
      </c>
      <c r="E46" s="3">
        <v>5295000</v>
      </c>
      <c r="F46" s="1">
        <v>2951.5050167223999</v>
      </c>
      <c r="G46" s="1">
        <v>5</v>
      </c>
      <c r="H46" s="1">
        <v>3</v>
      </c>
      <c r="I46" s="1">
        <v>3</v>
      </c>
      <c r="J46" s="1">
        <v>2.5</v>
      </c>
      <c r="K46" s="1">
        <v>2</v>
      </c>
      <c r="L46" s="1">
        <v>1</v>
      </c>
      <c r="M46" s="4">
        <v>1794</v>
      </c>
      <c r="N46" s="1">
        <v>1569</v>
      </c>
      <c r="O46" s="1">
        <v>5462</v>
      </c>
      <c r="P46" s="1">
        <v>3893</v>
      </c>
      <c r="Q46" s="1" t="s">
        <v>42</v>
      </c>
      <c r="S46" s="1" t="s">
        <v>42</v>
      </c>
      <c r="T46" s="1" t="s">
        <v>43</v>
      </c>
      <c r="U46" s="1">
        <v>251</v>
      </c>
      <c r="V46" s="5">
        <v>44427</v>
      </c>
      <c r="W46" s="5">
        <v>44176</v>
      </c>
      <c r="X46" s="1">
        <v>5295000</v>
      </c>
      <c r="AB46" s="1" t="s">
        <v>44</v>
      </c>
      <c r="AF46" s="1">
        <v>10007</v>
      </c>
      <c r="AJ46" s="1">
        <v>2016</v>
      </c>
      <c r="AK46" s="1" t="s">
        <v>46</v>
      </c>
      <c r="AL46" s="1">
        <v>157</v>
      </c>
    </row>
    <row r="47" spans="1:38" x14ac:dyDescent="0.2">
      <c r="A47" s="2" t="str">
        <f>HYPERLINK("https://www.compass.com/listing/100-barclay-street-unit-24b-manhattan-ny-10007/23228791795027825/","100 Barclay St, Unit 24B")</f>
        <v>100 Barclay St, Unit 24B</v>
      </c>
      <c r="B47" s="2" t="str">
        <f t="shared" ref="B47:B48" si="7">HYPERLINK("https://www.compass.com/building/100-barclay-manhattan-ny/281896670466155525/","100 Barclay")</f>
        <v>100 Barclay</v>
      </c>
      <c r="C47" s="1" t="s">
        <v>40</v>
      </c>
      <c r="D47" s="1" t="s">
        <v>41</v>
      </c>
      <c r="E47" s="3">
        <v>6450000</v>
      </c>
      <c r="F47" s="1">
        <v>2247.3867595818801</v>
      </c>
      <c r="G47" s="1">
        <v>6</v>
      </c>
      <c r="H47" s="1">
        <v>4</v>
      </c>
      <c r="I47" s="1">
        <v>4</v>
      </c>
      <c r="J47" s="1">
        <v>4</v>
      </c>
      <c r="K47" s="1">
        <v>4</v>
      </c>
      <c r="M47" s="4">
        <v>2870</v>
      </c>
      <c r="N47" s="1">
        <v>4138</v>
      </c>
      <c r="O47" s="1">
        <v>8884.39</v>
      </c>
      <c r="P47" s="1">
        <v>4746.4166666666597</v>
      </c>
      <c r="Q47" s="1" t="s">
        <v>42</v>
      </c>
      <c r="S47" s="1" t="s">
        <v>42</v>
      </c>
      <c r="T47" s="1" t="s">
        <v>43</v>
      </c>
      <c r="U47" s="1">
        <v>605</v>
      </c>
      <c r="V47" s="5">
        <v>44424</v>
      </c>
      <c r="W47" s="5">
        <v>43728</v>
      </c>
      <c r="AB47" s="1" t="s">
        <v>44</v>
      </c>
      <c r="AF47" s="1">
        <v>10007</v>
      </c>
      <c r="AI47" s="1" t="s">
        <v>45</v>
      </c>
      <c r="AJ47" s="1">
        <v>1930</v>
      </c>
      <c r="AK47" s="1" t="s">
        <v>73</v>
      </c>
      <c r="AL47" s="1">
        <v>156</v>
      </c>
    </row>
    <row r="48" spans="1:38" x14ac:dyDescent="0.2">
      <c r="A48" s="2" t="str">
        <f>HYPERLINK("https://www.compass.com/listing/100-barclay-street-unit-23a-manhattan-ny-10007/325345810644515889/","100 Barclay St, Unit 23A")</f>
        <v>100 Barclay St, Unit 23A</v>
      </c>
      <c r="B48" s="2" t="str">
        <f t="shared" si="7"/>
        <v>100 Barclay</v>
      </c>
      <c r="C48" s="1" t="s">
        <v>40</v>
      </c>
      <c r="D48" s="1" t="s">
        <v>41</v>
      </c>
      <c r="E48" s="3">
        <v>6475000</v>
      </c>
      <c r="F48" s="1">
        <v>2176.4705882352901</v>
      </c>
      <c r="G48" s="1">
        <v>7</v>
      </c>
      <c r="H48" s="1">
        <v>3</v>
      </c>
      <c r="I48" s="1">
        <v>4</v>
      </c>
      <c r="J48" s="1">
        <v>4</v>
      </c>
      <c r="K48" s="1">
        <v>4</v>
      </c>
      <c r="M48" s="4">
        <v>2975</v>
      </c>
      <c r="N48" s="1">
        <v>4289</v>
      </c>
      <c r="O48" s="1">
        <v>9208.48</v>
      </c>
      <c r="P48" s="1">
        <v>4919.5</v>
      </c>
      <c r="Q48" s="1" t="s">
        <v>42</v>
      </c>
      <c r="S48" s="1" t="s">
        <v>42</v>
      </c>
      <c r="T48" s="1" t="s">
        <v>43</v>
      </c>
      <c r="U48" s="1">
        <v>637</v>
      </c>
      <c r="V48" s="5">
        <v>44424</v>
      </c>
      <c r="W48" s="5">
        <v>43696</v>
      </c>
      <c r="X48" s="1">
        <v>6475000</v>
      </c>
      <c r="AB48" s="1" t="s">
        <v>44</v>
      </c>
      <c r="AF48" s="1">
        <v>10007</v>
      </c>
      <c r="AI48" s="1" t="s">
        <v>88</v>
      </c>
      <c r="AJ48" s="1">
        <v>1930</v>
      </c>
      <c r="AK48" s="1" t="s">
        <v>73</v>
      </c>
      <c r="AL48" s="1">
        <v>156</v>
      </c>
    </row>
    <row r="49" spans="1:38" x14ac:dyDescent="0.2">
      <c r="A49" s="2" t="str">
        <f>HYPERLINK("https://www.compass.com/listing/121-east-22nd-street-unit-n1102-manhattan-ny-10010/765295407023968033/","121 E 22nd St, Unit N1102")</f>
        <v>121 E 22nd St, Unit N1102</v>
      </c>
      <c r="B49" s="2" t="str">
        <f>HYPERLINK("https://www.compass.com/building/121-e-22nd-manhattan-ny/292795784653461493/","121 E 22nd")</f>
        <v>121 E 22nd</v>
      </c>
      <c r="C49" s="1" t="s">
        <v>54</v>
      </c>
      <c r="D49" s="1" t="s">
        <v>41</v>
      </c>
      <c r="E49" s="3">
        <v>3470000</v>
      </c>
      <c r="F49" s="1">
        <v>2072.8793309438402</v>
      </c>
      <c r="G49" s="1">
        <v>4</v>
      </c>
      <c r="H49" s="1">
        <v>2</v>
      </c>
      <c r="I49" s="1">
        <v>3</v>
      </c>
      <c r="J49" s="1">
        <v>2.5</v>
      </c>
      <c r="K49" s="1">
        <v>2</v>
      </c>
      <c r="L49" s="1">
        <v>1</v>
      </c>
      <c r="M49" s="4">
        <v>1674</v>
      </c>
      <c r="N49" s="1">
        <v>1896</v>
      </c>
      <c r="O49" s="1">
        <v>5465</v>
      </c>
      <c r="P49" s="1">
        <v>3569</v>
      </c>
      <c r="Q49" s="1" t="s">
        <v>42</v>
      </c>
      <c r="S49" s="1" t="s">
        <v>42</v>
      </c>
      <c r="T49" s="1" t="s">
        <v>43</v>
      </c>
      <c r="U49" s="1">
        <v>119</v>
      </c>
      <c r="V49" s="5">
        <v>44412</v>
      </c>
      <c r="W49" s="5">
        <v>44308</v>
      </c>
      <c r="X49" s="1">
        <v>3770000</v>
      </c>
      <c r="AB49" s="1" t="s">
        <v>44</v>
      </c>
      <c r="AF49" s="1">
        <v>10010</v>
      </c>
      <c r="AI49" s="1" t="s">
        <v>78</v>
      </c>
      <c r="AJ49" s="1">
        <v>2016</v>
      </c>
      <c r="AK49" s="1" t="s">
        <v>73</v>
      </c>
      <c r="AL49" s="1">
        <v>140</v>
      </c>
    </row>
    <row r="50" spans="1:38" x14ac:dyDescent="0.2">
      <c r="A50" s="2" t="str">
        <f>HYPERLINK("https://www.compass.com/listing/32-east-1st-street-unit-phc-manhattan-ny-10003/816880110717516473/","32 E 1st St, Unit PHC")</f>
        <v>32 E 1st St, Unit PHC</v>
      </c>
      <c r="B50" s="2" t="str">
        <f>HYPERLINK("https://www.compass.com/building/32-east-1st-street-manhattan-ny/292783157810310133/","32 East 1st Street")</f>
        <v>32 East 1st Street</v>
      </c>
      <c r="C50" s="1" t="s">
        <v>89</v>
      </c>
      <c r="D50" s="1" t="s">
        <v>41</v>
      </c>
      <c r="E50" s="3">
        <v>9990000</v>
      </c>
      <c r="F50" s="1">
        <v>3460.3394527190799</v>
      </c>
      <c r="G50" s="1">
        <v>8.5</v>
      </c>
      <c r="H50" s="1">
        <v>3</v>
      </c>
      <c r="I50" s="1">
        <v>4</v>
      </c>
      <c r="J50" s="1">
        <v>3.5</v>
      </c>
      <c r="K50" s="1">
        <v>3</v>
      </c>
      <c r="L50" s="1">
        <v>1</v>
      </c>
      <c r="M50" s="4">
        <v>2887</v>
      </c>
      <c r="N50" s="1">
        <v>4697</v>
      </c>
      <c r="O50" s="1">
        <v>11814</v>
      </c>
      <c r="P50" s="1">
        <v>7117</v>
      </c>
      <c r="Q50" s="1" t="s">
        <v>42</v>
      </c>
      <c r="S50" s="1" t="s">
        <v>42</v>
      </c>
      <c r="T50" s="1" t="s">
        <v>43</v>
      </c>
      <c r="U50" s="1">
        <v>49</v>
      </c>
      <c r="V50" s="5">
        <v>44427</v>
      </c>
      <c r="W50" s="5">
        <v>44378</v>
      </c>
      <c r="X50" s="1">
        <v>9995000</v>
      </c>
      <c r="AB50" s="1" t="s">
        <v>44</v>
      </c>
      <c r="AF50" s="1">
        <v>10003</v>
      </c>
      <c r="AI50" s="1" t="s">
        <v>90</v>
      </c>
      <c r="AJ50" s="1">
        <v>2019</v>
      </c>
      <c r="AK50" s="1" t="s">
        <v>77</v>
      </c>
      <c r="AL50" s="1">
        <v>30</v>
      </c>
    </row>
    <row r="51" spans="1:38" x14ac:dyDescent="0.2">
      <c r="A51" s="2" t="str">
        <f>HYPERLINK("https://www.compass.com/listing/121-east-22nd-street-unit-n1605-manhattan-ny-10010/694911944050948617/","121 E 22nd St, Unit N1605")</f>
        <v>121 E 22nd St, Unit N1605</v>
      </c>
      <c r="B51" s="2" t="str">
        <f t="shared" ref="B51:B53" si="8">HYPERLINK("https://www.compass.com/building/121-e-22nd-manhattan-ny/292795784653461493/","121 E 22nd")</f>
        <v>121 E 22nd</v>
      </c>
      <c r="C51" s="1" t="s">
        <v>54</v>
      </c>
      <c r="D51" s="1" t="s">
        <v>41</v>
      </c>
      <c r="E51" s="3">
        <v>3990000</v>
      </c>
      <c r="F51" s="1">
        <v>2377.8307508939201</v>
      </c>
      <c r="G51" s="1">
        <v>3.5</v>
      </c>
      <c r="H51" s="1">
        <v>2</v>
      </c>
      <c r="I51" s="1">
        <v>3</v>
      </c>
      <c r="J51" s="1">
        <v>2.5</v>
      </c>
      <c r="K51" s="1">
        <v>2</v>
      </c>
      <c r="L51" s="1">
        <v>1</v>
      </c>
      <c r="M51" s="4">
        <v>1678</v>
      </c>
      <c r="N51" s="1">
        <v>1901</v>
      </c>
      <c r="O51" s="1">
        <v>5479</v>
      </c>
      <c r="P51" s="1">
        <v>3578</v>
      </c>
      <c r="Q51" s="1" t="s">
        <v>42</v>
      </c>
      <c r="S51" s="1" t="s">
        <v>42</v>
      </c>
      <c r="T51" s="1" t="s">
        <v>43</v>
      </c>
      <c r="U51" s="1">
        <v>216</v>
      </c>
      <c r="V51" s="5">
        <v>44421</v>
      </c>
      <c r="W51" s="5">
        <v>44211</v>
      </c>
      <c r="X51" s="1">
        <v>4200000</v>
      </c>
      <c r="AB51" s="1" t="s">
        <v>44</v>
      </c>
      <c r="AF51" s="1">
        <v>10010</v>
      </c>
      <c r="AI51" s="1" t="s">
        <v>78</v>
      </c>
      <c r="AJ51" s="1">
        <v>2016</v>
      </c>
      <c r="AK51" s="1" t="s">
        <v>73</v>
      </c>
      <c r="AL51" s="1">
        <v>140</v>
      </c>
    </row>
    <row r="52" spans="1:38" x14ac:dyDescent="0.2">
      <c r="A52" s="2" t="str">
        <f>HYPERLINK("https://www.compass.com/listing/121-east-22nd-street-unit-s803-manhattan-ny-10010/410793383082335905/","121 E 22nd St, Unit S803")</f>
        <v>121 E 22nd St, Unit S803</v>
      </c>
      <c r="B52" s="2" t="str">
        <f t="shared" si="8"/>
        <v>121 E 22nd</v>
      </c>
      <c r="C52" s="1" t="s">
        <v>54</v>
      </c>
      <c r="D52" s="1" t="s">
        <v>41</v>
      </c>
      <c r="E52" s="3">
        <v>3460000</v>
      </c>
      <c r="F52" s="1">
        <v>2195.4314720812099</v>
      </c>
      <c r="G52" s="1">
        <v>4</v>
      </c>
      <c r="H52" s="1">
        <v>2</v>
      </c>
      <c r="I52" s="1">
        <v>3</v>
      </c>
      <c r="J52" s="1">
        <v>2.5</v>
      </c>
      <c r="K52" s="1">
        <v>2</v>
      </c>
      <c r="L52" s="1">
        <v>1</v>
      </c>
      <c r="M52" s="4">
        <v>1576</v>
      </c>
      <c r="N52" s="1">
        <v>1665</v>
      </c>
      <c r="O52" s="1">
        <v>4784</v>
      </c>
      <c r="P52" s="1">
        <v>3119</v>
      </c>
      <c r="Q52" s="1" t="s">
        <v>42</v>
      </c>
      <c r="S52" s="1" t="s">
        <v>42</v>
      </c>
      <c r="T52" s="1" t="s">
        <v>43</v>
      </c>
      <c r="U52" s="1">
        <v>514</v>
      </c>
      <c r="V52" s="5">
        <v>44412</v>
      </c>
      <c r="W52" s="5">
        <v>43819</v>
      </c>
      <c r="X52" s="1">
        <v>3460000</v>
      </c>
      <c r="AB52" s="1" t="s">
        <v>44</v>
      </c>
      <c r="AF52" s="1">
        <v>10010</v>
      </c>
      <c r="AI52" s="1" t="s">
        <v>78</v>
      </c>
      <c r="AJ52" s="1">
        <v>2016</v>
      </c>
      <c r="AK52" s="1" t="s">
        <v>73</v>
      </c>
      <c r="AL52" s="1">
        <v>140</v>
      </c>
    </row>
    <row r="53" spans="1:38" x14ac:dyDescent="0.2">
      <c r="A53" s="2" t="str">
        <f>HYPERLINK("https://www.compass.com/listing/121-east-22nd-street-unit-n1702-manhattan-ny-10010/578252335065751049/","121 E 22nd St, Unit N1702")</f>
        <v>121 E 22nd St, Unit N1702</v>
      </c>
      <c r="B53" s="2" t="str">
        <f t="shared" si="8"/>
        <v>121 E 22nd</v>
      </c>
      <c r="C53" s="1" t="s">
        <v>54</v>
      </c>
      <c r="D53" s="1" t="s">
        <v>41</v>
      </c>
      <c r="E53" s="3">
        <v>4580000</v>
      </c>
      <c r="F53" s="1">
        <v>2469.0026954177802</v>
      </c>
      <c r="G53" s="1">
        <v>6</v>
      </c>
      <c r="H53" s="1">
        <v>3</v>
      </c>
      <c r="I53" s="1">
        <v>4</v>
      </c>
      <c r="J53" s="1">
        <v>3.5</v>
      </c>
      <c r="K53" s="1">
        <v>3</v>
      </c>
      <c r="L53" s="1">
        <v>1</v>
      </c>
      <c r="M53" s="4">
        <v>1855</v>
      </c>
      <c r="N53" s="1">
        <v>2057</v>
      </c>
      <c r="O53" s="1">
        <v>5640</v>
      </c>
      <c r="P53" s="1">
        <v>3583</v>
      </c>
      <c r="Q53" s="1" t="s">
        <v>42</v>
      </c>
      <c r="S53" s="1" t="s">
        <v>42</v>
      </c>
      <c r="T53" s="1" t="s">
        <v>43</v>
      </c>
      <c r="U53" s="1">
        <v>368</v>
      </c>
      <c r="V53" s="5">
        <v>44425</v>
      </c>
      <c r="W53" s="5">
        <v>44050</v>
      </c>
      <c r="X53" s="1">
        <v>4680000</v>
      </c>
      <c r="AB53" s="1" t="s">
        <v>44</v>
      </c>
      <c r="AF53" s="1">
        <v>10010</v>
      </c>
      <c r="AI53" s="1" t="s">
        <v>91</v>
      </c>
      <c r="AJ53" s="1">
        <v>2016</v>
      </c>
      <c r="AK53" s="1" t="s">
        <v>73</v>
      </c>
      <c r="AL53" s="1">
        <v>140</v>
      </c>
    </row>
    <row r="54" spans="1:38" x14ac:dyDescent="0.2">
      <c r="A54" s="2" t="str">
        <f>HYPERLINK("https://www.compass.com/listing/150-east-23rd-street-unit-6c-manhattan-ny-10010/449244185374188337/","150 E 23rd St, Unit 6C")</f>
        <v>150 E 23rd St, Unit 6C</v>
      </c>
      <c r="B54" s="2" t="str">
        <f>HYPERLINK("https://www.compass.com/building/celeste-gramercy-manhattan-ny/292795972759607813/","Celeste Gramercy")</f>
        <v>Celeste Gramercy</v>
      </c>
      <c r="C54" s="1" t="s">
        <v>54</v>
      </c>
      <c r="D54" s="1" t="s">
        <v>41</v>
      </c>
      <c r="E54" s="3">
        <v>2405000</v>
      </c>
      <c r="F54" s="1">
        <v>1772.29182019159</v>
      </c>
      <c r="G54" s="1">
        <v>3</v>
      </c>
      <c r="H54" s="1">
        <v>2</v>
      </c>
      <c r="I54" s="1">
        <v>2</v>
      </c>
      <c r="J54" s="1">
        <v>2</v>
      </c>
      <c r="K54" s="1">
        <v>2</v>
      </c>
      <c r="M54" s="4">
        <v>1357</v>
      </c>
      <c r="N54" s="1">
        <v>1814</v>
      </c>
      <c r="O54" s="1">
        <v>3514</v>
      </c>
      <c r="P54" s="1">
        <v>1700</v>
      </c>
      <c r="Q54" s="1" t="s">
        <v>42</v>
      </c>
      <c r="S54" s="1" t="s">
        <v>42</v>
      </c>
      <c r="T54" s="1" t="s">
        <v>43</v>
      </c>
      <c r="U54" s="1">
        <v>463</v>
      </c>
      <c r="V54" s="5">
        <v>44424</v>
      </c>
      <c r="W54" s="5">
        <v>43870</v>
      </c>
      <c r="X54" s="1">
        <v>2405000</v>
      </c>
      <c r="AB54" s="1" t="s">
        <v>44</v>
      </c>
      <c r="AF54" s="1">
        <v>10010</v>
      </c>
      <c r="AI54" s="1" t="s">
        <v>53</v>
      </c>
      <c r="AJ54" s="1">
        <v>2018</v>
      </c>
      <c r="AK54" s="1" t="s">
        <v>46</v>
      </c>
      <c r="AL54" s="1">
        <v>51</v>
      </c>
    </row>
    <row r="55" spans="1:38" x14ac:dyDescent="0.2">
      <c r="A55" s="2" t="str">
        <f>HYPERLINK("https://www.compass.com/listing/121-east-22nd-street-unit-s902-manhattan-ny-10010/59996085480903169/","121 E 22nd St, Unit S902")</f>
        <v>121 E 22nd St, Unit S902</v>
      </c>
      <c r="B55" s="2" t="str">
        <f>HYPERLINK("https://www.compass.com/building/121-e-22nd-manhattan-ny/292795784653461493/","121 E 22nd")</f>
        <v>121 E 22nd</v>
      </c>
      <c r="C55" s="1" t="s">
        <v>54</v>
      </c>
      <c r="D55" s="1" t="s">
        <v>41</v>
      </c>
      <c r="E55" s="3">
        <v>5250000</v>
      </c>
      <c r="F55" s="1">
        <v>2319.92929739284</v>
      </c>
      <c r="G55" s="1">
        <v>5</v>
      </c>
      <c r="H55" s="1">
        <v>3</v>
      </c>
      <c r="I55" s="1">
        <v>3</v>
      </c>
      <c r="J55" s="1">
        <v>3</v>
      </c>
      <c r="K55" s="1">
        <v>3</v>
      </c>
      <c r="M55" s="4">
        <v>2263</v>
      </c>
      <c r="N55" s="1">
        <v>2911</v>
      </c>
      <c r="O55" s="1">
        <v>8435</v>
      </c>
      <c r="P55" s="1">
        <v>5524</v>
      </c>
      <c r="Q55" s="1" t="s">
        <v>42</v>
      </c>
      <c r="S55" s="1" t="s">
        <v>42</v>
      </c>
      <c r="T55" s="1" t="s">
        <v>43</v>
      </c>
      <c r="U55" s="1">
        <v>998</v>
      </c>
      <c r="V55" s="5">
        <v>44421</v>
      </c>
      <c r="W55" s="5">
        <v>43335</v>
      </c>
      <c r="X55" s="1">
        <v>6385000</v>
      </c>
      <c r="AB55" s="1" t="s">
        <v>44</v>
      </c>
      <c r="AF55" s="1">
        <v>10010</v>
      </c>
      <c r="AI55" s="1" t="s">
        <v>92</v>
      </c>
      <c r="AJ55" s="1">
        <v>2016</v>
      </c>
      <c r="AK55" s="1" t="s">
        <v>73</v>
      </c>
      <c r="AL55" s="1">
        <v>140</v>
      </c>
    </row>
    <row r="56" spans="1:38" x14ac:dyDescent="0.2">
      <c r="A56" s="2" t="str">
        <f>HYPERLINK("https://www.compass.com/listing/32-east-1st-street-unit-2d-manhattan-ny-10003/810912647688887001/","32 E 1st St, Unit 2D")</f>
        <v>32 E 1st St, Unit 2D</v>
      </c>
      <c r="B56" s="2" t="str">
        <f>HYPERLINK("https://www.compass.com/building/32-east-1st-street-manhattan-ny/292783157810310133/","32 East 1st Street")</f>
        <v>32 East 1st Street</v>
      </c>
      <c r="C56" s="1" t="s">
        <v>89</v>
      </c>
      <c r="D56" s="1" t="s">
        <v>41</v>
      </c>
      <c r="E56" s="3">
        <v>2500000</v>
      </c>
      <c r="F56" s="1">
        <v>2308.40258541089</v>
      </c>
      <c r="G56" s="1">
        <v>4</v>
      </c>
      <c r="H56" s="1">
        <v>2</v>
      </c>
      <c r="I56" s="1">
        <v>2</v>
      </c>
      <c r="J56" s="1">
        <v>2</v>
      </c>
      <c r="K56" s="1">
        <v>2</v>
      </c>
      <c r="M56" s="4">
        <v>1083</v>
      </c>
      <c r="N56" s="1">
        <v>1272</v>
      </c>
      <c r="O56" s="1">
        <v>3201</v>
      </c>
      <c r="P56" s="1">
        <v>1929</v>
      </c>
      <c r="Q56" s="1" t="s">
        <v>42</v>
      </c>
      <c r="S56" s="1" t="s">
        <v>42</v>
      </c>
      <c r="T56" s="1" t="s">
        <v>43</v>
      </c>
      <c r="U56" s="1">
        <v>57</v>
      </c>
      <c r="V56" s="5">
        <v>44427</v>
      </c>
      <c r="W56" s="5">
        <v>44370</v>
      </c>
      <c r="X56" s="1">
        <v>2500000</v>
      </c>
      <c r="AB56" s="1" t="s">
        <v>44</v>
      </c>
      <c r="AF56" s="1">
        <v>10003</v>
      </c>
      <c r="AI56" s="1" t="s">
        <v>53</v>
      </c>
      <c r="AJ56" s="1">
        <v>2019</v>
      </c>
      <c r="AK56" s="1" t="s">
        <v>49</v>
      </c>
      <c r="AL56" s="1">
        <v>30</v>
      </c>
    </row>
    <row r="57" spans="1:38" x14ac:dyDescent="0.2">
      <c r="A57" s="2" t="str">
        <f>HYPERLINK("https://www.compass.com/listing/121-east-22nd-street-unit-s901-manhattan-ny-10010/700031688521821305/","121 E 22nd St, Unit S901")</f>
        <v>121 E 22nd St, Unit S901</v>
      </c>
      <c r="B57" s="2" t="str">
        <f t="shared" ref="B57:B60" si="9">HYPERLINK("https://www.compass.com/building/121-e-22nd-manhattan-ny/292795784653461493/","121 E 22nd")</f>
        <v>121 E 22nd</v>
      </c>
      <c r="C57" s="1" t="s">
        <v>54</v>
      </c>
      <c r="D57" s="1" t="s">
        <v>41</v>
      </c>
      <c r="E57" s="3">
        <v>7395000</v>
      </c>
      <c r="F57" s="1">
        <v>2896.5922444183302</v>
      </c>
      <c r="G57" s="1">
        <v>5.5</v>
      </c>
      <c r="H57" s="1">
        <v>4</v>
      </c>
      <c r="I57" s="1">
        <v>5</v>
      </c>
      <c r="J57" s="1">
        <v>4.5</v>
      </c>
      <c r="K57" s="1">
        <v>4</v>
      </c>
      <c r="L57" s="1">
        <v>1</v>
      </c>
      <c r="M57" s="4">
        <v>2553</v>
      </c>
      <c r="N57" s="1">
        <v>3228</v>
      </c>
      <c r="O57" s="1">
        <v>9346</v>
      </c>
      <c r="P57" s="1">
        <v>6118</v>
      </c>
      <c r="Q57" s="1" t="s">
        <v>42</v>
      </c>
      <c r="S57" s="1" t="s">
        <v>42</v>
      </c>
      <c r="T57" s="1" t="s">
        <v>43</v>
      </c>
      <c r="U57" s="1">
        <v>209</v>
      </c>
      <c r="V57" s="5">
        <v>44417</v>
      </c>
      <c r="W57" s="5">
        <v>44218</v>
      </c>
      <c r="X57" s="1">
        <v>7395000</v>
      </c>
      <c r="AB57" s="1" t="s">
        <v>44</v>
      </c>
      <c r="AF57" s="1">
        <v>10010</v>
      </c>
      <c r="AI57" s="1" t="s">
        <v>92</v>
      </c>
      <c r="AJ57" s="1">
        <v>2016</v>
      </c>
      <c r="AK57" s="1" t="s">
        <v>73</v>
      </c>
      <c r="AL57" s="1">
        <v>140</v>
      </c>
    </row>
    <row r="58" spans="1:38" x14ac:dyDescent="0.2">
      <c r="A58" s="2" t="str">
        <f>HYPERLINK("https://www.compass.com/listing/121-east-22nd-street-unit-s1101-manhattan-ny-10010/606626860008412105/","121 E 22nd St, Unit S1101")</f>
        <v>121 E 22nd St, Unit S1101</v>
      </c>
      <c r="B58" s="2" t="str">
        <f t="shared" si="9"/>
        <v>121 E 22nd</v>
      </c>
      <c r="C58" s="1" t="s">
        <v>54</v>
      </c>
      <c r="D58" s="1" t="s">
        <v>41</v>
      </c>
      <c r="E58" s="3">
        <v>5900000</v>
      </c>
      <c r="F58" s="1">
        <v>2436.00330305532</v>
      </c>
      <c r="G58" s="1">
        <v>4.5</v>
      </c>
      <c r="H58" s="1">
        <v>3</v>
      </c>
      <c r="I58" s="1">
        <v>4</v>
      </c>
      <c r="J58" s="1">
        <v>3.5</v>
      </c>
      <c r="K58" s="1">
        <v>3</v>
      </c>
      <c r="L58" s="1">
        <v>1</v>
      </c>
      <c r="M58" s="4">
        <v>2422</v>
      </c>
      <c r="N58" s="1">
        <v>2719</v>
      </c>
      <c r="O58" s="1">
        <v>8191</v>
      </c>
      <c r="P58" s="1">
        <v>5472</v>
      </c>
      <c r="Q58" s="1" t="s">
        <v>42</v>
      </c>
      <c r="S58" s="1" t="s">
        <v>42</v>
      </c>
      <c r="T58" s="1" t="s">
        <v>43</v>
      </c>
      <c r="U58" s="1">
        <v>338</v>
      </c>
      <c r="V58" s="5">
        <v>44412</v>
      </c>
      <c r="W58" s="5">
        <v>44089</v>
      </c>
      <c r="X58" s="1">
        <v>6675000</v>
      </c>
      <c r="AB58" s="1" t="s">
        <v>44</v>
      </c>
      <c r="AF58" s="1">
        <v>10010</v>
      </c>
      <c r="AI58" s="1" t="s">
        <v>75</v>
      </c>
      <c r="AJ58" s="1">
        <v>2016</v>
      </c>
      <c r="AK58" s="1" t="s">
        <v>73</v>
      </c>
      <c r="AL58" s="1">
        <v>140</v>
      </c>
    </row>
    <row r="59" spans="1:38" x14ac:dyDescent="0.2">
      <c r="A59" s="2" t="str">
        <f>HYPERLINK("https://www.compass.com/listing/121-east-22nd-street-unit-n1304-manhattan-ny-10010/424535724716579249/","121 E 22nd St, Unit N1304")</f>
        <v>121 E 22nd St, Unit N1304</v>
      </c>
      <c r="B59" s="2" t="str">
        <f t="shared" si="9"/>
        <v>121 E 22nd</v>
      </c>
      <c r="C59" s="1" t="s">
        <v>54</v>
      </c>
      <c r="D59" s="1" t="s">
        <v>41</v>
      </c>
      <c r="E59" s="3">
        <v>10995000</v>
      </c>
      <c r="F59" s="1">
        <v>2894.94470774091</v>
      </c>
      <c r="G59" s="1">
        <v>6.5</v>
      </c>
      <c r="H59" s="1">
        <v>5</v>
      </c>
      <c r="I59" s="1">
        <v>6</v>
      </c>
      <c r="J59" s="1">
        <v>5.5</v>
      </c>
      <c r="K59" s="1">
        <v>5</v>
      </c>
      <c r="L59" s="1">
        <v>1</v>
      </c>
      <c r="M59" s="4">
        <v>3798</v>
      </c>
      <c r="N59" s="1">
        <v>4385</v>
      </c>
      <c r="O59" s="1">
        <v>12650</v>
      </c>
      <c r="P59" s="1">
        <v>8265</v>
      </c>
      <c r="Q59" s="1" t="s">
        <v>42</v>
      </c>
      <c r="S59" s="1" t="s">
        <v>42</v>
      </c>
      <c r="T59" s="1" t="s">
        <v>43</v>
      </c>
      <c r="U59" s="1">
        <v>495</v>
      </c>
      <c r="V59" s="5">
        <v>44417</v>
      </c>
      <c r="W59" s="5">
        <v>43838</v>
      </c>
      <c r="X59" s="1">
        <v>10995000</v>
      </c>
      <c r="AB59" s="1" t="s">
        <v>44</v>
      </c>
      <c r="AF59" s="1">
        <v>10010</v>
      </c>
      <c r="AI59" s="1" t="s">
        <v>93</v>
      </c>
      <c r="AJ59" s="1">
        <v>2016</v>
      </c>
      <c r="AK59" s="1" t="s">
        <v>73</v>
      </c>
      <c r="AL59" s="1">
        <v>140</v>
      </c>
    </row>
    <row r="60" spans="1:38" x14ac:dyDescent="0.2">
      <c r="A60" s="2" t="str">
        <f>HYPERLINK("https://www.compass.com/listing/121-east-22nd-street-unit-sph-manhattan-ny-10010/436121563704706265/","121 E 22nd St, Unit SPH")</f>
        <v>121 E 22nd St, Unit SPH</v>
      </c>
      <c r="B60" s="2" t="str">
        <f t="shared" si="9"/>
        <v>121 E 22nd</v>
      </c>
      <c r="C60" s="1" t="s">
        <v>54</v>
      </c>
      <c r="D60" s="1" t="s">
        <v>41</v>
      </c>
      <c r="E60" s="3">
        <v>9975000</v>
      </c>
      <c r="F60" s="1">
        <v>3071.1206896551698</v>
      </c>
      <c r="G60" s="1">
        <v>6.5</v>
      </c>
      <c r="H60" s="1">
        <v>4</v>
      </c>
      <c r="I60" s="1">
        <v>5</v>
      </c>
      <c r="J60" s="1">
        <v>4.5</v>
      </c>
      <c r="K60" s="1">
        <v>4</v>
      </c>
      <c r="L60" s="1">
        <v>1</v>
      </c>
      <c r="M60" s="4">
        <v>3248</v>
      </c>
      <c r="N60" s="1">
        <v>3993</v>
      </c>
      <c r="O60" s="1">
        <v>11548</v>
      </c>
      <c r="P60" s="1">
        <v>7555</v>
      </c>
      <c r="Q60" s="1" t="s">
        <v>42</v>
      </c>
      <c r="S60" s="1" t="s">
        <v>42</v>
      </c>
      <c r="T60" s="1" t="s">
        <v>43</v>
      </c>
      <c r="U60" s="1">
        <v>479</v>
      </c>
      <c r="V60" s="5">
        <v>44417</v>
      </c>
      <c r="W60" s="5">
        <v>43854</v>
      </c>
      <c r="X60" s="1">
        <v>9975000</v>
      </c>
      <c r="AB60" s="1" t="s">
        <v>44</v>
      </c>
      <c r="AF60" s="1">
        <v>10010</v>
      </c>
      <c r="AI60" s="1" t="s">
        <v>94</v>
      </c>
      <c r="AJ60" s="1">
        <v>2016</v>
      </c>
      <c r="AK60" s="1" t="s">
        <v>73</v>
      </c>
      <c r="AL60" s="1">
        <v>140</v>
      </c>
    </row>
    <row r="61" spans="1:38" x14ac:dyDescent="0.2">
      <c r="A61" s="2" t="str">
        <f>HYPERLINK("https://www.compass.com/listing/150-east-23rd-street-unit-2a-manhattan-ny-10010/122395327201316865/","150 E 23rd St, Unit 2A")</f>
        <v>150 E 23rd St, Unit 2A</v>
      </c>
      <c r="B61" s="2" t="str">
        <f t="shared" ref="B61:B62" si="10">HYPERLINK("https://www.compass.com/building/celeste-gramercy-manhattan-ny/292795972759607813/","Celeste Gramercy")</f>
        <v>Celeste Gramercy</v>
      </c>
      <c r="C61" s="1" t="s">
        <v>54</v>
      </c>
      <c r="D61" s="1" t="s">
        <v>41</v>
      </c>
      <c r="E61" s="3">
        <v>2425000</v>
      </c>
      <c r="F61" s="1">
        <v>1807.0044709388901</v>
      </c>
      <c r="G61" s="1">
        <v>4.5</v>
      </c>
      <c r="H61" s="1">
        <v>2</v>
      </c>
      <c r="I61" s="1">
        <v>3</v>
      </c>
      <c r="J61" s="1">
        <v>2.5</v>
      </c>
      <c r="K61" s="1">
        <v>2</v>
      </c>
      <c r="L61" s="1">
        <v>1</v>
      </c>
      <c r="M61" s="4">
        <v>1342</v>
      </c>
      <c r="N61" s="1">
        <v>1753</v>
      </c>
      <c r="O61" s="1">
        <v>3395</v>
      </c>
      <c r="P61" s="1">
        <v>1642</v>
      </c>
      <c r="Q61" s="1" t="s">
        <v>42</v>
      </c>
      <c r="S61" s="1" t="s">
        <v>42</v>
      </c>
      <c r="T61" s="1" t="s">
        <v>43</v>
      </c>
      <c r="U61" s="1">
        <v>913</v>
      </c>
      <c r="V61" s="5">
        <v>44424</v>
      </c>
      <c r="W61" s="5">
        <v>43420</v>
      </c>
      <c r="X61" s="1">
        <v>2200000</v>
      </c>
      <c r="AB61" s="1" t="s">
        <v>44</v>
      </c>
      <c r="AF61" s="1">
        <v>10010</v>
      </c>
      <c r="AI61" s="1" t="s">
        <v>53</v>
      </c>
      <c r="AJ61" s="1">
        <v>2018</v>
      </c>
      <c r="AK61" s="1" t="s">
        <v>73</v>
      </c>
      <c r="AL61" s="1">
        <v>51</v>
      </c>
    </row>
    <row r="62" spans="1:38" x14ac:dyDescent="0.2">
      <c r="A62" s="2" t="str">
        <f>HYPERLINK("https://www.compass.com/listing/150-east-23rd-street-unit-11a-manhattan-ny-10010/239022097735732433/","150 E 23rd St, Unit 11A")</f>
        <v>150 E 23rd St, Unit 11A</v>
      </c>
      <c r="B62" s="2" t="str">
        <f t="shared" si="10"/>
        <v>Celeste Gramercy</v>
      </c>
      <c r="C62" s="1" t="s">
        <v>54</v>
      </c>
      <c r="D62" s="1" t="s">
        <v>41</v>
      </c>
      <c r="E62" s="3">
        <v>2575000</v>
      </c>
      <c r="F62" s="1">
        <v>1950.7575757575701</v>
      </c>
      <c r="G62" s="1">
        <v>4</v>
      </c>
      <c r="H62" s="1">
        <v>2</v>
      </c>
      <c r="I62" s="1">
        <v>3</v>
      </c>
      <c r="J62" s="1">
        <v>2.5</v>
      </c>
      <c r="K62" s="1">
        <v>2</v>
      </c>
      <c r="L62" s="1">
        <v>1</v>
      </c>
      <c r="M62" s="4">
        <v>1320</v>
      </c>
      <c r="N62" s="1">
        <v>1790</v>
      </c>
      <c r="O62" s="1">
        <v>3468</v>
      </c>
      <c r="P62" s="1">
        <v>1678</v>
      </c>
      <c r="Q62" s="1" t="s">
        <v>42</v>
      </c>
      <c r="S62" s="1" t="s">
        <v>42</v>
      </c>
      <c r="T62" s="1" t="s">
        <v>43</v>
      </c>
      <c r="U62" s="1">
        <v>752</v>
      </c>
      <c r="V62" s="5">
        <v>44424</v>
      </c>
      <c r="W62" s="5">
        <v>43581</v>
      </c>
      <c r="X62" s="1">
        <v>2250000</v>
      </c>
      <c r="AB62" s="1" t="s">
        <v>44</v>
      </c>
      <c r="AF62" s="1">
        <v>10010</v>
      </c>
      <c r="AI62" s="1" t="s">
        <v>53</v>
      </c>
      <c r="AJ62" s="1">
        <v>2018</v>
      </c>
      <c r="AK62" s="1" t="s">
        <v>46</v>
      </c>
      <c r="AL62" s="1">
        <v>51</v>
      </c>
    </row>
    <row r="63" spans="1:38" x14ac:dyDescent="0.2">
      <c r="A63" s="2" t="str">
        <f>HYPERLINK("https://www.compass.com/listing/121-east-22nd-street-unit-n1302-manhattan-ny-10010/381154985510418849/","121 E 22nd St, Unit N1302")</f>
        <v>121 E 22nd St, Unit N1302</v>
      </c>
      <c r="B63" s="2" t="str">
        <f>HYPERLINK("https://www.compass.com/building/121-e-22nd-manhattan-ny/292795784653461493/","121 E 22nd")</f>
        <v>121 E 22nd</v>
      </c>
      <c r="C63" s="1" t="s">
        <v>54</v>
      </c>
      <c r="D63" s="1" t="s">
        <v>41</v>
      </c>
      <c r="E63" s="3">
        <v>6100000</v>
      </c>
      <c r="F63" s="1">
        <v>2297.5517890772098</v>
      </c>
      <c r="G63" s="1">
        <v>5.5</v>
      </c>
      <c r="H63" s="1">
        <v>4</v>
      </c>
      <c r="I63" s="1">
        <v>5</v>
      </c>
      <c r="J63" s="1">
        <v>4.5</v>
      </c>
      <c r="K63" s="1">
        <v>4</v>
      </c>
      <c r="L63" s="1">
        <v>1</v>
      </c>
      <c r="M63" s="4">
        <v>2655</v>
      </c>
      <c r="N63" s="1">
        <v>3237</v>
      </c>
      <c r="O63" s="1">
        <v>9358</v>
      </c>
      <c r="P63" s="1">
        <v>6121</v>
      </c>
      <c r="Q63" s="1" t="s">
        <v>42</v>
      </c>
      <c r="S63" s="1" t="s">
        <v>42</v>
      </c>
      <c r="T63" s="1" t="s">
        <v>43</v>
      </c>
      <c r="U63" s="1">
        <v>555</v>
      </c>
      <c r="V63" s="5">
        <v>44417</v>
      </c>
      <c r="W63" s="5">
        <v>43778</v>
      </c>
      <c r="X63" s="1">
        <v>7435000</v>
      </c>
      <c r="AB63" s="1" t="s">
        <v>44</v>
      </c>
      <c r="AF63" s="1">
        <v>10010</v>
      </c>
      <c r="AI63" s="1" t="s">
        <v>75</v>
      </c>
      <c r="AJ63" s="1">
        <v>2016</v>
      </c>
      <c r="AK63" s="1" t="s">
        <v>73</v>
      </c>
      <c r="AL63" s="1">
        <v>140</v>
      </c>
    </row>
    <row r="64" spans="1:38" x14ac:dyDescent="0.2">
      <c r="A64" s="2" t="str">
        <f>HYPERLINK("https://www.compass.com/listing/150-east-23rd-street-unit-3c-manhattan-ny-10010/122395330447797041/","150 E 23rd St, Unit 3C")</f>
        <v>150 E 23rd St, Unit 3C</v>
      </c>
      <c r="B64" s="2" t="str">
        <f t="shared" ref="B64:B69" si="11">HYPERLINK("https://www.compass.com/building/celeste-gramercy-manhattan-ny/292795972759607813/","Celeste Gramercy")</f>
        <v>Celeste Gramercy</v>
      </c>
      <c r="C64" s="1" t="s">
        <v>54</v>
      </c>
      <c r="D64" s="1" t="s">
        <v>41</v>
      </c>
      <c r="E64" s="3">
        <v>2975000</v>
      </c>
      <c r="F64" s="1">
        <v>1837.55404570722</v>
      </c>
      <c r="G64" s="1">
        <v>6</v>
      </c>
      <c r="H64" s="1">
        <v>3</v>
      </c>
      <c r="I64" s="1">
        <v>3</v>
      </c>
      <c r="J64" s="1">
        <v>3</v>
      </c>
      <c r="K64" s="1">
        <v>3</v>
      </c>
      <c r="M64" s="4">
        <v>1619</v>
      </c>
      <c r="N64" s="1">
        <v>2189</v>
      </c>
      <c r="O64" s="1">
        <v>4240</v>
      </c>
      <c r="P64" s="1">
        <v>2051</v>
      </c>
      <c r="Q64" s="1" t="s">
        <v>42</v>
      </c>
      <c r="S64" s="1" t="s">
        <v>42</v>
      </c>
      <c r="T64" s="1" t="s">
        <v>43</v>
      </c>
      <c r="U64" s="1">
        <v>913</v>
      </c>
      <c r="V64" s="5">
        <v>44424</v>
      </c>
      <c r="W64" s="5">
        <v>43420</v>
      </c>
      <c r="X64" s="1">
        <v>2975000</v>
      </c>
      <c r="AB64" s="1" t="s">
        <v>44</v>
      </c>
      <c r="AF64" s="1">
        <v>10010</v>
      </c>
      <c r="AI64" s="1" t="s">
        <v>95</v>
      </c>
      <c r="AJ64" s="1">
        <v>2018</v>
      </c>
      <c r="AK64" s="1" t="s">
        <v>46</v>
      </c>
      <c r="AL64" s="1">
        <v>51</v>
      </c>
    </row>
    <row r="65" spans="1:38" x14ac:dyDescent="0.2">
      <c r="A65" s="2" t="str">
        <f>HYPERLINK("https://www.compass.com/listing/150-east-23rd-street-unit-12b-manhattan-ny-10010/756266008876429777/","150 E 23rd St, Unit 12B")</f>
        <v>150 E 23rd St, Unit 12B</v>
      </c>
      <c r="B65" s="2" t="str">
        <f t="shared" si="11"/>
        <v>Celeste Gramercy</v>
      </c>
      <c r="C65" s="1" t="s">
        <v>54</v>
      </c>
      <c r="D65" s="1" t="s">
        <v>41</v>
      </c>
      <c r="E65" s="3">
        <v>3175000</v>
      </c>
      <c r="F65" s="1">
        <v>2102.6490066225101</v>
      </c>
      <c r="G65" s="1">
        <v>5</v>
      </c>
      <c r="H65" s="1">
        <v>3</v>
      </c>
      <c r="I65" s="1">
        <v>3</v>
      </c>
      <c r="J65" s="1">
        <v>3</v>
      </c>
      <c r="K65" s="1">
        <v>3</v>
      </c>
      <c r="M65" s="4">
        <v>1510</v>
      </c>
      <c r="N65" s="1">
        <v>2135</v>
      </c>
      <c r="O65" s="1">
        <v>4135</v>
      </c>
      <c r="P65" s="1">
        <v>2000</v>
      </c>
      <c r="Q65" s="1" t="s">
        <v>42</v>
      </c>
      <c r="S65" s="1" t="s">
        <v>42</v>
      </c>
      <c r="T65" s="1" t="s">
        <v>43</v>
      </c>
      <c r="U65" s="1">
        <v>131</v>
      </c>
      <c r="V65" s="5">
        <v>44424</v>
      </c>
      <c r="W65" s="5">
        <v>44296</v>
      </c>
      <c r="X65" s="1">
        <v>3175000</v>
      </c>
      <c r="AB65" s="1" t="s">
        <v>44</v>
      </c>
      <c r="AF65" s="1">
        <v>10010</v>
      </c>
      <c r="AI65" s="1" t="s">
        <v>53</v>
      </c>
      <c r="AJ65" s="1">
        <v>2018</v>
      </c>
      <c r="AK65" s="1" t="s">
        <v>46</v>
      </c>
      <c r="AL65" s="1">
        <v>51</v>
      </c>
    </row>
    <row r="66" spans="1:38" x14ac:dyDescent="0.2">
      <c r="A66" s="2" t="str">
        <f>HYPERLINK("https://www.compass.com/listing/150-east-23rd-street-unit-14b-manhattan-ny-10010/770297858394710921/","150 E 23rd St, Unit 14B")</f>
        <v>150 E 23rd St, Unit 14B</v>
      </c>
      <c r="B66" s="2" t="str">
        <f t="shared" si="11"/>
        <v>Celeste Gramercy</v>
      </c>
      <c r="C66" s="1" t="s">
        <v>54</v>
      </c>
      <c r="D66" s="1" t="s">
        <v>41</v>
      </c>
      <c r="E66" s="3">
        <v>2750000</v>
      </c>
      <c r="F66" s="1">
        <v>1891.3342503438701</v>
      </c>
      <c r="G66" s="1">
        <v>4</v>
      </c>
      <c r="H66" s="1">
        <v>2</v>
      </c>
      <c r="I66" s="1">
        <v>2</v>
      </c>
      <c r="J66" s="1">
        <v>2</v>
      </c>
      <c r="K66" s="1">
        <v>2</v>
      </c>
      <c r="M66" s="4">
        <v>1454</v>
      </c>
      <c r="N66" s="1">
        <v>1984</v>
      </c>
      <c r="O66" s="1">
        <v>3843</v>
      </c>
      <c r="P66" s="1">
        <v>1859</v>
      </c>
      <c r="Q66" s="1" t="s">
        <v>42</v>
      </c>
      <c r="S66" s="1" t="s">
        <v>42</v>
      </c>
      <c r="T66" s="1" t="s">
        <v>43</v>
      </c>
      <c r="U66" s="1">
        <v>113</v>
      </c>
      <c r="V66" s="5">
        <v>44424</v>
      </c>
      <c r="W66" s="5">
        <v>44314</v>
      </c>
      <c r="X66" s="1">
        <v>2750000</v>
      </c>
      <c r="AB66" s="1" t="s">
        <v>44</v>
      </c>
      <c r="AF66" s="1">
        <v>10010</v>
      </c>
      <c r="AI66" s="1" t="s">
        <v>53</v>
      </c>
      <c r="AJ66" s="1">
        <v>2018</v>
      </c>
      <c r="AK66" s="1" t="s">
        <v>46</v>
      </c>
      <c r="AL66" s="1">
        <v>51</v>
      </c>
    </row>
    <row r="67" spans="1:38" x14ac:dyDescent="0.2">
      <c r="A67" s="2" t="str">
        <f>HYPERLINK("https://www.compass.com/listing/150-east-23rd-street-unit-phc-manhattan-ny-10010/340551966614435649/","150 E 23rd St, Unit PHC")</f>
        <v>150 E 23rd St, Unit PHC</v>
      </c>
      <c r="B67" s="2" t="str">
        <f t="shared" si="11"/>
        <v>Celeste Gramercy</v>
      </c>
      <c r="C67" s="1" t="s">
        <v>54</v>
      </c>
      <c r="D67" s="1" t="s">
        <v>41</v>
      </c>
      <c r="E67" s="3">
        <v>8150000</v>
      </c>
      <c r="F67" s="1">
        <v>2994.1219691403298</v>
      </c>
      <c r="G67" s="1">
        <v>5</v>
      </c>
      <c r="H67" s="1">
        <v>3</v>
      </c>
      <c r="I67" s="1">
        <v>4</v>
      </c>
      <c r="J67" s="1">
        <v>3.5</v>
      </c>
      <c r="K67" s="1">
        <v>3</v>
      </c>
      <c r="L67" s="1">
        <v>1</v>
      </c>
      <c r="M67" s="4">
        <v>2722</v>
      </c>
      <c r="N67" s="1">
        <v>4628</v>
      </c>
      <c r="O67" s="1">
        <v>8965</v>
      </c>
      <c r="P67" s="1">
        <v>4337</v>
      </c>
      <c r="Q67" s="1" t="s">
        <v>42</v>
      </c>
      <c r="S67" s="1" t="s">
        <v>42</v>
      </c>
      <c r="T67" s="1" t="s">
        <v>43</v>
      </c>
      <c r="U67" s="1">
        <v>612</v>
      </c>
      <c r="V67" s="5">
        <v>44424</v>
      </c>
      <c r="W67" s="5">
        <v>43721</v>
      </c>
      <c r="X67" s="1">
        <v>8150000</v>
      </c>
      <c r="AB67" s="1" t="s">
        <v>44</v>
      </c>
      <c r="AF67" s="1">
        <v>10010</v>
      </c>
      <c r="AI67" s="1" t="s">
        <v>90</v>
      </c>
      <c r="AJ67" s="1">
        <v>2018</v>
      </c>
      <c r="AK67" s="1" t="s">
        <v>73</v>
      </c>
      <c r="AL67" s="1">
        <v>51</v>
      </c>
    </row>
    <row r="68" spans="1:38" x14ac:dyDescent="0.2">
      <c r="A68" s="2" t="str">
        <f>HYPERLINK("https://www.compass.com/listing/150-east-23rd-street-unit-pha-manhattan-ny-10010/122395332813384897/","150 E 23rd St, Unit PHA")</f>
        <v>150 E 23rd St, Unit PHA</v>
      </c>
      <c r="B68" s="2" t="str">
        <f t="shared" si="11"/>
        <v>Celeste Gramercy</v>
      </c>
      <c r="C68" s="1" t="s">
        <v>54</v>
      </c>
      <c r="D68" s="1" t="s">
        <v>41</v>
      </c>
      <c r="E68" s="3">
        <v>5950000</v>
      </c>
      <c r="F68" s="1">
        <v>2497.9009235936101</v>
      </c>
      <c r="G68" s="1">
        <v>5.5</v>
      </c>
      <c r="H68" s="1">
        <v>3</v>
      </c>
      <c r="I68" s="1">
        <v>4</v>
      </c>
      <c r="J68" s="1">
        <v>3.5</v>
      </c>
      <c r="K68" s="1">
        <v>3</v>
      </c>
      <c r="L68" s="1">
        <v>1</v>
      </c>
      <c r="M68" s="4">
        <v>2382</v>
      </c>
      <c r="N68" s="1">
        <v>3646</v>
      </c>
      <c r="O68" s="1">
        <v>7063</v>
      </c>
      <c r="P68" s="1">
        <v>3417</v>
      </c>
      <c r="Q68" s="1" t="s">
        <v>42</v>
      </c>
      <c r="S68" s="1" t="s">
        <v>42</v>
      </c>
      <c r="T68" s="1" t="s">
        <v>43</v>
      </c>
      <c r="U68" s="1">
        <v>416</v>
      </c>
      <c r="V68" s="5">
        <v>44424</v>
      </c>
      <c r="W68" s="5">
        <v>43979</v>
      </c>
      <c r="Z68" s="5">
        <v>44070</v>
      </c>
      <c r="AB68" s="1" t="s">
        <v>44</v>
      </c>
      <c r="AF68" s="1">
        <v>10010</v>
      </c>
      <c r="AI68" s="1" t="s">
        <v>95</v>
      </c>
      <c r="AJ68" s="1">
        <v>2018</v>
      </c>
      <c r="AK68" s="1" t="s">
        <v>73</v>
      </c>
      <c r="AL68" s="1">
        <v>51</v>
      </c>
    </row>
    <row r="69" spans="1:38" x14ac:dyDescent="0.2">
      <c r="A69" s="2" t="str">
        <f>HYPERLINK("https://www.compass.com/listing/150-east-23rd-street-unit-16a-manhattan-ny-10010/770297756616696889/","150 E 23rd St, Unit 16A")</f>
        <v>150 E 23rd St, Unit 16A</v>
      </c>
      <c r="B69" s="2" t="str">
        <f t="shared" si="11"/>
        <v>Celeste Gramercy</v>
      </c>
      <c r="C69" s="1" t="s">
        <v>54</v>
      </c>
      <c r="D69" s="1" t="s">
        <v>41</v>
      </c>
      <c r="E69" s="3">
        <v>5100000</v>
      </c>
      <c r="F69" s="1">
        <v>2150.9911429776398</v>
      </c>
      <c r="G69" s="1">
        <v>5</v>
      </c>
      <c r="H69" s="1">
        <v>3</v>
      </c>
      <c r="I69" s="1">
        <v>3</v>
      </c>
      <c r="J69" s="1">
        <v>2.5</v>
      </c>
      <c r="K69" s="1">
        <v>2</v>
      </c>
      <c r="L69" s="1">
        <v>1</v>
      </c>
      <c r="M69" s="4">
        <v>2371</v>
      </c>
      <c r="N69" s="1">
        <v>3442</v>
      </c>
      <c r="O69" s="1">
        <v>6668</v>
      </c>
      <c r="P69" s="1">
        <v>3226</v>
      </c>
      <c r="Q69" s="1" t="s">
        <v>42</v>
      </c>
      <c r="S69" s="1" t="s">
        <v>42</v>
      </c>
      <c r="T69" s="1" t="s">
        <v>43</v>
      </c>
      <c r="U69" s="1">
        <v>113</v>
      </c>
      <c r="V69" s="5">
        <v>44424</v>
      </c>
      <c r="W69" s="5">
        <v>44314</v>
      </c>
      <c r="X69" s="1">
        <v>5100000</v>
      </c>
      <c r="AB69" s="1" t="s">
        <v>44</v>
      </c>
      <c r="AF69" s="1">
        <v>10010</v>
      </c>
      <c r="AI69" s="1" t="s">
        <v>96</v>
      </c>
      <c r="AJ69" s="1">
        <v>2018</v>
      </c>
      <c r="AK69" s="1" t="s">
        <v>46</v>
      </c>
      <c r="AL69" s="1">
        <v>51</v>
      </c>
    </row>
    <row r="70" spans="1:38" x14ac:dyDescent="0.2">
      <c r="A70" s="2" t="str">
        <f>HYPERLINK("https://www.compass.com/listing/121-east-22nd-street-unit-n503-manhattan-ny-10010/316488125509190609/","121 E 22nd St, Unit N503")</f>
        <v>121 E 22nd St, Unit N503</v>
      </c>
      <c r="B70" s="2" t="str">
        <f>HYPERLINK("https://www.compass.com/building/121-e-22nd-manhattan-ny/292795784653461493/","121 E 22nd")</f>
        <v>121 E 22nd</v>
      </c>
      <c r="C70" s="1" t="s">
        <v>54</v>
      </c>
      <c r="D70" s="1" t="s">
        <v>41</v>
      </c>
      <c r="E70" s="3">
        <v>1450000</v>
      </c>
      <c r="F70" s="1">
        <v>2353.8961038961002</v>
      </c>
      <c r="G70" s="1">
        <v>2</v>
      </c>
      <c r="H70" s="1" t="s">
        <v>97</v>
      </c>
      <c r="I70" s="1">
        <v>1</v>
      </c>
      <c r="J70" s="1">
        <v>1</v>
      </c>
      <c r="K70" s="1">
        <v>1</v>
      </c>
      <c r="M70" s="1">
        <v>616</v>
      </c>
      <c r="N70" s="1">
        <v>656</v>
      </c>
      <c r="O70" s="1">
        <v>1886</v>
      </c>
      <c r="P70" s="1">
        <v>1230</v>
      </c>
      <c r="Q70" s="1" t="s">
        <v>42</v>
      </c>
      <c r="S70" s="1" t="s">
        <v>42</v>
      </c>
      <c r="T70" s="1" t="s">
        <v>43</v>
      </c>
      <c r="U70" s="1">
        <v>644</v>
      </c>
      <c r="V70" s="5">
        <v>44412</v>
      </c>
      <c r="W70" s="5">
        <v>43688</v>
      </c>
      <c r="X70" s="1">
        <v>1310000</v>
      </c>
      <c r="AB70" s="1" t="s">
        <v>44</v>
      </c>
      <c r="AF70" s="1">
        <v>10010</v>
      </c>
      <c r="AI70" s="1" t="s">
        <v>75</v>
      </c>
      <c r="AJ70" s="1">
        <v>2016</v>
      </c>
      <c r="AK70" s="1" t="s">
        <v>73</v>
      </c>
      <c r="AL70" s="1">
        <v>140</v>
      </c>
    </row>
    <row r="71" spans="1:38" x14ac:dyDescent="0.2">
      <c r="A71" s="2" t="str">
        <f>HYPERLINK("https://www.compass.com/listing/200-east-21st-street-unit-17b-manhattan-ny-10010/455497421800761929/","200 E 21st St, Unit 17B")</f>
        <v>200 E 21st St, Unit 17B</v>
      </c>
      <c r="B71" s="2" t="str">
        <f>HYPERLINK("https://www.compass.com/building/200-east-21st-street-manhattan-ny/292796762689658005/","200 East 21st Street")</f>
        <v>200 East 21st Street</v>
      </c>
      <c r="C71" s="1" t="s">
        <v>54</v>
      </c>
      <c r="D71" s="1" t="s">
        <v>41</v>
      </c>
      <c r="E71" s="3">
        <v>6795000</v>
      </c>
      <c r="F71" s="1">
        <v>2516.6666666666601</v>
      </c>
      <c r="G71" s="1">
        <v>6</v>
      </c>
      <c r="H71" s="1">
        <v>3</v>
      </c>
      <c r="I71" s="1">
        <v>4</v>
      </c>
      <c r="J71" s="1">
        <v>3.5</v>
      </c>
      <c r="K71" s="1">
        <v>3</v>
      </c>
      <c r="L71" s="1">
        <v>1</v>
      </c>
      <c r="M71" s="4">
        <v>2700</v>
      </c>
      <c r="N71" s="1">
        <v>2751</v>
      </c>
      <c r="O71" s="1">
        <v>6306</v>
      </c>
      <c r="P71" s="1">
        <v>3555</v>
      </c>
      <c r="Q71" s="1" t="s">
        <v>42</v>
      </c>
      <c r="S71" s="1" t="s">
        <v>42</v>
      </c>
      <c r="T71" s="1" t="s">
        <v>43</v>
      </c>
      <c r="U71" s="1">
        <v>454</v>
      </c>
      <c r="V71" s="5">
        <v>44427</v>
      </c>
      <c r="W71" s="5">
        <v>43879</v>
      </c>
      <c r="X71" s="1">
        <v>6795000</v>
      </c>
      <c r="AB71" s="1" t="s">
        <v>44</v>
      </c>
      <c r="AF71" s="1">
        <v>10010</v>
      </c>
      <c r="AI71" s="1" t="s">
        <v>52</v>
      </c>
      <c r="AJ71" s="1">
        <v>2018</v>
      </c>
      <c r="AK71" s="1" t="s">
        <v>98</v>
      </c>
      <c r="AL71" s="1">
        <v>67</v>
      </c>
    </row>
    <row r="72" spans="1:38" x14ac:dyDescent="0.2">
      <c r="A72" s="2" t="str">
        <f>HYPERLINK("https://www.compass.com/listing/50-riverside-boulevard-unit-12b-manhattan-ny-10069/803394066456887481/","50 Riverside Blvd, Unit 12B")</f>
        <v>50 Riverside Blvd, Unit 12B</v>
      </c>
      <c r="B72" s="2" t="str">
        <f>HYPERLINK("https://www.compass.com/building/one-riverside-park-manhattan-ny/282041440266113253/","One Riverside Park")</f>
        <v>One Riverside Park</v>
      </c>
      <c r="C72" s="1" t="s">
        <v>50</v>
      </c>
      <c r="D72" s="1" t="s">
        <v>41</v>
      </c>
      <c r="E72" s="3">
        <v>2900000</v>
      </c>
      <c r="F72" s="1">
        <v>2146.55810510732</v>
      </c>
      <c r="G72" s="1">
        <v>5</v>
      </c>
      <c r="H72" s="1">
        <v>2</v>
      </c>
      <c r="I72" s="1">
        <v>2</v>
      </c>
      <c r="J72" s="1">
        <v>2</v>
      </c>
      <c r="K72" s="1">
        <v>2</v>
      </c>
      <c r="M72" s="4">
        <v>1351</v>
      </c>
      <c r="N72" s="1">
        <v>1552</v>
      </c>
      <c r="O72" s="1">
        <v>1628</v>
      </c>
      <c r="P72" s="1">
        <v>76</v>
      </c>
      <c r="Q72" s="1" t="s">
        <v>42</v>
      </c>
      <c r="S72" s="1" t="s">
        <v>42</v>
      </c>
      <c r="T72" s="1" t="s">
        <v>43</v>
      </c>
      <c r="U72" s="1">
        <v>14</v>
      </c>
      <c r="V72" s="5">
        <v>44427</v>
      </c>
      <c r="W72" s="5">
        <v>44413</v>
      </c>
      <c r="AB72" s="1" t="s">
        <v>44</v>
      </c>
      <c r="AF72" s="1">
        <v>10069</v>
      </c>
      <c r="AI72" s="1" t="s">
        <v>45</v>
      </c>
      <c r="AJ72" s="1">
        <v>2016</v>
      </c>
      <c r="AK72" s="1" t="s">
        <v>73</v>
      </c>
      <c r="AL72" s="1">
        <v>657</v>
      </c>
    </row>
    <row r="73" spans="1:38" x14ac:dyDescent="0.2">
      <c r="A73" s="2" t="str">
        <f>HYPERLINK("https://www.compass.com/listing/32-east-1st-street-unit-5d-manhattan-ny-10003/799911026643171913/","32 E 1st St, Unit 5D")</f>
        <v>32 E 1st St, Unit 5D</v>
      </c>
      <c r="B73" s="2" t="str">
        <f>HYPERLINK("https://www.compass.com/building/32-east-1st-street-manhattan-ny/292783157810310133/","32 East 1st Street")</f>
        <v>32 East 1st Street</v>
      </c>
      <c r="C73" s="1" t="s">
        <v>89</v>
      </c>
      <c r="D73" s="1" t="s">
        <v>41</v>
      </c>
      <c r="E73" s="3">
        <v>2800000</v>
      </c>
      <c r="F73" s="1">
        <v>2571.16620752984</v>
      </c>
      <c r="G73" s="1">
        <v>4</v>
      </c>
      <c r="H73" s="1">
        <v>2</v>
      </c>
      <c r="I73" s="1">
        <v>2</v>
      </c>
      <c r="J73" s="1">
        <v>2</v>
      </c>
      <c r="K73" s="1">
        <v>2</v>
      </c>
      <c r="M73" s="4">
        <v>1089</v>
      </c>
      <c r="N73" s="1">
        <v>1397</v>
      </c>
      <c r="O73" s="1">
        <v>3511</v>
      </c>
      <c r="P73" s="1">
        <v>2114</v>
      </c>
      <c r="Q73" s="1" t="s">
        <v>42</v>
      </c>
      <c r="S73" s="1" t="s">
        <v>42</v>
      </c>
      <c r="T73" s="1" t="s">
        <v>43</v>
      </c>
      <c r="U73" s="1">
        <v>72</v>
      </c>
      <c r="V73" s="5">
        <v>44427</v>
      </c>
      <c r="W73" s="5">
        <v>44355</v>
      </c>
      <c r="X73" s="1">
        <v>2800000</v>
      </c>
      <c r="AB73" s="1" t="s">
        <v>44</v>
      </c>
      <c r="AF73" s="1">
        <v>10003</v>
      </c>
      <c r="AI73" s="1" t="s">
        <v>53</v>
      </c>
      <c r="AJ73" s="1">
        <v>2019</v>
      </c>
      <c r="AK73" s="1" t="s">
        <v>49</v>
      </c>
      <c r="AL73" s="1">
        <v>30</v>
      </c>
    </row>
    <row r="74" spans="1:38" x14ac:dyDescent="0.2">
      <c r="A74" s="2" t="str">
        <f>HYPERLINK("https://www.compass.com/listing/211-west-14th-street-unit-2c-manhattan-ny-10011/563148391574714969/","211 W 14th St, Unit 2C")</f>
        <v>211 W 14th St, Unit 2C</v>
      </c>
      <c r="B74" s="2" t="str">
        <f>HYPERLINK("https://www.compass.com/building/dorsay-manhattan-ny/292801633543285477/","d'Orsay")</f>
        <v>d'Orsay</v>
      </c>
      <c r="C74" s="1" t="s">
        <v>99</v>
      </c>
      <c r="D74" s="1" t="s">
        <v>41</v>
      </c>
      <c r="E74" s="3">
        <v>1550000</v>
      </c>
      <c r="F74" s="1">
        <v>1927.8606965174099</v>
      </c>
      <c r="G74" s="1">
        <v>3</v>
      </c>
      <c r="H74" s="1">
        <v>1</v>
      </c>
      <c r="I74" s="1">
        <v>1</v>
      </c>
      <c r="J74" s="1">
        <v>1</v>
      </c>
      <c r="K74" s="1">
        <v>1</v>
      </c>
      <c r="M74" s="1">
        <v>804</v>
      </c>
      <c r="N74" s="1">
        <v>1560</v>
      </c>
      <c r="O74" s="1">
        <v>2960</v>
      </c>
      <c r="P74" s="1">
        <v>1400</v>
      </c>
      <c r="Q74" s="1" t="s">
        <v>42</v>
      </c>
      <c r="S74" s="1" t="s">
        <v>42</v>
      </c>
      <c r="T74" s="1" t="s">
        <v>43</v>
      </c>
      <c r="U74" s="1">
        <v>399</v>
      </c>
      <c r="V74" s="5">
        <v>44427</v>
      </c>
      <c r="W74" s="5">
        <v>44028</v>
      </c>
      <c r="X74" s="1">
        <v>1860000</v>
      </c>
      <c r="AB74" s="1" t="s">
        <v>44</v>
      </c>
      <c r="AF74" s="1">
        <v>10011</v>
      </c>
      <c r="AI74" s="1" t="s">
        <v>53</v>
      </c>
      <c r="AJ74" s="1">
        <v>2018</v>
      </c>
      <c r="AK74" s="1" t="s">
        <v>46</v>
      </c>
      <c r="AL74" s="1">
        <v>21</v>
      </c>
    </row>
    <row r="75" spans="1:38" x14ac:dyDescent="0.2">
      <c r="A75" s="2" t="str">
        <f>HYPERLINK("https://www.compass.com/listing/215-east-19th-street-unit-17c-manhattan-ny-10003/807328358338579153/","215 E 19th St, Unit 17C")</f>
        <v>215 E 19th St, Unit 17C</v>
      </c>
      <c r="B75" s="2" t="str">
        <f t="shared" ref="B75:B78" si="12">HYPERLINK("https://www.compass.com/building/the-tower-at-gramercy-square-manhattan-ny/281890815108713781/","The Tower at Gramercy Square")</f>
        <v>The Tower at Gramercy Square</v>
      </c>
      <c r="C75" s="1" t="s">
        <v>54</v>
      </c>
      <c r="D75" s="1" t="s">
        <v>41</v>
      </c>
      <c r="E75" s="3">
        <v>10495000</v>
      </c>
      <c r="F75" s="1">
        <v>2793.4522225179599</v>
      </c>
      <c r="G75" s="1">
        <v>5.5</v>
      </c>
      <c r="H75" s="1">
        <v>3</v>
      </c>
      <c r="I75" s="1">
        <v>4</v>
      </c>
      <c r="J75" s="1">
        <v>3.5</v>
      </c>
      <c r="K75" s="1">
        <v>3</v>
      </c>
      <c r="L75" s="1">
        <v>1</v>
      </c>
      <c r="M75" s="4">
        <v>3757</v>
      </c>
      <c r="N75" s="1">
        <v>4265</v>
      </c>
      <c r="O75" s="1">
        <v>11605</v>
      </c>
      <c r="P75" s="1">
        <v>7340</v>
      </c>
      <c r="Q75" s="1" t="s">
        <v>42</v>
      </c>
      <c r="S75" s="1" t="s">
        <v>42</v>
      </c>
      <c r="T75" s="1" t="s">
        <v>43</v>
      </c>
      <c r="U75" s="1">
        <v>62</v>
      </c>
      <c r="V75" s="5">
        <v>44427</v>
      </c>
      <c r="W75" s="5">
        <v>44365</v>
      </c>
      <c r="X75" s="1">
        <v>10495000</v>
      </c>
      <c r="AB75" s="1" t="s">
        <v>44</v>
      </c>
      <c r="AF75" s="1">
        <v>10003</v>
      </c>
      <c r="AI75" s="1" t="s">
        <v>76</v>
      </c>
      <c r="AJ75" s="1">
        <v>1920</v>
      </c>
      <c r="AK75" s="1" t="s">
        <v>46</v>
      </c>
      <c r="AL75" s="1">
        <v>130</v>
      </c>
    </row>
    <row r="76" spans="1:38" x14ac:dyDescent="0.2">
      <c r="A76" s="2" t="str">
        <f>HYPERLINK("https://www.compass.com/listing/215-east-19th-street-unit-7b-manhattan-ny-10003/807133468828945433/","215 E 19th St, Unit 7B")</f>
        <v>215 E 19th St, Unit 7B</v>
      </c>
      <c r="B76" s="2" t="str">
        <f t="shared" si="12"/>
        <v>The Tower at Gramercy Square</v>
      </c>
      <c r="C76" s="1" t="s">
        <v>54</v>
      </c>
      <c r="D76" s="1" t="s">
        <v>41</v>
      </c>
      <c r="E76" s="3">
        <v>3595000</v>
      </c>
      <c r="F76" s="1">
        <v>1997.2222222222199</v>
      </c>
      <c r="G76" s="1">
        <v>4</v>
      </c>
      <c r="H76" s="1">
        <v>2</v>
      </c>
      <c r="I76" s="1">
        <v>3</v>
      </c>
      <c r="J76" s="1">
        <v>3</v>
      </c>
      <c r="K76" s="1">
        <v>3</v>
      </c>
      <c r="M76" s="4">
        <v>1800</v>
      </c>
      <c r="N76" s="1">
        <v>1726</v>
      </c>
      <c r="O76" s="1">
        <v>4696</v>
      </c>
      <c r="P76" s="1">
        <v>2970</v>
      </c>
      <c r="Q76" s="1" t="s">
        <v>42</v>
      </c>
      <c r="S76" s="1" t="s">
        <v>42</v>
      </c>
      <c r="T76" s="1" t="s">
        <v>43</v>
      </c>
      <c r="U76" s="1">
        <v>62</v>
      </c>
      <c r="V76" s="5">
        <v>44427</v>
      </c>
      <c r="W76" s="5">
        <v>44365</v>
      </c>
      <c r="X76" s="1">
        <v>1</v>
      </c>
      <c r="AB76" s="1" t="s">
        <v>44</v>
      </c>
      <c r="AD76" s="1" t="s">
        <v>100</v>
      </c>
      <c r="AE76" s="1" t="s">
        <v>69</v>
      </c>
      <c r="AF76" s="1">
        <v>10003</v>
      </c>
      <c r="AI76" s="1" t="s">
        <v>76</v>
      </c>
      <c r="AJ76" s="1">
        <v>1920</v>
      </c>
      <c r="AK76" s="1" t="s">
        <v>46</v>
      </c>
      <c r="AL76" s="1">
        <v>130</v>
      </c>
    </row>
    <row r="77" spans="1:38" x14ac:dyDescent="0.2">
      <c r="A77" s="2" t="str">
        <f>HYPERLINK("https://www.compass.com/listing/215-east-19th-street-unit-14b-manhattan-ny-10003/794998408066805761/","215 E 19th St, Unit 14B")</f>
        <v>215 E 19th St, Unit 14B</v>
      </c>
      <c r="B77" s="2" t="str">
        <f t="shared" si="12"/>
        <v>The Tower at Gramercy Square</v>
      </c>
      <c r="C77" s="1" t="s">
        <v>54</v>
      </c>
      <c r="D77" s="1" t="s">
        <v>41</v>
      </c>
      <c r="E77" s="3">
        <v>4700000</v>
      </c>
      <c r="F77" s="1">
        <v>2605.32150776053</v>
      </c>
      <c r="G77" s="1">
        <v>4</v>
      </c>
      <c r="H77" s="1">
        <v>2</v>
      </c>
      <c r="I77" s="1">
        <v>3</v>
      </c>
      <c r="J77" s="1">
        <v>3</v>
      </c>
      <c r="K77" s="1">
        <v>3</v>
      </c>
      <c r="M77" s="4">
        <v>1804</v>
      </c>
      <c r="N77" s="1">
        <v>2048</v>
      </c>
      <c r="O77" s="1">
        <v>5843</v>
      </c>
      <c r="P77" s="1">
        <v>3795</v>
      </c>
      <c r="Q77" s="1" t="s">
        <v>42</v>
      </c>
      <c r="S77" s="1" t="s">
        <v>42</v>
      </c>
      <c r="T77" s="1" t="s">
        <v>43</v>
      </c>
      <c r="U77" s="1">
        <v>79</v>
      </c>
      <c r="V77" s="5">
        <v>44392</v>
      </c>
      <c r="W77" s="5">
        <v>44348</v>
      </c>
      <c r="X77" s="1">
        <v>4700000</v>
      </c>
      <c r="AB77" s="1" t="s">
        <v>44</v>
      </c>
      <c r="AF77" s="1">
        <v>10003</v>
      </c>
      <c r="AI77" s="1" t="s">
        <v>76</v>
      </c>
      <c r="AJ77" s="1">
        <v>1920</v>
      </c>
      <c r="AK77" s="1" t="s">
        <v>73</v>
      </c>
      <c r="AL77" s="1">
        <v>130</v>
      </c>
    </row>
    <row r="78" spans="1:38" x14ac:dyDescent="0.2">
      <c r="A78" s="2" t="str">
        <f>HYPERLINK("https://www.compass.com/listing/215-east-19th-street-unit-2k-manhattan-ny-10003/272454291015389041/","215 E 19th St, Unit 2K")</f>
        <v>215 E 19th St, Unit 2K</v>
      </c>
      <c r="B78" s="2" t="str">
        <f t="shared" si="12"/>
        <v>The Tower at Gramercy Square</v>
      </c>
      <c r="C78" s="1" t="s">
        <v>54</v>
      </c>
      <c r="D78" s="1" t="s">
        <v>41</v>
      </c>
      <c r="E78" s="3">
        <v>2085000</v>
      </c>
      <c r="F78" s="1">
        <v>1721.7175887696101</v>
      </c>
      <c r="G78" s="1">
        <v>3.5</v>
      </c>
      <c r="H78" s="1">
        <v>1</v>
      </c>
      <c r="I78" s="1">
        <v>2</v>
      </c>
      <c r="J78" s="1">
        <v>1.5</v>
      </c>
      <c r="K78" s="1">
        <v>1</v>
      </c>
      <c r="L78" s="1">
        <v>1</v>
      </c>
      <c r="M78" s="4">
        <v>1211</v>
      </c>
      <c r="N78" s="1">
        <v>1374</v>
      </c>
      <c r="O78" s="1">
        <v>3740</v>
      </c>
      <c r="P78" s="1">
        <v>2366</v>
      </c>
      <c r="Q78" s="1" t="s">
        <v>42</v>
      </c>
      <c r="S78" s="1" t="s">
        <v>42</v>
      </c>
      <c r="T78" s="1" t="s">
        <v>43</v>
      </c>
      <c r="U78" s="1">
        <v>2165</v>
      </c>
      <c r="V78" s="5">
        <v>44427</v>
      </c>
      <c r="W78" s="5">
        <v>42135</v>
      </c>
      <c r="X78" s="1">
        <v>2105000</v>
      </c>
      <c r="AB78" s="1" t="s">
        <v>44</v>
      </c>
      <c r="AD78" s="1" t="s">
        <v>100</v>
      </c>
      <c r="AE78" s="1" t="s">
        <v>69</v>
      </c>
      <c r="AF78" s="1">
        <v>10003</v>
      </c>
      <c r="AI78" s="1" t="s">
        <v>76</v>
      </c>
      <c r="AJ78" s="1">
        <v>1920</v>
      </c>
      <c r="AK78" s="1" t="s">
        <v>46</v>
      </c>
      <c r="AL78" s="1">
        <v>130</v>
      </c>
    </row>
    <row r="79" spans="1:38" x14ac:dyDescent="0.2">
      <c r="A79" s="2" t="str">
        <f>HYPERLINK("https://www.compass.com/listing/50-riverside-boulevard-unit-15m-manhattan-ny-10069/840921456284603721/","50 Riverside Blvd, Unit 15M")</f>
        <v>50 Riverside Blvd, Unit 15M</v>
      </c>
      <c r="B79" s="2" t="str">
        <f>HYPERLINK("https://www.compass.com/building/one-riverside-park-manhattan-ny/282041440266113253/","One Riverside Park")</f>
        <v>One Riverside Park</v>
      </c>
      <c r="C79" s="1" t="s">
        <v>50</v>
      </c>
      <c r="D79" s="1" t="s">
        <v>41</v>
      </c>
      <c r="E79" s="3">
        <v>2750000</v>
      </c>
      <c r="F79" s="1">
        <v>2086.4946889226098</v>
      </c>
      <c r="G79" s="1">
        <v>4.5</v>
      </c>
      <c r="H79" s="1">
        <v>2</v>
      </c>
      <c r="I79" s="1">
        <v>3</v>
      </c>
      <c r="J79" s="1">
        <v>2.5</v>
      </c>
      <c r="K79" s="1">
        <v>2</v>
      </c>
      <c r="L79" s="1">
        <v>1</v>
      </c>
      <c r="M79" s="4">
        <v>1318</v>
      </c>
      <c r="N79" s="1">
        <v>1466</v>
      </c>
      <c r="O79" s="1">
        <v>1466</v>
      </c>
      <c r="Q79" s="1" t="s">
        <v>42</v>
      </c>
      <c r="S79" s="1" t="s">
        <v>42</v>
      </c>
      <c r="T79" s="1" t="s">
        <v>43</v>
      </c>
      <c r="U79" s="1">
        <v>16</v>
      </c>
      <c r="V79" s="5">
        <v>44412</v>
      </c>
      <c r="W79" s="5">
        <v>44411</v>
      </c>
      <c r="X79" s="1">
        <v>2725000</v>
      </c>
      <c r="AB79" s="1" t="s">
        <v>44</v>
      </c>
      <c r="AF79" s="1">
        <v>10069</v>
      </c>
      <c r="AI79" s="1" t="s">
        <v>101</v>
      </c>
      <c r="AJ79" s="1">
        <v>2016</v>
      </c>
      <c r="AK79" s="1" t="s">
        <v>46</v>
      </c>
      <c r="AL79" s="1">
        <v>657</v>
      </c>
    </row>
    <row r="80" spans="1:38" x14ac:dyDescent="0.2">
      <c r="A80" s="2" t="str">
        <f>HYPERLINK("https://www.compass.com/listing/215-east-19th-street-unit-9a-manhattan-ny-10003/801632571486152953/","215 E 19th St, Unit 9A")</f>
        <v>215 E 19th St, Unit 9A</v>
      </c>
      <c r="B80" s="2" t="str">
        <f t="shared" ref="B80:B81" si="13">HYPERLINK("https://www.compass.com/building/the-tower-at-gramercy-square-manhattan-ny/281890815108713781/","The Tower at Gramercy Square")</f>
        <v>The Tower at Gramercy Square</v>
      </c>
      <c r="C80" s="1" t="s">
        <v>54</v>
      </c>
      <c r="D80" s="1" t="s">
        <v>41</v>
      </c>
      <c r="E80" s="3">
        <v>3650000</v>
      </c>
      <c r="F80" s="1">
        <v>1976.1775852734099</v>
      </c>
      <c r="G80" s="1">
        <v>4</v>
      </c>
      <c r="H80" s="1">
        <v>2</v>
      </c>
      <c r="I80" s="1">
        <v>3</v>
      </c>
      <c r="J80" s="1">
        <v>3</v>
      </c>
      <c r="K80" s="1">
        <v>3</v>
      </c>
      <c r="M80" s="4">
        <v>1847</v>
      </c>
      <c r="N80" s="1">
        <v>2097</v>
      </c>
      <c r="O80" s="1">
        <v>5607</v>
      </c>
      <c r="P80" s="1">
        <v>3510</v>
      </c>
      <c r="Q80" s="1" t="s">
        <v>42</v>
      </c>
      <c r="S80" s="1" t="s">
        <v>42</v>
      </c>
      <c r="T80" s="1" t="s">
        <v>43</v>
      </c>
      <c r="U80" s="1">
        <v>108</v>
      </c>
      <c r="V80" s="5">
        <v>44427</v>
      </c>
      <c r="W80" s="5">
        <v>44319</v>
      </c>
      <c r="X80" s="1">
        <v>3695000</v>
      </c>
      <c r="AB80" s="1" t="s">
        <v>44</v>
      </c>
      <c r="AD80" s="1" t="s">
        <v>100</v>
      </c>
      <c r="AE80" s="1" t="s">
        <v>69</v>
      </c>
      <c r="AF80" s="1">
        <v>10003</v>
      </c>
      <c r="AI80" s="1" t="s">
        <v>76</v>
      </c>
      <c r="AJ80" s="1">
        <v>1920</v>
      </c>
      <c r="AK80" s="1" t="s">
        <v>46</v>
      </c>
      <c r="AL80" s="1">
        <v>130</v>
      </c>
    </row>
    <row r="81" spans="1:38" x14ac:dyDescent="0.2">
      <c r="A81" s="2" t="str">
        <f>HYPERLINK("https://www.compass.com/listing/215-east-19th-street-unit-2b-manhattan-ny-10003/770157286473234105/","215 E 19th St, Unit 2B")</f>
        <v>215 E 19th St, Unit 2B</v>
      </c>
      <c r="B81" s="2" t="str">
        <f t="shared" si="13"/>
        <v>The Tower at Gramercy Square</v>
      </c>
      <c r="C81" s="1" t="s">
        <v>54</v>
      </c>
      <c r="D81" s="1" t="s">
        <v>41</v>
      </c>
      <c r="E81" s="3">
        <v>2895000</v>
      </c>
      <c r="F81" s="1">
        <v>1904.60526315789</v>
      </c>
      <c r="G81" s="1">
        <v>4</v>
      </c>
      <c r="H81" s="1">
        <v>2</v>
      </c>
      <c r="I81" s="1">
        <v>3</v>
      </c>
      <c r="J81" s="1">
        <v>2.5</v>
      </c>
      <c r="K81" s="1">
        <v>2</v>
      </c>
      <c r="L81" s="1">
        <v>1</v>
      </c>
      <c r="M81" s="4">
        <v>1520</v>
      </c>
      <c r="N81" s="1">
        <v>1726</v>
      </c>
      <c r="O81" s="1">
        <v>4696</v>
      </c>
      <c r="P81" s="1">
        <v>2970</v>
      </c>
      <c r="Q81" s="1" t="s">
        <v>42</v>
      </c>
      <c r="S81" s="1" t="s">
        <v>42</v>
      </c>
      <c r="T81" s="1" t="s">
        <v>43</v>
      </c>
      <c r="U81" s="1">
        <v>113</v>
      </c>
      <c r="V81" s="5">
        <v>44427</v>
      </c>
      <c r="W81" s="5">
        <v>44314</v>
      </c>
      <c r="X81" s="1">
        <v>2895000</v>
      </c>
      <c r="AB81" s="1" t="s">
        <v>44</v>
      </c>
      <c r="AD81" s="1" t="s">
        <v>100</v>
      </c>
      <c r="AE81" s="1" t="s">
        <v>69</v>
      </c>
      <c r="AF81" s="1">
        <v>10003</v>
      </c>
      <c r="AI81" s="1" t="s">
        <v>76</v>
      </c>
      <c r="AJ81" s="1">
        <v>1920</v>
      </c>
      <c r="AK81" s="1" t="s">
        <v>46</v>
      </c>
      <c r="AL81" s="1">
        <v>130</v>
      </c>
    </row>
    <row r="82" spans="1:38" x14ac:dyDescent="0.2">
      <c r="A82" s="2" t="str">
        <f>HYPERLINK("https://www.compass.com/listing/15-west-61st-street-unit-3l-manhattan-ny-10023/820187004220701281/","15 W 61st St, Unit 3L")</f>
        <v>15 W 61st St, Unit 3L</v>
      </c>
      <c r="B82" s="2" t="str">
        <f t="shared" ref="B82:B83" si="14">HYPERLINK("https://www.compass.com/building/the-park-loggia-manhattan-ny/292861833130357557/","The Park Loggia")</f>
        <v>The Park Loggia</v>
      </c>
      <c r="C82" s="1" t="s">
        <v>50</v>
      </c>
      <c r="D82" s="1" t="s">
        <v>41</v>
      </c>
      <c r="E82" s="3">
        <v>1785000</v>
      </c>
      <c r="F82" s="1">
        <v>2303.22580645161</v>
      </c>
      <c r="G82" s="1">
        <v>3</v>
      </c>
      <c r="H82" s="1">
        <v>1</v>
      </c>
      <c r="I82" s="1">
        <v>1</v>
      </c>
      <c r="J82" s="1">
        <v>1</v>
      </c>
      <c r="K82" s="1">
        <v>1</v>
      </c>
      <c r="M82" s="1">
        <v>775</v>
      </c>
      <c r="N82" s="1">
        <v>788</v>
      </c>
      <c r="O82" s="1">
        <v>1580</v>
      </c>
      <c r="P82" s="1">
        <v>792</v>
      </c>
      <c r="Q82" s="1" t="s">
        <v>42</v>
      </c>
      <c r="S82" s="1" t="s">
        <v>42</v>
      </c>
      <c r="T82" s="1" t="s">
        <v>43</v>
      </c>
      <c r="U82" s="1">
        <v>44</v>
      </c>
      <c r="V82" s="5">
        <v>44413</v>
      </c>
      <c r="W82" s="5">
        <v>44383</v>
      </c>
      <c r="X82" s="1">
        <v>1785000</v>
      </c>
      <c r="AB82" s="1" t="s">
        <v>44</v>
      </c>
      <c r="AF82" s="1">
        <v>10023</v>
      </c>
      <c r="AI82" s="1" t="s">
        <v>76</v>
      </c>
      <c r="AJ82" s="1">
        <v>2019</v>
      </c>
      <c r="AK82" s="1" t="s">
        <v>77</v>
      </c>
      <c r="AL82" s="1">
        <v>172</v>
      </c>
    </row>
    <row r="83" spans="1:38" x14ac:dyDescent="0.2">
      <c r="A83" s="2" t="str">
        <f>HYPERLINK("https://www.compass.com/listing/15-west-61st-street-unit-3i-manhattan-ny-10023/820201110083999353/","15 W 61st St, Unit 3I")</f>
        <v>15 W 61st St, Unit 3I</v>
      </c>
      <c r="B83" s="2" t="str">
        <f t="shared" si="14"/>
        <v>The Park Loggia</v>
      </c>
      <c r="C83" s="1" t="s">
        <v>50</v>
      </c>
      <c r="D83" s="1" t="s">
        <v>41</v>
      </c>
      <c r="E83" s="3">
        <v>1905000</v>
      </c>
      <c r="F83" s="1">
        <v>2357.6732673267302</v>
      </c>
      <c r="G83" s="1">
        <v>3</v>
      </c>
      <c r="H83" s="1">
        <v>1</v>
      </c>
      <c r="I83" s="1">
        <v>1</v>
      </c>
      <c r="J83" s="1">
        <v>1</v>
      </c>
      <c r="K83" s="1">
        <v>1</v>
      </c>
      <c r="M83" s="1">
        <v>808</v>
      </c>
      <c r="N83" s="1">
        <v>879</v>
      </c>
      <c r="O83" s="1">
        <v>1763</v>
      </c>
      <c r="P83" s="1">
        <v>884</v>
      </c>
      <c r="Q83" s="1" t="s">
        <v>42</v>
      </c>
      <c r="S83" s="1" t="s">
        <v>42</v>
      </c>
      <c r="T83" s="1" t="s">
        <v>43</v>
      </c>
      <c r="U83" s="1">
        <v>44</v>
      </c>
      <c r="V83" s="5">
        <v>44413</v>
      </c>
      <c r="W83" s="5">
        <v>44383</v>
      </c>
      <c r="X83" s="1">
        <v>1905000</v>
      </c>
      <c r="AB83" s="1" t="s">
        <v>44</v>
      </c>
      <c r="AF83" s="1">
        <v>10023</v>
      </c>
      <c r="AI83" s="1" t="s">
        <v>102</v>
      </c>
      <c r="AJ83" s="1">
        <v>2019</v>
      </c>
      <c r="AK83" s="1" t="s">
        <v>77</v>
      </c>
      <c r="AL83" s="1">
        <v>172</v>
      </c>
    </row>
    <row r="84" spans="1:38" x14ac:dyDescent="0.2">
      <c r="A84" s="2" t="str">
        <f>HYPERLINK("https://www.compass.com/listing/215-east-19th-street-unit-10d-manhattan-ny-10003/769604219084986345/","215 E 19th St, Unit 10D")</f>
        <v>215 E 19th St, Unit 10D</v>
      </c>
      <c r="B84" s="2" t="str">
        <f t="shared" ref="B84:B85" si="15">HYPERLINK("https://www.compass.com/building/the-tower-at-gramercy-square-manhattan-ny/281890815108713781/","The Tower at Gramercy Square")</f>
        <v>The Tower at Gramercy Square</v>
      </c>
      <c r="C84" s="1" t="s">
        <v>54</v>
      </c>
      <c r="D84" s="1" t="s">
        <v>41</v>
      </c>
      <c r="E84" s="3">
        <v>3745000</v>
      </c>
      <c r="F84" s="1">
        <v>2041.98473282442</v>
      </c>
      <c r="G84" s="1">
        <v>4.5</v>
      </c>
      <c r="H84" s="1">
        <v>2</v>
      </c>
      <c r="I84" s="1">
        <v>3</v>
      </c>
      <c r="J84" s="1">
        <v>2.5</v>
      </c>
      <c r="K84" s="1">
        <v>2</v>
      </c>
      <c r="L84" s="1">
        <v>1</v>
      </c>
      <c r="M84" s="4">
        <v>1834</v>
      </c>
      <c r="N84" s="1">
        <v>2082</v>
      </c>
      <c r="O84" s="1">
        <v>5665</v>
      </c>
      <c r="P84" s="1">
        <v>3583</v>
      </c>
      <c r="Q84" s="1" t="s">
        <v>42</v>
      </c>
      <c r="S84" s="1" t="s">
        <v>42</v>
      </c>
      <c r="T84" s="1" t="s">
        <v>43</v>
      </c>
      <c r="U84" s="1">
        <v>113</v>
      </c>
      <c r="V84" s="5">
        <v>44427</v>
      </c>
      <c r="W84" s="5">
        <v>44314</v>
      </c>
      <c r="X84" s="1">
        <v>4060000</v>
      </c>
      <c r="AB84" s="1" t="s">
        <v>44</v>
      </c>
      <c r="AD84" s="1" t="s">
        <v>100</v>
      </c>
      <c r="AE84" s="1" t="s">
        <v>69</v>
      </c>
      <c r="AF84" s="1">
        <v>10003</v>
      </c>
      <c r="AI84" s="1" t="s">
        <v>76</v>
      </c>
      <c r="AJ84" s="1">
        <v>1920</v>
      </c>
      <c r="AK84" s="1" t="s">
        <v>46</v>
      </c>
      <c r="AL84" s="1">
        <v>130</v>
      </c>
    </row>
    <row r="85" spans="1:38" x14ac:dyDescent="0.2">
      <c r="A85" s="2" t="str">
        <f>HYPERLINK("https://www.compass.com/listing/215-east-19th-street-unit-9f-manhattan-ny-10003/755091512457554225/","215 E 19th St, Unit 9F")</f>
        <v>215 E 19th St, Unit 9F</v>
      </c>
      <c r="B85" s="2" t="str">
        <f t="shared" si="15"/>
        <v>The Tower at Gramercy Square</v>
      </c>
      <c r="C85" s="1" t="s">
        <v>54</v>
      </c>
      <c r="D85" s="1" t="s">
        <v>41</v>
      </c>
      <c r="E85" s="3">
        <v>1350000</v>
      </c>
      <c r="F85" s="1">
        <v>1967.9300291545101</v>
      </c>
      <c r="G85" s="1">
        <v>1</v>
      </c>
      <c r="H85" s="1" t="s">
        <v>79</v>
      </c>
      <c r="I85" s="1">
        <v>1</v>
      </c>
      <c r="J85" s="1">
        <v>1</v>
      </c>
      <c r="K85" s="1">
        <v>1</v>
      </c>
      <c r="M85" s="1">
        <v>686</v>
      </c>
      <c r="N85" s="1">
        <v>779</v>
      </c>
      <c r="O85" s="1">
        <v>2119</v>
      </c>
      <c r="P85" s="1">
        <v>1340</v>
      </c>
      <c r="Q85" s="1" t="s">
        <v>42</v>
      </c>
      <c r="S85" s="1" t="s">
        <v>42</v>
      </c>
      <c r="T85" s="1" t="s">
        <v>43</v>
      </c>
      <c r="U85" s="1">
        <v>565</v>
      </c>
      <c r="V85" s="5">
        <v>44427</v>
      </c>
      <c r="W85" s="5">
        <v>43768</v>
      </c>
      <c r="X85" s="1">
        <v>1350000</v>
      </c>
      <c r="AB85" s="1" t="s">
        <v>44</v>
      </c>
      <c r="AD85" s="1" t="s">
        <v>100</v>
      </c>
      <c r="AE85" s="1" t="s">
        <v>69</v>
      </c>
      <c r="AF85" s="1">
        <v>10003</v>
      </c>
      <c r="AI85" s="1" t="s">
        <v>103</v>
      </c>
      <c r="AJ85" s="1">
        <v>1920</v>
      </c>
      <c r="AK85" s="1" t="s">
        <v>46</v>
      </c>
      <c r="AL85" s="1">
        <v>130</v>
      </c>
    </row>
    <row r="86" spans="1:38" x14ac:dyDescent="0.2">
      <c r="A86" s="2" t="str">
        <f>HYPERLINK("https://www.compass.com/listing/15-west-61st-street-unit-5d-manhattan-ny-10023/820186790042168833/","15 W 61st St, Unit 5D")</f>
        <v>15 W 61st St, Unit 5D</v>
      </c>
      <c r="B86" s="2" t="str">
        <f>HYPERLINK("https://www.compass.com/building/the-park-loggia-manhattan-ny/292861833130357557/","The Park Loggia")</f>
        <v>The Park Loggia</v>
      </c>
      <c r="C86" s="1" t="s">
        <v>50</v>
      </c>
      <c r="D86" s="1" t="s">
        <v>41</v>
      </c>
      <c r="E86" s="3">
        <v>2785000</v>
      </c>
      <c r="F86" s="1">
        <v>2374.2540494458599</v>
      </c>
      <c r="G86" s="1">
        <v>4</v>
      </c>
      <c r="H86" s="1">
        <v>2</v>
      </c>
      <c r="I86" s="1">
        <v>2</v>
      </c>
      <c r="J86" s="1">
        <v>2</v>
      </c>
      <c r="K86" s="1">
        <v>2</v>
      </c>
      <c r="M86" s="4">
        <v>1173</v>
      </c>
      <c r="N86" s="1">
        <v>1192</v>
      </c>
      <c r="O86" s="1">
        <v>2391</v>
      </c>
      <c r="P86" s="1">
        <v>1199</v>
      </c>
      <c r="Q86" s="1" t="s">
        <v>42</v>
      </c>
      <c r="S86" s="1" t="s">
        <v>42</v>
      </c>
      <c r="T86" s="1" t="s">
        <v>43</v>
      </c>
      <c r="U86" s="1">
        <v>44</v>
      </c>
      <c r="V86" s="5">
        <v>44413</v>
      </c>
      <c r="W86" s="5">
        <v>44383</v>
      </c>
      <c r="X86" s="1">
        <v>2785000</v>
      </c>
      <c r="AB86" s="1" t="s">
        <v>44</v>
      </c>
      <c r="AF86" s="1">
        <v>10023</v>
      </c>
      <c r="AI86" s="1" t="s">
        <v>76</v>
      </c>
      <c r="AJ86" s="1">
        <v>2019</v>
      </c>
      <c r="AK86" s="1" t="s">
        <v>77</v>
      </c>
      <c r="AL86" s="1">
        <v>172</v>
      </c>
    </row>
    <row r="87" spans="1:38" x14ac:dyDescent="0.2">
      <c r="A87" s="2" t="str">
        <f>HYPERLINK("https://www.compass.com/listing/215-east-19th-street-unit-7g-manhattan-ny-10003/801632554474155913/","215 E 19th St, Unit 7G")</f>
        <v>215 E 19th St, Unit 7G</v>
      </c>
      <c r="B87" s="2" t="str">
        <f>HYPERLINK("https://www.compass.com/building/the-tower-at-gramercy-square-manhattan-ny/281890815108713781/","The Tower at Gramercy Square")</f>
        <v>The Tower at Gramercy Square</v>
      </c>
      <c r="C87" s="1" t="s">
        <v>54</v>
      </c>
      <c r="D87" s="1" t="s">
        <v>41</v>
      </c>
      <c r="E87" s="3">
        <v>3995000</v>
      </c>
      <c r="F87" s="1">
        <v>1951.63654127992</v>
      </c>
      <c r="G87" s="1">
        <v>6</v>
      </c>
      <c r="H87" s="1">
        <v>3</v>
      </c>
      <c r="I87" s="1">
        <v>4</v>
      </c>
      <c r="J87" s="1">
        <v>3.5</v>
      </c>
      <c r="K87" s="1">
        <v>3</v>
      </c>
      <c r="L87" s="1">
        <v>1</v>
      </c>
      <c r="M87" s="4">
        <v>2047</v>
      </c>
      <c r="N87" s="1">
        <v>2324</v>
      </c>
      <c r="O87" s="1">
        <v>6323</v>
      </c>
      <c r="P87" s="1">
        <v>3999</v>
      </c>
      <c r="Q87" s="1" t="s">
        <v>42</v>
      </c>
      <c r="S87" s="1" t="s">
        <v>42</v>
      </c>
      <c r="T87" s="1" t="s">
        <v>43</v>
      </c>
      <c r="U87" s="1">
        <v>108</v>
      </c>
      <c r="V87" s="5">
        <v>44427</v>
      </c>
      <c r="W87" s="5">
        <v>44319</v>
      </c>
      <c r="X87" s="1">
        <v>3995000</v>
      </c>
      <c r="AB87" s="1" t="s">
        <v>44</v>
      </c>
      <c r="AD87" s="1" t="s">
        <v>100</v>
      </c>
      <c r="AE87" s="1" t="s">
        <v>69</v>
      </c>
      <c r="AF87" s="1">
        <v>10003</v>
      </c>
      <c r="AI87" s="1" t="s">
        <v>76</v>
      </c>
      <c r="AJ87" s="1">
        <v>1920</v>
      </c>
      <c r="AK87" s="1" t="s">
        <v>46</v>
      </c>
      <c r="AL87" s="1">
        <v>130</v>
      </c>
    </row>
    <row r="88" spans="1:38" x14ac:dyDescent="0.2">
      <c r="A88" s="2" t="str">
        <f>HYPERLINK("https://www.compass.com/listing/25-mercer-street-unit-ph-manhattan-ny-10013/762369983263142001/","25 Mercer St, Unit PH")</f>
        <v>25 Mercer St, Unit PH</v>
      </c>
      <c r="B88" s="2" t="str">
        <f>HYPERLINK("https://www.compass.com/building/25-mercer-st-manhattan-ny-10013/281918357685436949/","25 Mercer St")</f>
        <v>25 Mercer St</v>
      </c>
      <c r="C88" s="1" t="s">
        <v>104</v>
      </c>
      <c r="D88" s="1" t="s">
        <v>41</v>
      </c>
      <c r="E88" s="3">
        <v>25000000</v>
      </c>
      <c r="F88" s="1">
        <v>5747.1264367816002</v>
      </c>
      <c r="G88" s="1">
        <v>8</v>
      </c>
      <c r="H88" s="1">
        <v>4</v>
      </c>
      <c r="I88" s="1">
        <v>5</v>
      </c>
      <c r="J88" s="1">
        <v>4.5</v>
      </c>
      <c r="K88" s="1">
        <v>4</v>
      </c>
      <c r="L88" s="1">
        <v>1</v>
      </c>
      <c r="M88" s="4">
        <v>4350</v>
      </c>
      <c r="N88" s="1">
        <v>2949</v>
      </c>
      <c r="O88" s="1">
        <v>11691</v>
      </c>
      <c r="P88" s="1">
        <v>8742</v>
      </c>
      <c r="Q88" s="1" t="s">
        <v>42</v>
      </c>
      <c r="S88" s="1" t="s">
        <v>42</v>
      </c>
      <c r="T88" s="1" t="s">
        <v>43</v>
      </c>
      <c r="U88" s="1">
        <v>122</v>
      </c>
      <c r="V88" s="5">
        <v>44427</v>
      </c>
      <c r="W88" s="5">
        <v>44305</v>
      </c>
      <c r="X88" s="1">
        <v>25000000</v>
      </c>
      <c r="AB88" s="1" t="s">
        <v>44</v>
      </c>
      <c r="AF88" s="1">
        <v>10013</v>
      </c>
      <c r="AI88" s="1" t="s">
        <v>105</v>
      </c>
      <c r="AJ88" s="1">
        <v>2016</v>
      </c>
      <c r="AL88" s="1">
        <v>5</v>
      </c>
    </row>
    <row r="89" spans="1:38" x14ac:dyDescent="0.2">
      <c r="A89" s="2" t="str">
        <f>HYPERLINK("https://www.compass.com/listing/225-east-19th-street-unit-101-manhattan-ny-10003/749112250581075529/","225 E 19th St, Unit 101")</f>
        <v>225 E 19th St, Unit 101</v>
      </c>
      <c r="B89" s="2" t="str">
        <f t="shared" ref="B89:B90" si="16">HYPERLINK("https://www.compass.com/building/the-prewar-at-gramercy-square-manhattan-ny/282059248584654437/","The Prewar at Gramercy Square")</f>
        <v>The Prewar at Gramercy Square</v>
      </c>
      <c r="C89" s="1" t="s">
        <v>54</v>
      </c>
      <c r="D89" s="1" t="s">
        <v>41</v>
      </c>
      <c r="E89" s="3">
        <v>1750000</v>
      </c>
      <c r="F89" s="1">
        <v>1968.50393700787</v>
      </c>
      <c r="G89" s="1">
        <v>4</v>
      </c>
      <c r="H89" s="1">
        <v>1</v>
      </c>
      <c r="I89" s="1">
        <v>1</v>
      </c>
      <c r="J89" s="1">
        <v>1</v>
      </c>
      <c r="K89" s="1">
        <v>1</v>
      </c>
      <c r="M89" s="1">
        <v>889</v>
      </c>
      <c r="N89" s="1">
        <v>1136</v>
      </c>
      <c r="O89" s="1">
        <v>3206</v>
      </c>
      <c r="P89" s="1">
        <v>2070</v>
      </c>
      <c r="Q89" s="1" t="s">
        <v>42</v>
      </c>
      <c r="S89" s="1" t="s">
        <v>42</v>
      </c>
      <c r="T89" s="1" t="s">
        <v>43</v>
      </c>
      <c r="U89" s="1">
        <v>142</v>
      </c>
      <c r="V89" s="5">
        <v>44424</v>
      </c>
      <c r="W89" s="5">
        <v>44285</v>
      </c>
      <c r="AB89" s="1" t="s">
        <v>44</v>
      </c>
      <c r="AF89" s="1">
        <v>10003</v>
      </c>
      <c r="AI89" s="1" t="s">
        <v>102</v>
      </c>
      <c r="AJ89" s="1">
        <v>1920</v>
      </c>
      <c r="AK89" s="1" t="s">
        <v>73</v>
      </c>
      <c r="AL89" s="1">
        <v>48</v>
      </c>
    </row>
    <row r="90" spans="1:38" x14ac:dyDescent="0.2">
      <c r="A90" s="2" t="str">
        <f>HYPERLINK("https://www.compass.com/listing/225-east-19th-street-unit-704-manhattan-ny-10003/729001763673018777/","225 E 19th St, Unit 704")</f>
        <v>225 E 19th St, Unit 704</v>
      </c>
      <c r="B90" s="2" t="str">
        <f t="shared" si="16"/>
        <v>The Prewar at Gramercy Square</v>
      </c>
      <c r="C90" s="1" t="s">
        <v>54</v>
      </c>
      <c r="D90" s="1" t="s">
        <v>41</v>
      </c>
      <c r="E90" s="3">
        <v>1250000</v>
      </c>
      <c r="F90" s="1">
        <v>1790.83094555873</v>
      </c>
      <c r="G90" s="1">
        <v>3</v>
      </c>
      <c r="H90" s="1">
        <v>1</v>
      </c>
      <c r="I90" s="1">
        <v>1</v>
      </c>
      <c r="J90" s="1">
        <v>1</v>
      </c>
      <c r="K90" s="1">
        <v>1</v>
      </c>
      <c r="M90" s="1">
        <v>698</v>
      </c>
      <c r="N90" s="1">
        <v>790</v>
      </c>
      <c r="O90" s="1">
        <v>2018</v>
      </c>
      <c r="P90" s="1">
        <v>1228</v>
      </c>
      <c r="S90" s="1" t="s">
        <v>42</v>
      </c>
      <c r="T90" s="1" t="s">
        <v>43</v>
      </c>
      <c r="U90" s="1">
        <v>170</v>
      </c>
      <c r="V90" s="5">
        <v>44422</v>
      </c>
      <c r="W90" s="5">
        <v>44256</v>
      </c>
      <c r="X90" s="1">
        <v>1575000</v>
      </c>
      <c r="AB90" s="1" t="s">
        <v>44</v>
      </c>
      <c r="AF90" s="1">
        <v>10003</v>
      </c>
      <c r="AI90" s="1" t="s">
        <v>76</v>
      </c>
      <c r="AJ90" s="1">
        <v>1920</v>
      </c>
      <c r="AK90" s="1" t="s">
        <v>46</v>
      </c>
      <c r="AL90" s="1">
        <v>48</v>
      </c>
    </row>
    <row r="91" spans="1:38" x14ac:dyDescent="0.2">
      <c r="A91" s="2" t="str">
        <f>HYPERLINK("https://www.compass.com/listing/215-east-19th-street-unit-17b-manhattan-ny-10003/801632581216890625/","215 E 19th St, Unit 17B")</f>
        <v>215 E 19th St, Unit 17B</v>
      </c>
      <c r="B91" s="2" t="str">
        <f>HYPERLINK("https://www.compass.com/building/the-tower-at-gramercy-square-manhattan-ny/281890815108713781/","The Tower at Gramercy Square")</f>
        <v>The Tower at Gramercy Square</v>
      </c>
      <c r="C91" s="1" t="s">
        <v>54</v>
      </c>
      <c r="D91" s="1" t="s">
        <v>41</v>
      </c>
      <c r="E91" s="3">
        <v>13995000</v>
      </c>
      <c r="F91" s="1">
        <v>2958.1483830057</v>
      </c>
      <c r="G91" s="1">
        <v>7</v>
      </c>
      <c r="H91" s="1">
        <v>4</v>
      </c>
      <c r="I91" s="1">
        <v>6</v>
      </c>
      <c r="J91" s="1">
        <v>5.5</v>
      </c>
      <c r="K91" s="1">
        <v>5</v>
      </c>
      <c r="L91" s="1">
        <v>1</v>
      </c>
      <c r="M91" s="4">
        <v>4731</v>
      </c>
      <c r="N91" s="1">
        <v>5371</v>
      </c>
      <c r="O91" s="1">
        <v>14614</v>
      </c>
      <c r="P91" s="1">
        <v>9243</v>
      </c>
      <c r="Q91" s="1" t="s">
        <v>42</v>
      </c>
      <c r="S91" s="1" t="s">
        <v>42</v>
      </c>
      <c r="T91" s="1" t="s">
        <v>43</v>
      </c>
      <c r="U91" s="1">
        <v>1323</v>
      </c>
      <c r="V91" s="5">
        <v>44427</v>
      </c>
      <c r="W91" s="5">
        <v>43010</v>
      </c>
      <c r="X91" s="1">
        <v>15300000</v>
      </c>
      <c r="AB91" s="1" t="s">
        <v>44</v>
      </c>
      <c r="AD91" s="1" t="s">
        <v>100</v>
      </c>
      <c r="AE91" s="1" t="s">
        <v>69</v>
      </c>
      <c r="AF91" s="1">
        <v>10003</v>
      </c>
      <c r="AI91" s="1" t="s">
        <v>76</v>
      </c>
      <c r="AJ91" s="1">
        <v>1920</v>
      </c>
      <c r="AK91" s="1" t="s">
        <v>46</v>
      </c>
      <c r="AL91" s="1">
        <v>130</v>
      </c>
    </row>
    <row r="92" spans="1:38" x14ac:dyDescent="0.2">
      <c r="A92" s="2" t="str">
        <f>HYPERLINK("https://www.compass.com/listing/375-west-123rd-street-unit-6c-manhattan-ny-10027/839840130150013977/","375 W 123rd St, Unit 6C")</f>
        <v>375 W 123rd St, Unit 6C</v>
      </c>
      <c r="B92" s="2" t="str">
        <f>HYPERLINK("https://www.compass.com/building/99-morningside-manhattan-ny/281983676789660549/","99 Morningside")</f>
        <v>99 Morningside</v>
      </c>
      <c r="C92" s="1" t="s">
        <v>106</v>
      </c>
      <c r="D92" s="1" t="s">
        <v>41</v>
      </c>
      <c r="E92" s="3">
        <v>1525000</v>
      </c>
      <c r="F92" s="1">
        <v>1199.84264358772</v>
      </c>
      <c r="G92" s="1">
        <v>4</v>
      </c>
      <c r="H92" s="1">
        <v>2</v>
      </c>
      <c r="I92" s="1">
        <v>2</v>
      </c>
      <c r="J92" s="1">
        <v>2</v>
      </c>
      <c r="K92" s="1">
        <v>2</v>
      </c>
      <c r="M92" s="4">
        <v>1271</v>
      </c>
      <c r="N92" s="1">
        <v>1163</v>
      </c>
      <c r="O92" s="1">
        <v>1983</v>
      </c>
      <c r="P92" s="1">
        <v>820</v>
      </c>
      <c r="Q92" s="1" t="s">
        <v>42</v>
      </c>
      <c r="S92" s="1" t="s">
        <v>42</v>
      </c>
      <c r="T92" s="1" t="s">
        <v>43</v>
      </c>
      <c r="U92" s="1">
        <v>17</v>
      </c>
      <c r="V92" s="5">
        <v>44421</v>
      </c>
      <c r="W92" s="5">
        <v>44410</v>
      </c>
      <c r="X92" s="1">
        <v>1525000</v>
      </c>
      <c r="AB92" s="1" t="s">
        <v>44</v>
      </c>
      <c r="AF92" s="1">
        <v>10027</v>
      </c>
      <c r="AI92" s="1" t="s">
        <v>107</v>
      </c>
      <c r="AJ92" s="1">
        <v>2016</v>
      </c>
      <c r="AK92" s="1" t="s">
        <v>108</v>
      </c>
      <c r="AL92" s="1">
        <v>22</v>
      </c>
    </row>
    <row r="93" spans="1:38" x14ac:dyDescent="0.2">
      <c r="A93" s="2" t="str">
        <f>HYPERLINK("https://www.compass.com/listing/30-riverside-boulevard-unit-29c-manhattan-ny-10069/841380842941228257/","30 Riverside Blvd, Unit 29C")</f>
        <v>30 Riverside Blvd, Unit 29C</v>
      </c>
      <c r="B93" s="2" t="str">
        <f>HYPERLINK("https://www.compass.com/building/two-waterline-square-manhattan-ny/282058630956612773/","Two Waterline Square")</f>
        <v>Two Waterline Square</v>
      </c>
      <c r="C93" s="1" t="s">
        <v>50</v>
      </c>
      <c r="D93" s="1" t="s">
        <v>41</v>
      </c>
      <c r="E93" s="3">
        <v>3830000</v>
      </c>
      <c r="F93" s="1">
        <v>2635.9256710254599</v>
      </c>
      <c r="G93" s="1">
        <v>3.5</v>
      </c>
      <c r="H93" s="1">
        <v>2</v>
      </c>
      <c r="I93" s="1">
        <v>3</v>
      </c>
      <c r="J93" s="1">
        <v>2.5</v>
      </c>
      <c r="K93" s="1">
        <v>2</v>
      </c>
      <c r="L93" s="1">
        <v>1</v>
      </c>
      <c r="M93" s="4">
        <v>1453</v>
      </c>
      <c r="N93" s="1">
        <v>1976</v>
      </c>
      <c r="O93" s="1">
        <v>2081</v>
      </c>
      <c r="P93" s="1">
        <v>105</v>
      </c>
      <c r="Q93" s="1" t="s">
        <v>42</v>
      </c>
      <c r="S93" s="1" t="s">
        <v>42</v>
      </c>
      <c r="T93" s="1" t="s">
        <v>43</v>
      </c>
      <c r="U93" s="1">
        <v>15</v>
      </c>
      <c r="V93" s="5">
        <v>44414</v>
      </c>
      <c r="W93" s="5">
        <v>44412</v>
      </c>
      <c r="X93" s="1">
        <v>3830000</v>
      </c>
      <c r="AB93" s="1" t="s">
        <v>44</v>
      </c>
      <c r="AF93" s="1">
        <v>10069</v>
      </c>
      <c r="AI93" s="1" t="s">
        <v>109</v>
      </c>
      <c r="AJ93" s="1">
        <v>2019</v>
      </c>
      <c r="AK93" s="1" t="s">
        <v>77</v>
      </c>
      <c r="AL93" s="1">
        <v>160</v>
      </c>
    </row>
    <row r="94" spans="1:38" x14ac:dyDescent="0.2">
      <c r="A94" s="2" t="str">
        <f>HYPERLINK("https://www.compass.com/listing/15-west-61st-street-unit-3j-manhattan-ny-10023/820172283278009185/","15 W 61st St, Unit 3J")</f>
        <v>15 W 61st St, Unit 3J</v>
      </c>
      <c r="B94" s="2" t="str">
        <f>HYPERLINK("https://www.compass.com/building/the-park-loggia-manhattan-ny/292861833130357557/","The Park Loggia")</f>
        <v>The Park Loggia</v>
      </c>
      <c r="C94" s="1" t="s">
        <v>50</v>
      </c>
      <c r="D94" s="1" t="s">
        <v>41</v>
      </c>
      <c r="E94" s="3">
        <v>3725000</v>
      </c>
      <c r="F94" s="1">
        <v>2668.3381088825199</v>
      </c>
      <c r="G94" s="1">
        <v>4</v>
      </c>
      <c r="H94" s="1">
        <v>2</v>
      </c>
      <c r="I94" s="1">
        <v>2</v>
      </c>
      <c r="J94" s="1">
        <v>2</v>
      </c>
      <c r="K94" s="1">
        <v>2</v>
      </c>
      <c r="M94" s="4">
        <v>1396</v>
      </c>
      <c r="N94" s="1">
        <v>1419</v>
      </c>
      <c r="O94" s="1">
        <v>2845</v>
      </c>
      <c r="P94" s="1">
        <v>1426</v>
      </c>
      <c r="Q94" s="1" t="s">
        <v>42</v>
      </c>
      <c r="S94" s="1" t="s">
        <v>42</v>
      </c>
      <c r="T94" s="1" t="s">
        <v>43</v>
      </c>
      <c r="U94" s="1">
        <v>44</v>
      </c>
      <c r="V94" s="5">
        <v>44413</v>
      </c>
      <c r="W94" s="5">
        <v>44383</v>
      </c>
      <c r="X94" s="1">
        <v>3725000</v>
      </c>
      <c r="AB94" s="1" t="s">
        <v>44</v>
      </c>
      <c r="AF94" s="1">
        <v>10023</v>
      </c>
      <c r="AI94" s="1" t="s">
        <v>76</v>
      </c>
      <c r="AJ94" s="1">
        <v>2019</v>
      </c>
      <c r="AK94" s="1" t="s">
        <v>77</v>
      </c>
      <c r="AL94" s="1">
        <v>172</v>
      </c>
    </row>
    <row r="95" spans="1:38" x14ac:dyDescent="0.2">
      <c r="A95" s="2" t="str">
        <f>HYPERLINK("https://www.compass.com/listing/50-riverside-boulevard-unit-15j-manhattan-ny-10069/830797395459728081/","50 Riverside Blvd, Unit 15J")</f>
        <v>50 Riverside Blvd, Unit 15J</v>
      </c>
      <c r="B95" s="2" t="str">
        <f>HYPERLINK("https://www.compass.com/building/one-riverside-park-manhattan-ny/282041440266113253/","One Riverside Park")</f>
        <v>One Riverside Park</v>
      </c>
      <c r="C95" s="1" t="s">
        <v>50</v>
      </c>
      <c r="D95" s="1" t="s">
        <v>41</v>
      </c>
      <c r="E95" s="3">
        <v>2540000</v>
      </c>
      <c r="F95" s="1">
        <v>1801.4184397163101</v>
      </c>
      <c r="G95" s="1">
        <v>6</v>
      </c>
      <c r="H95" s="1">
        <v>2</v>
      </c>
      <c r="I95" s="1">
        <v>2</v>
      </c>
      <c r="J95" s="1">
        <v>2</v>
      </c>
      <c r="K95" s="1">
        <v>2</v>
      </c>
      <c r="M95" s="4">
        <v>1410</v>
      </c>
      <c r="N95" s="1">
        <v>1695</v>
      </c>
      <c r="O95" s="1">
        <v>1783</v>
      </c>
      <c r="P95" s="1">
        <v>88</v>
      </c>
      <c r="Q95" s="1" t="s">
        <v>42</v>
      </c>
      <c r="S95" s="1" t="s">
        <v>42</v>
      </c>
      <c r="T95" s="1" t="s">
        <v>43</v>
      </c>
      <c r="U95" s="1">
        <v>23</v>
      </c>
      <c r="V95" s="5">
        <v>44419</v>
      </c>
      <c r="W95" s="5">
        <v>44404</v>
      </c>
      <c r="X95" s="1">
        <v>2540000</v>
      </c>
      <c r="AB95" s="1" t="s">
        <v>44</v>
      </c>
      <c r="AF95" s="1">
        <v>10069</v>
      </c>
      <c r="AI95" s="1" t="s">
        <v>101</v>
      </c>
      <c r="AJ95" s="1">
        <v>2016</v>
      </c>
      <c r="AK95" s="1" t="s">
        <v>73</v>
      </c>
      <c r="AL95" s="1">
        <v>657</v>
      </c>
    </row>
    <row r="96" spans="1:38" x14ac:dyDescent="0.2">
      <c r="A96" s="2" t="str">
        <f>HYPERLINK("https://www.compass.com/listing/555-west-end-avenue-unit-the-solarium-manhattan-ny-10024/89802428035114193/","555 W End Ave, Unit THE SOLARIUM")</f>
        <v>555 W End Ave, Unit THE SOLARIUM</v>
      </c>
      <c r="B96" s="2" t="str">
        <f t="shared" ref="B96:B98" si="17">HYPERLINK("https://www.compass.com/building/555-west-end-avenue-manhattan-ny/292874438096018885/","555 West End Avenue")</f>
        <v>555 West End Avenue</v>
      </c>
      <c r="C96" s="1" t="s">
        <v>50</v>
      </c>
      <c r="D96" s="1" t="s">
        <v>41</v>
      </c>
      <c r="E96" s="3">
        <v>18000000</v>
      </c>
      <c r="F96" s="1">
        <v>5263.1578947368398</v>
      </c>
      <c r="G96" s="1">
        <v>6</v>
      </c>
      <c r="H96" s="1">
        <v>3</v>
      </c>
      <c r="I96" s="1">
        <v>4</v>
      </c>
      <c r="J96" s="1">
        <v>3.5</v>
      </c>
      <c r="K96" s="1">
        <v>3</v>
      </c>
      <c r="L96" s="1">
        <v>1</v>
      </c>
      <c r="M96" s="4">
        <v>3420</v>
      </c>
      <c r="N96" s="1">
        <v>5880</v>
      </c>
      <c r="O96" s="1">
        <v>15264</v>
      </c>
      <c r="P96" s="1">
        <v>9384</v>
      </c>
      <c r="Q96" s="1" t="s">
        <v>42</v>
      </c>
      <c r="S96" s="1" t="s">
        <v>42</v>
      </c>
      <c r="T96" s="1" t="s">
        <v>43</v>
      </c>
      <c r="U96" s="1">
        <v>957</v>
      </c>
      <c r="V96" s="5">
        <v>44425</v>
      </c>
      <c r="W96" s="5">
        <v>43376</v>
      </c>
      <c r="X96" s="1">
        <v>18000000</v>
      </c>
      <c r="AB96" s="1" t="s">
        <v>44</v>
      </c>
      <c r="AF96" s="1">
        <v>10024</v>
      </c>
      <c r="AI96" s="1" t="s">
        <v>110</v>
      </c>
      <c r="AJ96" s="1">
        <v>2019</v>
      </c>
      <c r="AK96" s="1" t="s">
        <v>77</v>
      </c>
      <c r="AL96" s="1">
        <v>13</v>
      </c>
    </row>
    <row r="97" spans="1:38" x14ac:dyDescent="0.2">
      <c r="A97" s="2" t="str">
        <f>HYPERLINK("https://www.compass.com/listing/555-west-end-avenue-unit-the-library-manhattan-ny-10024/804183173080576617/","555 W End Ave, Unit THE LIBRARY")</f>
        <v>555 W End Ave, Unit THE LIBRARY</v>
      </c>
      <c r="B97" s="2" t="str">
        <f t="shared" si="17"/>
        <v>555 West End Avenue</v>
      </c>
      <c r="C97" s="1" t="s">
        <v>50</v>
      </c>
      <c r="D97" s="1" t="s">
        <v>41</v>
      </c>
      <c r="E97" s="3">
        <v>10500000</v>
      </c>
      <c r="F97" s="1">
        <v>3032.0531331215702</v>
      </c>
      <c r="G97" s="1">
        <v>7</v>
      </c>
      <c r="H97" s="1">
        <v>5</v>
      </c>
      <c r="I97" s="1">
        <v>6</v>
      </c>
      <c r="J97" s="1">
        <v>5.5</v>
      </c>
      <c r="K97" s="1">
        <v>5</v>
      </c>
      <c r="L97" s="1">
        <v>1</v>
      </c>
      <c r="M97" s="4">
        <v>3463</v>
      </c>
      <c r="N97" s="1">
        <v>4763</v>
      </c>
      <c r="O97" s="1">
        <v>12365</v>
      </c>
      <c r="P97" s="1">
        <v>7602</v>
      </c>
      <c r="Q97" s="1" t="s">
        <v>42</v>
      </c>
      <c r="S97" s="1" t="s">
        <v>42</v>
      </c>
      <c r="T97" s="1" t="s">
        <v>43</v>
      </c>
      <c r="U97" s="1">
        <v>957</v>
      </c>
      <c r="V97" s="5">
        <v>44425</v>
      </c>
      <c r="W97" s="5">
        <v>43376</v>
      </c>
      <c r="X97" s="1">
        <v>10500000</v>
      </c>
      <c r="AB97" s="1" t="s">
        <v>44</v>
      </c>
      <c r="AF97" s="1">
        <v>10024</v>
      </c>
      <c r="AJ97" s="1">
        <v>2019</v>
      </c>
      <c r="AK97" s="1" t="s">
        <v>77</v>
      </c>
      <c r="AL97" s="1">
        <v>13</v>
      </c>
    </row>
    <row r="98" spans="1:38" x14ac:dyDescent="0.2">
      <c r="A98" s="2" t="str">
        <f>HYPERLINK("https://www.compass.com/listing/555-west-end-avenue-unit-3w-manhattan-ny-10024/801634614565080265/","555 W End Ave, Unit 3W")</f>
        <v>555 W End Ave, Unit 3W</v>
      </c>
      <c r="B98" s="2" t="str">
        <f t="shared" si="17"/>
        <v>555 West End Avenue</v>
      </c>
      <c r="C98" s="1" t="s">
        <v>50</v>
      </c>
      <c r="D98" s="1" t="s">
        <v>41</v>
      </c>
      <c r="E98" s="3">
        <v>7500000</v>
      </c>
      <c r="F98" s="1">
        <v>2761.41384388807</v>
      </c>
      <c r="G98" s="1">
        <v>7</v>
      </c>
      <c r="H98" s="1">
        <v>4</v>
      </c>
      <c r="I98" s="1">
        <v>5</v>
      </c>
      <c r="J98" s="1">
        <v>4.5</v>
      </c>
      <c r="K98" s="1">
        <v>4</v>
      </c>
      <c r="L98" s="1">
        <v>1</v>
      </c>
      <c r="M98" s="4">
        <v>2716</v>
      </c>
      <c r="N98" s="1">
        <v>3736</v>
      </c>
      <c r="O98" s="1">
        <v>9698</v>
      </c>
      <c r="P98" s="1">
        <v>5962</v>
      </c>
      <c r="Q98" s="1" t="s">
        <v>111</v>
      </c>
      <c r="S98" s="1" t="s">
        <v>42</v>
      </c>
      <c r="T98" s="1" t="s">
        <v>43</v>
      </c>
      <c r="U98" s="1">
        <v>957</v>
      </c>
      <c r="V98" s="5">
        <v>44425</v>
      </c>
      <c r="W98" s="5">
        <v>43376</v>
      </c>
      <c r="X98" s="1">
        <v>7900000</v>
      </c>
      <c r="AB98" s="1" t="s">
        <v>44</v>
      </c>
      <c r="AF98" s="1">
        <v>10024</v>
      </c>
      <c r="AJ98" s="1">
        <v>2019</v>
      </c>
      <c r="AK98" s="1" t="s">
        <v>73</v>
      </c>
      <c r="AL98" s="1">
        <v>13</v>
      </c>
    </row>
    <row r="99" spans="1:38" x14ac:dyDescent="0.2">
      <c r="A99" s="2" t="str">
        <f>HYPERLINK("https://www.compass.com/listing/67-69-franklin-street-unit-6a-manhattan-ny-10013/89719784022812561/","67-69 Franklin St, Unit 6A")</f>
        <v>67-69 Franklin St, Unit 6A</v>
      </c>
      <c r="B99" s="2" t="str">
        <f>HYPERLINK("https://www.compass.com/building/cast-iron-house-manhattan-ny/567514773896133269/","Cast Iron House")</f>
        <v>Cast Iron House</v>
      </c>
      <c r="C99" s="1" t="s">
        <v>40</v>
      </c>
      <c r="D99" s="1" t="s">
        <v>41</v>
      </c>
      <c r="E99" s="3">
        <v>8750000</v>
      </c>
      <c r="F99" s="1">
        <v>2058.8235294117599</v>
      </c>
      <c r="G99" s="1">
        <v>9</v>
      </c>
      <c r="H99" s="1">
        <v>5</v>
      </c>
      <c r="I99" s="1">
        <v>4</v>
      </c>
      <c r="J99" s="1">
        <v>4</v>
      </c>
      <c r="K99" s="1">
        <v>4</v>
      </c>
      <c r="M99" s="4">
        <v>4250</v>
      </c>
      <c r="N99" s="1">
        <v>4534</v>
      </c>
      <c r="O99" s="1">
        <v>10657</v>
      </c>
      <c r="P99" s="1">
        <v>6123</v>
      </c>
      <c r="Q99" s="1" t="s">
        <v>42</v>
      </c>
      <c r="S99" s="1" t="s">
        <v>42</v>
      </c>
      <c r="T99" s="1" t="s">
        <v>43</v>
      </c>
      <c r="U99" s="1">
        <v>959</v>
      </c>
      <c r="V99" s="5">
        <v>44324</v>
      </c>
      <c r="W99" s="5">
        <v>43374</v>
      </c>
      <c r="X99" s="1">
        <v>9500000</v>
      </c>
      <c r="AB99" s="1" t="s">
        <v>44</v>
      </c>
      <c r="AF99" s="1">
        <v>10013</v>
      </c>
      <c r="AI99" s="1" t="s">
        <v>84</v>
      </c>
      <c r="AJ99" s="1">
        <v>1881</v>
      </c>
      <c r="AK99" s="1" t="s">
        <v>46</v>
      </c>
      <c r="AL99" s="1">
        <v>13</v>
      </c>
    </row>
    <row r="100" spans="1:38" x14ac:dyDescent="0.2">
      <c r="A100" s="2" t="str">
        <f>HYPERLINK("https://www.compass.com/listing/15-west-61st-street-unit-18b-manhattan-ny-10023/805053868840649241/","15 W 61st St, Unit 18B")</f>
        <v>15 W 61st St, Unit 18B</v>
      </c>
      <c r="B100" s="2" t="str">
        <f>HYPERLINK("https://www.compass.com/building/the-park-loggia-manhattan-ny/292861833130357557/","The Park Loggia")</f>
        <v>The Park Loggia</v>
      </c>
      <c r="C100" s="1" t="s">
        <v>50</v>
      </c>
      <c r="D100" s="1" t="s">
        <v>41</v>
      </c>
      <c r="E100" s="3">
        <v>3340000</v>
      </c>
      <c r="F100" s="1">
        <v>2914.4851657940599</v>
      </c>
      <c r="G100" s="1">
        <v>4</v>
      </c>
      <c r="H100" s="1">
        <v>2</v>
      </c>
      <c r="I100" s="1">
        <v>2</v>
      </c>
      <c r="J100" s="1">
        <v>2</v>
      </c>
      <c r="K100" s="1">
        <v>2</v>
      </c>
      <c r="M100" s="4">
        <v>1146</v>
      </c>
      <c r="N100" s="1">
        <v>1204</v>
      </c>
      <c r="O100" s="1">
        <v>2415</v>
      </c>
      <c r="P100" s="1">
        <v>1211</v>
      </c>
      <c r="Q100" s="1" t="s">
        <v>42</v>
      </c>
      <c r="S100" s="1" t="s">
        <v>42</v>
      </c>
      <c r="T100" s="1" t="s">
        <v>43</v>
      </c>
      <c r="U100" s="1">
        <v>65</v>
      </c>
      <c r="V100" s="5">
        <v>44413</v>
      </c>
      <c r="W100" s="5">
        <v>44362</v>
      </c>
      <c r="X100" s="1">
        <v>3340000</v>
      </c>
      <c r="AB100" s="1" t="s">
        <v>44</v>
      </c>
      <c r="AF100" s="1">
        <v>10023</v>
      </c>
      <c r="AI100" s="1" t="s">
        <v>112</v>
      </c>
      <c r="AJ100" s="1">
        <v>2019</v>
      </c>
      <c r="AK100" s="1" t="s">
        <v>73</v>
      </c>
      <c r="AL100" s="1">
        <v>172</v>
      </c>
    </row>
    <row r="101" spans="1:38" x14ac:dyDescent="0.2">
      <c r="A101" s="2" t="str">
        <f>HYPERLINK("https://www.compass.com/listing/555-west-end-avenue-manhattan-ny-10024/803362145537981409/","555 W End Ave")</f>
        <v>555 W End Ave</v>
      </c>
      <c r="B101" s="2" t="str">
        <f t="shared" ref="B101:B103" si="18">HYPERLINK("https://www.compass.com/building/555-west-end-avenue-manhattan-ny/292874438096018885/","555 West End Avenue")</f>
        <v>555 West End Avenue</v>
      </c>
      <c r="C101" s="1" t="s">
        <v>50</v>
      </c>
      <c r="D101" s="1" t="s">
        <v>41</v>
      </c>
      <c r="E101" s="3">
        <v>11500000</v>
      </c>
      <c r="F101" s="1">
        <v>2630.3751143641298</v>
      </c>
      <c r="G101" s="1">
        <v>8</v>
      </c>
      <c r="H101" s="1">
        <v>4</v>
      </c>
      <c r="I101" s="1">
        <v>5</v>
      </c>
      <c r="J101" s="1">
        <v>5</v>
      </c>
      <c r="K101" s="1">
        <v>4</v>
      </c>
      <c r="L101" s="1">
        <v>2</v>
      </c>
      <c r="M101" s="4">
        <v>4372</v>
      </c>
      <c r="N101" s="1">
        <v>4810</v>
      </c>
      <c r="O101" s="1">
        <v>12488</v>
      </c>
      <c r="P101" s="1">
        <v>7678</v>
      </c>
      <c r="Q101" s="1" t="s">
        <v>42</v>
      </c>
      <c r="S101" s="1" t="s">
        <v>42</v>
      </c>
      <c r="T101" s="1" t="s">
        <v>43</v>
      </c>
      <c r="U101" s="1">
        <v>583</v>
      </c>
      <c r="V101" s="5">
        <v>44425</v>
      </c>
      <c r="W101" s="5">
        <v>43750</v>
      </c>
      <c r="X101" s="1">
        <v>11500000</v>
      </c>
      <c r="AB101" s="1" t="s">
        <v>44</v>
      </c>
      <c r="AF101" s="1">
        <v>10024</v>
      </c>
      <c r="AJ101" s="1">
        <v>2019</v>
      </c>
      <c r="AK101" s="1" t="s">
        <v>77</v>
      </c>
      <c r="AL101" s="1">
        <v>13</v>
      </c>
    </row>
    <row r="102" spans="1:38" x14ac:dyDescent="0.2">
      <c r="A102" s="2" t="str">
        <f>HYPERLINK("https://www.compass.com/listing/555-west-end-avenue-unit-ph-manhattan-ny-10024/743517123468548073/","555 W End Ave, Unit PH")</f>
        <v>555 W End Ave, Unit PH</v>
      </c>
      <c r="B102" s="2" t="str">
        <f t="shared" si="18"/>
        <v>555 West End Avenue</v>
      </c>
      <c r="C102" s="1" t="s">
        <v>50</v>
      </c>
      <c r="D102" s="1" t="s">
        <v>41</v>
      </c>
      <c r="E102" s="3">
        <v>42000000</v>
      </c>
      <c r="F102" s="1">
        <v>4982.7974848736503</v>
      </c>
      <c r="G102" s="1">
        <v>15</v>
      </c>
      <c r="H102" s="1">
        <v>6</v>
      </c>
      <c r="I102" s="1">
        <v>7</v>
      </c>
      <c r="J102" s="1">
        <v>6.5</v>
      </c>
      <c r="K102" s="1">
        <v>6</v>
      </c>
      <c r="L102" s="1">
        <v>1</v>
      </c>
      <c r="M102" s="4">
        <v>8429</v>
      </c>
      <c r="N102" s="1">
        <v>13803</v>
      </c>
      <c r="O102" s="1">
        <v>35831</v>
      </c>
      <c r="P102" s="1">
        <v>22028</v>
      </c>
      <c r="Q102" s="1" t="s">
        <v>42</v>
      </c>
      <c r="S102" s="1" t="s">
        <v>42</v>
      </c>
      <c r="T102" s="1" t="s">
        <v>43</v>
      </c>
      <c r="U102" s="1">
        <v>149</v>
      </c>
      <c r="V102" s="5">
        <v>44425</v>
      </c>
      <c r="W102" s="5">
        <v>44278</v>
      </c>
      <c r="X102" s="1">
        <v>42000000</v>
      </c>
      <c r="AB102" s="1" t="s">
        <v>44</v>
      </c>
      <c r="AF102" s="1">
        <v>10024</v>
      </c>
      <c r="AI102" s="1" t="s">
        <v>110</v>
      </c>
      <c r="AJ102" s="1">
        <v>2019</v>
      </c>
      <c r="AK102" s="1" t="s">
        <v>77</v>
      </c>
      <c r="AL102" s="1">
        <v>13</v>
      </c>
    </row>
    <row r="103" spans="1:38" x14ac:dyDescent="0.2">
      <c r="A103" s="2" t="str">
        <f>HYPERLINK("https://www.compass.com/listing/555-west-end-avenue-unit-terrace-ph-manhattan-ny-10024/557168761592237953/","555 W End Ave, Unit TERRACE PH")</f>
        <v>555 W End Ave, Unit TERRACE PH</v>
      </c>
      <c r="B103" s="2" t="str">
        <f t="shared" si="18"/>
        <v>555 West End Avenue</v>
      </c>
      <c r="C103" s="1" t="s">
        <v>50</v>
      </c>
      <c r="D103" s="1" t="s">
        <v>41</v>
      </c>
      <c r="E103" s="3">
        <v>22500000</v>
      </c>
      <c r="F103" s="1">
        <v>4491.9145538031498</v>
      </c>
      <c r="G103" s="1">
        <v>9</v>
      </c>
      <c r="H103" s="1">
        <v>4</v>
      </c>
      <c r="I103" s="1">
        <v>5</v>
      </c>
      <c r="J103" s="1">
        <v>4.5</v>
      </c>
      <c r="K103" s="1">
        <v>4</v>
      </c>
      <c r="L103" s="1">
        <v>1</v>
      </c>
      <c r="M103" s="4">
        <v>5009</v>
      </c>
      <c r="N103" s="1">
        <v>7924</v>
      </c>
      <c r="O103" s="1">
        <v>20568</v>
      </c>
      <c r="P103" s="1">
        <v>12644</v>
      </c>
      <c r="Q103" s="1" t="s">
        <v>42</v>
      </c>
      <c r="S103" s="1" t="s">
        <v>42</v>
      </c>
      <c r="T103" s="1" t="s">
        <v>43</v>
      </c>
      <c r="U103" s="1">
        <v>406</v>
      </c>
      <c r="V103" s="5">
        <v>44425</v>
      </c>
      <c r="W103" s="5">
        <v>44021</v>
      </c>
      <c r="X103" s="1">
        <v>22500000</v>
      </c>
      <c r="AB103" s="1" t="s">
        <v>44</v>
      </c>
      <c r="AF103" s="1">
        <v>10024</v>
      </c>
      <c r="AI103" s="1" t="s">
        <v>110</v>
      </c>
      <c r="AJ103" s="1">
        <v>2019</v>
      </c>
      <c r="AK103" s="1" t="s">
        <v>77</v>
      </c>
      <c r="AL103" s="1">
        <v>13</v>
      </c>
    </row>
    <row r="104" spans="1:38" x14ac:dyDescent="0.2">
      <c r="A104" s="2" t="str">
        <f>HYPERLINK("https://www.compass.com/listing/570-broome-street-unit-8a-manhattan-ny-10013/780408430610451601/","570 Broome St, Unit 8A")</f>
        <v>570 Broome St, Unit 8A</v>
      </c>
      <c r="B104" s="2" t="str">
        <f>HYPERLINK("https://www.compass.com/building/570-broome-manhattan-ny/292818583757562981/","570 Broome")</f>
        <v>570 Broome</v>
      </c>
      <c r="C104" s="1" t="s">
        <v>47</v>
      </c>
      <c r="D104" s="1" t="s">
        <v>41</v>
      </c>
      <c r="E104" s="3">
        <v>1795000</v>
      </c>
      <c r="F104" s="1">
        <v>2238.1546134663299</v>
      </c>
      <c r="G104" s="1">
        <v>3</v>
      </c>
      <c r="H104" s="1">
        <v>1</v>
      </c>
      <c r="I104" s="1">
        <v>1</v>
      </c>
      <c r="J104" s="1">
        <v>1</v>
      </c>
      <c r="K104" s="1">
        <v>1</v>
      </c>
      <c r="M104" s="1">
        <v>802</v>
      </c>
      <c r="N104" s="1">
        <v>938.21</v>
      </c>
      <c r="O104" s="1">
        <v>2521.1999999999998</v>
      </c>
      <c r="P104" s="1">
        <v>1583</v>
      </c>
      <c r="Q104" s="1" t="s">
        <v>42</v>
      </c>
      <c r="S104" s="1" t="s">
        <v>42</v>
      </c>
      <c r="T104" s="1" t="s">
        <v>43</v>
      </c>
      <c r="U104" s="1">
        <v>99</v>
      </c>
      <c r="V104" s="5">
        <v>44421</v>
      </c>
      <c r="W104" s="5">
        <v>44328</v>
      </c>
      <c r="X104" s="1">
        <v>1895000</v>
      </c>
      <c r="AB104" s="1" t="s">
        <v>44</v>
      </c>
      <c r="AF104" s="1">
        <v>10013</v>
      </c>
      <c r="AI104" s="1" t="s">
        <v>59</v>
      </c>
      <c r="AJ104" s="1">
        <v>2019</v>
      </c>
      <c r="AK104" s="1" t="s">
        <v>77</v>
      </c>
      <c r="AL104" s="1">
        <v>54</v>
      </c>
    </row>
    <row r="105" spans="1:38" x14ac:dyDescent="0.2">
      <c r="A105" s="2" t="str">
        <f>HYPERLINK("https://www.compass.com/listing/252-south-street-unit-66j-manhattan-ny-10002/847863975638536361/","252 South St, Unit 66J")</f>
        <v>252 South St, Unit 66J</v>
      </c>
      <c r="B105" s="2" t="str">
        <f>HYPERLINK("https://www.compass.com/building/one-manhattan-square-manhattan-ny/294844950218926165/","One Manhattan Square")</f>
        <v>One Manhattan Square</v>
      </c>
      <c r="C105" s="1" t="s">
        <v>66</v>
      </c>
      <c r="D105" s="1" t="s">
        <v>41</v>
      </c>
      <c r="E105" s="3">
        <v>5350000</v>
      </c>
      <c r="F105" s="1">
        <v>2279.5057520238602</v>
      </c>
      <c r="G105" s="1">
        <v>5.5</v>
      </c>
      <c r="H105" s="1">
        <v>3</v>
      </c>
      <c r="I105" s="1">
        <v>4</v>
      </c>
      <c r="J105" s="1">
        <v>3.5</v>
      </c>
      <c r="K105" s="1">
        <v>3</v>
      </c>
      <c r="L105" s="1">
        <v>1</v>
      </c>
      <c r="M105" s="4">
        <v>2347</v>
      </c>
      <c r="N105" s="1">
        <v>3230</v>
      </c>
      <c r="O105" s="1">
        <v>3281</v>
      </c>
      <c r="P105" s="1">
        <v>51</v>
      </c>
      <c r="Q105" s="1" t="s">
        <v>42</v>
      </c>
      <c r="S105" s="1" t="s">
        <v>42</v>
      </c>
      <c r="T105" s="1" t="s">
        <v>43</v>
      </c>
      <c r="U105" s="1">
        <v>6</v>
      </c>
      <c r="V105" s="5">
        <v>44422</v>
      </c>
      <c r="W105" s="5">
        <v>44421</v>
      </c>
      <c r="X105" s="1">
        <v>5350000</v>
      </c>
      <c r="AB105" s="1" t="s">
        <v>44</v>
      </c>
      <c r="AF105" s="1">
        <v>10002</v>
      </c>
      <c r="AI105" s="1" t="s">
        <v>113</v>
      </c>
      <c r="AJ105" s="1">
        <v>2019</v>
      </c>
      <c r="AK105" s="1" t="s">
        <v>73</v>
      </c>
      <c r="AL105" s="1">
        <v>787</v>
      </c>
    </row>
    <row r="106" spans="1:38" x14ac:dyDescent="0.2">
      <c r="A106" s="2" t="str">
        <f>HYPERLINK("https://www.compass.com/listing/15-west-61st-street-unit-22c-manhattan-ny-10023/620307320897247305/","15 W 61st St, Unit 22C")</f>
        <v>15 W 61st St, Unit 22C</v>
      </c>
      <c r="B106" s="2" t="str">
        <f t="shared" ref="B106:B108" si="19">HYPERLINK("https://www.compass.com/building/the-park-loggia-manhattan-ny/292861833130357557/","The Park Loggia")</f>
        <v>The Park Loggia</v>
      </c>
      <c r="C106" s="1" t="s">
        <v>50</v>
      </c>
      <c r="D106" s="1" t="s">
        <v>41</v>
      </c>
      <c r="E106" s="3">
        <v>1900000</v>
      </c>
      <c r="F106" s="1">
        <v>2294.6859903381601</v>
      </c>
      <c r="G106" s="1">
        <v>3</v>
      </c>
      <c r="H106" s="1">
        <v>1</v>
      </c>
      <c r="I106" s="1">
        <v>1</v>
      </c>
      <c r="J106" s="1">
        <v>1</v>
      </c>
      <c r="K106" s="1">
        <v>1</v>
      </c>
      <c r="M106" s="1">
        <v>828</v>
      </c>
      <c r="N106" s="1">
        <v>842</v>
      </c>
      <c r="O106" s="1">
        <v>1688</v>
      </c>
      <c r="P106" s="1">
        <v>846</v>
      </c>
      <c r="Q106" s="1" t="s">
        <v>42</v>
      </c>
      <c r="S106" s="1" t="s">
        <v>42</v>
      </c>
      <c r="T106" s="1" t="s">
        <v>43</v>
      </c>
      <c r="U106" s="1">
        <v>320</v>
      </c>
      <c r="V106" s="5">
        <v>44423</v>
      </c>
      <c r="W106" s="5">
        <v>44107</v>
      </c>
      <c r="X106" s="1">
        <v>1900000</v>
      </c>
      <c r="AB106" s="1" t="s">
        <v>44</v>
      </c>
      <c r="AF106" s="1">
        <v>10023</v>
      </c>
      <c r="AI106" s="1" t="s">
        <v>76</v>
      </c>
      <c r="AJ106" s="1">
        <v>2019</v>
      </c>
      <c r="AK106" s="1" t="s">
        <v>77</v>
      </c>
      <c r="AL106" s="1">
        <v>172</v>
      </c>
    </row>
    <row r="107" spans="1:38" x14ac:dyDescent="0.2">
      <c r="A107" s="2" t="str">
        <f>HYPERLINK("https://www.compass.com/listing/15-west-61st-street-unit-4n-manhattan-ny-10023/620321427597504849/","15 W 61st St, Unit 4N")</f>
        <v>15 W 61st St, Unit 4N</v>
      </c>
      <c r="B107" s="2" t="str">
        <f t="shared" si="19"/>
        <v>The Park Loggia</v>
      </c>
      <c r="C107" s="1" t="s">
        <v>50</v>
      </c>
      <c r="D107" s="1" t="s">
        <v>41</v>
      </c>
      <c r="E107" s="3">
        <v>2220000</v>
      </c>
      <c r="F107" s="1">
        <v>2206.7594433399599</v>
      </c>
      <c r="G107" s="1">
        <v>3.5</v>
      </c>
      <c r="H107" s="1">
        <v>1</v>
      </c>
      <c r="I107" s="1">
        <v>2</v>
      </c>
      <c r="J107" s="1">
        <v>1.5</v>
      </c>
      <c r="K107" s="1">
        <v>1</v>
      </c>
      <c r="L107" s="1">
        <v>1</v>
      </c>
      <c r="M107" s="4">
        <v>1006</v>
      </c>
      <c r="N107" s="1">
        <v>1022</v>
      </c>
      <c r="O107" s="1">
        <v>2050</v>
      </c>
      <c r="P107" s="1">
        <v>1028</v>
      </c>
      <c r="Q107" s="1" t="s">
        <v>42</v>
      </c>
      <c r="S107" s="1" t="s">
        <v>42</v>
      </c>
      <c r="T107" s="1" t="s">
        <v>43</v>
      </c>
      <c r="U107" s="1">
        <v>320</v>
      </c>
      <c r="V107" s="5">
        <v>44413</v>
      </c>
      <c r="W107" s="5">
        <v>44107</v>
      </c>
      <c r="X107" s="1">
        <v>2220000</v>
      </c>
      <c r="AB107" s="1" t="s">
        <v>44</v>
      </c>
      <c r="AF107" s="1">
        <v>10023</v>
      </c>
      <c r="AI107" s="1" t="s">
        <v>76</v>
      </c>
      <c r="AJ107" s="1">
        <v>2019</v>
      </c>
      <c r="AK107" s="1" t="s">
        <v>77</v>
      </c>
      <c r="AL107" s="1">
        <v>172</v>
      </c>
    </row>
    <row r="108" spans="1:38" x14ac:dyDescent="0.2">
      <c r="A108" s="2" t="str">
        <f>HYPERLINK("https://www.compass.com/listing/15-west-61st-street-unit-12e-manhattan-ny-10023/620306893092737089/","15 W 61st St, Unit 12E")</f>
        <v>15 W 61st St, Unit 12E</v>
      </c>
      <c r="B108" s="2" t="str">
        <f t="shared" si="19"/>
        <v>The Park Loggia</v>
      </c>
      <c r="C108" s="1" t="s">
        <v>50</v>
      </c>
      <c r="D108" s="1" t="s">
        <v>41</v>
      </c>
      <c r="E108" s="3">
        <v>1925000</v>
      </c>
      <c r="F108" s="1">
        <v>2477.4774774774701</v>
      </c>
      <c r="G108" s="1">
        <v>3</v>
      </c>
      <c r="H108" s="1">
        <v>1</v>
      </c>
      <c r="I108" s="1">
        <v>1</v>
      </c>
      <c r="J108" s="1">
        <v>1</v>
      </c>
      <c r="K108" s="1">
        <v>1</v>
      </c>
      <c r="M108" s="1">
        <v>777</v>
      </c>
      <c r="N108" s="1">
        <v>790</v>
      </c>
      <c r="O108" s="1">
        <v>1584</v>
      </c>
      <c r="P108" s="1">
        <v>794</v>
      </c>
      <c r="Q108" s="1" t="s">
        <v>42</v>
      </c>
      <c r="S108" s="1" t="s">
        <v>42</v>
      </c>
      <c r="T108" s="1" t="s">
        <v>43</v>
      </c>
      <c r="U108" s="1">
        <v>320</v>
      </c>
      <c r="V108" s="5">
        <v>44423</v>
      </c>
      <c r="W108" s="5">
        <v>44107</v>
      </c>
      <c r="X108" s="1">
        <v>1925000</v>
      </c>
      <c r="AB108" s="1" t="s">
        <v>44</v>
      </c>
      <c r="AF108" s="1">
        <v>10023</v>
      </c>
      <c r="AI108" s="1" t="s">
        <v>76</v>
      </c>
      <c r="AJ108" s="1">
        <v>2019</v>
      </c>
      <c r="AK108" s="1" t="s">
        <v>77</v>
      </c>
      <c r="AL108" s="1">
        <v>172</v>
      </c>
    </row>
    <row r="109" spans="1:38" x14ac:dyDescent="0.2">
      <c r="A109" s="2" t="str">
        <f>HYPERLINK("https://www.compass.com/listing/277-5th-avenue-unit-18c-manhattan-ny-10016/797944192083367337/","277 5th Ave, Unit 18C")</f>
        <v>277 5th Ave, Unit 18C</v>
      </c>
      <c r="B109" s="2" t="str">
        <f>HYPERLINK("https://www.compass.com/building/277-fifth-avenue-manhattan-ny/281939285475645317/","277 FIFTH AVENUE")</f>
        <v>277 FIFTH AVENUE</v>
      </c>
      <c r="C109" s="1" t="s">
        <v>81</v>
      </c>
      <c r="D109" s="1" t="s">
        <v>41</v>
      </c>
      <c r="E109" s="3">
        <v>1905000</v>
      </c>
      <c r="F109" s="1">
        <v>2300.7246376811499</v>
      </c>
      <c r="G109" s="1">
        <v>3</v>
      </c>
      <c r="H109" s="1">
        <v>1</v>
      </c>
      <c r="I109" s="1">
        <v>1</v>
      </c>
      <c r="J109" s="1">
        <v>1</v>
      </c>
      <c r="K109" s="1">
        <v>1</v>
      </c>
      <c r="M109" s="1">
        <v>828</v>
      </c>
      <c r="N109" s="1">
        <v>1194</v>
      </c>
      <c r="O109" s="1">
        <v>2285</v>
      </c>
      <c r="P109" s="1">
        <v>1091</v>
      </c>
      <c r="Q109" s="1" t="s">
        <v>42</v>
      </c>
      <c r="S109" s="1" t="s">
        <v>42</v>
      </c>
      <c r="T109" s="1" t="s">
        <v>43</v>
      </c>
      <c r="U109" s="1">
        <v>75</v>
      </c>
      <c r="V109" s="5">
        <v>44413</v>
      </c>
      <c r="W109" s="5">
        <v>44352</v>
      </c>
      <c r="X109" s="1">
        <v>1905000</v>
      </c>
      <c r="AB109" s="1" t="s">
        <v>44</v>
      </c>
      <c r="AF109" s="1">
        <v>10016</v>
      </c>
      <c r="AI109" s="1" t="s">
        <v>82</v>
      </c>
      <c r="AJ109" s="1">
        <v>2019</v>
      </c>
      <c r="AK109" s="1" t="s">
        <v>46</v>
      </c>
      <c r="AL109" s="1">
        <v>130</v>
      </c>
    </row>
    <row r="110" spans="1:38" x14ac:dyDescent="0.2">
      <c r="A110" s="2" t="str">
        <f>HYPERLINK("https://www.compass.com/listing/15-west-61st-street-unit-20a-manhattan-ny-10023/620432434349208161/","15 W 61st St, Unit 20A")</f>
        <v>15 W 61st St, Unit 20A</v>
      </c>
      <c r="B110" s="2" t="str">
        <f>HYPERLINK("https://www.compass.com/building/the-park-loggia-manhattan-ny/292861833130357557/","The Park Loggia")</f>
        <v>The Park Loggia</v>
      </c>
      <c r="C110" s="1" t="s">
        <v>50</v>
      </c>
      <c r="D110" s="1" t="s">
        <v>41</v>
      </c>
      <c r="E110" s="3">
        <v>6725000</v>
      </c>
      <c r="F110" s="1">
        <v>3509.9164926931098</v>
      </c>
      <c r="G110" s="1">
        <v>5.5</v>
      </c>
      <c r="H110" s="1">
        <v>3</v>
      </c>
      <c r="I110" s="1">
        <v>3</v>
      </c>
      <c r="J110" s="1">
        <v>2.5</v>
      </c>
      <c r="K110" s="1">
        <v>2</v>
      </c>
      <c r="L110" s="1">
        <v>1</v>
      </c>
      <c r="M110" s="4">
        <v>1916</v>
      </c>
      <c r="N110" s="1">
        <v>2038</v>
      </c>
      <c r="O110" s="1">
        <v>4087</v>
      </c>
      <c r="P110" s="1">
        <v>2049</v>
      </c>
      <c r="Q110" s="1" t="s">
        <v>42</v>
      </c>
      <c r="S110" s="1" t="s">
        <v>42</v>
      </c>
      <c r="T110" s="1" t="s">
        <v>43</v>
      </c>
      <c r="U110" s="1">
        <v>320</v>
      </c>
      <c r="V110" s="5">
        <v>44423</v>
      </c>
      <c r="W110" s="5">
        <v>44107</v>
      </c>
      <c r="X110" s="1">
        <v>6725000</v>
      </c>
      <c r="AB110" s="1" t="s">
        <v>44</v>
      </c>
      <c r="AF110" s="1">
        <v>10023</v>
      </c>
      <c r="AI110" s="1" t="s">
        <v>102</v>
      </c>
      <c r="AJ110" s="1">
        <v>2019</v>
      </c>
      <c r="AK110" s="1" t="s">
        <v>77</v>
      </c>
      <c r="AL110" s="1">
        <v>172</v>
      </c>
    </row>
    <row r="111" spans="1:38" x14ac:dyDescent="0.2">
      <c r="A111" s="2" t="str">
        <f>HYPERLINK("https://www.compass.com/listing/277-5th-avenue-unit-26d-manhattan-ny-10016/797943937338227345/","277 5th Ave, Unit 26D")</f>
        <v>277 5th Ave, Unit 26D</v>
      </c>
      <c r="B111" s="2" t="str">
        <f t="shared" ref="B111:B112" si="20">HYPERLINK("https://www.compass.com/building/277-fifth-avenue-manhattan-ny/281939285475645317/","277 FIFTH AVENUE")</f>
        <v>277 FIFTH AVENUE</v>
      </c>
      <c r="C111" s="1" t="s">
        <v>81</v>
      </c>
      <c r="D111" s="1" t="s">
        <v>41</v>
      </c>
      <c r="E111" s="3">
        <v>3535000</v>
      </c>
      <c r="F111" s="1">
        <v>2574.6540422432599</v>
      </c>
      <c r="G111" s="1">
        <v>4</v>
      </c>
      <c r="H111" s="1">
        <v>2</v>
      </c>
      <c r="I111" s="1">
        <v>1</v>
      </c>
      <c r="J111" s="1">
        <v>1</v>
      </c>
      <c r="K111" s="1">
        <v>1</v>
      </c>
      <c r="M111" s="4">
        <v>1373</v>
      </c>
      <c r="N111" s="1">
        <v>1980</v>
      </c>
      <c r="O111" s="1">
        <v>3789.87</v>
      </c>
      <c r="P111" s="1">
        <v>1809.8333333333301</v>
      </c>
      <c r="Q111" s="1" t="s">
        <v>42</v>
      </c>
      <c r="S111" s="1" t="s">
        <v>42</v>
      </c>
      <c r="T111" s="1" t="s">
        <v>43</v>
      </c>
      <c r="U111" s="1">
        <v>75</v>
      </c>
      <c r="V111" s="5">
        <v>44414</v>
      </c>
      <c r="W111" s="5">
        <v>44352</v>
      </c>
      <c r="X111" s="1">
        <v>3535000</v>
      </c>
      <c r="AB111" s="1" t="s">
        <v>44</v>
      </c>
      <c r="AF111" s="1">
        <v>10016</v>
      </c>
      <c r="AI111" s="1" t="s">
        <v>82</v>
      </c>
      <c r="AJ111" s="1">
        <v>2019</v>
      </c>
      <c r="AK111" s="1" t="s">
        <v>46</v>
      </c>
      <c r="AL111" s="1">
        <v>130</v>
      </c>
    </row>
    <row r="112" spans="1:38" x14ac:dyDescent="0.2">
      <c r="A112" s="2" t="str">
        <f>HYPERLINK("https://www.compass.com/listing/277-5th-avenue-unit-50a-manhattan-ny-10016/797971620751375153/","277 5th Ave, Unit 50A")</f>
        <v>277 5th Ave, Unit 50A</v>
      </c>
      <c r="B112" s="2" t="str">
        <f t="shared" si="20"/>
        <v>277 FIFTH AVENUE</v>
      </c>
      <c r="C112" s="1" t="s">
        <v>81</v>
      </c>
      <c r="D112" s="1" t="s">
        <v>41</v>
      </c>
      <c r="E112" s="3">
        <v>10500000</v>
      </c>
      <c r="F112" s="1">
        <v>4500.6429489927104</v>
      </c>
      <c r="G112" s="1">
        <v>5</v>
      </c>
      <c r="H112" s="1">
        <v>3</v>
      </c>
      <c r="I112" s="1">
        <v>4</v>
      </c>
      <c r="J112" s="1">
        <v>3.5</v>
      </c>
      <c r="K112" s="1">
        <v>3</v>
      </c>
      <c r="L112" s="1">
        <v>1</v>
      </c>
      <c r="M112" s="4">
        <v>2333</v>
      </c>
      <c r="N112" s="1">
        <v>3438</v>
      </c>
      <c r="O112" s="1">
        <v>6581.15</v>
      </c>
      <c r="P112" s="1">
        <v>3143.1666666666601</v>
      </c>
      <c r="Q112" s="1" t="s">
        <v>42</v>
      </c>
      <c r="S112" s="1" t="s">
        <v>42</v>
      </c>
      <c r="T112" s="1" t="s">
        <v>43</v>
      </c>
      <c r="U112" s="1">
        <v>75</v>
      </c>
      <c r="V112" s="5">
        <v>44413</v>
      </c>
      <c r="W112" s="5">
        <v>44352</v>
      </c>
      <c r="X112" s="1">
        <v>10500000</v>
      </c>
      <c r="AB112" s="1" t="s">
        <v>44</v>
      </c>
      <c r="AF112" s="1">
        <v>10016</v>
      </c>
      <c r="AI112" s="1" t="s">
        <v>114</v>
      </c>
      <c r="AJ112" s="1">
        <v>2019</v>
      </c>
      <c r="AK112" s="1" t="s">
        <v>46</v>
      </c>
      <c r="AL112" s="1">
        <v>130</v>
      </c>
    </row>
    <row r="113" spans="1:38" x14ac:dyDescent="0.2">
      <c r="A113" s="2" t="str">
        <f>HYPERLINK("https://www.compass.com/listing/15-west-61st-street-unit-8a-manhattan-ny-10023/620432147318657017/","15 W 61st St, Unit 8A")</f>
        <v>15 W 61st St, Unit 8A</v>
      </c>
      <c r="B113" s="2" t="str">
        <f t="shared" ref="B113:B115" si="21">HYPERLINK("https://www.compass.com/building/the-park-loggia-manhattan-ny/292861833130357557/","The Park Loggia")</f>
        <v>The Park Loggia</v>
      </c>
      <c r="C113" s="1" t="s">
        <v>50</v>
      </c>
      <c r="D113" s="1" t="s">
        <v>41</v>
      </c>
      <c r="E113" s="3">
        <v>4900000</v>
      </c>
      <c r="F113" s="1">
        <v>3169.46959896507</v>
      </c>
      <c r="G113" s="1">
        <v>5.5</v>
      </c>
      <c r="H113" s="1">
        <v>3</v>
      </c>
      <c r="I113" s="1">
        <v>3</v>
      </c>
      <c r="J113" s="1">
        <v>2.5</v>
      </c>
      <c r="K113" s="1">
        <v>2</v>
      </c>
      <c r="L113" s="1">
        <v>1</v>
      </c>
      <c r="M113" s="4">
        <v>1546</v>
      </c>
      <c r="N113" s="1">
        <v>1661</v>
      </c>
      <c r="O113" s="1">
        <v>3331</v>
      </c>
      <c r="P113" s="1">
        <v>1670</v>
      </c>
      <c r="Q113" s="1" t="s">
        <v>42</v>
      </c>
      <c r="S113" s="1" t="s">
        <v>42</v>
      </c>
      <c r="T113" s="1" t="s">
        <v>43</v>
      </c>
      <c r="U113" s="1">
        <v>320</v>
      </c>
      <c r="V113" s="5">
        <v>44423</v>
      </c>
      <c r="W113" s="5">
        <v>44107</v>
      </c>
      <c r="X113" s="1">
        <v>4900000</v>
      </c>
      <c r="AB113" s="1" t="s">
        <v>44</v>
      </c>
      <c r="AF113" s="1">
        <v>10023</v>
      </c>
      <c r="AI113" s="1" t="s">
        <v>102</v>
      </c>
      <c r="AJ113" s="1">
        <v>2019</v>
      </c>
      <c r="AK113" s="1" t="s">
        <v>77</v>
      </c>
      <c r="AL113" s="1">
        <v>172</v>
      </c>
    </row>
    <row r="114" spans="1:38" x14ac:dyDescent="0.2">
      <c r="A114" s="2" t="str">
        <f>HYPERLINK("https://www.compass.com/listing/15-west-61st-street-unit-ph31c-manhattan-ny-10023/613156994446211225/","15 W 61st St, Unit PH31C")</f>
        <v>15 W 61st St, Unit PH31C</v>
      </c>
      <c r="B114" s="2" t="str">
        <f t="shared" si="21"/>
        <v>The Park Loggia</v>
      </c>
      <c r="C114" s="1" t="s">
        <v>50</v>
      </c>
      <c r="D114" s="1" t="s">
        <v>41</v>
      </c>
      <c r="E114" s="3">
        <v>9250000</v>
      </c>
      <c r="F114" s="1">
        <v>4174.1877256317603</v>
      </c>
      <c r="G114" s="1">
        <v>5.5</v>
      </c>
      <c r="H114" s="1">
        <v>3</v>
      </c>
      <c r="I114" s="1">
        <v>4</v>
      </c>
      <c r="J114" s="1">
        <v>3.5</v>
      </c>
      <c r="K114" s="1">
        <v>3</v>
      </c>
      <c r="L114" s="1">
        <v>1</v>
      </c>
      <c r="M114" s="4">
        <v>2216</v>
      </c>
      <c r="N114" s="1">
        <v>2288</v>
      </c>
      <c r="O114" s="1">
        <v>4589</v>
      </c>
      <c r="P114" s="1">
        <v>2301</v>
      </c>
      <c r="Q114" s="1" t="s">
        <v>42</v>
      </c>
      <c r="S114" s="1" t="s">
        <v>42</v>
      </c>
      <c r="T114" s="1" t="s">
        <v>43</v>
      </c>
      <c r="U114" s="1">
        <v>330</v>
      </c>
      <c r="V114" s="5">
        <v>44423</v>
      </c>
      <c r="W114" s="5">
        <v>44097</v>
      </c>
      <c r="X114" s="1">
        <v>9250000</v>
      </c>
      <c r="AB114" s="1" t="s">
        <v>44</v>
      </c>
      <c r="AF114" s="1">
        <v>10023</v>
      </c>
      <c r="AI114" s="1" t="s">
        <v>102</v>
      </c>
      <c r="AJ114" s="1">
        <v>2019</v>
      </c>
      <c r="AK114" s="1" t="s">
        <v>77</v>
      </c>
      <c r="AL114" s="1">
        <v>172</v>
      </c>
    </row>
    <row r="115" spans="1:38" x14ac:dyDescent="0.2">
      <c r="A115" s="2" t="str">
        <f>HYPERLINK("https://www.compass.com/listing/15-west-61st-street-unit-15b-manhattan-ny-10023/620417270180951425/","15 W 61st St, Unit 15B")</f>
        <v>15 W 61st St, Unit 15B</v>
      </c>
      <c r="B115" s="2" t="str">
        <f t="shared" si="21"/>
        <v>The Park Loggia</v>
      </c>
      <c r="C115" s="1" t="s">
        <v>50</v>
      </c>
      <c r="D115" s="1" t="s">
        <v>41</v>
      </c>
      <c r="E115" s="3">
        <v>5450000</v>
      </c>
      <c r="F115" s="1">
        <v>3647.9250334672001</v>
      </c>
      <c r="G115" s="1">
        <v>4.5</v>
      </c>
      <c r="H115" s="1">
        <v>2</v>
      </c>
      <c r="I115" s="1">
        <v>3</v>
      </c>
      <c r="J115" s="1">
        <v>2.5</v>
      </c>
      <c r="K115" s="1">
        <v>2</v>
      </c>
      <c r="L115" s="1">
        <v>1</v>
      </c>
      <c r="M115" s="4">
        <v>1494</v>
      </c>
      <c r="N115" s="1">
        <v>1947</v>
      </c>
      <c r="O115" s="1">
        <v>3905</v>
      </c>
      <c r="P115" s="1">
        <v>1958</v>
      </c>
      <c r="Q115" s="1" t="s">
        <v>42</v>
      </c>
      <c r="S115" s="1" t="s">
        <v>42</v>
      </c>
      <c r="T115" s="1" t="s">
        <v>43</v>
      </c>
      <c r="U115" s="1">
        <v>320</v>
      </c>
      <c r="V115" s="5">
        <v>44423</v>
      </c>
      <c r="W115" s="5">
        <v>44107</v>
      </c>
      <c r="X115" s="1">
        <v>5450000</v>
      </c>
      <c r="AB115" s="1" t="s">
        <v>44</v>
      </c>
      <c r="AF115" s="1">
        <v>10023</v>
      </c>
      <c r="AI115" s="1" t="s">
        <v>102</v>
      </c>
      <c r="AJ115" s="1">
        <v>2019</v>
      </c>
      <c r="AK115" s="1" t="s">
        <v>77</v>
      </c>
      <c r="AL115" s="1">
        <v>172</v>
      </c>
    </row>
    <row r="116" spans="1:38" x14ac:dyDescent="0.2">
      <c r="A116" s="2" t="str">
        <f>HYPERLINK("https://www.compass.com/listing/200-east-95th-street-unit-27b-manhattan-ny-10128/602914716689695337/","200 E 95th St, Unit 27B")</f>
        <v>200 E 95th St, Unit 27B</v>
      </c>
      <c r="B116" s="2" t="str">
        <f t="shared" ref="B116:B123" si="22">HYPERLINK("https://www.compass.com/building/the-kent-manhattan-ny/282049801384650021/","The Kent")</f>
        <v>The Kent</v>
      </c>
      <c r="C116" s="1" t="s">
        <v>115</v>
      </c>
      <c r="D116" s="1" t="s">
        <v>41</v>
      </c>
      <c r="E116" s="3">
        <v>6800000</v>
      </c>
      <c r="F116" s="1">
        <v>2529.7619047619</v>
      </c>
      <c r="G116" s="1">
        <v>6.5</v>
      </c>
      <c r="H116" s="1">
        <v>4</v>
      </c>
      <c r="I116" s="1">
        <v>5</v>
      </c>
      <c r="J116" s="1">
        <v>4.5</v>
      </c>
      <c r="K116" s="1">
        <v>4</v>
      </c>
      <c r="L116" s="1">
        <v>1</v>
      </c>
      <c r="M116" s="4">
        <v>2688</v>
      </c>
      <c r="N116" s="1">
        <v>3555</v>
      </c>
      <c r="O116" s="1">
        <v>3913</v>
      </c>
      <c r="P116" s="1">
        <v>358</v>
      </c>
      <c r="Q116" s="1" t="s">
        <v>42</v>
      </c>
      <c r="S116" s="1" t="s">
        <v>42</v>
      </c>
      <c r="T116" s="1" t="s">
        <v>43</v>
      </c>
      <c r="U116" s="1">
        <v>177</v>
      </c>
      <c r="V116" s="5">
        <v>44425</v>
      </c>
      <c r="W116" s="5">
        <v>44249</v>
      </c>
      <c r="AB116" s="1" t="s">
        <v>44</v>
      </c>
      <c r="AF116" s="1">
        <v>10128</v>
      </c>
      <c r="AI116" s="1" t="s">
        <v>110</v>
      </c>
      <c r="AJ116" s="1">
        <v>2017</v>
      </c>
      <c r="AK116" s="1" t="s">
        <v>73</v>
      </c>
      <c r="AL116" s="1">
        <v>83</v>
      </c>
    </row>
    <row r="117" spans="1:38" x14ac:dyDescent="0.2">
      <c r="A117" s="2" t="str">
        <f>HYPERLINK("https://www.compass.com/listing/200-east-95th-street-unit-7b-manhattan-ny-10128/606624216022193225/","200 E 95th St, Unit 7B")</f>
        <v>200 E 95th St, Unit 7B</v>
      </c>
      <c r="B117" s="2" t="str">
        <f t="shared" si="22"/>
        <v>The Kent</v>
      </c>
      <c r="C117" s="1" t="s">
        <v>115</v>
      </c>
      <c r="D117" s="1" t="s">
        <v>41</v>
      </c>
      <c r="E117" s="3">
        <v>7750000</v>
      </c>
      <c r="F117" s="1">
        <v>2288.16061411278</v>
      </c>
      <c r="G117" s="1">
        <v>8</v>
      </c>
      <c r="H117" s="1">
        <v>5</v>
      </c>
      <c r="I117" s="1">
        <v>6</v>
      </c>
      <c r="J117" s="1">
        <v>5.5</v>
      </c>
      <c r="K117" s="1">
        <v>5</v>
      </c>
      <c r="L117" s="1">
        <v>1</v>
      </c>
      <c r="M117" s="4">
        <v>3387</v>
      </c>
      <c r="N117" s="1">
        <v>4215.33</v>
      </c>
      <c r="O117" s="1">
        <v>4639.75</v>
      </c>
      <c r="P117" s="1">
        <v>424.416666666666</v>
      </c>
      <c r="Q117" s="1" t="s">
        <v>42</v>
      </c>
      <c r="S117" s="1" t="s">
        <v>42</v>
      </c>
      <c r="T117" s="1" t="s">
        <v>43</v>
      </c>
      <c r="U117" s="1">
        <v>339</v>
      </c>
      <c r="V117" s="5">
        <v>44419</v>
      </c>
      <c r="W117" s="5">
        <v>44088</v>
      </c>
      <c r="X117" s="1">
        <v>8658000</v>
      </c>
      <c r="AB117" s="1" t="s">
        <v>44</v>
      </c>
      <c r="AF117" s="1">
        <v>10128</v>
      </c>
      <c r="AI117" s="1" t="s">
        <v>116</v>
      </c>
      <c r="AJ117" s="1">
        <v>2017</v>
      </c>
      <c r="AK117" s="1" t="s">
        <v>46</v>
      </c>
      <c r="AL117" s="1">
        <v>83</v>
      </c>
    </row>
    <row r="118" spans="1:38" x14ac:dyDescent="0.2">
      <c r="A118" s="2" t="str">
        <f>HYPERLINK("https://www.compass.com/listing/200-east-95th-street-unit-12b-manhattan-ny-10128/663040440721236457/","200 E 95th St, Unit 12B")</f>
        <v>200 E 95th St, Unit 12B</v>
      </c>
      <c r="B118" s="2" t="str">
        <f t="shared" si="22"/>
        <v>The Kent</v>
      </c>
      <c r="C118" s="1" t="s">
        <v>115</v>
      </c>
      <c r="D118" s="1" t="s">
        <v>41</v>
      </c>
      <c r="E118" s="3">
        <v>5495000</v>
      </c>
      <c r="F118" s="1">
        <v>2009.14076782449</v>
      </c>
      <c r="G118" s="1">
        <v>7</v>
      </c>
      <c r="H118" s="1">
        <v>4</v>
      </c>
      <c r="I118" s="1">
        <v>5</v>
      </c>
      <c r="J118" s="1">
        <v>4.5</v>
      </c>
      <c r="K118" s="1">
        <v>4</v>
      </c>
      <c r="L118" s="1">
        <v>1</v>
      </c>
      <c r="M118" s="4">
        <v>2735</v>
      </c>
      <c r="N118" s="1">
        <v>3377</v>
      </c>
      <c r="O118" s="1">
        <v>3720</v>
      </c>
      <c r="P118" s="1">
        <v>343</v>
      </c>
      <c r="Q118" s="1" t="s">
        <v>42</v>
      </c>
      <c r="S118" s="1" t="s">
        <v>42</v>
      </c>
      <c r="T118" s="1" t="s">
        <v>43</v>
      </c>
      <c r="U118" s="1">
        <v>260</v>
      </c>
      <c r="V118" s="5">
        <v>44288</v>
      </c>
      <c r="W118" s="5">
        <v>44167</v>
      </c>
      <c r="X118" s="1">
        <v>5495000</v>
      </c>
      <c r="AB118" s="1" t="s">
        <v>44</v>
      </c>
      <c r="AF118" s="1">
        <v>10128</v>
      </c>
      <c r="AJ118" s="1">
        <v>2017</v>
      </c>
      <c r="AK118" s="1" t="s">
        <v>73</v>
      </c>
      <c r="AL118" s="1">
        <v>83</v>
      </c>
    </row>
    <row r="119" spans="1:38" x14ac:dyDescent="0.2">
      <c r="A119" s="2" t="str">
        <f>HYPERLINK("https://www.compass.com/listing/200-east-95th-street-unit-9a-manhattan-ny-10128/602087141981900121/","200 E 95th St, Unit 9A")</f>
        <v>200 E 95th St, Unit 9A</v>
      </c>
      <c r="B119" s="2" t="str">
        <f t="shared" si="22"/>
        <v>The Kent</v>
      </c>
      <c r="C119" s="1" t="s">
        <v>115</v>
      </c>
      <c r="D119" s="1" t="s">
        <v>41</v>
      </c>
      <c r="E119" s="3">
        <v>6995000</v>
      </c>
      <c r="F119" s="1">
        <v>1962.68237934904</v>
      </c>
      <c r="G119" s="1">
        <v>8</v>
      </c>
      <c r="H119" s="1">
        <v>5</v>
      </c>
      <c r="I119" s="1">
        <v>5</v>
      </c>
      <c r="J119" s="1">
        <v>4.5</v>
      </c>
      <c r="K119" s="1">
        <v>4</v>
      </c>
      <c r="L119" s="1">
        <v>1</v>
      </c>
      <c r="M119" s="4">
        <v>3564</v>
      </c>
      <c r="N119" s="1">
        <v>4230.58</v>
      </c>
      <c r="O119" s="1">
        <v>4656.5</v>
      </c>
      <c r="P119" s="1">
        <v>425.916666666666</v>
      </c>
      <c r="Q119" s="1" t="s">
        <v>42</v>
      </c>
      <c r="S119" s="1" t="s">
        <v>42</v>
      </c>
      <c r="T119" s="1" t="s">
        <v>43</v>
      </c>
      <c r="U119" s="1">
        <v>345</v>
      </c>
      <c r="V119" s="5">
        <v>44419</v>
      </c>
      <c r="W119" s="5">
        <v>44082</v>
      </c>
      <c r="X119" s="1">
        <v>8279000</v>
      </c>
      <c r="AB119" s="1" t="s">
        <v>44</v>
      </c>
      <c r="AF119" s="1">
        <v>10128</v>
      </c>
      <c r="AI119" s="1" t="s">
        <v>84</v>
      </c>
      <c r="AJ119" s="1">
        <v>2017</v>
      </c>
      <c r="AK119" s="1" t="s">
        <v>46</v>
      </c>
      <c r="AL119" s="1">
        <v>83</v>
      </c>
    </row>
    <row r="120" spans="1:38" x14ac:dyDescent="0.2">
      <c r="A120" s="2" t="str">
        <f>HYPERLINK("https://www.compass.com/listing/200-east-95th-street-unit-27a-manhattan-ny-10128/598535388098998593/","200 E 95th St, Unit 27A")</f>
        <v>200 E 95th St, Unit 27A</v>
      </c>
      <c r="B120" s="2" t="str">
        <f t="shared" si="22"/>
        <v>The Kent</v>
      </c>
      <c r="C120" s="1" t="s">
        <v>115</v>
      </c>
      <c r="D120" s="1" t="s">
        <v>41</v>
      </c>
      <c r="E120" s="3">
        <v>8950000</v>
      </c>
      <c r="F120" s="1">
        <v>2539.0070921985798</v>
      </c>
      <c r="G120" s="1">
        <v>8</v>
      </c>
      <c r="H120" s="1">
        <v>5</v>
      </c>
      <c r="I120" s="1">
        <v>5</v>
      </c>
      <c r="J120" s="1">
        <v>4.5</v>
      </c>
      <c r="K120" s="1">
        <v>4</v>
      </c>
      <c r="L120" s="1">
        <v>1</v>
      </c>
      <c r="M120" s="4">
        <v>3525</v>
      </c>
      <c r="N120" s="1">
        <v>4489</v>
      </c>
      <c r="O120" s="1">
        <v>4941</v>
      </c>
      <c r="P120" s="1">
        <v>452</v>
      </c>
      <c r="Q120" s="1" t="s">
        <v>42</v>
      </c>
      <c r="S120" s="1" t="s">
        <v>42</v>
      </c>
      <c r="T120" s="1" t="s">
        <v>43</v>
      </c>
      <c r="U120" s="1">
        <v>343</v>
      </c>
      <c r="V120" s="5">
        <v>44425</v>
      </c>
      <c r="W120" s="5">
        <v>44078</v>
      </c>
      <c r="X120" s="1">
        <v>10557000</v>
      </c>
      <c r="AB120" s="1" t="s">
        <v>44</v>
      </c>
      <c r="AF120" s="1">
        <v>10128</v>
      </c>
      <c r="AI120" s="1" t="s">
        <v>110</v>
      </c>
      <c r="AJ120" s="1">
        <v>2017</v>
      </c>
      <c r="AK120" s="1" t="s">
        <v>73</v>
      </c>
      <c r="AL120" s="1">
        <v>83</v>
      </c>
    </row>
    <row r="121" spans="1:38" x14ac:dyDescent="0.2">
      <c r="A121" s="2" t="str">
        <f>HYPERLINK("https://www.compass.com/listing/200-east-95th-street-unit-15a-manhattan-ny-10128/593567456554352673/","200 E 95th St, Unit 15A")</f>
        <v>200 E 95th St, Unit 15A</v>
      </c>
      <c r="B121" s="2" t="str">
        <f t="shared" si="22"/>
        <v>The Kent</v>
      </c>
      <c r="C121" s="1" t="s">
        <v>115</v>
      </c>
      <c r="D121" s="1" t="s">
        <v>41</v>
      </c>
      <c r="E121" s="3">
        <v>7390000</v>
      </c>
      <c r="F121" s="1">
        <v>2073.5129068462402</v>
      </c>
      <c r="G121" s="1">
        <v>9</v>
      </c>
      <c r="H121" s="1">
        <v>5</v>
      </c>
      <c r="I121" s="1">
        <v>5</v>
      </c>
      <c r="J121" s="1">
        <v>4.5</v>
      </c>
      <c r="K121" s="1">
        <v>4</v>
      </c>
      <c r="L121" s="1">
        <v>1</v>
      </c>
      <c r="M121" s="4">
        <v>3564</v>
      </c>
      <c r="N121" s="1">
        <v>4333</v>
      </c>
      <c r="O121" s="1">
        <v>4781</v>
      </c>
      <c r="P121" s="1">
        <v>448</v>
      </c>
      <c r="Q121" s="1" t="s">
        <v>42</v>
      </c>
      <c r="S121" s="1" t="s">
        <v>42</v>
      </c>
      <c r="T121" s="1" t="s">
        <v>43</v>
      </c>
      <c r="U121" s="1">
        <v>329</v>
      </c>
      <c r="V121" s="5">
        <v>44412</v>
      </c>
      <c r="W121" s="5">
        <v>44070</v>
      </c>
      <c r="X121" s="1">
        <v>8701000</v>
      </c>
      <c r="AB121" s="1" t="s">
        <v>44</v>
      </c>
      <c r="AF121" s="1">
        <v>10128</v>
      </c>
      <c r="AJ121" s="1">
        <v>2017</v>
      </c>
      <c r="AK121" s="1" t="s">
        <v>46</v>
      </c>
      <c r="AL121" s="1">
        <v>83</v>
      </c>
    </row>
    <row r="122" spans="1:38" x14ac:dyDescent="0.2">
      <c r="A122" s="2" t="str">
        <f>HYPERLINK("https://www.compass.com/listing/200-east-95th-street-unit-15b-manhattan-ny-10128/593568474167863049/","200 E 95th St, Unit 15B")</f>
        <v>200 E 95th St, Unit 15B</v>
      </c>
      <c r="B122" s="2" t="str">
        <f t="shared" si="22"/>
        <v>The Kent</v>
      </c>
      <c r="C122" s="1" t="s">
        <v>115</v>
      </c>
      <c r="D122" s="1" t="s">
        <v>41</v>
      </c>
      <c r="E122" s="3">
        <v>5600000</v>
      </c>
      <c r="F122" s="1">
        <v>2047.5319926873799</v>
      </c>
      <c r="G122" s="1">
        <v>7</v>
      </c>
      <c r="H122" s="1">
        <v>4</v>
      </c>
      <c r="I122" s="1">
        <v>5</v>
      </c>
      <c r="J122" s="1">
        <v>4.5</v>
      </c>
      <c r="K122" s="1">
        <v>4</v>
      </c>
      <c r="L122" s="1">
        <v>1</v>
      </c>
      <c r="M122" s="4">
        <v>2735</v>
      </c>
      <c r="N122" s="1">
        <v>3409</v>
      </c>
      <c r="O122" s="1">
        <v>3762</v>
      </c>
      <c r="P122" s="1">
        <v>353</v>
      </c>
      <c r="Q122" s="1" t="s">
        <v>42</v>
      </c>
      <c r="S122" s="1" t="s">
        <v>42</v>
      </c>
      <c r="T122" s="1" t="s">
        <v>43</v>
      </c>
      <c r="U122" s="1">
        <v>329</v>
      </c>
      <c r="V122" s="5">
        <v>44412</v>
      </c>
      <c r="W122" s="5">
        <v>44070</v>
      </c>
      <c r="X122" s="1">
        <v>6387000</v>
      </c>
      <c r="AB122" s="1" t="s">
        <v>44</v>
      </c>
      <c r="AF122" s="1">
        <v>10128</v>
      </c>
      <c r="AJ122" s="1">
        <v>2017</v>
      </c>
      <c r="AK122" s="1" t="s">
        <v>46</v>
      </c>
      <c r="AL122" s="1">
        <v>83</v>
      </c>
    </row>
    <row r="123" spans="1:38" x14ac:dyDescent="0.2">
      <c r="A123" s="2" t="str">
        <f>HYPERLINK("https://www.compass.com/listing/200-east-95th-street-unit-18c-manhattan-ny-10128/606448069093090945/","200 E 95th St, Unit 18C")</f>
        <v>200 E 95th St, Unit 18C</v>
      </c>
      <c r="B123" s="2" t="str">
        <f t="shared" si="22"/>
        <v>The Kent</v>
      </c>
      <c r="C123" s="1" t="s">
        <v>115</v>
      </c>
      <c r="D123" s="1" t="s">
        <v>41</v>
      </c>
      <c r="E123" s="3">
        <v>4499000</v>
      </c>
      <c r="F123" s="1">
        <v>2296.5798876978001</v>
      </c>
      <c r="G123" s="1">
        <v>6</v>
      </c>
      <c r="H123" s="1">
        <v>3</v>
      </c>
      <c r="I123" s="1">
        <v>3</v>
      </c>
      <c r="J123" s="1">
        <v>3</v>
      </c>
      <c r="K123" s="1">
        <v>3</v>
      </c>
      <c r="M123" s="4">
        <v>1959</v>
      </c>
      <c r="N123" s="1">
        <v>2444</v>
      </c>
      <c r="O123" s="1">
        <v>2692</v>
      </c>
      <c r="P123" s="1">
        <v>248</v>
      </c>
      <c r="Q123" s="1" t="s">
        <v>42</v>
      </c>
      <c r="S123" s="1" t="s">
        <v>42</v>
      </c>
      <c r="T123" s="1" t="s">
        <v>43</v>
      </c>
      <c r="U123" s="1">
        <v>338</v>
      </c>
      <c r="V123" s="5">
        <v>44288</v>
      </c>
      <c r="W123" s="5">
        <v>44089</v>
      </c>
      <c r="X123" s="1">
        <v>4499000</v>
      </c>
      <c r="AB123" s="1" t="s">
        <v>44</v>
      </c>
      <c r="AF123" s="1">
        <v>10128</v>
      </c>
      <c r="AJ123" s="1">
        <v>2017</v>
      </c>
      <c r="AK123" s="1" t="s">
        <v>73</v>
      </c>
      <c r="AL123" s="1">
        <v>83</v>
      </c>
    </row>
    <row r="124" spans="1:38" x14ac:dyDescent="0.2">
      <c r="A124" s="2" t="str">
        <f>HYPERLINK("https://www.compass.com/listing/15-west-61st-street-unit-6a-manhattan-ny-10023/620432482510662033/","15 W 61st St, Unit 6A")</f>
        <v>15 W 61st St, Unit 6A</v>
      </c>
      <c r="B124" s="2" t="str">
        <f>HYPERLINK("https://www.compass.com/building/the-park-loggia-manhattan-ny/292861833130357557/","The Park Loggia")</f>
        <v>The Park Loggia</v>
      </c>
      <c r="C124" s="1" t="s">
        <v>50</v>
      </c>
      <c r="D124" s="1" t="s">
        <v>41</v>
      </c>
      <c r="E124" s="3">
        <v>6400000</v>
      </c>
      <c r="F124" s="1">
        <v>3154.2631838344</v>
      </c>
      <c r="G124" s="1">
        <v>6.5</v>
      </c>
      <c r="H124" s="1">
        <v>4</v>
      </c>
      <c r="I124" s="1">
        <v>4</v>
      </c>
      <c r="J124" s="1">
        <v>3.5</v>
      </c>
      <c r="K124" s="1">
        <v>3</v>
      </c>
      <c r="L124" s="1">
        <v>1</v>
      </c>
      <c r="M124" s="4">
        <v>2029</v>
      </c>
      <c r="N124" s="1">
        <v>2062</v>
      </c>
      <c r="O124" s="1">
        <v>4135</v>
      </c>
      <c r="P124" s="1">
        <v>2073</v>
      </c>
      <c r="Q124" s="1" t="s">
        <v>42</v>
      </c>
      <c r="S124" s="1" t="s">
        <v>42</v>
      </c>
      <c r="T124" s="1" t="s">
        <v>43</v>
      </c>
      <c r="U124" s="1">
        <v>320</v>
      </c>
      <c r="V124" s="5">
        <v>44423</v>
      </c>
      <c r="W124" s="5">
        <v>44107</v>
      </c>
      <c r="X124" s="1">
        <v>6400000</v>
      </c>
      <c r="AB124" s="1" t="s">
        <v>44</v>
      </c>
      <c r="AF124" s="1">
        <v>10023</v>
      </c>
      <c r="AI124" s="1" t="s">
        <v>76</v>
      </c>
      <c r="AJ124" s="1">
        <v>2019</v>
      </c>
      <c r="AK124" s="1" t="s">
        <v>77</v>
      </c>
      <c r="AL124" s="1">
        <v>172</v>
      </c>
    </row>
    <row r="125" spans="1:38" x14ac:dyDescent="0.2">
      <c r="A125" s="2" t="str">
        <f>HYPERLINK("https://www.compass.com/listing/277-5th-avenue-unit-45b-manhattan-ny-10016/797944379426377297/","277 5th Ave, Unit 45B")</f>
        <v>277 5th Ave, Unit 45B</v>
      </c>
      <c r="B125" s="2" t="str">
        <f>HYPERLINK("https://www.compass.com/building/277-fifth-avenue-manhattan-ny/281939285475645317/","277 FIFTH AVENUE")</f>
        <v>277 FIFTH AVENUE</v>
      </c>
      <c r="C125" s="1" t="s">
        <v>81</v>
      </c>
      <c r="D125" s="1" t="s">
        <v>41</v>
      </c>
      <c r="E125" s="3">
        <v>4495000</v>
      </c>
      <c r="F125" s="1">
        <v>3158.819395643</v>
      </c>
      <c r="G125" s="1">
        <v>5</v>
      </c>
      <c r="H125" s="1">
        <v>2</v>
      </c>
      <c r="I125" s="1">
        <v>2</v>
      </c>
      <c r="J125" s="1">
        <v>2</v>
      </c>
      <c r="K125" s="1">
        <v>2</v>
      </c>
      <c r="M125" s="4">
        <v>1423</v>
      </c>
      <c r="N125" s="1">
        <v>2052</v>
      </c>
      <c r="O125" s="1">
        <v>3927.76</v>
      </c>
      <c r="P125" s="1">
        <v>1875.75</v>
      </c>
      <c r="Q125" s="1" t="s">
        <v>42</v>
      </c>
      <c r="S125" s="1" t="s">
        <v>42</v>
      </c>
      <c r="T125" s="1" t="s">
        <v>43</v>
      </c>
      <c r="U125" s="1">
        <v>75</v>
      </c>
      <c r="V125" s="5">
        <v>44413</v>
      </c>
      <c r="W125" s="5">
        <v>44352</v>
      </c>
      <c r="X125" s="1">
        <v>4495000</v>
      </c>
      <c r="AB125" s="1" t="s">
        <v>44</v>
      </c>
      <c r="AF125" s="1">
        <v>10016</v>
      </c>
      <c r="AI125" s="1" t="s">
        <v>82</v>
      </c>
      <c r="AJ125" s="1">
        <v>2019</v>
      </c>
      <c r="AK125" s="1" t="s">
        <v>46</v>
      </c>
      <c r="AL125" s="1">
        <v>130</v>
      </c>
    </row>
    <row r="126" spans="1:38" x14ac:dyDescent="0.2">
      <c r="A126" s="2" t="str">
        <f>HYPERLINK("https://www.compass.com/listing/200-east-95th-street-unit-23c-manhattan-ny-10128/738115850996273225/","200 E 95th St, Unit 23C")</f>
        <v>200 E 95th St, Unit 23C</v>
      </c>
      <c r="B126" s="2" t="str">
        <f>HYPERLINK("https://www.compass.com/building/the-kent-manhattan-ny/282049801384650021/","The Kent")</f>
        <v>The Kent</v>
      </c>
      <c r="C126" s="1" t="s">
        <v>115</v>
      </c>
      <c r="D126" s="1" t="s">
        <v>41</v>
      </c>
      <c r="E126" s="3">
        <v>4729000</v>
      </c>
      <c r="F126" s="1">
        <v>2413.9867279224</v>
      </c>
      <c r="G126" s="1">
        <v>4</v>
      </c>
      <c r="H126" s="1">
        <v>3</v>
      </c>
      <c r="J126" s="1">
        <v>3</v>
      </c>
      <c r="M126" s="4">
        <v>1959</v>
      </c>
      <c r="N126" s="1">
        <v>2502</v>
      </c>
      <c r="O126" s="1">
        <v>2756</v>
      </c>
      <c r="P126" s="1">
        <v>254</v>
      </c>
      <c r="S126" s="1" t="s">
        <v>42</v>
      </c>
      <c r="T126" s="1" t="s">
        <v>43</v>
      </c>
      <c r="U126" s="1">
        <v>162</v>
      </c>
      <c r="V126" s="5">
        <v>44328</v>
      </c>
      <c r="W126" s="5">
        <v>44264</v>
      </c>
      <c r="X126" s="1">
        <v>4729000</v>
      </c>
      <c r="AB126" s="1" t="s">
        <v>44</v>
      </c>
      <c r="AF126" s="1">
        <v>10128</v>
      </c>
      <c r="AJ126" s="1">
        <v>2017</v>
      </c>
      <c r="AK126" s="1" t="s">
        <v>46</v>
      </c>
      <c r="AL126" s="1">
        <v>83</v>
      </c>
    </row>
    <row r="127" spans="1:38" x14ac:dyDescent="0.2">
      <c r="A127" s="2" t="str">
        <f>HYPERLINK("https://www.compass.com/listing/277-5th-avenue-unit-30b-manhattan-ny-10016/766711984888340113/","277 5th Ave, Unit 30B")</f>
        <v>277 5th Ave, Unit 30B</v>
      </c>
      <c r="B127" s="2" t="str">
        <f>HYPERLINK("https://www.compass.com/building/277-fifth-avenue-manhattan-ny/281939285475645317/","277 FIFTH AVENUE")</f>
        <v>277 FIFTH AVENUE</v>
      </c>
      <c r="C127" s="1" t="s">
        <v>81</v>
      </c>
      <c r="D127" s="1" t="s">
        <v>41</v>
      </c>
      <c r="E127" s="3">
        <v>2195000</v>
      </c>
      <c r="F127" s="1">
        <v>2588.4433962264102</v>
      </c>
      <c r="G127" s="1">
        <v>3</v>
      </c>
      <c r="H127" s="1">
        <v>1</v>
      </c>
      <c r="I127" s="1">
        <v>1</v>
      </c>
      <c r="J127" s="1">
        <v>1</v>
      </c>
      <c r="K127" s="1">
        <v>1</v>
      </c>
      <c r="M127" s="1">
        <v>848</v>
      </c>
      <c r="N127" s="1">
        <v>1223</v>
      </c>
      <c r="O127" s="1">
        <v>2545</v>
      </c>
      <c r="P127" s="1">
        <v>1322</v>
      </c>
      <c r="Q127" s="1" t="s">
        <v>42</v>
      </c>
      <c r="S127" s="1" t="s">
        <v>42</v>
      </c>
      <c r="T127" s="1" t="s">
        <v>43</v>
      </c>
      <c r="U127" s="1">
        <v>118</v>
      </c>
      <c r="V127" s="5">
        <v>44427</v>
      </c>
      <c r="W127" s="5">
        <v>44309</v>
      </c>
      <c r="X127" s="1">
        <v>2195000</v>
      </c>
      <c r="AB127" s="1" t="s">
        <v>44</v>
      </c>
      <c r="AF127" s="1">
        <v>10016</v>
      </c>
      <c r="AI127" s="1" t="s">
        <v>82</v>
      </c>
      <c r="AJ127" s="1">
        <v>2019</v>
      </c>
      <c r="AK127" s="1" t="s">
        <v>46</v>
      </c>
      <c r="AL127" s="1">
        <v>130</v>
      </c>
    </row>
    <row r="128" spans="1:38" x14ac:dyDescent="0.2">
      <c r="A128" s="2" t="str">
        <f>HYPERLINK("https://www.compass.com/listing/25-park-row-unit-39a-manhattan-ny-10038/841364855059409401/","25 Park Row, Unit 39A")</f>
        <v>25 Park Row, Unit 39A</v>
      </c>
      <c r="B128" s="2" t="str">
        <f>HYPERLINK("https://www.compass.com/building/25-park-row-manhattan-ny-10038/292920743539264837/","25 Park Row")</f>
        <v>25 Park Row</v>
      </c>
      <c r="C128" s="1" t="s">
        <v>117</v>
      </c>
      <c r="D128" s="1" t="s">
        <v>41</v>
      </c>
      <c r="E128" s="3">
        <v>3995000</v>
      </c>
      <c r="F128" s="1">
        <v>2473.6842105263099</v>
      </c>
      <c r="G128" s="1">
        <v>5</v>
      </c>
      <c r="H128" s="1">
        <v>2</v>
      </c>
      <c r="I128" s="1">
        <v>3</v>
      </c>
      <c r="J128" s="1">
        <v>2.5</v>
      </c>
      <c r="K128" s="1">
        <v>2</v>
      </c>
      <c r="L128" s="1">
        <v>1</v>
      </c>
      <c r="M128" s="4">
        <v>1615</v>
      </c>
      <c r="N128" s="1">
        <v>2340.9</v>
      </c>
      <c r="O128" s="1">
        <v>5849.37</v>
      </c>
      <c r="P128" s="1">
        <v>3508.5</v>
      </c>
      <c r="Q128" s="1" t="s">
        <v>42</v>
      </c>
      <c r="S128" s="1" t="s">
        <v>42</v>
      </c>
      <c r="T128" s="1" t="s">
        <v>43</v>
      </c>
      <c r="U128" s="1">
        <v>15</v>
      </c>
      <c r="V128" s="5">
        <v>44425</v>
      </c>
      <c r="W128" s="5">
        <v>44412</v>
      </c>
      <c r="X128" s="1">
        <v>3995000</v>
      </c>
      <c r="AB128" s="1" t="s">
        <v>44</v>
      </c>
      <c r="AF128" s="1">
        <v>10038</v>
      </c>
      <c r="AI128" s="1" t="s">
        <v>116</v>
      </c>
      <c r="AJ128" s="1">
        <v>2019</v>
      </c>
      <c r="AK128" s="1" t="s">
        <v>77</v>
      </c>
      <c r="AL128" s="1">
        <v>110</v>
      </c>
    </row>
    <row r="129" spans="1:38" x14ac:dyDescent="0.2">
      <c r="A129" s="2" t="str">
        <f>HYPERLINK("https://www.compass.com/listing/277-5th-avenue-unit-17a-manhattan-ny-10016/86896438574962657/","277 5th Ave, Unit 17A")</f>
        <v>277 5th Ave, Unit 17A</v>
      </c>
      <c r="B129" s="2" t="str">
        <f>HYPERLINK("https://www.compass.com/building/277-fifth-avenue-manhattan-ny/281939285475645317/","277 FIFTH AVENUE")</f>
        <v>277 FIFTH AVENUE</v>
      </c>
      <c r="C129" s="1" t="s">
        <v>81</v>
      </c>
      <c r="D129" s="1" t="s">
        <v>41</v>
      </c>
      <c r="E129" s="3">
        <v>3235000</v>
      </c>
      <c r="F129" s="1">
        <v>2408.78629932985</v>
      </c>
      <c r="G129" s="1">
        <v>4</v>
      </c>
      <c r="H129" s="1">
        <v>2</v>
      </c>
      <c r="I129" s="1">
        <v>2</v>
      </c>
      <c r="J129" s="1">
        <v>2</v>
      </c>
      <c r="K129" s="1">
        <v>2</v>
      </c>
      <c r="M129" s="4">
        <v>1343</v>
      </c>
      <c r="N129" s="1">
        <v>1936</v>
      </c>
      <c r="O129" s="1">
        <v>3706</v>
      </c>
      <c r="P129" s="1">
        <v>1770</v>
      </c>
      <c r="Q129" s="1" t="s">
        <v>42</v>
      </c>
      <c r="S129" s="1" t="s">
        <v>42</v>
      </c>
      <c r="T129" s="1" t="s">
        <v>43</v>
      </c>
      <c r="U129" s="1">
        <v>249</v>
      </c>
      <c r="V129" s="5">
        <v>44413</v>
      </c>
      <c r="W129" s="5">
        <v>44113</v>
      </c>
      <c r="AB129" s="1" t="s">
        <v>44</v>
      </c>
      <c r="AF129" s="1">
        <v>10016</v>
      </c>
      <c r="AI129" s="1" t="s">
        <v>82</v>
      </c>
      <c r="AJ129" s="1">
        <v>2019</v>
      </c>
      <c r="AK129" s="1" t="s">
        <v>73</v>
      </c>
      <c r="AL129" s="1">
        <v>130</v>
      </c>
    </row>
    <row r="130" spans="1:38" x14ac:dyDescent="0.2">
      <c r="A130" s="2" t="str">
        <f>HYPERLINK("https://www.compass.com/listing/520-park-avenue-unit-ph58-manhattan-ny-10065/768734157915777785/","520 Park Ave, Unit PH58")</f>
        <v>520 Park Ave, Unit PH58</v>
      </c>
      <c r="B130" s="2" t="str">
        <f t="shared" ref="B130:B132" si="23">HYPERLINK("https://www.compass.com/building/520-park-ave-manhattan-ny-10065/344158009579879061/","520 Park Ave")</f>
        <v>520 Park Ave</v>
      </c>
      <c r="C130" s="1" t="s">
        <v>115</v>
      </c>
      <c r="D130" s="1" t="s">
        <v>41</v>
      </c>
      <c r="E130" s="3">
        <v>39950000</v>
      </c>
      <c r="F130" s="1">
        <v>9243.4058306339593</v>
      </c>
      <c r="G130" s="1">
        <v>6.5</v>
      </c>
      <c r="H130" s="1">
        <v>3</v>
      </c>
      <c r="I130" s="1">
        <v>4</v>
      </c>
      <c r="J130" s="1">
        <v>3.5</v>
      </c>
      <c r="K130" s="1">
        <v>3</v>
      </c>
      <c r="L130" s="1">
        <v>1</v>
      </c>
      <c r="M130" s="4">
        <v>4322</v>
      </c>
      <c r="N130" s="1">
        <v>6991</v>
      </c>
      <c r="O130" s="1">
        <v>24861</v>
      </c>
      <c r="P130" s="1">
        <v>17870</v>
      </c>
      <c r="Q130" s="1" t="s">
        <v>42</v>
      </c>
      <c r="S130" s="1" t="s">
        <v>42</v>
      </c>
      <c r="T130" s="1" t="s">
        <v>43</v>
      </c>
      <c r="V130" s="5">
        <v>44426</v>
      </c>
      <c r="W130" s="5">
        <v>44312</v>
      </c>
      <c r="X130" s="1">
        <v>39950000</v>
      </c>
      <c r="AB130" s="1" t="s">
        <v>44</v>
      </c>
      <c r="AF130" s="1">
        <v>10065</v>
      </c>
      <c r="AI130" s="1" t="s">
        <v>118</v>
      </c>
      <c r="AJ130" s="1">
        <v>2018</v>
      </c>
      <c r="AK130" s="1" t="s">
        <v>73</v>
      </c>
      <c r="AL130" s="1">
        <v>35</v>
      </c>
    </row>
    <row r="131" spans="1:38" x14ac:dyDescent="0.2">
      <c r="A131" s="2" t="str">
        <f>HYPERLINK("https://www.compass.com/listing/520-park-avenue-unit-19-manhattan-ny-10065/29610725626366993/","520 Park Ave, Unit 19")</f>
        <v>520 Park Ave, Unit 19</v>
      </c>
      <c r="B131" s="2" t="str">
        <f t="shared" si="23"/>
        <v>520 Park Ave</v>
      </c>
      <c r="C131" s="1" t="s">
        <v>115</v>
      </c>
      <c r="D131" s="1" t="s">
        <v>41</v>
      </c>
      <c r="E131" s="3">
        <v>20500000</v>
      </c>
      <c r="F131" s="1">
        <v>4443.9627140689299</v>
      </c>
      <c r="G131" s="1">
        <v>7</v>
      </c>
      <c r="H131" s="1">
        <v>4</v>
      </c>
      <c r="I131" s="1">
        <v>6</v>
      </c>
      <c r="J131" s="1">
        <v>5.5</v>
      </c>
      <c r="K131" s="1">
        <v>5</v>
      </c>
      <c r="L131" s="1">
        <v>1</v>
      </c>
      <c r="M131" s="4">
        <v>4613</v>
      </c>
      <c r="N131" s="1">
        <v>7229</v>
      </c>
      <c r="O131" s="1">
        <v>25706</v>
      </c>
      <c r="P131" s="1">
        <v>18477</v>
      </c>
      <c r="Q131" s="1" t="s">
        <v>42</v>
      </c>
      <c r="S131" s="1" t="s">
        <v>42</v>
      </c>
      <c r="T131" s="1" t="s">
        <v>43</v>
      </c>
      <c r="V131" s="5">
        <v>44426</v>
      </c>
      <c r="W131" s="5">
        <v>43199</v>
      </c>
      <c r="AB131" s="1" t="s">
        <v>44</v>
      </c>
      <c r="AF131" s="1">
        <v>10065</v>
      </c>
      <c r="AI131" s="1" t="s">
        <v>59</v>
      </c>
      <c r="AJ131" s="1">
        <v>2018</v>
      </c>
      <c r="AK131" s="1" t="s">
        <v>73</v>
      </c>
      <c r="AL131" s="1">
        <v>35</v>
      </c>
    </row>
    <row r="132" spans="1:38" x14ac:dyDescent="0.2">
      <c r="A132" s="2" t="str">
        <f>HYPERLINK("https://www.compass.com/listing/520-park-avenue-unit-32-manhattan-ny-10065/29610769867916161/","520 Park Ave, Unit 32")</f>
        <v>520 Park Ave, Unit 32</v>
      </c>
      <c r="B132" s="2" t="str">
        <f t="shared" si="23"/>
        <v>520 Park Ave</v>
      </c>
      <c r="C132" s="1" t="s">
        <v>115</v>
      </c>
      <c r="D132" s="1" t="s">
        <v>41</v>
      </c>
      <c r="E132" s="3">
        <v>31650000</v>
      </c>
      <c r="F132" s="1">
        <v>6838.8072601555696</v>
      </c>
      <c r="G132" s="1">
        <v>7</v>
      </c>
      <c r="H132" s="1">
        <v>4</v>
      </c>
      <c r="I132" s="1">
        <v>5</v>
      </c>
      <c r="J132" s="1">
        <v>5</v>
      </c>
      <c r="K132" s="1">
        <v>5</v>
      </c>
      <c r="M132" s="4">
        <v>4628</v>
      </c>
      <c r="N132" s="1">
        <v>7252</v>
      </c>
      <c r="O132" s="1">
        <v>25789</v>
      </c>
      <c r="P132" s="1">
        <v>18537</v>
      </c>
      <c r="Q132" s="1" t="s">
        <v>42</v>
      </c>
      <c r="S132" s="1" t="s">
        <v>42</v>
      </c>
      <c r="T132" s="1" t="s">
        <v>43</v>
      </c>
      <c r="V132" s="5">
        <v>44426</v>
      </c>
      <c r="W132" s="5">
        <v>42895</v>
      </c>
      <c r="X132" s="1">
        <v>31650000</v>
      </c>
      <c r="AB132" s="1" t="s">
        <v>44</v>
      </c>
      <c r="AF132" s="1">
        <v>10065</v>
      </c>
      <c r="AI132" s="1" t="s">
        <v>48</v>
      </c>
      <c r="AJ132" s="1">
        <v>2018</v>
      </c>
      <c r="AK132" s="1" t="s">
        <v>73</v>
      </c>
      <c r="AL132" s="1">
        <v>35</v>
      </c>
    </row>
    <row r="133" spans="1:38" x14ac:dyDescent="0.2">
      <c r="A133" s="2" t="str">
        <f>HYPERLINK("https://www.compass.com/listing/50-riverside-boulevard-unit-4h-manhattan-ny-10069/807190004506821329/","50 Riverside Blvd, Unit 4H")</f>
        <v>50 Riverside Blvd, Unit 4H</v>
      </c>
      <c r="B133" s="2" t="str">
        <f>HYPERLINK("https://www.compass.com/building/one-riverside-park-manhattan-ny/282041440266113253/","One Riverside Park")</f>
        <v>One Riverside Park</v>
      </c>
      <c r="C133" s="1" t="s">
        <v>50</v>
      </c>
      <c r="D133" s="1" t="s">
        <v>41</v>
      </c>
      <c r="E133" s="3">
        <v>2680000</v>
      </c>
      <c r="F133" s="1">
        <v>1729.03225806451</v>
      </c>
      <c r="G133" s="1">
        <v>4</v>
      </c>
      <c r="H133" s="1">
        <v>2</v>
      </c>
      <c r="I133" s="1">
        <v>3</v>
      </c>
      <c r="J133" s="1">
        <v>2.5</v>
      </c>
      <c r="K133" s="1">
        <v>2</v>
      </c>
      <c r="L133" s="1">
        <v>1</v>
      </c>
      <c r="M133" s="4">
        <v>1550</v>
      </c>
      <c r="N133" s="1">
        <v>1714</v>
      </c>
      <c r="O133" s="1">
        <v>1809</v>
      </c>
      <c r="P133" s="1">
        <v>95</v>
      </c>
      <c r="Q133" s="1" t="s">
        <v>42</v>
      </c>
      <c r="S133" s="1" t="s">
        <v>42</v>
      </c>
      <c r="T133" s="1" t="s">
        <v>43</v>
      </c>
      <c r="U133" s="1">
        <v>61</v>
      </c>
      <c r="V133" s="5">
        <v>44427</v>
      </c>
      <c r="W133" s="5">
        <v>44366</v>
      </c>
      <c r="X133" s="1">
        <v>2680000</v>
      </c>
      <c r="AB133" s="1" t="s">
        <v>44</v>
      </c>
      <c r="AD133" s="1" t="s">
        <v>119</v>
      </c>
      <c r="AE133" s="1" t="s">
        <v>69</v>
      </c>
      <c r="AF133" s="1">
        <v>10069</v>
      </c>
      <c r="AI133" s="1" t="s">
        <v>101</v>
      </c>
      <c r="AJ133" s="1">
        <v>2016</v>
      </c>
      <c r="AK133" s="1" t="s">
        <v>73</v>
      </c>
      <c r="AL133" s="1">
        <v>657</v>
      </c>
    </row>
    <row r="134" spans="1:38" x14ac:dyDescent="0.2">
      <c r="A134" s="2" t="str">
        <f>HYPERLINK("https://www.compass.com/listing/252-south-street-unit-80e-manhattan-ny-10002/842133948907042617/","252 South St, Unit 80E")</f>
        <v>252 South St, Unit 80E</v>
      </c>
      <c r="B134" s="2" t="str">
        <f>HYPERLINK("https://www.compass.com/building/one-manhattan-square-manhattan-ny/294844950218926165/","One Manhattan Square")</f>
        <v>One Manhattan Square</v>
      </c>
      <c r="C134" s="1" t="s">
        <v>66</v>
      </c>
      <c r="D134" s="1" t="s">
        <v>41</v>
      </c>
      <c r="E134" s="3">
        <v>3835000</v>
      </c>
      <c r="F134" s="1">
        <v>2851.3011152416302</v>
      </c>
      <c r="G134" s="1">
        <v>4.5</v>
      </c>
      <c r="H134" s="1">
        <v>2</v>
      </c>
      <c r="I134" s="1">
        <v>3</v>
      </c>
      <c r="J134" s="1">
        <v>2.5</v>
      </c>
      <c r="K134" s="1">
        <v>2</v>
      </c>
      <c r="L134" s="1">
        <v>1</v>
      </c>
      <c r="M134" s="4">
        <v>1345</v>
      </c>
      <c r="N134" s="1">
        <v>1969</v>
      </c>
      <c r="O134" s="1">
        <v>2000</v>
      </c>
      <c r="P134" s="1">
        <v>31</v>
      </c>
      <c r="Q134" s="1" t="s">
        <v>42</v>
      </c>
      <c r="S134" s="1" t="s">
        <v>42</v>
      </c>
      <c r="T134" s="1" t="s">
        <v>43</v>
      </c>
      <c r="U134" s="1">
        <v>14</v>
      </c>
      <c r="V134" s="5">
        <v>44414</v>
      </c>
      <c r="W134" s="5">
        <v>44413</v>
      </c>
      <c r="X134" s="1">
        <v>3835000</v>
      </c>
      <c r="AB134" s="1" t="s">
        <v>44</v>
      </c>
      <c r="AF134" s="1">
        <v>10002</v>
      </c>
      <c r="AI134" s="1" t="s">
        <v>113</v>
      </c>
      <c r="AJ134" s="1">
        <v>2019</v>
      </c>
      <c r="AK134" s="1" t="s">
        <v>73</v>
      </c>
      <c r="AL134" s="1">
        <v>787</v>
      </c>
    </row>
    <row r="135" spans="1:38" x14ac:dyDescent="0.2">
      <c r="A135" s="2" t="str">
        <f>HYPERLINK("https://www.compass.com/listing/375-west-123rd-street-unit-pha-manhattan-ny-10027/816770782443285737/","375 W 123rd St, Unit PHA")</f>
        <v>375 W 123rd St, Unit PHA</v>
      </c>
      <c r="B135" s="2" t="str">
        <f>HYPERLINK("https://www.compass.com/building/99-morningside-manhattan-ny/281983676789660549/","99 Morningside")</f>
        <v>99 Morningside</v>
      </c>
      <c r="C135" s="1" t="s">
        <v>106</v>
      </c>
      <c r="D135" s="1" t="s">
        <v>41</v>
      </c>
      <c r="E135" s="3">
        <v>3195000</v>
      </c>
      <c r="F135" s="1">
        <v>1381.32295719844</v>
      </c>
      <c r="G135" s="1">
        <v>6.5</v>
      </c>
      <c r="H135" s="1">
        <v>4</v>
      </c>
      <c r="I135" s="1">
        <v>3</v>
      </c>
      <c r="J135" s="1">
        <v>2.5</v>
      </c>
      <c r="K135" s="1">
        <v>2</v>
      </c>
      <c r="L135" s="1">
        <v>1</v>
      </c>
      <c r="M135" s="4">
        <v>2313</v>
      </c>
      <c r="N135" s="1">
        <v>2126</v>
      </c>
      <c r="O135" s="1">
        <v>4437</v>
      </c>
      <c r="P135" s="1">
        <v>2311</v>
      </c>
      <c r="Q135" s="1" t="s">
        <v>42</v>
      </c>
      <c r="S135" s="1" t="s">
        <v>42</v>
      </c>
      <c r="T135" s="1" t="s">
        <v>43</v>
      </c>
      <c r="U135" s="1">
        <v>49</v>
      </c>
      <c r="V135" s="5">
        <v>44427</v>
      </c>
      <c r="W135" s="5">
        <v>44378</v>
      </c>
      <c r="X135" s="1">
        <v>3195000</v>
      </c>
      <c r="AB135" s="1" t="s">
        <v>44</v>
      </c>
      <c r="AD135" s="1" t="s">
        <v>120</v>
      </c>
      <c r="AE135" s="1" t="s">
        <v>121</v>
      </c>
      <c r="AF135" s="1">
        <v>10027</v>
      </c>
      <c r="AI135" s="1" t="s">
        <v>122</v>
      </c>
      <c r="AJ135" s="1">
        <v>2016</v>
      </c>
      <c r="AK135" s="1" t="s">
        <v>108</v>
      </c>
      <c r="AL135" s="1">
        <v>22</v>
      </c>
    </row>
    <row r="136" spans="1:38" x14ac:dyDescent="0.2">
      <c r="A136" s="2" t="str">
        <f>HYPERLINK("https://www.compass.com/listing/50-riverside-boulevard-unit-10n-manhattan-ny-10069/548578141902588249/","50 Riverside Blvd, Unit 10N")</f>
        <v>50 Riverside Blvd, Unit 10N</v>
      </c>
      <c r="B136" s="2" t="str">
        <f t="shared" ref="B136:B137" si="24">HYPERLINK("https://www.compass.com/building/one-riverside-park-manhattan-ny/282041440266113253/","One Riverside Park")</f>
        <v>One Riverside Park</v>
      </c>
      <c r="C136" s="1" t="s">
        <v>50</v>
      </c>
      <c r="D136" s="1" t="s">
        <v>41</v>
      </c>
      <c r="E136" s="3">
        <v>2425000</v>
      </c>
      <c r="F136" s="1">
        <v>1718.6392629340801</v>
      </c>
      <c r="G136" s="1">
        <v>4.5</v>
      </c>
      <c r="H136" s="1">
        <v>2</v>
      </c>
      <c r="I136" s="1">
        <v>3</v>
      </c>
      <c r="J136" s="1">
        <v>2.5</v>
      </c>
      <c r="K136" s="1">
        <v>2</v>
      </c>
      <c r="L136" s="1">
        <v>1</v>
      </c>
      <c r="M136" s="4">
        <v>1411</v>
      </c>
      <c r="N136" s="1">
        <v>1581</v>
      </c>
      <c r="O136" s="1">
        <v>1662</v>
      </c>
      <c r="P136" s="1">
        <v>81</v>
      </c>
      <c r="Q136" s="1" t="s">
        <v>42</v>
      </c>
      <c r="S136" s="1" t="s">
        <v>42</v>
      </c>
      <c r="T136" s="1" t="s">
        <v>43</v>
      </c>
      <c r="U136" s="1">
        <v>419</v>
      </c>
      <c r="V136" s="5">
        <v>44426</v>
      </c>
      <c r="W136" s="5">
        <v>44008</v>
      </c>
      <c r="X136" s="1">
        <v>2425000</v>
      </c>
      <c r="AB136" s="1" t="s">
        <v>44</v>
      </c>
      <c r="AF136" s="1">
        <v>10069</v>
      </c>
      <c r="AI136" s="1" t="s">
        <v>45</v>
      </c>
      <c r="AJ136" s="1">
        <v>2016</v>
      </c>
      <c r="AK136" s="1" t="s">
        <v>73</v>
      </c>
      <c r="AL136" s="1">
        <v>657</v>
      </c>
    </row>
    <row r="137" spans="1:38" x14ac:dyDescent="0.2">
      <c r="A137" s="2" t="str">
        <f>HYPERLINK("https://www.compass.com/listing/50-riverside-boulevard-unit-5b-manhattan-ny-10069/559322571878073121/","50 Riverside Blvd, Unit 5B")</f>
        <v>50 Riverside Blvd, Unit 5B</v>
      </c>
      <c r="B137" s="2" t="str">
        <f t="shared" si="24"/>
        <v>One Riverside Park</v>
      </c>
      <c r="C137" s="1" t="s">
        <v>50</v>
      </c>
      <c r="D137" s="1" t="s">
        <v>41</v>
      </c>
      <c r="E137" s="3">
        <v>3250000</v>
      </c>
      <c r="F137" s="1">
        <v>2171.0086840347299</v>
      </c>
      <c r="G137" s="1">
        <v>4</v>
      </c>
      <c r="H137" s="1">
        <v>2</v>
      </c>
      <c r="I137" s="1">
        <v>3</v>
      </c>
      <c r="J137" s="1">
        <v>2.5</v>
      </c>
      <c r="K137" s="1">
        <v>2</v>
      </c>
      <c r="L137" s="1">
        <v>1</v>
      </c>
      <c r="M137" s="4">
        <v>1497</v>
      </c>
      <c r="N137" s="1">
        <v>1657</v>
      </c>
      <c r="O137" s="1">
        <v>1749</v>
      </c>
      <c r="P137" s="1">
        <v>92</v>
      </c>
      <c r="Q137" s="1" t="s">
        <v>42</v>
      </c>
      <c r="S137" s="1" t="s">
        <v>42</v>
      </c>
      <c r="T137" s="1" t="s">
        <v>43</v>
      </c>
      <c r="U137" s="1">
        <v>379</v>
      </c>
      <c r="V137" s="5">
        <v>44420</v>
      </c>
      <c r="W137" s="5">
        <v>44048</v>
      </c>
      <c r="X137" s="1">
        <v>3250000</v>
      </c>
      <c r="AB137" s="1" t="s">
        <v>44</v>
      </c>
      <c r="AF137" s="1">
        <v>10069</v>
      </c>
      <c r="AI137" s="1" t="s">
        <v>45</v>
      </c>
      <c r="AJ137" s="1">
        <v>2016</v>
      </c>
      <c r="AK137" s="1" t="s">
        <v>73</v>
      </c>
      <c r="AL137" s="1">
        <v>657</v>
      </c>
    </row>
    <row r="138" spans="1:38" x14ac:dyDescent="0.2">
      <c r="A138" s="2" t="str">
        <f>HYPERLINK("https://www.compass.com/listing/2351-adam-clayton-powell-jr-boulevard-unit-ph21-manhattan-ny-10030/831103561440227953/","2351 Adam Clayton Powell Jr Blvd, Unit PH21")</f>
        <v>2351 Adam Clayton Powell Jr Blvd, Unit PH21</v>
      </c>
      <c r="B138" s="2" t="str">
        <f t="shared" ref="B138:B141" si="25">HYPERLINK("https://www.compass.com/building/the-rennie-manhattan-ny/307439143554395509/","THE RENNIE")</f>
        <v>THE RENNIE</v>
      </c>
      <c r="C138" s="1" t="s">
        <v>61</v>
      </c>
      <c r="D138" s="1" t="s">
        <v>41</v>
      </c>
      <c r="E138" s="3">
        <v>1100000</v>
      </c>
      <c r="F138" s="1">
        <v>1085.8835143139099</v>
      </c>
      <c r="G138" s="1">
        <v>5</v>
      </c>
      <c r="H138" s="1">
        <v>2</v>
      </c>
      <c r="I138" s="1">
        <v>2</v>
      </c>
      <c r="J138" s="1">
        <v>2</v>
      </c>
      <c r="K138" s="1">
        <v>2</v>
      </c>
      <c r="M138" s="4">
        <v>1013</v>
      </c>
      <c r="N138" s="1">
        <v>1151</v>
      </c>
      <c r="O138" s="1">
        <v>1170</v>
      </c>
      <c r="P138" s="1">
        <v>19</v>
      </c>
      <c r="Q138" s="1" t="s">
        <v>42</v>
      </c>
      <c r="S138" s="1" t="s">
        <v>42</v>
      </c>
      <c r="T138" s="1" t="s">
        <v>43</v>
      </c>
      <c r="U138" s="1">
        <v>29</v>
      </c>
      <c r="V138" s="5">
        <v>44420</v>
      </c>
      <c r="W138" s="5">
        <v>44398</v>
      </c>
      <c r="X138" s="1">
        <v>1100000</v>
      </c>
      <c r="AB138" s="1" t="s">
        <v>44</v>
      </c>
      <c r="AF138" s="1">
        <v>10030</v>
      </c>
      <c r="AI138" s="1" t="s">
        <v>45</v>
      </c>
      <c r="AJ138" s="1">
        <v>2018</v>
      </c>
      <c r="AK138" s="1" t="s">
        <v>77</v>
      </c>
      <c r="AL138" s="1">
        <v>106</v>
      </c>
    </row>
    <row r="139" spans="1:38" x14ac:dyDescent="0.2">
      <c r="A139" s="2" t="str">
        <f>HYPERLINK("https://www.compass.com/listing/2351-adam-clayton-powell-jr-boulevard-unit-301-manhattan-ny-10030/831104253496476697/","2351 Adam Clayton Powell Jr Blvd, Unit 301")</f>
        <v>2351 Adam Clayton Powell Jr Blvd, Unit 301</v>
      </c>
      <c r="B139" s="2" t="str">
        <f t="shared" si="25"/>
        <v>THE RENNIE</v>
      </c>
      <c r="C139" s="1" t="s">
        <v>61</v>
      </c>
      <c r="D139" s="1" t="s">
        <v>41</v>
      </c>
      <c r="E139" s="3">
        <v>715000</v>
      </c>
      <c r="F139" s="1">
        <v>902.77777777777703</v>
      </c>
      <c r="G139" s="1">
        <v>3</v>
      </c>
      <c r="H139" s="1">
        <v>1</v>
      </c>
      <c r="I139" s="1">
        <v>1</v>
      </c>
      <c r="J139" s="1">
        <v>1</v>
      </c>
      <c r="K139" s="1">
        <v>1</v>
      </c>
      <c r="M139" s="1">
        <v>792</v>
      </c>
      <c r="N139" s="1">
        <v>901</v>
      </c>
      <c r="O139" s="1">
        <v>916</v>
      </c>
      <c r="P139" s="1">
        <v>15</v>
      </c>
      <c r="Q139" s="1" t="s">
        <v>42</v>
      </c>
      <c r="S139" s="1" t="s">
        <v>42</v>
      </c>
      <c r="T139" s="1" t="s">
        <v>43</v>
      </c>
      <c r="U139" s="1">
        <v>29</v>
      </c>
      <c r="V139" s="5">
        <v>44421</v>
      </c>
      <c r="W139" s="5">
        <v>44398</v>
      </c>
      <c r="X139" s="1">
        <v>715000</v>
      </c>
      <c r="AB139" s="1" t="s">
        <v>44</v>
      </c>
      <c r="AF139" s="1">
        <v>10030</v>
      </c>
      <c r="AI139" s="1" t="s">
        <v>123</v>
      </c>
      <c r="AJ139" s="1">
        <v>2018</v>
      </c>
      <c r="AK139" s="1" t="s">
        <v>77</v>
      </c>
      <c r="AL139" s="1">
        <v>106</v>
      </c>
    </row>
    <row r="140" spans="1:38" x14ac:dyDescent="0.2">
      <c r="A140" s="2" t="str">
        <f>HYPERLINK("https://www.compass.com/listing/2351-adam-clayton-powell-jr-boulevard-unit-410-manhattan-ny-10030/831108853242715073/","2351 Adam Clayton Powell Jr Blvd, Unit 410")</f>
        <v>2351 Adam Clayton Powell Jr Blvd, Unit 410</v>
      </c>
      <c r="B140" s="2" t="str">
        <f t="shared" si="25"/>
        <v>THE RENNIE</v>
      </c>
      <c r="C140" s="1" t="s">
        <v>61</v>
      </c>
      <c r="D140" s="1" t="s">
        <v>41</v>
      </c>
      <c r="E140" s="3">
        <v>675000</v>
      </c>
      <c r="F140" s="1">
        <v>1076.5550239234401</v>
      </c>
      <c r="G140" s="1">
        <v>3</v>
      </c>
      <c r="H140" s="1">
        <v>1</v>
      </c>
      <c r="I140" s="1">
        <v>1</v>
      </c>
      <c r="J140" s="1">
        <v>1</v>
      </c>
      <c r="K140" s="1">
        <v>1</v>
      </c>
      <c r="M140" s="1">
        <v>627</v>
      </c>
      <c r="N140" s="1">
        <v>713</v>
      </c>
      <c r="O140" s="1">
        <v>725</v>
      </c>
      <c r="P140" s="1">
        <v>12</v>
      </c>
      <c r="Q140" s="1" t="s">
        <v>42</v>
      </c>
      <c r="S140" s="1" t="s">
        <v>42</v>
      </c>
      <c r="T140" s="1" t="s">
        <v>43</v>
      </c>
      <c r="U140" s="1">
        <v>29</v>
      </c>
      <c r="V140" s="5">
        <v>44420</v>
      </c>
      <c r="W140" s="5">
        <v>44398</v>
      </c>
      <c r="X140" s="1">
        <v>675000</v>
      </c>
      <c r="AB140" s="1" t="s">
        <v>44</v>
      </c>
      <c r="AF140" s="1">
        <v>10030</v>
      </c>
      <c r="AI140" s="1" t="s">
        <v>124</v>
      </c>
      <c r="AJ140" s="1">
        <v>2018</v>
      </c>
      <c r="AK140" s="1" t="s">
        <v>77</v>
      </c>
      <c r="AL140" s="1">
        <v>106</v>
      </c>
    </row>
    <row r="141" spans="1:38" x14ac:dyDescent="0.2">
      <c r="A141" s="2" t="str">
        <f>HYPERLINK("https://www.compass.com/listing/2351-adam-clayton-powell-jr-boulevard-unit-520-manhattan-ny-10030/831103625600980161/","2351 Adam Clayton Powell Jr Blvd, Unit 520")</f>
        <v>2351 Adam Clayton Powell Jr Blvd, Unit 520</v>
      </c>
      <c r="B141" s="2" t="str">
        <f t="shared" si="25"/>
        <v>THE RENNIE</v>
      </c>
      <c r="C141" s="1" t="s">
        <v>61</v>
      </c>
      <c r="D141" s="1" t="s">
        <v>41</v>
      </c>
      <c r="E141" s="3">
        <v>510000</v>
      </c>
      <c r="F141" s="1">
        <v>978.88675623800304</v>
      </c>
      <c r="G141" s="1">
        <v>2</v>
      </c>
      <c r="H141" s="1" t="s">
        <v>79</v>
      </c>
      <c r="I141" s="1">
        <v>1</v>
      </c>
      <c r="J141" s="1">
        <v>1</v>
      </c>
      <c r="K141" s="1">
        <v>1</v>
      </c>
      <c r="M141" s="1">
        <v>521</v>
      </c>
      <c r="N141" s="1">
        <v>592</v>
      </c>
      <c r="O141" s="1">
        <v>602</v>
      </c>
      <c r="P141" s="1">
        <v>10</v>
      </c>
      <c r="Q141" s="1" t="s">
        <v>42</v>
      </c>
      <c r="S141" s="1" t="s">
        <v>42</v>
      </c>
      <c r="T141" s="1" t="s">
        <v>43</v>
      </c>
      <c r="U141" s="1">
        <v>29</v>
      </c>
      <c r="V141" s="5">
        <v>44420</v>
      </c>
      <c r="W141" s="5">
        <v>44398</v>
      </c>
      <c r="X141" s="1">
        <v>510000</v>
      </c>
      <c r="AB141" s="1" t="s">
        <v>44</v>
      </c>
      <c r="AF141" s="1">
        <v>10030</v>
      </c>
      <c r="AI141" s="1" t="s">
        <v>45</v>
      </c>
      <c r="AJ141" s="1">
        <v>2018</v>
      </c>
      <c r="AK141" s="1" t="s">
        <v>77</v>
      </c>
      <c r="AL141" s="1">
        <v>106</v>
      </c>
    </row>
    <row r="142" spans="1:38" x14ac:dyDescent="0.2">
      <c r="A142" s="2" t="str">
        <f>HYPERLINK("https://www.compass.com/listing/50-riverside-boulevard-unit-15n-manhattan-ny-10069/556397270139512601/","50 Riverside Blvd, Unit 15N")</f>
        <v>50 Riverside Blvd, Unit 15N</v>
      </c>
      <c r="B142" s="2" t="str">
        <f>HYPERLINK("https://www.compass.com/building/one-riverside-park-manhattan-ny/282041440266113253/","One Riverside Park")</f>
        <v>One Riverside Park</v>
      </c>
      <c r="C142" s="1" t="s">
        <v>50</v>
      </c>
      <c r="D142" s="1" t="s">
        <v>41</v>
      </c>
      <c r="E142" s="3">
        <v>2650000</v>
      </c>
      <c r="F142" s="1">
        <v>1878.1006378454899</v>
      </c>
      <c r="G142" s="1">
        <v>3</v>
      </c>
      <c r="H142" s="1">
        <v>2</v>
      </c>
      <c r="I142" s="1">
        <v>3</v>
      </c>
      <c r="J142" s="1">
        <v>2.5</v>
      </c>
      <c r="K142" s="1">
        <v>2</v>
      </c>
      <c r="L142" s="1">
        <v>1</v>
      </c>
      <c r="M142" s="4">
        <v>1411</v>
      </c>
      <c r="N142" s="1">
        <v>1569</v>
      </c>
      <c r="O142" s="1">
        <v>1651</v>
      </c>
      <c r="P142" s="1">
        <v>82</v>
      </c>
      <c r="Q142" s="1" t="s">
        <v>42</v>
      </c>
      <c r="S142" s="1" t="s">
        <v>42</v>
      </c>
      <c r="T142" s="1" t="s">
        <v>43</v>
      </c>
      <c r="U142" s="1">
        <v>409</v>
      </c>
      <c r="V142" s="5">
        <v>44427</v>
      </c>
      <c r="W142" s="5">
        <v>44018</v>
      </c>
      <c r="X142" s="1">
        <v>2725000</v>
      </c>
      <c r="AB142" s="1" t="s">
        <v>44</v>
      </c>
      <c r="AF142" s="1">
        <v>10069</v>
      </c>
      <c r="AI142" s="1" t="s">
        <v>101</v>
      </c>
      <c r="AJ142" s="1">
        <v>2016</v>
      </c>
      <c r="AK142" s="1" t="s">
        <v>46</v>
      </c>
      <c r="AL142" s="1">
        <v>657</v>
      </c>
    </row>
    <row r="143" spans="1:38" x14ac:dyDescent="0.2">
      <c r="A143" s="2" t="str">
        <f>HYPERLINK("https://www.compass.com/listing/30-riverside-boulevard-unit-36b-manhattan-ny-10069/811502467805618209/","30 Riverside Blvd, Unit 36B")</f>
        <v>30 Riverside Blvd, Unit 36B</v>
      </c>
      <c r="B143" s="2" t="str">
        <f>HYPERLINK("https://www.compass.com/building/two-waterline-square-manhattan-ny/282058630956612773/","Two Waterline Square")</f>
        <v>Two Waterline Square</v>
      </c>
      <c r="C143" s="1" t="s">
        <v>50</v>
      </c>
      <c r="D143" s="1" t="s">
        <v>41</v>
      </c>
      <c r="E143" s="3">
        <v>7250000</v>
      </c>
      <c r="F143" s="1">
        <v>3220.79075966237</v>
      </c>
      <c r="G143" s="1">
        <v>6</v>
      </c>
      <c r="H143" s="1">
        <v>4</v>
      </c>
      <c r="I143" s="1">
        <v>5</v>
      </c>
      <c r="J143" s="1">
        <v>4.5</v>
      </c>
      <c r="K143" s="1">
        <v>4</v>
      </c>
      <c r="L143" s="1">
        <v>1</v>
      </c>
      <c r="M143" s="4">
        <v>2251</v>
      </c>
      <c r="N143" s="1">
        <v>3164</v>
      </c>
      <c r="O143" s="1">
        <v>3332</v>
      </c>
      <c r="P143" s="1">
        <v>168</v>
      </c>
      <c r="Q143" s="1" t="s">
        <v>42</v>
      </c>
      <c r="S143" s="1" t="s">
        <v>42</v>
      </c>
      <c r="T143" s="1" t="s">
        <v>43</v>
      </c>
      <c r="U143" s="1">
        <v>56</v>
      </c>
      <c r="V143" s="5">
        <v>44418</v>
      </c>
      <c r="W143" s="5">
        <v>44371</v>
      </c>
      <c r="X143" s="1">
        <v>7250000</v>
      </c>
      <c r="AB143" s="1" t="s">
        <v>44</v>
      </c>
      <c r="AF143" s="1">
        <v>10069</v>
      </c>
      <c r="AI143" s="1" t="s">
        <v>125</v>
      </c>
      <c r="AJ143" s="1">
        <v>2019</v>
      </c>
      <c r="AK143" s="1" t="s">
        <v>73</v>
      </c>
      <c r="AL143" s="1">
        <v>160</v>
      </c>
    </row>
    <row r="144" spans="1:38" x14ac:dyDescent="0.2">
      <c r="A144" s="2" t="str">
        <f>HYPERLINK("https://www.compass.com/listing/375-west-123rd-street-unit-10a-manhattan-ny-10027/778936088885319049/","375 W 123rd St, Unit 10A")</f>
        <v>375 W 123rd St, Unit 10A</v>
      </c>
      <c r="B144" s="2" t="str">
        <f t="shared" ref="B144:B149" si="26">HYPERLINK("https://www.compass.com/building/99-morningside-manhattan-ny/281983676789660549/","99 Morningside")</f>
        <v>99 Morningside</v>
      </c>
      <c r="C144" s="1" t="s">
        <v>106</v>
      </c>
      <c r="D144" s="1" t="s">
        <v>41</v>
      </c>
      <c r="E144" s="3">
        <v>1495000</v>
      </c>
      <c r="F144" s="1">
        <v>1367.79505946935</v>
      </c>
      <c r="G144" s="1">
        <v>4</v>
      </c>
      <c r="H144" s="1">
        <v>2</v>
      </c>
      <c r="I144" s="1">
        <v>2</v>
      </c>
      <c r="J144" s="1">
        <v>2</v>
      </c>
      <c r="K144" s="1">
        <v>2</v>
      </c>
      <c r="M144" s="4">
        <v>1093</v>
      </c>
      <c r="N144" s="1">
        <v>1022</v>
      </c>
      <c r="O144" s="1">
        <v>1624</v>
      </c>
      <c r="P144" s="1">
        <v>602</v>
      </c>
      <c r="Q144" s="1" t="s">
        <v>42</v>
      </c>
      <c r="S144" s="1" t="s">
        <v>42</v>
      </c>
      <c r="T144" s="1" t="s">
        <v>43</v>
      </c>
      <c r="U144" s="1">
        <v>101</v>
      </c>
      <c r="V144" s="5">
        <v>44427</v>
      </c>
      <c r="W144" s="5">
        <v>44326</v>
      </c>
      <c r="X144" s="1">
        <v>1495000</v>
      </c>
      <c r="AB144" s="1" t="s">
        <v>44</v>
      </c>
      <c r="AD144" s="1" t="s">
        <v>120</v>
      </c>
      <c r="AE144" s="1" t="s">
        <v>121</v>
      </c>
      <c r="AF144" s="1">
        <v>10027</v>
      </c>
      <c r="AI144" s="1" t="s">
        <v>107</v>
      </c>
      <c r="AJ144" s="1">
        <v>2016</v>
      </c>
      <c r="AK144" s="1" t="s">
        <v>108</v>
      </c>
      <c r="AL144" s="1">
        <v>22</v>
      </c>
    </row>
    <row r="145" spans="1:38" x14ac:dyDescent="0.2">
      <c r="A145" s="2" t="str">
        <f>HYPERLINK("https://www.compass.com/listing/375-west-123rd-street-unit-8b-manhattan-ny-10027/785325449395665201/","375 W 123rd St, Unit 8B")</f>
        <v>375 W 123rd St, Unit 8B</v>
      </c>
      <c r="B145" s="2" t="str">
        <f t="shared" si="26"/>
        <v>99 Morningside</v>
      </c>
      <c r="C145" s="1" t="s">
        <v>106</v>
      </c>
      <c r="D145" s="1" t="s">
        <v>41</v>
      </c>
      <c r="E145" s="3">
        <v>2395000</v>
      </c>
      <c r="F145" s="1">
        <v>1443.6407474382099</v>
      </c>
      <c r="G145" s="1">
        <v>5</v>
      </c>
      <c r="H145" s="1">
        <v>3</v>
      </c>
      <c r="I145" s="1">
        <v>2</v>
      </c>
      <c r="J145" s="1">
        <v>2</v>
      </c>
      <c r="K145" s="1">
        <v>2</v>
      </c>
      <c r="M145" s="4">
        <v>1659</v>
      </c>
      <c r="N145" s="1">
        <v>1503</v>
      </c>
      <c r="O145" s="1">
        <v>2850</v>
      </c>
      <c r="P145" s="1">
        <v>1347</v>
      </c>
      <c r="Q145" s="1" t="s">
        <v>42</v>
      </c>
      <c r="S145" s="1" t="s">
        <v>42</v>
      </c>
      <c r="T145" s="1" t="s">
        <v>43</v>
      </c>
      <c r="U145" s="1">
        <v>92</v>
      </c>
      <c r="V145" s="5">
        <v>44421</v>
      </c>
      <c r="W145" s="5">
        <v>44335</v>
      </c>
      <c r="X145" s="1">
        <v>2395000</v>
      </c>
      <c r="AB145" s="1" t="s">
        <v>44</v>
      </c>
      <c r="AF145" s="1">
        <v>10027</v>
      </c>
      <c r="AI145" s="1" t="s">
        <v>122</v>
      </c>
      <c r="AJ145" s="1">
        <v>2016</v>
      </c>
      <c r="AK145" s="1" t="s">
        <v>108</v>
      </c>
      <c r="AL145" s="1">
        <v>22</v>
      </c>
    </row>
    <row r="146" spans="1:38" x14ac:dyDescent="0.2">
      <c r="A146" s="2" t="str">
        <f>HYPERLINK("https://www.compass.com/listing/375-west-123rd-street-unit-4b-manhattan-ny-10027/652881972008623633/","375 W 123rd St, Unit 4B")</f>
        <v>375 W 123rd St, Unit 4B</v>
      </c>
      <c r="B146" s="2" t="str">
        <f t="shared" si="26"/>
        <v>99 Morningside</v>
      </c>
      <c r="C146" s="1" t="s">
        <v>106</v>
      </c>
      <c r="D146" s="1" t="s">
        <v>41</v>
      </c>
      <c r="E146" s="3">
        <v>1530000</v>
      </c>
      <c r="F146" s="1">
        <v>1200.94191522762</v>
      </c>
      <c r="G146" s="1">
        <v>5</v>
      </c>
      <c r="H146" s="1">
        <v>2</v>
      </c>
      <c r="I146" s="1">
        <v>2</v>
      </c>
      <c r="J146" s="1">
        <v>2</v>
      </c>
      <c r="K146" s="1">
        <v>2</v>
      </c>
      <c r="M146" s="4">
        <v>1274</v>
      </c>
      <c r="N146" s="1">
        <v>1193</v>
      </c>
      <c r="O146" s="1">
        <v>2059</v>
      </c>
      <c r="P146" s="1">
        <v>866</v>
      </c>
      <c r="Q146" s="1" t="s">
        <v>42</v>
      </c>
      <c r="S146" s="1" t="s">
        <v>42</v>
      </c>
      <c r="T146" s="1" t="s">
        <v>43</v>
      </c>
      <c r="U146" s="1">
        <v>275</v>
      </c>
      <c r="V146" s="5">
        <v>44427</v>
      </c>
      <c r="W146" s="5">
        <v>44152</v>
      </c>
      <c r="X146" s="1">
        <v>1495000</v>
      </c>
      <c r="AB146" s="1" t="s">
        <v>44</v>
      </c>
      <c r="AD146" s="1" t="s">
        <v>120</v>
      </c>
      <c r="AE146" s="1" t="s">
        <v>121</v>
      </c>
      <c r="AF146" s="1">
        <v>10027</v>
      </c>
      <c r="AI146" s="1" t="s">
        <v>107</v>
      </c>
      <c r="AJ146" s="1">
        <v>2016</v>
      </c>
      <c r="AK146" s="1" t="s">
        <v>108</v>
      </c>
      <c r="AL146" s="1">
        <v>22</v>
      </c>
    </row>
    <row r="147" spans="1:38" x14ac:dyDescent="0.2">
      <c r="A147" s="2" t="str">
        <f>HYPERLINK("https://www.compass.com/listing/375-west-123rd-street-unit-4c-manhattan-ny-10027/715151076830203433/","375 W 123rd St, Unit 4C")</f>
        <v>375 W 123rd St, Unit 4C</v>
      </c>
      <c r="B147" s="2" t="str">
        <f t="shared" si="26"/>
        <v>99 Morningside</v>
      </c>
      <c r="C147" s="1" t="s">
        <v>106</v>
      </c>
      <c r="D147" s="1" t="s">
        <v>41</v>
      </c>
      <c r="E147" s="3">
        <v>1445000</v>
      </c>
      <c r="F147" s="1">
        <v>1136.9000786782001</v>
      </c>
      <c r="G147" s="1">
        <v>4</v>
      </c>
      <c r="H147" s="1">
        <v>2</v>
      </c>
      <c r="I147" s="1">
        <v>2</v>
      </c>
      <c r="J147" s="1">
        <v>2</v>
      </c>
      <c r="K147" s="1">
        <v>2</v>
      </c>
      <c r="M147" s="4">
        <v>1271</v>
      </c>
      <c r="N147" s="1">
        <v>1163</v>
      </c>
      <c r="O147" s="1">
        <v>1983</v>
      </c>
      <c r="P147" s="1">
        <v>820</v>
      </c>
      <c r="Q147" s="1" t="s">
        <v>42</v>
      </c>
      <c r="S147" s="1" t="s">
        <v>42</v>
      </c>
      <c r="T147" s="1" t="s">
        <v>43</v>
      </c>
      <c r="U147" s="1">
        <v>189</v>
      </c>
      <c r="V147" s="5">
        <v>44427</v>
      </c>
      <c r="W147" s="5">
        <v>44238</v>
      </c>
      <c r="X147" s="1">
        <v>1445000</v>
      </c>
      <c r="AB147" s="1" t="s">
        <v>44</v>
      </c>
      <c r="AD147" s="1" t="s">
        <v>120</v>
      </c>
      <c r="AE147" s="1" t="s">
        <v>121</v>
      </c>
      <c r="AF147" s="1">
        <v>10027</v>
      </c>
      <c r="AI147" s="1" t="s">
        <v>107</v>
      </c>
      <c r="AJ147" s="1">
        <v>2016</v>
      </c>
      <c r="AK147" s="1" t="s">
        <v>108</v>
      </c>
      <c r="AL147" s="1">
        <v>22</v>
      </c>
    </row>
    <row r="148" spans="1:38" x14ac:dyDescent="0.2">
      <c r="A148" s="2" t="str">
        <f>HYPERLINK("https://www.compass.com/listing/375-west-123rd-street-unit-4a-manhattan-ny-10027/715151038427394145/","375 W 123rd St, Unit 4A")</f>
        <v>375 W 123rd St, Unit 4A</v>
      </c>
      <c r="B148" s="2" t="str">
        <f t="shared" si="26"/>
        <v>99 Morningside</v>
      </c>
      <c r="C148" s="1" t="s">
        <v>106</v>
      </c>
      <c r="D148" s="1" t="s">
        <v>41</v>
      </c>
      <c r="E148" s="3">
        <v>1590000</v>
      </c>
      <c r="F148" s="1">
        <v>1123.67491166077</v>
      </c>
      <c r="G148" s="1">
        <v>5</v>
      </c>
      <c r="H148" s="1">
        <v>3</v>
      </c>
      <c r="I148" s="1">
        <v>2</v>
      </c>
      <c r="J148" s="1">
        <v>2</v>
      </c>
      <c r="K148" s="1">
        <v>2</v>
      </c>
      <c r="M148" s="4">
        <v>1415</v>
      </c>
      <c r="N148" s="1">
        <v>1320</v>
      </c>
      <c r="O148" s="1">
        <v>2383</v>
      </c>
      <c r="P148" s="1">
        <v>1063</v>
      </c>
      <c r="Q148" s="1" t="s">
        <v>42</v>
      </c>
      <c r="S148" s="1" t="s">
        <v>42</v>
      </c>
      <c r="T148" s="1" t="s">
        <v>43</v>
      </c>
      <c r="U148" s="1">
        <v>189</v>
      </c>
      <c r="V148" s="5">
        <v>44421</v>
      </c>
      <c r="W148" s="5">
        <v>44238</v>
      </c>
      <c r="X148" s="1">
        <v>1590000</v>
      </c>
      <c r="AB148" s="1" t="s">
        <v>44</v>
      </c>
      <c r="AF148" s="1">
        <v>10027</v>
      </c>
      <c r="AI148" s="1" t="s">
        <v>107</v>
      </c>
      <c r="AJ148" s="1">
        <v>2016</v>
      </c>
      <c r="AK148" s="1" t="s">
        <v>108</v>
      </c>
      <c r="AL148" s="1">
        <v>22</v>
      </c>
    </row>
    <row r="149" spans="1:38" x14ac:dyDescent="0.2">
      <c r="A149" s="2" t="str">
        <f>HYPERLINK("https://www.compass.com/listing/375-west-123rd-street-unit-phb-manhattan-ny-10027/652884216791865617/","375 W 123rd St, Unit PHB")</f>
        <v>375 W 123rd St, Unit PHB</v>
      </c>
      <c r="B149" s="2" t="str">
        <f t="shared" si="26"/>
        <v>99 Morningside</v>
      </c>
      <c r="C149" s="1" t="s">
        <v>106</v>
      </c>
      <c r="D149" s="1" t="s">
        <v>41</v>
      </c>
      <c r="E149" s="3">
        <v>3345000</v>
      </c>
      <c r="F149" s="1">
        <v>1387.39112401493</v>
      </c>
      <c r="G149" s="1">
        <v>6</v>
      </c>
      <c r="H149" s="1">
        <v>4</v>
      </c>
      <c r="I149" s="1">
        <v>3</v>
      </c>
      <c r="J149" s="1">
        <v>2.5</v>
      </c>
      <c r="K149" s="1">
        <v>2</v>
      </c>
      <c r="L149" s="1">
        <v>1</v>
      </c>
      <c r="M149" s="4">
        <v>2411</v>
      </c>
      <c r="N149" s="1">
        <v>2219</v>
      </c>
      <c r="O149" s="1">
        <v>4674</v>
      </c>
      <c r="P149" s="1">
        <v>2455</v>
      </c>
      <c r="Q149" s="1" t="s">
        <v>42</v>
      </c>
      <c r="S149" s="1" t="s">
        <v>42</v>
      </c>
      <c r="T149" s="1" t="s">
        <v>43</v>
      </c>
      <c r="U149" s="1">
        <v>275</v>
      </c>
      <c r="V149" s="5">
        <v>44427</v>
      </c>
      <c r="W149" s="5">
        <v>44152</v>
      </c>
      <c r="X149" s="1">
        <v>3550000</v>
      </c>
      <c r="AB149" s="1" t="s">
        <v>44</v>
      </c>
      <c r="AD149" s="1" t="s">
        <v>120</v>
      </c>
      <c r="AE149" s="1" t="s">
        <v>121</v>
      </c>
      <c r="AF149" s="1">
        <v>10027</v>
      </c>
      <c r="AI149" s="1" t="s">
        <v>126</v>
      </c>
      <c r="AJ149" s="1">
        <v>2016</v>
      </c>
      <c r="AK149" s="1" t="s">
        <v>108</v>
      </c>
      <c r="AL149" s="1">
        <v>22</v>
      </c>
    </row>
    <row r="150" spans="1:38" x14ac:dyDescent="0.2">
      <c r="A150" s="2" t="str">
        <f>HYPERLINK("https://www.compass.com/listing/252-south-street-unit-11e-manhattan-ny-10002/836286771706368265/","252 South St, Unit 11E")</f>
        <v>252 South St, Unit 11E</v>
      </c>
      <c r="B150" s="2" t="str">
        <f>HYPERLINK("https://www.compass.com/building/one-manhattan-square-manhattan-ny/294844950218926165/","One Manhattan Square")</f>
        <v>One Manhattan Square</v>
      </c>
      <c r="C150" s="1" t="s">
        <v>66</v>
      </c>
      <c r="D150" s="1" t="s">
        <v>41</v>
      </c>
      <c r="E150" s="3">
        <v>1970000</v>
      </c>
      <c r="F150" s="1">
        <v>1754.2297417631301</v>
      </c>
      <c r="G150" s="1">
        <v>4</v>
      </c>
      <c r="H150" s="1">
        <v>2</v>
      </c>
      <c r="I150" s="1">
        <v>2</v>
      </c>
      <c r="J150" s="1">
        <v>2</v>
      </c>
      <c r="K150" s="1">
        <v>2</v>
      </c>
      <c r="M150" s="4">
        <v>1123</v>
      </c>
      <c r="N150" s="1">
        <v>1222</v>
      </c>
      <c r="O150" s="1">
        <v>1241</v>
      </c>
      <c r="P150" s="1">
        <v>19</v>
      </c>
      <c r="Q150" s="1" t="s">
        <v>42</v>
      </c>
      <c r="S150" s="1" t="s">
        <v>42</v>
      </c>
      <c r="T150" s="1" t="s">
        <v>43</v>
      </c>
      <c r="U150" s="1">
        <v>22</v>
      </c>
      <c r="V150" s="5">
        <v>44420</v>
      </c>
      <c r="W150" s="5">
        <v>44405</v>
      </c>
      <c r="X150" s="1">
        <v>1970000</v>
      </c>
      <c r="AB150" s="1" t="s">
        <v>44</v>
      </c>
      <c r="AF150" s="1">
        <v>10002</v>
      </c>
      <c r="AI150" s="1" t="s">
        <v>113</v>
      </c>
      <c r="AJ150" s="1">
        <v>2019</v>
      </c>
      <c r="AK150" s="1" t="s">
        <v>73</v>
      </c>
      <c r="AL150" s="1">
        <v>787</v>
      </c>
    </row>
    <row r="151" spans="1:38" x14ac:dyDescent="0.2">
      <c r="A151" s="2" t="str">
        <f>HYPERLINK("https://www.compass.com/listing/2351-adam-clayton-powell-jr-boulevard-unit-307-manhattan-ny-10030/831863803576743609/","2351 Adam Clayton Powell Jr Blvd, Unit 307")</f>
        <v>2351 Adam Clayton Powell Jr Blvd, Unit 307</v>
      </c>
      <c r="B151" s="2" t="str">
        <f>HYPERLINK("https://www.compass.com/building/the-rennie-manhattan-ny/307439143554395509/","THE RENNIE")</f>
        <v>THE RENNIE</v>
      </c>
      <c r="C151" s="1" t="s">
        <v>61</v>
      </c>
      <c r="D151" s="1" t="s">
        <v>41</v>
      </c>
      <c r="E151" s="3">
        <v>1050000</v>
      </c>
      <c r="F151" s="1">
        <v>1030.42198233562</v>
      </c>
      <c r="G151" s="1">
        <v>5</v>
      </c>
      <c r="H151" s="1">
        <v>2</v>
      </c>
      <c r="I151" s="1">
        <v>2</v>
      </c>
      <c r="J151" s="1">
        <v>2</v>
      </c>
      <c r="K151" s="1">
        <v>2</v>
      </c>
      <c r="M151" s="4">
        <v>1019</v>
      </c>
      <c r="N151" s="1">
        <v>1158</v>
      </c>
      <c r="O151" s="1">
        <v>1177</v>
      </c>
      <c r="P151" s="1">
        <v>19</v>
      </c>
      <c r="Q151" s="1" t="s">
        <v>42</v>
      </c>
      <c r="S151" s="1" t="s">
        <v>42</v>
      </c>
      <c r="T151" s="1" t="s">
        <v>43</v>
      </c>
      <c r="U151" s="1">
        <v>28</v>
      </c>
      <c r="V151" s="5">
        <v>44420</v>
      </c>
      <c r="W151" s="5">
        <v>44399</v>
      </c>
      <c r="X151" s="1">
        <v>1050000</v>
      </c>
      <c r="AB151" s="1" t="s">
        <v>44</v>
      </c>
      <c r="AF151" s="1">
        <v>10030</v>
      </c>
      <c r="AI151" s="1" t="s">
        <v>45</v>
      </c>
      <c r="AJ151" s="1">
        <v>2018</v>
      </c>
      <c r="AK151" s="1" t="s">
        <v>77</v>
      </c>
      <c r="AL151" s="1">
        <v>106</v>
      </c>
    </row>
    <row r="152" spans="1:38" x14ac:dyDescent="0.2">
      <c r="A152" s="2" t="str">
        <f>HYPERLINK("https://www.compass.com/listing/252-south-street-unit-33f-manhattan-ny-10002/836278080321192737/","252 South St, Unit 33F")</f>
        <v>252 South St, Unit 33F</v>
      </c>
      <c r="B152" s="2" t="str">
        <f t="shared" ref="B152:B154" si="27">HYPERLINK("https://www.compass.com/building/one-manhattan-square-manhattan-ny/294844950218926165/","One Manhattan Square")</f>
        <v>One Manhattan Square</v>
      </c>
      <c r="C152" s="1" t="s">
        <v>66</v>
      </c>
      <c r="D152" s="1" t="s">
        <v>41</v>
      </c>
      <c r="E152" s="3">
        <v>1235000</v>
      </c>
      <c r="F152" s="1">
        <v>1710.5263157894699</v>
      </c>
      <c r="G152" s="1">
        <v>3</v>
      </c>
      <c r="H152" s="1">
        <v>1</v>
      </c>
      <c r="I152" s="1">
        <v>1</v>
      </c>
      <c r="J152" s="1">
        <v>1</v>
      </c>
      <c r="K152" s="1">
        <v>1</v>
      </c>
      <c r="M152" s="1">
        <v>722</v>
      </c>
      <c r="N152" s="1">
        <v>863</v>
      </c>
      <c r="O152" s="1">
        <v>877</v>
      </c>
      <c r="P152" s="1">
        <v>14</v>
      </c>
      <c r="Q152" s="1" t="s">
        <v>42</v>
      </c>
      <c r="S152" s="1" t="s">
        <v>42</v>
      </c>
      <c r="T152" s="1" t="s">
        <v>43</v>
      </c>
      <c r="U152" s="1">
        <v>22</v>
      </c>
      <c r="V152" s="5">
        <v>44420</v>
      </c>
      <c r="W152" s="5">
        <v>44405</v>
      </c>
      <c r="X152" s="1">
        <v>1235000</v>
      </c>
      <c r="AB152" s="1" t="s">
        <v>44</v>
      </c>
      <c r="AF152" s="1">
        <v>10002</v>
      </c>
      <c r="AI152" s="1" t="s">
        <v>113</v>
      </c>
      <c r="AJ152" s="1">
        <v>2019</v>
      </c>
      <c r="AK152" s="1" t="s">
        <v>73</v>
      </c>
      <c r="AL152" s="1">
        <v>787</v>
      </c>
    </row>
    <row r="153" spans="1:38" x14ac:dyDescent="0.2">
      <c r="A153" s="2" t="str">
        <f>HYPERLINK("https://www.compass.com/listing/252-south-street-unit-27g-manhattan-ny-10002/836280508251520201/","252 South St, Unit 27G")</f>
        <v>252 South St, Unit 27G</v>
      </c>
      <c r="B153" s="2" t="str">
        <f t="shared" si="27"/>
        <v>One Manhattan Square</v>
      </c>
      <c r="C153" s="1" t="s">
        <v>66</v>
      </c>
      <c r="D153" s="1" t="s">
        <v>41</v>
      </c>
      <c r="E153" s="3">
        <v>1215000</v>
      </c>
      <c r="F153" s="1">
        <v>1680.4979253112001</v>
      </c>
      <c r="G153" s="1">
        <v>3</v>
      </c>
      <c r="H153" s="1">
        <v>1</v>
      </c>
      <c r="I153" s="1">
        <v>1</v>
      </c>
      <c r="J153" s="1">
        <v>1</v>
      </c>
      <c r="K153" s="1">
        <v>1</v>
      </c>
      <c r="M153" s="1">
        <v>723</v>
      </c>
      <c r="N153" s="1">
        <v>845</v>
      </c>
      <c r="O153" s="1">
        <v>858</v>
      </c>
      <c r="P153" s="1">
        <v>13</v>
      </c>
      <c r="Q153" s="1" t="s">
        <v>42</v>
      </c>
      <c r="S153" s="1" t="s">
        <v>42</v>
      </c>
      <c r="T153" s="1" t="s">
        <v>43</v>
      </c>
      <c r="U153" s="1">
        <v>22</v>
      </c>
      <c r="V153" s="5">
        <v>44420</v>
      </c>
      <c r="W153" s="5">
        <v>44405</v>
      </c>
      <c r="X153" s="1">
        <v>1215000</v>
      </c>
      <c r="AB153" s="1" t="s">
        <v>44</v>
      </c>
      <c r="AF153" s="1">
        <v>10002</v>
      </c>
      <c r="AI153" s="1" t="s">
        <v>113</v>
      </c>
      <c r="AJ153" s="1">
        <v>2019</v>
      </c>
      <c r="AK153" s="1" t="s">
        <v>73</v>
      </c>
      <c r="AL153" s="1">
        <v>787</v>
      </c>
    </row>
    <row r="154" spans="1:38" x14ac:dyDescent="0.2">
      <c r="A154" s="2" t="str">
        <f>HYPERLINK("https://www.compass.com/listing/252-south-street-unit-10n-manhattan-ny-10002/836284011208876097/","252 South St, Unit 10N")</f>
        <v>252 South St, Unit 10N</v>
      </c>
      <c r="B154" s="2" t="str">
        <f t="shared" si="27"/>
        <v>One Manhattan Square</v>
      </c>
      <c r="C154" s="1" t="s">
        <v>66</v>
      </c>
      <c r="D154" s="1" t="s">
        <v>41</v>
      </c>
      <c r="E154" s="3">
        <v>1260000</v>
      </c>
      <c r="F154" s="1">
        <v>1812.9496402877601</v>
      </c>
      <c r="G154" s="1">
        <v>3</v>
      </c>
      <c r="H154" s="1">
        <v>1</v>
      </c>
      <c r="I154" s="1">
        <v>1</v>
      </c>
      <c r="J154" s="1">
        <v>1</v>
      </c>
      <c r="K154" s="1">
        <v>1</v>
      </c>
      <c r="M154" s="1">
        <v>695</v>
      </c>
      <c r="N154" s="1">
        <v>12</v>
      </c>
      <c r="O154" s="1">
        <v>764</v>
      </c>
      <c r="P154" s="1">
        <v>752</v>
      </c>
      <c r="Q154" s="1" t="s">
        <v>42</v>
      </c>
      <c r="S154" s="1" t="s">
        <v>42</v>
      </c>
      <c r="T154" s="1" t="s">
        <v>43</v>
      </c>
      <c r="U154" s="1">
        <v>22</v>
      </c>
      <c r="V154" s="5">
        <v>44420</v>
      </c>
      <c r="W154" s="5">
        <v>44405</v>
      </c>
      <c r="X154" s="1">
        <v>1260000</v>
      </c>
      <c r="AB154" s="1" t="s">
        <v>44</v>
      </c>
      <c r="AF154" s="1">
        <v>10002</v>
      </c>
      <c r="AI154" s="1" t="s">
        <v>113</v>
      </c>
      <c r="AJ154" s="1">
        <v>2019</v>
      </c>
      <c r="AK154" s="1" t="s">
        <v>73</v>
      </c>
      <c r="AL154" s="1">
        <v>787</v>
      </c>
    </row>
    <row r="155" spans="1:38" x14ac:dyDescent="0.2">
      <c r="A155" s="2" t="str">
        <f>HYPERLINK("https://www.compass.com/listing/30-riverside-boulevard-unit-28d-manhattan-ny-10069/756711903288041537/","30 Riverside Blvd, Unit 28D")</f>
        <v>30 Riverside Blvd, Unit 28D</v>
      </c>
      <c r="B155" s="2" t="str">
        <f>HYPERLINK("https://www.compass.com/building/two-waterline-square-manhattan-ny/282058630956612773/","Two Waterline Square")</f>
        <v>Two Waterline Square</v>
      </c>
      <c r="C155" s="1" t="s">
        <v>50</v>
      </c>
      <c r="D155" s="1" t="s">
        <v>41</v>
      </c>
      <c r="E155" s="3">
        <v>2450000</v>
      </c>
      <c r="F155" s="1">
        <v>2489.8373983739798</v>
      </c>
      <c r="G155" s="1">
        <v>2</v>
      </c>
      <c r="H155" s="1">
        <v>1</v>
      </c>
      <c r="I155" s="1">
        <v>2</v>
      </c>
      <c r="J155" s="1">
        <v>1.5</v>
      </c>
      <c r="K155" s="1">
        <v>1</v>
      </c>
      <c r="L155" s="1">
        <v>1</v>
      </c>
      <c r="M155" s="1">
        <v>984</v>
      </c>
      <c r="N155" s="1">
        <v>1332</v>
      </c>
      <c r="O155" s="1">
        <v>1403</v>
      </c>
      <c r="P155" s="1">
        <v>71</v>
      </c>
      <c r="Q155" s="1" t="s">
        <v>42</v>
      </c>
      <c r="S155" s="1" t="s">
        <v>42</v>
      </c>
      <c r="T155" s="1" t="s">
        <v>43</v>
      </c>
      <c r="U155" s="1">
        <v>132</v>
      </c>
      <c r="V155" s="5">
        <v>44419</v>
      </c>
      <c r="W155" s="5">
        <v>44295</v>
      </c>
      <c r="X155" s="1">
        <v>2450000</v>
      </c>
      <c r="AB155" s="1" t="s">
        <v>44</v>
      </c>
      <c r="AF155" s="1">
        <v>10069</v>
      </c>
      <c r="AI155" s="1" t="s">
        <v>109</v>
      </c>
      <c r="AJ155" s="1">
        <v>2019</v>
      </c>
      <c r="AK155" s="1" t="s">
        <v>77</v>
      </c>
      <c r="AL155" s="1">
        <v>160</v>
      </c>
    </row>
    <row r="156" spans="1:38" x14ac:dyDescent="0.2">
      <c r="A156" s="2" t="str">
        <f>HYPERLINK("https://www.compass.com/listing/252-south-street-unit-43h-manhattan-ny-10002/836275336097008193/","252 South St, Unit 43H")</f>
        <v>252 South St, Unit 43H</v>
      </c>
      <c r="B156" s="2" t="str">
        <f t="shared" ref="B156:B157" si="28">HYPERLINK("https://www.compass.com/building/one-manhattan-square-manhattan-ny/294844950218926165/","One Manhattan Square")</f>
        <v>One Manhattan Square</v>
      </c>
      <c r="C156" s="1" t="s">
        <v>66</v>
      </c>
      <c r="D156" s="1" t="s">
        <v>41</v>
      </c>
      <c r="E156" s="3">
        <v>1405000</v>
      </c>
      <c r="F156" s="1">
        <v>2018.67816091954</v>
      </c>
      <c r="G156" s="1">
        <v>3</v>
      </c>
      <c r="H156" s="1">
        <v>1</v>
      </c>
      <c r="I156" s="1">
        <v>1</v>
      </c>
      <c r="J156" s="1">
        <v>1</v>
      </c>
      <c r="K156" s="1">
        <v>1</v>
      </c>
      <c r="M156" s="1">
        <v>696</v>
      </c>
      <c r="N156" s="1">
        <v>872</v>
      </c>
      <c r="O156" s="1">
        <v>886</v>
      </c>
      <c r="P156" s="1">
        <v>14</v>
      </c>
      <c r="Q156" s="1" t="s">
        <v>42</v>
      </c>
      <c r="S156" s="1" t="s">
        <v>42</v>
      </c>
      <c r="T156" s="1" t="s">
        <v>43</v>
      </c>
      <c r="U156" s="1">
        <v>22</v>
      </c>
      <c r="V156" s="5">
        <v>44420</v>
      </c>
      <c r="W156" s="5">
        <v>44405</v>
      </c>
      <c r="X156" s="1">
        <v>1405000</v>
      </c>
      <c r="AB156" s="1" t="s">
        <v>44</v>
      </c>
      <c r="AF156" s="1">
        <v>10002</v>
      </c>
      <c r="AI156" s="1" t="s">
        <v>127</v>
      </c>
      <c r="AJ156" s="1">
        <v>2019</v>
      </c>
      <c r="AK156" s="1" t="s">
        <v>73</v>
      </c>
      <c r="AL156" s="1">
        <v>787</v>
      </c>
    </row>
    <row r="157" spans="1:38" x14ac:dyDescent="0.2">
      <c r="A157" s="2" t="str">
        <f>HYPERLINK("https://www.compass.com/listing/252-south-street-unit-59g-manhattan-ny-10002/836285785059757657/","252 South St, Unit 59G")</f>
        <v>252 South St, Unit 59G</v>
      </c>
      <c r="B157" s="2" t="str">
        <f t="shared" si="28"/>
        <v>One Manhattan Square</v>
      </c>
      <c r="C157" s="1" t="s">
        <v>66</v>
      </c>
      <c r="D157" s="1" t="s">
        <v>41</v>
      </c>
      <c r="E157" s="3">
        <v>1470000</v>
      </c>
      <c r="F157" s="1">
        <v>2136.6279069767402</v>
      </c>
      <c r="G157" s="1">
        <v>3</v>
      </c>
      <c r="H157" s="1">
        <v>1</v>
      </c>
      <c r="I157" s="1">
        <v>1</v>
      </c>
      <c r="J157" s="1">
        <v>1</v>
      </c>
      <c r="K157" s="1">
        <v>1</v>
      </c>
      <c r="M157" s="1">
        <v>688</v>
      </c>
      <c r="N157" s="1">
        <v>917</v>
      </c>
      <c r="O157" s="1">
        <v>931</v>
      </c>
      <c r="P157" s="1">
        <v>14</v>
      </c>
      <c r="Q157" s="1" t="s">
        <v>42</v>
      </c>
      <c r="S157" s="1" t="s">
        <v>42</v>
      </c>
      <c r="T157" s="1" t="s">
        <v>43</v>
      </c>
      <c r="U157" s="1">
        <v>22</v>
      </c>
      <c r="V157" s="5">
        <v>44420</v>
      </c>
      <c r="W157" s="5">
        <v>44405</v>
      </c>
      <c r="X157" s="1">
        <v>1470000</v>
      </c>
      <c r="AB157" s="1" t="s">
        <v>44</v>
      </c>
      <c r="AF157" s="1">
        <v>10002</v>
      </c>
      <c r="AI157" s="1" t="s">
        <v>113</v>
      </c>
      <c r="AJ157" s="1">
        <v>2019</v>
      </c>
      <c r="AK157" s="1" t="s">
        <v>73</v>
      </c>
      <c r="AL157" s="1">
        <v>787</v>
      </c>
    </row>
    <row r="158" spans="1:38" x14ac:dyDescent="0.2">
      <c r="A158" s="2" t="str">
        <f>HYPERLINK("https://www.compass.com/listing/30-riverside-boulevard-unit-23d-manhattan-ny-10069/542640032954312537/","30 Riverside Blvd, Unit 23D")</f>
        <v>30 Riverside Blvd, Unit 23D</v>
      </c>
      <c r="B158" s="2" t="str">
        <f>HYPERLINK("https://www.compass.com/building/two-waterline-square-manhattan-ny/282058630956612773/","Two Waterline Square")</f>
        <v>Two Waterline Square</v>
      </c>
      <c r="C158" s="1" t="s">
        <v>50</v>
      </c>
      <c r="D158" s="1" t="s">
        <v>41</v>
      </c>
      <c r="E158" s="3">
        <v>2275000</v>
      </c>
      <c r="F158" s="1">
        <v>2355.0724637681101</v>
      </c>
      <c r="G158" s="1">
        <v>3</v>
      </c>
      <c r="H158" s="1">
        <v>1</v>
      </c>
      <c r="I158" s="1">
        <v>1</v>
      </c>
      <c r="J158" s="1">
        <v>1</v>
      </c>
      <c r="K158" s="1">
        <v>1</v>
      </c>
      <c r="M158" s="1">
        <v>966</v>
      </c>
      <c r="N158" s="1">
        <v>1276</v>
      </c>
      <c r="O158" s="1">
        <v>1344</v>
      </c>
      <c r="P158" s="1">
        <v>68</v>
      </c>
      <c r="Q158" s="1" t="s">
        <v>42</v>
      </c>
      <c r="S158" s="1" t="s">
        <v>42</v>
      </c>
      <c r="T158" s="1" t="s">
        <v>43</v>
      </c>
      <c r="U158" s="1">
        <v>423</v>
      </c>
      <c r="V158" s="5">
        <v>44419</v>
      </c>
      <c r="W158" s="5">
        <v>44000</v>
      </c>
      <c r="X158" s="1">
        <v>2275000</v>
      </c>
      <c r="AB158" s="1" t="s">
        <v>44</v>
      </c>
      <c r="AF158" s="1">
        <v>10069</v>
      </c>
      <c r="AI158" s="1" t="s">
        <v>109</v>
      </c>
      <c r="AJ158" s="1">
        <v>2019</v>
      </c>
      <c r="AK158" s="1" t="s">
        <v>77</v>
      </c>
      <c r="AL158" s="1">
        <v>160</v>
      </c>
    </row>
    <row r="159" spans="1:38" x14ac:dyDescent="0.2">
      <c r="A159" s="2" t="str">
        <f>HYPERLINK("https://www.compass.com/listing/252-south-street-unit-7h-manhattan-ny-10002/836282477490392329/","252 South St, Unit 7H")</f>
        <v>252 South St, Unit 7H</v>
      </c>
      <c r="B159" s="2" t="str">
        <f t="shared" ref="B159:B162" si="29">HYPERLINK("https://www.compass.com/building/one-manhattan-square-manhattan-ny/294844950218926165/","One Manhattan Square")</f>
        <v>One Manhattan Square</v>
      </c>
      <c r="C159" s="1" t="s">
        <v>66</v>
      </c>
      <c r="D159" s="1" t="s">
        <v>41</v>
      </c>
      <c r="E159" s="3">
        <v>1870000</v>
      </c>
      <c r="F159" s="1">
        <v>1617.64705882352</v>
      </c>
      <c r="G159" s="1">
        <v>4.5</v>
      </c>
      <c r="H159" s="1">
        <v>2</v>
      </c>
      <c r="I159" s="1">
        <v>2</v>
      </c>
      <c r="J159" s="1">
        <v>2</v>
      </c>
      <c r="K159" s="1">
        <v>2</v>
      </c>
      <c r="M159" s="4">
        <v>1156</v>
      </c>
      <c r="N159" s="1">
        <v>1233</v>
      </c>
      <c r="O159" s="1">
        <v>1252</v>
      </c>
      <c r="P159" s="1">
        <v>19</v>
      </c>
      <c r="Q159" s="1" t="s">
        <v>42</v>
      </c>
      <c r="S159" s="1" t="s">
        <v>42</v>
      </c>
      <c r="T159" s="1" t="s">
        <v>43</v>
      </c>
      <c r="U159" s="1">
        <v>22</v>
      </c>
      <c r="V159" s="5">
        <v>44420</v>
      </c>
      <c r="W159" s="5">
        <v>44405</v>
      </c>
      <c r="X159" s="1">
        <v>1870000</v>
      </c>
      <c r="AB159" s="1" t="s">
        <v>44</v>
      </c>
      <c r="AF159" s="1">
        <v>10002</v>
      </c>
      <c r="AI159" s="1" t="s">
        <v>113</v>
      </c>
      <c r="AJ159" s="1">
        <v>2019</v>
      </c>
      <c r="AK159" s="1" t="s">
        <v>73</v>
      </c>
      <c r="AL159" s="1">
        <v>787</v>
      </c>
    </row>
    <row r="160" spans="1:38" x14ac:dyDescent="0.2">
      <c r="A160" s="2" t="str">
        <f>HYPERLINK("https://www.compass.com/listing/252-south-street-unit-30c-manhattan-ny-10002/836282223554964625/","252 South St, Unit 30C")</f>
        <v>252 South St, Unit 30C</v>
      </c>
      <c r="B160" s="2" t="str">
        <f t="shared" si="29"/>
        <v>One Manhattan Square</v>
      </c>
      <c r="C160" s="1" t="s">
        <v>66</v>
      </c>
      <c r="D160" s="1" t="s">
        <v>41</v>
      </c>
      <c r="E160" s="3">
        <v>1570000</v>
      </c>
      <c r="F160" s="1">
        <v>2258.9928057553898</v>
      </c>
      <c r="G160" s="1">
        <v>3</v>
      </c>
      <c r="H160" s="1">
        <v>1</v>
      </c>
      <c r="I160" s="1">
        <v>1</v>
      </c>
      <c r="J160" s="1">
        <v>1</v>
      </c>
      <c r="K160" s="1">
        <v>1</v>
      </c>
      <c r="M160" s="1">
        <v>695</v>
      </c>
      <c r="N160" s="1">
        <v>827</v>
      </c>
      <c r="O160" s="1">
        <v>840</v>
      </c>
      <c r="P160" s="1">
        <v>13</v>
      </c>
      <c r="Q160" s="1" t="s">
        <v>42</v>
      </c>
      <c r="S160" s="1" t="s">
        <v>42</v>
      </c>
      <c r="T160" s="1" t="s">
        <v>43</v>
      </c>
      <c r="U160" s="1">
        <v>22</v>
      </c>
      <c r="V160" s="5">
        <v>44420</v>
      </c>
      <c r="W160" s="5">
        <v>44405</v>
      </c>
      <c r="X160" s="1">
        <v>1570000</v>
      </c>
      <c r="AB160" s="1" t="s">
        <v>44</v>
      </c>
      <c r="AF160" s="1">
        <v>10002</v>
      </c>
      <c r="AI160" s="1" t="s">
        <v>113</v>
      </c>
      <c r="AJ160" s="1">
        <v>2019</v>
      </c>
      <c r="AK160" s="1" t="s">
        <v>73</v>
      </c>
      <c r="AL160" s="1">
        <v>787</v>
      </c>
    </row>
    <row r="161" spans="1:38" x14ac:dyDescent="0.2">
      <c r="A161" s="2" t="str">
        <f>HYPERLINK("https://www.compass.com/listing/252-south-street-unit-25l-manhattan-ny-10002/836281401102689193/","252 South St, Unit 25L")</f>
        <v>252 South St, Unit 25L</v>
      </c>
      <c r="B161" s="2" t="str">
        <f t="shared" si="29"/>
        <v>One Manhattan Square</v>
      </c>
      <c r="C161" s="1" t="s">
        <v>66</v>
      </c>
      <c r="D161" s="1" t="s">
        <v>41</v>
      </c>
      <c r="E161" s="3">
        <v>2295000</v>
      </c>
      <c r="F161" s="1">
        <v>2043.6331255565401</v>
      </c>
      <c r="G161" s="1">
        <v>5</v>
      </c>
      <c r="H161" s="1">
        <v>2</v>
      </c>
      <c r="I161" s="1">
        <v>2</v>
      </c>
      <c r="J161" s="1">
        <v>2</v>
      </c>
      <c r="K161" s="1">
        <v>2</v>
      </c>
      <c r="M161" s="4">
        <v>1123</v>
      </c>
      <c r="N161" s="1">
        <v>1300</v>
      </c>
      <c r="O161" s="1">
        <v>1321</v>
      </c>
      <c r="P161" s="1">
        <v>21</v>
      </c>
      <c r="Q161" s="1" t="s">
        <v>42</v>
      </c>
      <c r="S161" s="1" t="s">
        <v>42</v>
      </c>
      <c r="T161" s="1" t="s">
        <v>43</v>
      </c>
      <c r="U161" s="1">
        <v>22</v>
      </c>
      <c r="V161" s="5">
        <v>44420</v>
      </c>
      <c r="W161" s="5">
        <v>44405</v>
      </c>
      <c r="X161" s="1">
        <v>2295000</v>
      </c>
      <c r="AB161" s="1" t="s">
        <v>44</v>
      </c>
      <c r="AF161" s="1">
        <v>10002</v>
      </c>
      <c r="AI161" s="1" t="s">
        <v>113</v>
      </c>
      <c r="AJ161" s="1">
        <v>2019</v>
      </c>
      <c r="AK161" s="1" t="s">
        <v>73</v>
      </c>
      <c r="AL161" s="1">
        <v>787</v>
      </c>
    </row>
    <row r="162" spans="1:38" x14ac:dyDescent="0.2">
      <c r="A162" s="2" t="str">
        <f>HYPERLINK("https://www.compass.com/listing/252-south-street-unit-35g-manhattan-ny-10002/836279216113608153/","252 South St, Unit 35G")</f>
        <v>252 South St, Unit 35G</v>
      </c>
      <c r="B162" s="2" t="str">
        <f t="shared" si="29"/>
        <v>One Manhattan Square</v>
      </c>
      <c r="C162" s="1" t="s">
        <v>66</v>
      </c>
      <c r="D162" s="1" t="s">
        <v>41</v>
      </c>
      <c r="E162" s="3">
        <v>2300000</v>
      </c>
      <c r="F162" s="1">
        <v>1989.6193771626199</v>
      </c>
      <c r="G162" s="1">
        <v>4</v>
      </c>
      <c r="H162" s="1">
        <v>2</v>
      </c>
      <c r="I162" s="1">
        <v>2</v>
      </c>
      <c r="J162" s="1">
        <v>2</v>
      </c>
      <c r="K162" s="1">
        <v>2</v>
      </c>
      <c r="M162" s="4">
        <v>1156</v>
      </c>
      <c r="N162" s="1">
        <v>1393</v>
      </c>
      <c r="O162" s="1">
        <v>1415</v>
      </c>
      <c r="P162" s="1">
        <v>22</v>
      </c>
      <c r="Q162" s="1" t="s">
        <v>42</v>
      </c>
      <c r="S162" s="1" t="s">
        <v>42</v>
      </c>
      <c r="T162" s="1" t="s">
        <v>43</v>
      </c>
      <c r="U162" s="1">
        <v>22</v>
      </c>
      <c r="V162" s="5">
        <v>44420</v>
      </c>
      <c r="W162" s="5">
        <v>44405</v>
      </c>
      <c r="X162" s="1">
        <v>2300000</v>
      </c>
      <c r="AB162" s="1" t="s">
        <v>44</v>
      </c>
      <c r="AF162" s="1">
        <v>10002</v>
      </c>
      <c r="AI162" s="1" t="s">
        <v>113</v>
      </c>
      <c r="AJ162" s="1">
        <v>2019</v>
      </c>
      <c r="AK162" s="1" t="s">
        <v>73</v>
      </c>
      <c r="AL162" s="1">
        <v>787</v>
      </c>
    </row>
    <row r="163" spans="1:38" x14ac:dyDescent="0.2">
      <c r="A163" s="2" t="str">
        <f>HYPERLINK("https://www.compass.com/listing/200-east-59th-street-unit-14c-manhattan-ny-10022/768768670797080745/","200 E 59th St, Unit 14C")</f>
        <v>200 E 59th St, Unit 14C</v>
      </c>
      <c r="B163" s="2" t="str">
        <f t="shared" ref="B163:B164" si="30">HYPERLINK("https://www.compass.com/building/200-east-59th-street-manhattan-ny/292859303948266645/","200 East 59th Street")</f>
        <v>200 East 59th Street</v>
      </c>
      <c r="C163" s="1" t="s">
        <v>64</v>
      </c>
      <c r="D163" s="1" t="s">
        <v>41</v>
      </c>
      <c r="E163" s="3">
        <v>2257500</v>
      </c>
      <c r="F163" s="1">
        <v>2310.6448311156601</v>
      </c>
      <c r="G163" s="1">
        <v>3</v>
      </c>
      <c r="H163" s="1">
        <v>1</v>
      </c>
      <c r="I163" s="1">
        <v>2</v>
      </c>
      <c r="J163" s="1">
        <v>1.5</v>
      </c>
      <c r="K163" s="1">
        <v>1</v>
      </c>
      <c r="L163" s="1">
        <v>1</v>
      </c>
      <c r="M163" s="1">
        <v>977</v>
      </c>
      <c r="N163" s="1">
        <v>1673</v>
      </c>
      <c r="O163" s="1">
        <v>3560</v>
      </c>
      <c r="P163" s="1">
        <v>1887</v>
      </c>
      <c r="Q163" s="1" t="s">
        <v>42</v>
      </c>
      <c r="S163" s="1" t="s">
        <v>42</v>
      </c>
      <c r="T163" s="1" t="s">
        <v>43</v>
      </c>
      <c r="U163" s="1">
        <v>119</v>
      </c>
      <c r="V163" s="5">
        <v>44421</v>
      </c>
      <c r="W163" s="5">
        <v>44308</v>
      </c>
      <c r="X163" s="1">
        <v>1</v>
      </c>
      <c r="AB163" s="1" t="s">
        <v>44</v>
      </c>
      <c r="AF163" s="1">
        <v>10022</v>
      </c>
      <c r="AI163" s="1" t="s">
        <v>85</v>
      </c>
      <c r="AJ163" s="1">
        <v>2018</v>
      </c>
      <c r="AK163" s="1" t="s">
        <v>46</v>
      </c>
      <c r="AL163" s="1">
        <v>67</v>
      </c>
    </row>
    <row r="164" spans="1:38" x14ac:dyDescent="0.2">
      <c r="A164" s="2" t="str">
        <f>HYPERLINK("https://www.compass.com/listing/200-east-59th-street-unit-16b-manhattan-ny-10022/769599208141591729/","200 E 59th St, Unit 16B")</f>
        <v>200 E 59th St, Unit 16B</v>
      </c>
      <c r="B164" s="2" t="str">
        <f t="shared" si="30"/>
        <v>200 East 59th Street</v>
      </c>
      <c r="C164" s="1" t="s">
        <v>64</v>
      </c>
      <c r="D164" s="1" t="s">
        <v>41</v>
      </c>
      <c r="E164" s="3">
        <v>2094750</v>
      </c>
      <c r="F164" s="1">
        <v>2508.68263473053</v>
      </c>
      <c r="G164" s="1">
        <v>3</v>
      </c>
      <c r="H164" s="1">
        <v>1</v>
      </c>
      <c r="I164" s="1">
        <v>2</v>
      </c>
      <c r="J164" s="1">
        <v>1.5</v>
      </c>
      <c r="K164" s="1">
        <v>1</v>
      </c>
      <c r="L164" s="1">
        <v>1</v>
      </c>
      <c r="M164" s="1">
        <v>835</v>
      </c>
      <c r="N164" s="1">
        <v>1408</v>
      </c>
      <c r="O164" s="1">
        <v>2996</v>
      </c>
      <c r="P164" s="1">
        <v>1588</v>
      </c>
      <c r="Q164" s="1" t="s">
        <v>42</v>
      </c>
      <c r="S164" s="1" t="s">
        <v>42</v>
      </c>
      <c r="T164" s="1" t="s">
        <v>43</v>
      </c>
      <c r="U164" s="1">
        <v>119</v>
      </c>
      <c r="V164" s="5">
        <v>44421</v>
      </c>
      <c r="W164" s="5">
        <v>44308</v>
      </c>
      <c r="X164" s="1">
        <v>2094750</v>
      </c>
      <c r="AB164" s="1" t="s">
        <v>44</v>
      </c>
      <c r="AF164" s="1">
        <v>10022</v>
      </c>
      <c r="AI164" s="1" t="s">
        <v>85</v>
      </c>
      <c r="AJ164" s="1">
        <v>2018</v>
      </c>
      <c r="AK164" s="1" t="s">
        <v>46</v>
      </c>
      <c r="AL164" s="1">
        <v>67</v>
      </c>
    </row>
    <row r="165" spans="1:38" x14ac:dyDescent="0.2">
      <c r="A165" s="2" t="str">
        <f>HYPERLINK("https://www.compass.com/listing/2351-adam-clayton-powell-jr-boulevard-unit-413-manhattan-ny-10030/831104228397817777/","2351 Adam Clayton Powell Jr Blvd, Unit 413")</f>
        <v>2351 Adam Clayton Powell Jr Blvd, Unit 413</v>
      </c>
      <c r="B165" s="2" t="str">
        <f>HYPERLINK("https://www.compass.com/building/the-rennie-manhattan-ny/307439143554395509/","THE RENNIE")</f>
        <v>THE RENNIE</v>
      </c>
      <c r="C165" s="1" t="s">
        <v>61</v>
      </c>
      <c r="D165" s="1" t="s">
        <v>41</v>
      </c>
      <c r="E165" s="3">
        <v>920000</v>
      </c>
      <c r="F165" s="1">
        <v>1016.57458563535</v>
      </c>
      <c r="G165" s="1">
        <v>5</v>
      </c>
      <c r="H165" s="1">
        <v>2</v>
      </c>
      <c r="I165" s="1">
        <v>2</v>
      </c>
      <c r="J165" s="1">
        <v>2</v>
      </c>
      <c r="K165" s="1">
        <v>2</v>
      </c>
      <c r="M165" s="1">
        <v>905</v>
      </c>
      <c r="N165" s="1">
        <v>1028</v>
      </c>
      <c r="O165" s="1">
        <v>1045</v>
      </c>
      <c r="P165" s="1">
        <v>17</v>
      </c>
      <c r="Q165" s="1" t="s">
        <v>42</v>
      </c>
      <c r="S165" s="1" t="s">
        <v>42</v>
      </c>
      <c r="T165" s="1" t="s">
        <v>43</v>
      </c>
      <c r="U165" s="1">
        <v>29</v>
      </c>
      <c r="V165" s="5">
        <v>44420</v>
      </c>
      <c r="W165" s="5">
        <v>44398</v>
      </c>
      <c r="X165" s="1">
        <v>1</v>
      </c>
      <c r="AB165" s="1" t="s">
        <v>44</v>
      </c>
      <c r="AF165" s="1">
        <v>10030</v>
      </c>
      <c r="AI165" s="1" t="s">
        <v>45</v>
      </c>
      <c r="AJ165" s="1">
        <v>2018</v>
      </c>
      <c r="AK165" s="1" t="s">
        <v>77</v>
      </c>
      <c r="AL165" s="1">
        <v>106</v>
      </c>
    </row>
    <row r="166" spans="1:38" x14ac:dyDescent="0.2">
      <c r="A166" s="2" t="str">
        <f>HYPERLINK("https://www.compass.com/listing/200-east-59th-street-unit-5b-manhattan-ny-10022/456383607259558617/","200 E 59th St, Unit 5B")</f>
        <v>200 E 59th St, Unit 5B</v>
      </c>
      <c r="B166" s="2" t="str">
        <f>HYPERLINK("https://www.compass.com/building/200-east-59th-street-manhattan-ny/292859303948266645/","200 East 59th Street")</f>
        <v>200 East 59th Street</v>
      </c>
      <c r="C166" s="1" t="s">
        <v>64</v>
      </c>
      <c r="D166" s="1" t="s">
        <v>41</v>
      </c>
      <c r="E166" s="3">
        <v>1732500</v>
      </c>
      <c r="F166" s="1">
        <v>2074.8502994011901</v>
      </c>
      <c r="G166" s="1">
        <v>3</v>
      </c>
      <c r="H166" s="1">
        <v>1</v>
      </c>
      <c r="I166" s="1">
        <v>2</v>
      </c>
      <c r="J166" s="1">
        <v>1.5</v>
      </c>
      <c r="K166" s="1">
        <v>1</v>
      </c>
      <c r="L166" s="1">
        <v>1</v>
      </c>
      <c r="M166" s="1">
        <v>835</v>
      </c>
      <c r="N166" s="1">
        <v>1408</v>
      </c>
      <c r="O166" s="1">
        <v>2996</v>
      </c>
      <c r="P166" s="1">
        <v>1588</v>
      </c>
      <c r="Q166" s="1" t="s">
        <v>42</v>
      </c>
      <c r="S166" s="1" t="s">
        <v>42</v>
      </c>
      <c r="T166" s="1" t="s">
        <v>43</v>
      </c>
      <c r="U166" s="1">
        <v>966</v>
      </c>
      <c r="V166" s="5">
        <v>44427</v>
      </c>
      <c r="W166" s="5">
        <v>43367</v>
      </c>
      <c r="X166" s="1">
        <v>2200000</v>
      </c>
      <c r="AB166" s="1" t="s">
        <v>44</v>
      </c>
      <c r="AF166" s="1">
        <v>10022</v>
      </c>
      <c r="AI166" s="1" t="s">
        <v>116</v>
      </c>
      <c r="AJ166" s="1">
        <v>2018</v>
      </c>
      <c r="AK166" s="1" t="s">
        <v>46</v>
      </c>
      <c r="AL166" s="1">
        <v>67</v>
      </c>
    </row>
    <row r="167" spans="1:38" x14ac:dyDescent="0.2">
      <c r="A167" s="2" t="str">
        <f>HYPERLINK("https://www.compass.com/listing/252-south-street-unit-64a-manhattan-ny-10002/836283502263628841/","252 South St, Unit 64A")</f>
        <v>252 South St, Unit 64A</v>
      </c>
      <c r="B167" s="2" t="str">
        <f t="shared" ref="B167:B168" si="31">HYPERLINK("https://www.compass.com/building/one-manhattan-square-manhattan-ny/294844950218926165/","One Manhattan Square")</f>
        <v>One Manhattan Square</v>
      </c>
      <c r="C167" s="1" t="s">
        <v>66</v>
      </c>
      <c r="D167" s="1" t="s">
        <v>41</v>
      </c>
      <c r="E167" s="3">
        <v>3685000</v>
      </c>
      <c r="F167" s="1">
        <v>2210.55788842231</v>
      </c>
      <c r="G167" s="1">
        <v>5</v>
      </c>
      <c r="H167" s="1">
        <v>3</v>
      </c>
      <c r="I167" s="1">
        <v>3</v>
      </c>
      <c r="J167" s="1">
        <v>3</v>
      </c>
      <c r="K167" s="1">
        <v>3</v>
      </c>
      <c r="M167" s="4">
        <v>1667</v>
      </c>
      <c r="N167" s="1">
        <v>2276</v>
      </c>
      <c r="O167" s="1">
        <v>2312</v>
      </c>
      <c r="P167" s="1">
        <v>36</v>
      </c>
      <c r="Q167" s="1" t="s">
        <v>42</v>
      </c>
      <c r="S167" s="1" t="s">
        <v>42</v>
      </c>
      <c r="T167" s="1" t="s">
        <v>43</v>
      </c>
      <c r="U167" s="1">
        <v>22</v>
      </c>
      <c r="V167" s="5">
        <v>44426</v>
      </c>
      <c r="W167" s="5">
        <v>44405</v>
      </c>
      <c r="X167" s="1">
        <v>3685000</v>
      </c>
      <c r="AB167" s="1" t="s">
        <v>44</v>
      </c>
      <c r="AF167" s="1">
        <v>10002</v>
      </c>
      <c r="AI167" s="1" t="s">
        <v>113</v>
      </c>
      <c r="AJ167" s="1">
        <v>2019</v>
      </c>
      <c r="AK167" s="1" t="s">
        <v>73</v>
      </c>
      <c r="AL167" s="1">
        <v>787</v>
      </c>
    </row>
    <row r="168" spans="1:38" x14ac:dyDescent="0.2">
      <c r="A168" s="2" t="str">
        <f>HYPERLINK("https://www.compass.com/listing/252-south-street-unit-58d-manhattan-ny-10002/836271401722133305/","252 South St, Unit 58D")</f>
        <v>252 South St, Unit 58D</v>
      </c>
      <c r="B168" s="2" t="str">
        <f t="shared" si="31"/>
        <v>One Manhattan Square</v>
      </c>
      <c r="C168" s="1" t="s">
        <v>66</v>
      </c>
      <c r="D168" s="1" t="s">
        <v>41</v>
      </c>
      <c r="E168" s="3">
        <v>2580000</v>
      </c>
      <c r="F168" s="1">
        <v>2205.1282051282001</v>
      </c>
      <c r="G168" s="1">
        <v>4</v>
      </c>
      <c r="H168" s="1">
        <v>2</v>
      </c>
      <c r="I168" s="1">
        <v>2</v>
      </c>
      <c r="J168" s="1">
        <v>2</v>
      </c>
      <c r="K168" s="1">
        <v>2</v>
      </c>
      <c r="M168" s="4">
        <v>1170</v>
      </c>
      <c r="N168" s="1">
        <v>1554</v>
      </c>
      <c r="O168" s="1">
        <v>1579</v>
      </c>
      <c r="P168" s="1">
        <v>25</v>
      </c>
      <c r="Q168" s="1" t="s">
        <v>42</v>
      </c>
      <c r="S168" s="1" t="s">
        <v>42</v>
      </c>
      <c r="T168" s="1" t="s">
        <v>43</v>
      </c>
      <c r="U168" s="1">
        <v>22</v>
      </c>
      <c r="V168" s="5">
        <v>44420</v>
      </c>
      <c r="W168" s="5">
        <v>44405</v>
      </c>
      <c r="X168" s="1">
        <v>2580000</v>
      </c>
      <c r="AB168" s="1" t="s">
        <v>44</v>
      </c>
      <c r="AF168" s="1">
        <v>10002</v>
      </c>
      <c r="AI168" s="1" t="s">
        <v>127</v>
      </c>
      <c r="AJ168" s="1">
        <v>2019</v>
      </c>
      <c r="AK168" s="1" t="s">
        <v>73</v>
      </c>
      <c r="AL168" s="1">
        <v>787</v>
      </c>
    </row>
    <row r="169" spans="1:38" x14ac:dyDescent="0.2">
      <c r="A169" s="2" t="str">
        <f>HYPERLINK("https://www.compass.com/listing/30-riverside-boulevard-unit-33d-manhattan-ny-10069/756712042104003473/","30 Riverside Blvd, Unit 33D")</f>
        <v>30 Riverside Blvd, Unit 33D</v>
      </c>
      <c r="B169" s="2" t="str">
        <f>HYPERLINK("https://www.compass.com/building/two-waterline-square-manhattan-ny/282058630956612773/","Two Waterline Square")</f>
        <v>Two Waterline Square</v>
      </c>
      <c r="C169" s="1" t="s">
        <v>50</v>
      </c>
      <c r="D169" s="1" t="s">
        <v>41</v>
      </c>
      <c r="E169" s="3">
        <v>3995000</v>
      </c>
      <c r="F169" s="1">
        <v>2679.4097920858399</v>
      </c>
      <c r="G169" s="1">
        <v>4.5</v>
      </c>
      <c r="H169" s="1">
        <v>2</v>
      </c>
      <c r="I169" s="1">
        <v>3</v>
      </c>
      <c r="J169" s="1">
        <v>2.5</v>
      </c>
      <c r="K169" s="1">
        <v>2</v>
      </c>
      <c r="L169" s="1">
        <v>1</v>
      </c>
      <c r="M169" s="4">
        <v>1491</v>
      </c>
      <c r="N169" s="1">
        <v>2067</v>
      </c>
      <c r="O169" s="1">
        <v>2177</v>
      </c>
      <c r="P169" s="1">
        <v>110</v>
      </c>
      <c r="Q169" s="1" t="s">
        <v>42</v>
      </c>
      <c r="S169" s="1" t="s">
        <v>42</v>
      </c>
      <c r="T169" s="1" t="s">
        <v>43</v>
      </c>
      <c r="U169" s="1">
        <v>132</v>
      </c>
      <c r="V169" s="5">
        <v>44419</v>
      </c>
      <c r="W169" s="5">
        <v>44295</v>
      </c>
      <c r="X169" s="1">
        <v>3995000</v>
      </c>
      <c r="AB169" s="1" t="s">
        <v>44</v>
      </c>
      <c r="AF169" s="1">
        <v>10069</v>
      </c>
      <c r="AI169" s="1" t="s">
        <v>109</v>
      </c>
      <c r="AJ169" s="1">
        <v>2019</v>
      </c>
      <c r="AK169" s="1" t="s">
        <v>77</v>
      </c>
      <c r="AL169" s="1">
        <v>160</v>
      </c>
    </row>
    <row r="170" spans="1:38" x14ac:dyDescent="0.2">
      <c r="A170" s="2" t="str">
        <f>HYPERLINK("https://www.compass.com/listing/252-south-street-unit-64b-manhattan-ny-10002/836274187796784937/","252 South St, Unit 64B")</f>
        <v>252 South St, Unit 64B</v>
      </c>
      <c r="B170" s="2" t="str">
        <f>HYPERLINK("https://www.compass.com/building/one-manhattan-square-manhattan-ny/294844950218926165/","One Manhattan Square")</f>
        <v>One Manhattan Square</v>
      </c>
      <c r="C170" s="1" t="s">
        <v>66</v>
      </c>
      <c r="D170" s="1" t="s">
        <v>41</v>
      </c>
      <c r="E170" s="3">
        <v>2160000</v>
      </c>
      <c r="F170" s="1">
        <v>2088.9748549322999</v>
      </c>
      <c r="G170" s="1">
        <v>4</v>
      </c>
      <c r="H170" s="1">
        <v>2</v>
      </c>
      <c r="I170" s="1">
        <v>2</v>
      </c>
      <c r="J170" s="1">
        <v>2</v>
      </c>
      <c r="K170" s="1">
        <v>2</v>
      </c>
      <c r="M170" s="4">
        <v>1034</v>
      </c>
      <c r="N170" s="1">
        <v>1412</v>
      </c>
      <c r="O170" s="1">
        <v>1434</v>
      </c>
      <c r="P170" s="1">
        <v>22</v>
      </c>
      <c r="Q170" s="1" t="s">
        <v>42</v>
      </c>
      <c r="S170" s="1" t="s">
        <v>42</v>
      </c>
      <c r="T170" s="1" t="s">
        <v>43</v>
      </c>
      <c r="U170" s="1">
        <v>22</v>
      </c>
      <c r="V170" s="5">
        <v>44420</v>
      </c>
      <c r="W170" s="5">
        <v>44405</v>
      </c>
      <c r="X170" s="1">
        <v>2160000</v>
      </c>
      <c r="AB170" s="1" t="s">
        <v>44</v>
      </c>
      <c r="AF170" s="1">
        <v>10002</v>
      </c>
      <c r="AI170" s="1" t="s">
        <v>113</v>
      </c>
      <c r="AJ170" s="1">
        <v>2019</v>
      </c>
      <c r="AK170" s="1" t="s">
        <v>73</v>
      </c>
      <c r="AL170" s="1">
        <v>787</v>
      </c>
    </row>
    <row r="171" spans="1:38" x14ac:dyDescent="0.2">
      <c r="A171" s="2" t="str">
        <f>HYPERLINK("https://www.compass.com/listing/30-riverside-boulevard-unit-33g-manhattan-ny-10069/756666867612534393/","30 Riverside Blvd, Unit 33G")</f>
        <v>30 Riverside Blvd, Unit 33G</v>
      </c>
      <c r="B171" s="2" t="str">
        <f>HYPERLINK("https://www.compass.com/building/two-waterline-square-manhattan-ny/282058630956612773/","Two Waterline Square")</f>
        <v>Two Waterline Square</v>
      </c>
      <c r="C171" s="1" t="s">
        <v>50</v>
      </c>
      <c r="D171" s="1" t="s">
        <v>41</v>
      </c>
      <c r="E171" s="3">
        <v>3830000</v>
      </c>
      <c r="F171" s="1">
        <v>2699.0838618745502</v>
      </c>
      <c r="G171" s="1">
        <v>4</v>
      </c>
      <c r="H171" s="1">
        <v>2</v>
      </c>
      <c r="I171" s="1">
        <v>2</v>
      </c>
      <c r="J171" s="1">
        <v>2</v>
      </c>
      <c r="K171" s="1">
        <v>2</v>
      </c>
      <c r="M171" s="4">
        <v>1419</v>
      </c>
      <c r="N171" s="1">
        <v>1967</v>
      </c>
      <c r="O171" s="1">
        <v>2071</v>
      </c>
      <c r="P171" s="1">
        <v>104</v>
      </c>
      <c r="Q171" s="1" t="s">
        <v>42</v>
      </c>
      <c r="S171" s="1" t="s">
        <v>42</v>
      </c>
      <c r="T171" s="1" t="s">
        <v>43</v>
      </c>
      <c r="U171" s="1">
        <v>132</v>
      </c>
      <c r="V171" s="5">
        <v>44422</v>
      </c>
      <c r="W171" s="5">
        <v>44295</v>
      </c>
      <c r="X171" s="1">
        <v>3830000</v>
      </c>
      <c r="AB171" s="1" t="s">
        <v>44</v>
      </c>
      <c r="AF171" s="1">
        <v>10069</v>
      </c>
      <c r="AI171" s="1" t="s">
        <v>109</v>
      </c>
      <c r="AJ171" s="1">
        <v>2019</v>
      </c>
      <c r="AK171" s="1" t="s">
        <v>77</v>
      </c>
      <c r="AL171" s="1">
        <v>160</v>
      </c>
    </row>
    <row r="172" spans="1:38" x14ac:dyDescent="0.2">
      <c r="A172" s="2" t="str">
        <f>HYPERLINK("https://www.compass.com/listing/252-south-street-unit-39a-manhattan-ny-10002/836276694396487425/","252 South St, Unit 39A")</f>
        <v>252 South St, Unit 39A</v>
      </c>
      <c r="B172" s="2" t="str">
        <f>HYPERLINK("https://www.compass.com/building/one-manhattan-square-manhattan-ny/294844950218926165/","One Manhattan Square")</f>
        <v>One Manhattan Square</v>
      </c>
      <c r="C172" s="1" t="s">
        <v>66</v>
      </c>
      <c r="D172" s="1" t="s">
        <v>41</v>
      </c>
      <c r="E172" s="3">
        <v>2999000</v>
      </c>
      <c r="F172" s="1">
        <v>2578.6758383490901</v>
      </c>
      <c r="G172" s="1">
        <v>4</v>
      </c>
      <c r="H172" s="1">
        <v>2</v>
      </c>
      <c r="I172" s="1">
        <v>2</v>
      </c>
      <c r="J172" s="1">
        <v>2</v>
      </c>
      <c r="K172" s="1">
        <v>2</v>
      </c>
      <c r="M172" s="4">
        <v>1163</v>
      </c>
      <c r="N172" s="1">
        <v>1433</v>
      </c>
      <c r="O172" s="1">
        <v>1456</v>
      </c>
      <c r="P172" s="1">
        <v>23</v>
      </c>
      <c r="Q172" s="1" t="s">
        <v>42</v>
      </c>
      <c r="S172" s="1" t="s">
        <v>42</v>
      </c>
      <c r="T172" s="1" t="s">
        <v>43</v>
      </c>
      <c r="U172" s="1">
        <v>22</v>
      </c>
      <c r="V172" s="5">
        <v>44422</v>
      </c>
      <c r="W172" s="5">
        <v>44405</v>
      </c>
      <c r="X172" s="1">
        <v>3000000</v>
      </c>
      <c r="AB172" s="1" t="s">
        <v>44</v>
      </c>
      <c r="AF172" s="1">
        <v>10002</v>
      </c>
      <c r="AI172" s="1" t="s">
        <v>113</v>
      </c>
      <c r="AJ172" s="1">
        <v>2019</v>
      </c>
      <c r="AK172" s="1" t="s">
        <v>73</v>
      </c>
      <c r="AL172" s="1">
        <v>787</v>
      </c>
    </row>
    <row r="173" spans="1:38" x14ac:dyDescent="0.2">
      <c r="A173" s="2" t="str">
        <f>HYPERLINK("https://www.compass.com/listing/2351-adam-clayton-powell-jr-boulevard-unit-219-manhattan-ny-10030/831104243559988001/","2351 Adam Clayton Powell Jr Blvd, Unit 219")</f>
        <v>2351 Adam Clayton Powell Jr Blvd, Unit 219</v>
      </c>
      <c r="B173" s="2" t="str">
        <f>HYPERLINK("https://www.compass.com/building/the-rennie-manhattan-ny/307439143554395509/","THE RENNIE")</f>
        <v>THE RENNIE</v>
      </c>
      <c r="C173" s="1" t="s">
        <v>61</v>
      </c>
      <c r="D173" s="1" t="s">
        <v>41</v>
      </c>
      <c r="E173" s="3">
        <v>775000</v>
      </c>
      <c r="F173" s="1">
        <v>1245.9807073954901</v>
      </c>
      <c r="G173" s="1">
        <v>3</v>
      </c>
      <c r="H173" s="1">
        <v>1</v>
      </c>
      <c r="I173" s="1">
        <v>1</v>
      </c>
      <c r="J173" s="1">
        <v>1</v>
      </c>
      <c r="K173" s="1">
        <v>1</v>
      </c>
      <c r="M173" s="1">
        <v>622</v>
      </c>
      <c r="N173" s="1">
        <v>706</v>
      </c>
      <c r="O173" s="1">
        <v>723</v>
      </c>
      <c r="P173" s="1">
        <v>17</v>
      </c>
      <c r="Q173" s="1" t="s">
        <v>42</v>
      </c>
      <c r="S173" s="1" t="s">
        <v>42</v>
      </c>
      <c r="T173" s="1" t="s">
        <v>43</v>
      </c>
      <c r="U173" s="1">
        <v>29</v>
      </c>
      <c r="V173" s="5">
        <v>44420</v>
      </c>
      <c r="W173" s="5">
        <v>44398</v>
      </c>
      <c r="X173" s="1">
        <v>775000</v>
      </c>
      <c r="AB173" s="1" t="s">
        <v>44</v>
      </c>
      <c r="AF173" s="1">
        <v>10030</v>
      </c>
      <c r="AI173" s="1" t="s">
        <v>88</v>
      </c>
      <c r="AJ173" s="1">
        <v>2018</v>
      </c>
      <c r="AK173" s="1" t="s">
        <v>77</v>
      </c>
      <c r="AL173" s="1">
        <v>106</v>
      </c>
    </row>
    <row r="174" spans="1:38" x14ac:dyDescent="0.2">
      <c r="A174" s="2" t="str">
        <f>HYPERLINK("https://www.compass.com/listing/30-riverside-boulevard-unit-33a-manhattan-ny-10069/756652119139294665/","30 Riverside Blvd, Unit 33A")</f>
        <v>30 Riverside Blvd, Unit 33A</v>
      </c>
      <c r="B174" s="2" t="str">
        <f t="shared" ref="B174:B175" si="32">HYPERLINK("https://www.compass.com/building/two-waterline-square-manhattan-ny/282058630956612773/","Two Waterline Square")</f>
        <v>Two Waterline Square</v>
      </c>
      <c r="C174" s="1" t="s">
        <v>50</v>
      </c>
      <c r="D174" s="1" t="s">
        <v>41</v>
      </c>
      <c r="E174" s="3">
        <v>5965000</v>
      </c>
      <c r="F174" s="1">
        <v>3110.0104275286699</v>
      </c>
      <c r="G174" s="1">
        <v>5.5</v>
      </c>
      <c r="H174" s="1">
        <v>3</v>
      </c>
      <c r="I174" s="1">
        <v>4</v>
      </c>
      <c r="J174" s="1">
        <v>3.5</v>
      </c>
      <c r="K174" s="1">
        <v>3</v>
      </c>
      <c r="L174" s="1">
        <v>1</v>
      </c>
      <c r="M174" s="4">
        <v>1918</v>
      </c>
      <c r="N174" s="1">
        <v>1918</v>
      </c>
      <c r="O174" s="1">
        <v>2059</v>
      </c>
      <c r="P174" s="1">
        <v>141</v>
      </c>
      <c r="Q174" s="1" t="s">
        <v>42</v>
      </c>
      <c r="S174" s="1" t="s">
        <v>42</v>
      </c>
      <c r="T174" s="1" t="s">
        <v>43</v>
      </c>
      <c r="U174" s="1">
        <v>132</v>
      </c>
      <c r="V174" s="5">
        <v>44422</v>
      </c>
      <c r="W174" s="5">
        <v>44295</v>
      </c>
      <c r="X174" s="1">
        <v>5965000</v>
      </c>
      <c r="AB174" s="1" t="s">
        <v>44</v>
      </c>
      <c r="AF174" s="1">
        <v>10069</v>
      </c>
      <c r="AI174" s="1" t="s">
        <v>109</v>
      </c>
      <c r="AJ174" s="1">
        <v>2019</v>
      </c>
      <c r="AK174" s="1" t="s">
        <v>77</v>
      </c>
      <c r="AL174" s="1">
        <v>160</v>
      </c>
    </row>
    <row r="175" spans="1:38" x14ac:dyDescent="0.2">
      <c r="A175" s="2" t="str">
        <f>HYPERLINK("https://www.compass.com/listing/30-riverside-boulevard-unit-22p-manhattan-ny-10069/756652134750494929/","30 Riverside Blvd, Unit 22P")</f>
        <v>30 Riverside Blvd, Unit 22P</v>
      </c>
      <c r="B175" s="2" t="str">
        <f t="shared" si="32"/>
        <v>Two Waterline Square</v>
      </c>
      <c r="C175" s="1" t="s">
        <v>50</v>
      </c>
      <c r="D175" s="1" t="s">
        <v>41</v>
      </c>
      <c r="E175" s="3">
        <v>4800000</v>
      </c>
      <c r="F175" s="1">
        <v>2650.46935394809</v>
      </c>
      <c r="G175" s="1">
        <v>5</v>
      </c>
      <c r="H175" s="1">
        <v>3</v>
      </c>
      <c r="I175" s="1">
        <v>4</v>
      </c>
      <c r="J175" s="1">
        <v>3.5</v>
      </c>
      <c r="K175" s="1">
        <v>3</v>
      </c>
      <c r="L175" s="1">
        <v>1</v>
      </c>
      <c r="M175" s="4">
        <v>1811</v>
      </c>
      <c r="N175" s="1">
        <v>2381</v>
      </c>
      <c r="O175" s="1">
        <v>2507</v>
      </c>
      <c r="P175" s="1">
        <v>126</v>
      </c>
      <c r="Q175" s="1" t="s">
        <v>42</v>
      </c>
      <c r="S175" s="1" t="s">
        <v>42</v>
      </c>
      <c r="T175" s="1" t="s">
        <v>43</v>
      </c>
      <c r="U175" s="1">
        <v>132</v>
      </c>
      <c r="V175" s="5">
        <v>44359</v>
      </c>
      <c r="W175" s="5">
        <v>44295</v>
      </c>
      <c r="X175" s="1">
        <v>4800000</v>
      </c>
      <c r="AB175" s="1" t="s">
        <v>44</v>
      </c>
      <c r="AF175" s="1">
        <v>10069</v>
      </c>
      <c r="AI175" s="1" t="s">
        <v>109</v>
      </c>
      <c r="AJ175" s="1">
        <v>2019</v>
      </c>
      <c r="AK175" s="1" t="s">
        <v>77</v>
      </c>
      <c r="AL175" s="1">
        <v>160</v>
      </c>
    </row>
    <row r="176" spans="1:38" x14ac:dyDescent="0.2">
      <c r="A176" s="2" t="str">
        <f>HYPERLINK("https://www.compass.com/listing/252-south-street-unit-53c-manhattan-ny-10002/836275594498615097/","252 South St, Unit 53C")</f>
        <v>252 South St, Unit 53C</v>
      </c>
      <c r="B176" s="2" t="str">
        <f>HYPERLINK("https://www.compass.com/building/one-manhattan-square-manhattan-ny/294844950218926165/","One Manhattan Square")</f>
        <v>One Manhattan Square</v>
      </c>
      <c r="C176" s="1" t="s">
        <v>66</v>
      </c>
      <c r="D176" s="1" t="s">
        <v>41</v>
      </c>
      <c r="E176" s="3">
        <v>3460000</v>
      </c>
      <c r="F176" s="1">
        <v>2326.83254875588</v>
      </c>
      <c r="G176" s="1">
        <v>5</v>
      </c>
      <c r="H176" s="1">
        <v>3</v>
      </c>
      <c r="I176" s="1">
        <v>3</v>
      </c>
      <c r="J176" s="1">
        <v>3</v>
      </c>
      <c r="K176" s="1">
        <v>3</v>
      </c>
      <c r="M176" s="4">
        <v>1487</v>
      </c>
      <c r="N176" s="1">
        <v>1943</v>
      </c>
      <c r="O176" s="1">
        <v>1974</v>
      </c>
      <c r="P176" s="1">
        <v>31</v>
      </c>
      <c r="Q176" s="1" t="s">
        <v>42</v>
      </c>
      <c r="S176" s="1" t="s">
        <v>42</v>
      </c>
      <c r="T176" s="1" t="s">
        <v>43</v>
      </c>
      <c r="U176" s="1">
        <v>22</v>
      </c>
      <c r="V176" s="5">
        <v>44420</v>
      </c>
      <c r="W176" s="5">
        <v>44405</v>
      </c>
      <c r="X176" s="1">
        <v>3460000</v>
      </c>
      <c r="AB176" s="1" t="s">
        <v>44</v>
      </c>
      <c r="AF176" s="1">
        <v>10002</v>
      </c>
      <c r="AI176" s="1" t="s">
        <v>113</v>
      </c>
      <c r="AJ176" s="1">
        <v>2019</v>
      </c>
      <c r="AK176" s="1" t="s">
        <v>73</v>
      </c>
      <c r="AL176" s="1">
        <v>787</v>
      </c>
    </row>
    <row r="177" spans="1:38" x14ac:dyDescent="0.2">
      <c r="A177" s="2" t="str">
        <f>HYPERLINK("https://www.compass.com/listing/30-riverside-boulevard-unit-33c-manhattan-ny-10069/756712206260602145/","30 Riverside Blvd, Unit 33C")</f>
        <v>30 Riverside Blvd, Unit 33C</v>
      </c>
      <c r="B177" s="2" t="str">
        <f>HYPERLINK("https://www.compass.com/building/two-waterline-square-manhattan-ny/282058630956612773/","Two Waterline Square")</f>
        <v>Two Waterline Square</v>
      </c>
      <c r="C177" s="1" t="s">
        <v>50</v>
      </c>
      <c r="D177" s="1" t="s">
        <v>41</v>
      </c>
      <c r="E177" s="3">
        <v>4160000</v>
      </c>
      <c r="F177" s="1">
        <v>2651.3702995538501</v>
      </c>
      <c r="G177" s="1">
        <v>3.5</v>
      </c>
      <c r="H177" s="1">
        <v>2</v>
      </c>
      <c r="I177" s="1">
        <v>3</v>
      </c>
      <c r="J177" s="1">
        <v>2.5</v>
      </c>
      <c r="K177" s="1">
        <v>2</v>
      </c>
      <c r="L177" s="1">
        <v>1</v>
      </c>
      <c r="M177" s="4">
        <v>1569</v>
      </c>
      <c r="N177" s="1">
        <v>2175</v>
      </c>
      <c r="O177" s="1">
        <v>2290</v>
      </c>
      <c r="P177" s="1">
        <v>115</v>
      </c>
      <c r="Q177" s="1" t="s">
        <v>42</v>
      </c>
      <c r="S177" s="1" t="s">
        <v>42</v>
      </c>
      <c r="T177" s="1" t="s">
        <v>43</v>
      </c>
      <c r="U177" s="1">
        <v>132</v>
      </c>
      <c r="V177" s="5">
        <v>44419</v>
      </c>
      <c r="W177" s="5">
        <v>44295</v>
      </c>
      <c r="X177" s="1">
        <v>4160000</v>
      </c>
      <c r="AB177" s="1" t="s">
        <v>44</v>
      </c>
      <c r="AF177" s="1">
        <v>10069</v>
      </c>
      <c r="AI177" s="1" t="s">
        <v>109</v>
      </c>
      <c r="AJ177" s="1">
        <v>2019</v>
      </c>
      <c r="AK177" s="1" t="s">
        <v>77</v>
      </c>
      <c r="AL177" s="1">
        <v>160</v>
      </c>
    </row>
    <row r="178" spans="1:38" x14ac:dyDescent="0.2">
      <c r="A178" s="2" t="str">
        <f>HYPERLINK("https://www.compass.com/listing/555-main-street-unit-1401-manhattan-ny-10044/821920286741259537/","555 Main St, Unit 1401")</f>
        <v>555 Main St, Unit 1401</v>
      </c>
      <c r="B178" s="2" t="str">
        <f>HYPERLINK("https://www.compass.com/building/island-house-manhattan-ny/282034908468103317/","Island House")</f>
        <v>Island House</v>
      </c>
      <c r="C178" s="1" t="s">
        <v>128</v>
      </c>
      <c r="D178" s="1" t="s">
        <v>41</v>
      </c>
      <c r="E178" s="3">
        <v>551509</v>
      </c>
      <c r="G178" s="1">
        <v>3</v>
      </c>
      <c r="H178" s="1">
        <v>1</v>
      </c>
      <c r="I178" s="1">
        <v>1</v>
      </c>
      <c r="J178" s="1">
        <v>1</v>
      </c>
      <c r="K178" s="1">
        <v>1</v>
      </c>
      <c r="N178" s="1">
        <v>871</v>
      </c>
      <c r="O178" s="1">
        <v>871</v>
      </c>
      <c r="Q178" s="1" t="s">
        <v>129</v>
      </c>
      <c r="S178" s="1" t="s">
        <v>129</v>
      </c>
      <c r="T178" s="1" t="s">
        <v>43</v>
      </c>
      <c r="U178" s="1">
        <v>42</v>
      </c>
      <c r="V178" s="5">
        <v>44426</v>
      </c>
      <c r="W178" s="5">
        <v>44385</v>
      </c>
      <c r="X178" s="1">
        <v>551509</v>
      </c>
      <c r="AB178" s="1" t="s">
        <v>44</v>
      </c>
      <c r="AD178" s="1" t="s">
        <v>130</v>
      </c>
      <c r="AE178" s="1" t="s">
        <v>131</v>
      </c>
      <c r="AF178" s="1">
        <v>10044</v>
      </c>
      <c r="AI178" s="1" t="s">
        <v>132</v>
      </c>
      <c r="AJ178" s="1">
        <v>1975</v>
      </c>
      <c r="AK178" s="1" t="s">
        <v>77</v>
      </c>
      <c r="AL178" s="1">
        <v>400</v>
      </c>
    </row>
    <row r="179" spans="1:38" x14ac:dyDescent="0.2">
      <c r="A179" s="2" t="str">
        <f>HYPERLINK("https://www.compass.com/listing/30-riverside-boulevard-unit-37f-manhattan-ny-10069/756652099835976545/","30 Riverside Blvd, Unit 37F")</f>
        <v>30 Riverside Blvd, Unit 37F</v>
      </c>
      <c r="B179" s="2" t="str">
        <f t="shared" ref="B179:B181" si="33">HYPERLINK("https://www.compass.com/building/two-waterline-square-manhattan-ny/282058630956612773/","Two Waterline Square")</f>
        <v>Two Waterline Square</v>
      </c>
      <c r="C179" s="1" t="s">
        <v>50</v>
      </c>
      <c r="D179" s="1" t="s">
        <v>41</v>
      </c>
      <c r="E179" s="3">
        <v>9595000</v>
      </c>
      <c r="F179" s="1">
        <v>3314.3350604490502</v>
      </c>
      <c r="G179" s="1">
        <v>5.5</v>
      </c>
      <c r="H179" s="1">
        <v>3</v>
      </c>
      <c r="I179" s="1">
        <v>4</v>
      </c>
      <c r="J179" s="1">
        <v>3.5</v>
      </c>
      <c r="K179" s="1">
        <v>3</v>
      </c>
      <c r="L179" s="1">
        <v>1</v>
      </c>
      <c r="M179" s="4">
        <v>2895</v>
      </c>
      <c r="N179" s="1">
        <v>4286</v>
      </c>
      <c r="O179" s="1">
        <v>4514</v>
      </c>
      <c r="P179" s="1">
        <v>228</v>
      </c>
      <c r="Q179" s="1" t="s">
        <v>42</v>
      </c>
      <c r="S179" s="1" t="s">
        <v>42</v>
      </c>
      <c r="T179" s="1" t="s">
        <v>43</v>
      </c>
      <c r="U179" s="1">
        <v>132</v>
      </c>
      <c r="V179" s="5">
        <v>44422</v>
      </c>
      <c r="W179" s="5">
        <v>44295</v>
      </c>
      <c r="X179" s="1">
        <v>9595000</v>
      </c>
      <c r="AB179" s="1" t="s">
        <v>44</v>
      </c>
      <c r="AF179" s="1">
        <v>10069</v>
      </c>
      <c r="AI179" s="1" t="s">
        <v>133</v>
      </c>
      <c r="AJ179" s="1">
        <v>2019</v>
      </c>
      <c r="AK179" s="1" t="s">
        <v>77</v>
      </c>
      <c r="AL179" s="1">
        <v>160</v>
      </c>
    </row>
    <row r="180" spans="1:38" x14ac:dyDescent="0.2">
      <c r="A180" s="2" t="str">
        <f>HYPERLINK("https://www.compass.com/listing/30-riverside-boulevard-unit-24f-manhattan-ny-10069/756652157465650393/","30 Riverside Blvd, Unit 24F")</f>
        <v>30 Riverside Blvd, Unit 24F</v>
      </c>
      <c r="B180" s="2" t="str">
        <f t="shared" si="33"/>
        <v>Two Waterline Square</v>
      </c>
      <c r="C180" s="1" t="s">
        <v>50</v>
      </c>
      <c r="D180" s="1" t="s">
        <v>41</v>
      </c>
      <c r="E180" s="3">
        <v>6600000</v>
      </c>
      <c r="F180" s="1">
        <v>2691.68026101141</v>
      </c>
      <c r="G180" s="1">
        <v>6.5</v>
      </c>
      <c r="H180" s="1">
        <v>3</v>
      </c>
      <c r="I180" s="1">
        <v>4</v>
      </c>
      <c r="J180" s="1">
        <v>3.5</v>
      </c>
      <c r="K180" s="1">
        <v>3</v>
      </c>
      <c r="L180" s="1">
        <v>1</v>
      </c>
      <c r="M180" s="4">
        <v>2452</v>
      </c>
      <c r="N180" s="1">
        <v>3863</v>
      </c>
      <c r="O180" s="1">
        <v>4068</v>
      </c>
      <c r="P180" s="1">
        <v>205</v>
      </c>
      <c r="Q180" s="1" t="s">
        <v>42</v>
      </c>
      <c r="S180" s="1" t="s">
        <v>42</v>
      </c>
      <c r="T180" s="1" t="s">
        <v>43</v>
      </c>
      <c r="U180" s="1">
        <v>132</v>
      </c>
      <c r="V180" s="5">
        <v>44418</v>
      </c>
      <c r="W180" s="5">
        <v>44295</v>
      </c>
      <c r="X180" s="1">
        <v>6600000</v>
      </c>
      <c r="AB180" s="1" t="s">
        <v>44</v>
      </c>
      <c r="AF180" s="1">
        <v>10069</v>
      </c>
      <c r="AI180" s="1" t="s">
        <v>133</v>
      </c>
      <c r="AJ180" s="1">
        <v>2019</v>
      </c>
      <c r="AK180" s="1" t="s">
        <v>77</v>
      </c>
      <c r="AL180" s="1">
        <v>160</v>
      </c>
    </row>
    <row r="181" spans="1:38" x14ac:dyDescent="0.2">
      <c r="A181" s="2" t="str">
        <f>HYPERLINK("https://www.compass.com/listing/30-riverside-boulevard-unit-30b-manhattan-ny-10069/687873499712557225/","30 Riverside Blvd, Unit 30B")</f>
        <v>30 Riverside Blvd, Unit 30B</v>
      </c>
      <c r="B181" s="2" t="str">
        <f t="shared" si="33"/>
        <v>Two Waterline Square</v>
      </c>
      <c r="C181" s="1" t="s">
        <v>50</v>
      </c>
      <c r="D181" s="1" t="s">
        <v>41</v>
      </c>
      <c r="E181" s="3">
        <v>5500000</v>
      </c>
      <c r="F181" s="1">
        <v>3017.0049369171602</v>
      </c>
      <c r="G181" s="1">
        <v>5</v>
      </c>
      <c r="H181" s="1">
        <v>3</v>
      </c>
      <c r="I181" s="1">
        <v>4</v>
      </c>
      <c r="J181" s="1">
        <v>3.5</v>
      </c>
      <c r="K181" s="1">
        <v>3</v>
      </c>
      <c r="L181" s="1">
        <v>1</v>
      </c>
      <c r="M181" s="4">
        <v>1823</v>
      </c>
      <c r="N181" s="1">
        <v>2492</v>
      </c>
      <c r="O181" s="1">
        <v>2624</v>
      </c>
      <c r="P181" s="1">
        <v>132</v>
      </c>
      <c r="Q181" s="1" t="s">
        <v>42</v>
      </c>
      <c r="S181" s="1" t="s">
        <v>42</v>
      </c>
      <c r="T181" s="1" t="s">
        <v>43</v>
      </c>
      <c r="U181" s="1">
        <v>227</v>
      </c>
      <c r="V181" s="5">
        <v>44419</v>
      </c>
      <c r="W181" s="5">
        <v>44200</v>
      </c>
      <c r="X181" s="1">
        <v>5500000</v>
      </c>
      <c r="AB181" s="1" t="s">
        <v>44</v>
      </c>
      <c r="AF181" s="1">
        <v>10069</v>
      </c>
      <c r="AI181" s="1" t="s">
        <v>109</v>
      </c>
      <c r="AJ181" s="1">
        <v>2019</v>
      </c>
      <c r="AK181" s="1" t="s">
        <v>77</v>
      </c>
      <c r="AL181" s="1">
        <v>160</v>
      </c>
    </row>
    <row r="182" spans="1:38" x14ac:dyDescent="0.2">
      <c r="A182" s="2" t="str">
        <f>HYPERLINK("https://www.compass.com/listing/555-main-street-unit-712a-manhattan-ny-10044/814642279530421241/","555 Main St, Unit 712A")</f>
        <v>555 Main St, Unit 712A</v>
      </c>
      <c r="B182" s="2" t="str">
        <f>HYPERLINK("https://www.compass.com/building/island-house-manhattan-ny/282034908468103317/","Island House")</f>
        <v>Island House</v>
      </c>
      <c r="C182" s="1" t="s">
        <v>128</v>
      </c>
      <c r="D182" s="1" t="s">
        <v>41</v>
      </c>
      <c r="E182" s="3">
        <v>1195000</v>
      </c>
      <c r="G182" s="1">
        <v>6</v>
      </c>
      <c r="H182" s="1">
        <v>3</v>
      </c>
      <c r="I182" s="1">
        <v>3</v>
      </c>
      <c r="J182" s="1">
        <v>2.5</v>
      </c>
      <c r="K182" s="1">
        <v>2</v>
      </c>
      <c r="L182" s="1">
        <v>1</v>
      </c>
      <c r="N182" s="1">
        <v>1489</v>
      </c>
      <c r="O182" s="1">
        <v>1489</v>
      </c>
      <c r="Q182" s="1" t="s">
        <v>129</v>
      </c>
      <c r="S182" s="1" t="s">
        <v>129</v>
      </c>
      <c r="T182" s="1" t="s">
        <v>43</v>
      </c>
      <c r="U182" s="1">
        <v>52</v>
      </c>
      <c r="V182" s="5">
        <v>44413</v>
      </c>
      <c r="W182" s="5">
        <v>44375</v>
      </c>
      <c r="X182" s="1">
        <v>1250000</v>
      </c>
      <c r="AB182" s="1" t="s">
        <v>44</v>
      </c>
      <c r="AF182" s="1">
        <v>10044</v>
      </c>
      <c r="AJ182" s="1">
        <v>1975</v>
      </c>
      <c r="AK182" s="1" t="s">
        <v>49</v>
      </c>
      <c r="AL182" s="1">
        <v>400</v>
      </c>
    </row>
    <row r="183" spans="1:38" x14ac:dyDescent="0.2">
      <c r="A183" s="2" t="str">
        <f>HYPERLINK("https://www.compass.com/listing/200-east-59th-street-unit-7c-manhattan-ny-10022/456383748783765169/","200 E 59th St, Unit 7C")</f>
        <v>200 E 59th St, Unit 7C</v>
      </c>
      <c r="B183" s="2" t="str">
        <f>HYPERLINK("https://www.compass.com/building/200-east-59th-street-manhattan-ny/292859303948266645/","200 East 59th Street")</f>
        <v>200 East 59th Street</v>
      </c>
      <c r="C183" s="1" t="s">
        <v>64</v>
      </c>
      <c r="D183" s="1" t="s">
        <v>41</v>
      </c>
      <c r="E183" s="3">
        <v>1942500</v>
      </c>
      <c r="F183" s="1">
        <v>1988.2292732855601</v>
      </c>
      <c r="G183" s="1">
        <v>3</v>
      </c>
      <c r="H183" s="1">
        <v>1</v>
      </c>
      <c r="I183" s="1">
        <v>2</v>
      </c>
      <c r="J183" s="1">
        <v>1.5</v>
      </c>
      <c r="K183" s="1">
        <v>1</v>
      </c>
      <c r="L183" s="1">
        <v>1</v>
      </c>
      <c r="M183" s="1">
        <v>977</v>
      </c>
      <c r="N183" s="1">
        <v>1673</v>
      </c>
      <c r="O183" s="1">
        <v>3560</v>
      </c>
      <c r="P183" s="1">
        <v>1887</v>
      </c>
      <c r="Q183" s="1" t="s">
        <v>42</v>
      </c>
      <c r="S183" s="1" t="s">
        <v>42</v>
      </c>
      <c r="T183" s="1" t="s">
        <v>43</v>
      </c>
      <c r="U183" s="1">
        <v>602</v>
      </c>
      <c r="V183" s="5">
        <v>44427</v>
      </c>
      <c r="W183" s="5">
        <v>43731</v>
      </c>
      <c r="X183" s="1">
        <v>2630000</v>
      </c>
      <c r="AB183" s="1" t="s">
        <v>44</v>
      </c>
      <c r="AF183" s="1">
        <v>10022</v>
      </c>
      <c r="AI183" s="1" t="s">
        <v>116</v>
      </c>
      <c r="AJ183" s="1">
        <v>2018</v>
      </c>
      <c r="AK183" s="1" t="s">
        <v>46</v>
      </c>
      <c r="AL183" s="1">
        <v>67</v>
      </c>
    </row>
    <row r="184" spans="1:38" x14ac:dyDescent="0.2">
      <c r="A184" s="2" t="str">
        <f>HYPERLINK("https://www.compass.com/listing/252-south-street-unit-80b-manhattan-ny-10002/820684766846206041/","252 South St, Unit 80B")</f>
        <v>252 South St, Unit 80B</v>
      </c>
      <c r="B184" s="2" t="str">
        <f>HYPERLINK("https://www.compass.com/building/one-manhattan-square-manhattan-ny/294844950218926165/","One Manhattan Square")</f>
        <v>One Manhattan Square</v>
      </c>
      <c r="C184" s="1" t="s">
        <v>66</v>
      </c>
      <c r="D184" s="1" t="s">
        <v>41</v>
      </c>
      <c r="E184" s="3">
        <v>2900000</v>
      </c>
      <c r="F184" s="1">
        <v>966666.66666666605</v>
      </c>
      <c r="G184" s="1">
        <v>5</v>
      </c>
      <c r="H184" s="1">
        <v>2</v>
      </c>
      <c r="J184" s="1">
        <v>2</v>
      </c>
      <c r="M184" s="1">
        <v>3</v>
      </c>
      <c r="N184" s="1">
        <v>1550</v>
      </c>
      <c r="O184" s="1">
        <v>1575</v>
      </c>
      <c r="P184" s="1">
        <v>25</v>
      </c>
      <c r="S184" s="1" t="s">
        <v>42</v>
      </c>
      <c r="T184" s="1" t="s">
        <v>43</v>
      </c>
      <c r="U184" s="1">
        <v>43</v>
      </c>
      <c r="V184" s="5">
        <v>44384</v>
      </c>
      <c r="W184" s="5">
        <v>44384</v>
      </c>
      <c r="X184" s="1">
        <v>2900000</v>
      </c>
      <c r="AB184" s="1" t="s">
        <v>44</v>
      </c>
      <c r="AF184" s="1">
        <v>10002</v>
      </c>
      <c r="AI184" s="1" t="s">
        <v>134</v>
      </c>
      <c r="AJ184" s="1">
        <v>2019</v>
      </c>
      <c r="AK184" s="1" t="s">
        <v>46</v>
      </c>
      <c r="AL184" s="1">
        <v>787</v>
      </c>
    </row>
    <row r="185" spans="1:38" x14ac:dyDescent="0.2">
      <c r="A185" s="2" t="str">
        <f>HYPERLINK("https://www.compass.com/listing/200-east-59th-street-unit-25e-manhattan-ny-10022/769596354371032465/","200 E 59th St, Unit 25E")</f>
        <v>200 E 59th St, Unit 25E</v>
      </c>
      <c r="B185" s="2" t="str">
        <f>HYPERLINK("https://www.compass.com/building/200-east-59th-street-manhattan-ny/292859303948266645/","200 East 59th Street")</f>
        <v>200 East 59th Street</v>
      </c>
      <c r="C185" s="1" t="s">
        <v>64</v>
      </c>
      <c r="D185" s="1" t="s">
        <v>41</v>
      </c>
      <c r="E185" s="3">
        <v>5635000</v>
      </c>
      <c r="F185" s="1">
        <v>3276.1627906976701</v>
      </c>
      <c r="G185" s="1">
        <v>4</v>
      </c>
      <c r="H185" s="1">
        <v>2</v>
      </c>
      <c r="I185" s="1">
        <v>2</v>
      </c>
      <c r="J185" s="1">
        <v>2</v>
      </c>
      <c r="K185" s="1">
        <v>2</v>
      </c>
      <c r="M185" s="4">
        <v>1720</v>
      </c>
      <c r="N185" s="1">
        <v>3011</v>
      </c>
      <c r="O185" s="1">
        <v>6407</v>
      </c>
      <c r="P185" s="1">
        <v>3396</v>
      </c>
      <c r="Q185" s="1" t="s">
        <v>42</v>
      </c>
      <c r="S185" s="1" t="s">
        <v>42</v>
      </c>
      <c r="T185" s="1" t="s">
        <v>43</v>
      </c>
      <c r="U185" s="1">
        <v>119</v>
      </c>
      <c r="V185" s="5">
        <v>44421</v>
      </c>
      <c r="W185" s="5">
        <v>44308</v>
      </c>
      <c r="X185" s="1">
        <v>5635000</v>
      </c>
      <c r="AB185" s="1" t="s">
        <v>44</v>
      </c>
      <c r="AF185" s="1">
        <v>10022</v>
      </c>
      <c r="AI185" s="1" t="s">
        <v>135</v>
      </c>
      <c r="AJ185" s="1">
        <v>2018</v>
      </c>
      <c r="AK185" s="1" t="s">
        <v>46</v>
      </c>
      <c r="AL185" s="1">
        <v>67</v>
      </c>
    </row>
    <row r="186" spans="1:38" x14ac:dyDescent="0.2">
      <c r="A186" s="2" t="str">
        <f>HYPERLINK("https://www.compass.com/listing/252-east-57th-street-unit-44b-manhattan-ny-10022/740796362626623849/","252 E 57th St, Unit 44B")</f>
        <v>252 E 57th St, Unit 44B</v>
      </c>
      <c r="B186" s="2" t="str">
        <f>HYPERLINK("https://www.compass.com/building/252-e-57th-st-manhattan-ny-10022/281924023602945813/","252 E 57th St")</f>
        <v>252 E 57th St</v>
      </c>
      <c r="C186" s="1" t="s">
        <v>64</v>
      </c>
      <c r="D186" s="1" t="s">
        <v>41</v>
      </c>
      <c r="E186" s="3">
        <v>4475000</v>
      </c>
      <c r="F186" s="1">
        <v>2561.5340583858001</v>
      </c>
      <c r="G186" s="1">
        <v>4</v>
      </c>
      <c r="H186" s="1">
        <v>2</v>
      </c>
      <c r="I186" s="1">
        <v>3</v>
      </c>
      <c r="J186" s="1">
        <v>2.5</v>
      </c>
      <c r="K186" s="1">
        <v>2</v>
      </c>
      <c r="L186" s="1">
        <v>1</v>
      </c>
      <c r="M186" s="4">
        <v>1747</v>
      </c>
      <c r="N186" s="1">
        <v>3618</v>
      </c>
      <c r="O186" s="1">
        <v>5997</v>
      </c>
      <c r="P186" s="1">
        <v>2379</v>
      </c>
      <c r="Q186" s="1" t="s">
        <v>42</v>
      </c>
      <c r="S186" s="1" t="s">
        <v>42</v>
      </c>
      <c r="T186" s="1" t="s">
        <v>43</v>
      </c>
      <c r="U186" s="1">
        <v>154</v>
      </c>
      <c r="V186" s="5">
        <v>44418</v>
      </c>
      <c r="W186" s="5">
        <v>44273</v>
      </c>
      <c r="X186" s="1">
        <v>4475000</v>
      </c>
      <c r="AB186" s="1" t="s">
        <v>44</v>
      </c>
      <c r="AF186" s="1">
        <v>10022</v>
      </c>
      <c r="AI186" s="1" t="s">
        <v>84</v>
      </c>
      <c r="AJ186" s="1">
        <v>2016</v>
      </c>
      <c r="AK186" s="1" t="s">
        <v>73</v>
      </c>
      <c r="AL186" s="1">
        <v>95</v>
      </c>
    </row>
    <row r="187" spans="1:38" x14ac:dyDescent="0.2">
      <c r="A187" s="2" t="str">
        <f>HYPERLINK("https://www.compass.com/listing/200-east-59th-street-unit-14a-manhattan-ny-10022/768768703586704881/","200 E 59th St, Unit 14A")</f>
        <v>200 E 59th St, Unit 14A</v>
      </c>
      <c r="B187" s="2" t="str">
        <f t="shared" ref="B187:B188" si="34">HYPERLINK("https://www.compass.com/building/200-east-59th-street-manhattan-ny/292859303948266645/","200 East 59th Street")</f>
        <v>200 East 59th Street</v>
      </c>
      <c r="C187" s="1" t="s">
        <v>64</v>
      </c>
      <c r="D187" s="1" t="s">
        <v>41</v>
      </c>
      <c r="E187" s="3">
        <v>3688000</v>
      </c>
      <c r="F187" s="1">
        <v>2604.5197740112899</v>
      </c>
      <c r="G187" s="1">
        <v>4</v>
      </c>
      <c r="H187" s="1">
        <v>2</v>
      </c>
      <c r="I187" s="1">
        <v>3</v>
      </c>
      <c r="J187" s="1">
        <v>2.5</v>
      </c>
      <c r="K187" s="1">
        <v>2</v>
      </c>
      <c r="L187" s="1">
        <v>1</v>
      </c>
      <c r="M187" s="4">
        <v>1416</v>
      </c>
      <c r="N187" s="1">
        <v>2511</v>
      </c>
      <c r="O187" s="1">
        <v>5343</v>
      </c>
      <c r="P187" s="1">
        <v>2832</v>
      </c>
      <c r="Q187" s="1" t="s">
        <v>42</v>
      </c>
      <c r="S187" s="1" t="s">
        <v>42</v>
      </c>
      <c r="T187" s="1" t="s">
        <v>43</v>
      </c>
      <c r="U187" s="1">
        <v>119</v>
      </c>
      <c r="V187" s="5">
        <v>44421</v>
      </c>
      <c r="W187" s="5">
        <v>44308</v>
      </c>
      <c r="X187" s="1">
        <v>1</v>
      </c>
      <c r="AB187" s="1" t="s">
        <v>44</v>
      </c>
      <c r="AF187" s="1">
        <v>10022</v>
      </c>
      <c r="AI187" s="1" t="s">
        <v>136</v>
      </c>
      <c r="AJ187" s="1">
        <v>2018</v>
      </c>
      <c r="AK187" s="1" t="s">
        <v>46</v>
      </c>
      <c r="AL187" s="1">
        <v>67</v>
      </c>
    </row>
    <row r="188" spans="1:38" x14ac:dyDescent="0.2">
      <c r="A188" s="2" t="str">
        <f>HYPERLINK("https://www.compass.com/listing/200-east-59th-street-unit-5a-manhattan-ny-10022/465949918218375809/","200 E 59th St, Unit 5A")</f>
        <v>200 E 59th St, Unit 5A</v>
      </c>
      <c r="B188" s="2" t="str">
        <f t="shared" si="34"/>
        <v>200 East 59th Street</v>
      </c>
      <c r="C188" s="1" t="s">
        <v>64</v>
      </c>
      <c r="D188" s="1" t="s">
        <v>41</v>
      </c>
      <c r="E188" s="3">
        <v>3309000</v>
      </c>
      <c r="F188" s="1">
        <v>2336.8644067796599</v>
      </c>
      <c r="G188" s="1">
        <v>4</v>
      </c>
      <c r="H188" s="1">
        <v>2</v>
      </c>
      <c r="I188" s="1">
        <v>3</v>
      </c>
      <c r="J188" s="1">
        <v>2.5</v>
      </c>
      <c r="K188" s="1">
        <v>2</v>
      </c>
      <c r="L188" s="1">
        <v>1</v>
      </c>
      <c r="M188" s="4">
        <v>1416</v>
      </c>
      <c r="N188" s="1">
        <v>2511</v>
      </c>
      <c r="O188" s="1">
        <v>5343</v>
      </c>
      <c r="P188" s="1">
        <v>2832</v>
      </c>
      <c r="Q188" s="1" t="s">
        <v>42</v>
      </c>
      <c r="S188" s="1" t="s">
        <v>42</v>
      </c>
      <c r="T188" s="1" t="s">
        <v>43</v>
      </c>
      <c r="U188" s="1">
        <v>439</v>
      </c>
      <c r="V188" s="5">
        <v>44427</v>
      </c>
      <c r="W188" s="5">
        <v>43894</v>
      </c>
      <c r="X188" s="1">
        <v>3495000</v>
      </c>
      <c r="AB188" s="1" t="s">
        <v>44</v>
      </c>
      <c r="AF188" s="1">
        <v>10022</v>
      </c>
      <c r="AI188" s="1" t="s">
        <v>137</v>
      </c>
      <c r="AJ188" s="1">
        <v>2018</v>
      </c>
      <c r="AK188" s="1" t="s">
        <v>46</v>
      </c>
      <c r="AL188" s="1">
        <v>67</v>
      </c>
    </row>
    <row r="189" spans="1:38" x14ac:dyDescent="0.2">
      <c r="A189" s="2" t="str">
        <f>HYPERLINK("https://www.compass.com/listing/252-east-57th-street-unit-54a-manhattan-ny-10022/786303879460571249/","252 E 57th St, Unit 54A")</f>
        <v>252 E 57th St, Unit 54A</v>
      </c>
      <c r="B189" s="2" t="str">
        <f>HYPERLINK("https://www.compass.com/building/252-e-57th-st-manhattan-ny-10022/281924023602945813/","252 E 57th St")</f>
        <v>252 E 57th St</v>
      </c>
      <c r="C189" s="1" t="s">
        <v>64</v>
      </c>
      <c r="D189" s="1" t="s">
        <v>41</v>
      </c>
      <c r="E189" s="3">
        <v>7800000</v>
      </c>
      <c r="F189" s="1">
        <v>2975.9633727584801</v>
      </c>
      <c r="G189" s="1">
        <v>5</v>
      </c>
      <c r="H189" s="1">
        <v>3</v>
      </c>
      <c r="I189" s="1">
        <v>4</v>
      </c>
      <c r="J189" s="1">
        <v>3.5</v>
      </c>
      <c r="K189" s="1">
        <v>3</v>
      </c>
      <c r="L189" s="1">
        <v>1</v>
      </c>
      <c r="M189" s="4">
        <v>2621</v>
      </c>
      <c r="N189" s="1">
        <v>5499</v>
      </c>
      <c r="O189" s="1">
        <v>9115</v>
      </c>
      <c r="P189" s="1">
        <v>3616</v>
      </c>
      <c r="Q189" s="1" t="s">
        <v>42</v>
      </c>
      <c r="S189" s="1" t="s">
        <v>42</v>
      </c>
      <c r="T189" s="1" t="s">
        <v>43</v>
      </c>
      <c r="U189" s="1">
        <v>91</v>
      </c>
      <c r="V189" s="5">
        <v>44427</v>
      </c>
      <c r="W189" s="5">
        <v>44336</v>
      </c>
      <c r="X189" s="1">
        <v>7800000</v>
      </c>
      <c r="AB189" s="1" t="s">
        <v>44</v>
      </c>
      <c r="AF189" s="1">
        <v>10022</v>
      </c>
      <c r="AI189" s="1" t="s">
        <v>138</v>
      </c>
      <c r="AJ189" s="1">
        <v>2016</v>
      </c>
      <c r="AK189" s="1" t="s">
        <v>98</v>
      </c>
      <c r="AL189" s="1">
        <v>95</v>
      </c>
    </row>
    <row r="190" spans="1:38" x14ac:dyDescent="0.2">
      <c r="A190" s="2" t="str">
        <f>HYPERLINK("https://www.compass.com/listing/200-east-59th-street-unit-19d-manhattan-ny-10022/465919597720730825/","200 E 59th St, Unit 19D")</f>
        <v>200 E 59th St, Unit 19D</v>
      </c>
      <c r="B190" s="2" t="str">
        <f t="shared" ref="B190:B192" si="35">HYPERLINK("https://www.compass.com/building/200-east-59th-street-manhattan-ny/292859303948266645/","200 East 59th Street")</f>
        <v>200 East 59th Street</v>
      </c>
      <c r="C190" s="1" t="s">
        <v>64</v>
      </c>
      <c r="D190" s="1" t="s">
        <v>41</v>
      </c>
      <c r="E190" s="3">
        <v>3782000</v>
      </c>
      <c r="F190" s="1">
        <v>2483.2567301378799</v>
      </c>
      <c r="G190" s="1">
        <v>4</v>
      </c>
      <c r="H190" s="1">
        <v>2</v>
      </c>
      <c r="I190" s="1">
        <v>3</v>
      </c>
      <c r="J190" s="1">
        <v>2.5</v>
      </c>
      <c r="K190" s="1">
        <v>2</v>
      </c>
      <c r="L190" s="1">
        <v>1</v>
      </c>
      <c r="M190" s="4">
        <v>1523</v>
      </c>
      <c r="N190" s="1">
        <v>2605</v>
      </c>
      <c r="O190" s="1">
        <v>5543</v>
      </c>
      <c r="P190" s="1">
        <v>2938</v>
      </c>
      <c r="Q190" s="1" t="s">
        <v>42</v>
      </c>
      <c r="S190" s="1" t="s">
        <v>42</v>
      </c>
      <c r="T190" s="1" t="s">
        <v>43</v>
      </c>
      <c r="U190" s="1">
        <v>439</v>
      </c>
      <c r="V190" s="5">
        <v>44427</v>
      </c>
      <c r="W190" s="5">
        <v>43894</v>
      </c>
      <c r="X190" s="1">
        <v>3995000</v>
      </c>
      <c r="AB190" s="1" t="s">
        <v>44</v>
      </c>
      <c r="AF190" s="1">
        <v>10022</v>
      </c>
      <c r="AI190" s="1" t="s">
        <v>116</v>
      </c>
      <c r="AJ190" s="1">
        <v>2018</v>
      </c>
      <c r="AK190" s="1" t="s">
        <v>46</v>
      </c>
      <c r="AL190" s="1">
        <v>67</v>
      </c>
    </row>
    <row r="191" spans="1:38" x14ac:dyDescent="0.2">
      <c r="A191" s="2" t="str">
        <f>HYPERLINK("https://www.compass.com/listing/200-east-59th-street-unit-19e-manhattan-ny-10022/465919642448382953/","200 E 59th St, Unit 19E")</f>
        <v>200 E 59th St, Unit 19E</v>
      </c>
      <c r="B191" s="2" t="str">
        <f t="shared" si="35"/>
        <v>200 East 59th Street</v>
      </c>
      <c r="C191" s="1" t="s">
        <v>64</v>
      </c>
      <c r="D191" s="1" t="s">
        <v>41</v>
      </c>
      <c r="E191" s="3">
        <v>4729000</v>
      </c>
      <c r="F191" s="1">
        <v>2749.41860465116</v>
      </c>
      <c r="G191" s="1">
        <v>5</v>
      </c>
      <c r="H191" s="1">
        <v>2</v>
      </c>
      <c r="I191" s="1">
        <v>3</v>
      </c>
      <c r="J191" s="1">
        <v>2.5</v>
      </c>
      <c r="K191" s="1">
        <v>2</v>
      </c>
      <c r="L191" s="1">
        <v>1</v>
      </c>
      <c r="M191" s="4">
        <v>1720</v>
      </c>
      <c r="N191" s="1">
        <v>3011</v>
      </c>
      <c r="O191" s="1">
        <v>6407</v>
      </c>
      <c r="P191" s="1">
        <v>3396</v>
      </c>
      <c r="Q191" s="1" t="s">
        <v>42</v>
      </c>
      <c r="S191" s="1" t="s">
        <v>42</v>
      </c>
      <c r="T191" s="1" t="s">
        <v>43</v>
      </c>
      <c r="U191" s="1">
        <v>439</v>
      </c>
      <c r="V191" s="5">
        <v>44427</v>
      </c>
      <c r="W191" s="5">
        <v>43894</v>
      </c>
      <c r="X191" s="1">
        <v>4995000</v>
      </c>
      <c r="AB191" s="1" t="s">
        <v>44</v>
      </c>
      <c r="AF191" s="1">
        <v>10022</v>
      </c>
      <c r="AI191" s="1" t="s">
        <v>137</v>
      </c>
      <c r="AJ191" s="1">
        <v>2018</v>
      </c>
      <c r="AK191" s="1" t="s">
        <v>46</v>
      </c>
      <c r="AL191" s="1">
        <v>67</v>
      </c>
    </row>
    <row r="192" spans="1:38" x14ac:dyDescent="0.2">
      <c r="A192" s="2" t="str">
        <f>HYPERLINK("https://www.compass.com/listing/200-east-59th-street-unit-ph34-manhattan-ny-10022/768768268578543929/","200 E 59th St, Unit PH34")</f>
        <v>200 E 59th St, Unit PH34</v>
      </c>
      <c r="B192" s="2" t="str">
        <f t="shared" si="35"/>
        <v>200 East 59th Street</v>
      </c>
      <c r="C192" s="1" t="s">
        <v>64</v>
      </c>
      <c r="D192" s="1" t="s">
        <v>41</v>
      </c>
      <c r="E192" s="3">
        <v>17960000</v>
      </c>
      <c r="F192" s="1">
        <v>4694.1975953998899</v>
      </c>
      <c r="G192" s="1">
        <v>7</v>
      </c>
      <c r="H192" s="1">
        <v>3</v>
      </c>
      <c r="I192" s="1">
        <v>4</v>
      </c>
      <c r="J192" s="1">
        <v>3.5</v>
      </c>
      <c r="K192" s="1">
        <v>3</v>
      </c>
      <c r="L192" s="1">
        <v>1</v>
      </c>
      <c r="M192" s="4">
        <v>3826</v>
      </c>
      <c r="N192" s="1">
        <v>7591</v>
      </c>
      <c r="O192" s="1">
        <v>16149</v>
      </c>
      <c r="P192" s="1">
        <v>8558</v>
      </c>
      <c r="Q192" s="1" t="s">
        <v>42</v>
      </c>
      <c r="S192" s="1" t="s">
        <v>42</v>
      </c>
      <c r="T192" s="1" t="s">
        <v>43</v>
      </c>
      <c r="U192" s="1">
        <v>119</v>
      </c>
      <c r="V192" s="5">
        <v>44421</v>
      </c>
      <c r="W192" s="5">
        <v>44308</v>
      </c>
      <c r="X192" s="1">
        <v>1</v>
      </c>
      <c r="AB192" s="1" t="s">
        <v>44</v>
      </c>
      <c r="AF192" s="1">
        <v>10022</v>
      </c>
      <c r="AI192" s="1" t="s">
        <v>135</v>
      </c>
      <c r="AJ192" s="1">
        <v>2018</v>
      </c>
      <c r="AK192" s="1" t="s">
        <v>46</v>
      </c>
      <c r="AL192" s="1">
        <v>67</v>
      </c>
    </row>
    <row r="193" spans="1:38" x14ac:dyDescent="0.2">
      <c r="A193" s="2" t="str">
        <f>HYPERLINK("https://www.compass.com/listing/551-main-street-unit-208-manhattan-ny-10044/688243398494550185/","551 Main St, Unit 208")</f>
        <v>551 Main St, Unit 208</v>
      </c>
      <c r="B193" s="2" t="str">
        <f>HYPERLINK("https://www.compass.com/building/island-house-manhattan-ny/282059863998105557/","Island House")</f>
        <v>Island House</v>
      </c>
      <c r="C193" s="1" t="s">
        <v>128</v>
      </c>
      <c r="D193" s="1" t="s">
        <v>41</v>
      </c>
      <c r="E193" s="3">
        <v>899000</v>
      </c>
      <c r="F193" s="1">
        <v>761.21930567315803</v>
      </c>
      <c r="G193" s="1">
        <v>4</v>
      </c>
      <c r="H193" s="1">
        <v>2</v>
      </c>
      <c r="I193" s="1">
        <v>2</v>
      </c>
      <c r="J193" s="1">
        <v>2</v>
      </c>
      <c r="K193" s="1">
        <v>2</v>
      </c>
      <c r="M193" s="4">
        <v>1181</v>
      </c>
      <c r="N193" s="1">
        <v>1295</v>
      </c>
      <c r="O193" s="1">
        <v>1295</v>
      </c>
      <c r="Q193" s="1" t="s">
        <v>129</v>
      </c>
      <c r="S193" s="1" t="s">
        <v>129</v>
      </c>
      <c r="T193" s="1" t="s">
        <v>43</v>
      </c>
      <c r="U193" s="1">
        <v>225</v>
      </c>
      <c r="V193" s="5">
        <v>44421</v>
      </c>
      <c r="W193" s="5">
        <v>44202</v>
      </c>
      <c r="X193" s="1">
        <v>899000</v>
      </c>
      <c r="AB193" s="1" t="s">
        <v>44</v>
      </c>
      <c r="AF193" s="1">
        <v>10044</v>
      </c>
      <c r="AJ193" s="1">
        <v>1975</v>
      </c>
      <c r="AK193" s="1" t="s">
        <v>139</v>
      </c>
      <c r="AL193" s="1">
        <v>400</v>
      </c>
    </row>
    <row r="194" spans="1:38" x14ac:dyDescent="0.2">
      <c r="A194" s="2" t="str">
        <f>HYPERLINK("https://www.compass.com/listing/2351-adam-clayton-powell-jr-boulevard-unit-417-manhattan-ny-10030/607156091643875185/","2351 Adam Clayton Powell Jr Blvd, Unit 417")</f>
        <v>2351 Adam Clayton Powell Jr Blvd, Unit 417</v>
      </c>
      <c r="B194" s="2" t="str">
        <f>HYPERLINK("https://www.compass.com/building/the-rennie-manhattan-ny/307439143554395509/","THE RENNIE")</f>
        <v>THE RENNIE</v>
      </c>
      <c r="C194" s="1" t="s">
        <v>61</v>
      </c>
      <c r="D194" s="1" t="s">
        <v>41</v>
      </c>
      <c r="E194" s="3">
        <v>545000</v>
      </c>
      <c r="F194" s="1">
        <v>951.13438045375199</v>
      </c>
      <c r="G194" s="1">
        <v>2</v>
      </c>
      <c r="H194" s="1" t="s">
        <v>97</v>
      </c>
      <c r="I194" s="1">
        <v>1</v>
      </c>
      <c r="J194" s="1">
        <v>1</v>
      </c>
      <c r="K194" s="1">
        <v>1</v>
      </c>
      <c r="M194" s="1">
        <v>573</v>
      </c>
      <c r="N194" s="1">
        <v>651</v>
      </c>
      <c r="O194" s="1">
        <v>661</v>
      </c>
      <c r="P194" s="1">
        <v>10</v>
      </c>
      <c r="Q194" s="1" t="s">
        <v>42</v>
      </c>
      <c r="S194" s="1" t="s">
        <v>42</v>
      </c>
      <c r="T194" s="1" t="s">
        <v>43</v>
      </c>
      <c r="U194" s="1">
        <v>338</v>
      </c>
      <c r="V194" s="5">
        <v>44420</v>
      </c>
      <c r="W194" s="5">
        <v>44089</v>
      </c>
      <c r="X194" s="1">
        <v>545000</v>
      </c>
      <c r="AB194" s="1" t="s">
        <v>44</v>
      </c>
      <c r="AF194" s="1">
        <v>10030</v>
      </c>
      <c r="AI194" s="1" t="s">
        <v>45</v>
      </c>
      <c r="AJ194" s="1">
        <v>2018</v>
      </c>
      <c r="AK194" s="1" t="s">
        <v>77</v>
      </c>
      <c r="AL194" s="1">
        <v>106</v>
      </c>
    </row>
    <row r="195" spans="1:38" x14ac:dyDescent="0.2">
      <c r="A195" s="2" t="str">
        <f>HYPERLINK("https://www.compass.com/listing/252-south-street-unit-58e-manhattan-ny-10002/821843894296872729/","252 South St, Unit 58E")</f>
        <v>252 South St, Unit 58E</v>
      </c>
      <c r="B195" s="2" t="str">
        <f>HYPERLINK("https://www.compass.com/building/one-manhattan-square-manhattan-ny/294844950218926165/","One Manhattan Square")</f>
        <v>One Manhattan Square</v>
      </c>
      <c r="C195" s="1" t="s">
        <v>66</v>
      </c>
      <c r="D195" s="1" t="s">
        <v>41</v>
      </c>
      <c r="E195" s="3">
        <v>2740000</v>
      </c>
      <c r="F195" s="1">
        <v>1957.1428571428501</v>
      </c>
      <c r="G195" s="1">
        <v>5</v>
      </c>
      <c r="H195" s="1">
        <v>3</v>
      </c>
      <c r="I195" s="1">
        <v>2</v>
      </c>
      <c r="J195" s="1">
        <v>2</v>
      </c>
      <c r="K195" s="1">
        <v>2</v>
      </c>
      <c r="M195" s="4">
        <v>1400</v>
      </c>
      <c r="N195" s="1">
        <v>1859</v>
      </c>
      <c r="O195" s="1">
        <v>1888</v>
      </c>
      <c r="P195" s="1">
        <v>29</v>
      </c>
      <c r="Q195" s="1" t="s">
        <v>42</v>
      </c>
      <c r="S195" s="1" t="s">
        <v>42</v>
      </c>
      <c r="T195" s="1" t="s">
        <v>43</v>
      </c>
      <c r="U195" s="1">
        <v>42</v>
      </c>
      <c r="V195" s="5">
        <v>44415</v>
      </c>
      <c r="W195" s="5">
        <v>44385</v>
      </c>
      <c r="X195" s="1">
        <v>2740000</v>
      </c>
      <c r="AB195" s="1" t="s">
        <v>44</v>
      </c>
      <c r="AF195" s="1">
        <v>10002</v>
      </c>
      <c r="AI195" s="1" t="s">
        <v>113</v>
      </c>
      <c r="AJ195" s="1">
        <v>2019</v>
      </c>
      <c r="AK195" s="1" t="s">
        <v>73</v>
      </c>
      <c r="AL195" s="1">
        <v>787</v>
      </c>
    </row>
    <row r="196" spans="1:38" x14ac:dyDescent="0.2">
      <c r="A196" s="2" t="str">
        <f>HYPERLINK("https://www.compass.com/listing/555-main-street-unit-1115-manhattan-ny-10044/688294195047424361/","555 Main St, Unit 1115")</f>
        <v>555 Main St, Unit 1115</v>
      </c>
      <c r="B196" s="2" t="str">
        <f>HYPERLINK("https://www.compass.com/building/island-house-manhattan-ny/282034908468103317/","Island House")</f>
        <v>Island House</v>
      </c>
      <c r="C196" s="1" t="s">
        <v>128</v>
      </c>
      <c r="D196" s="1" t="s">
        <v>41</v>
      </c>
      <c r="E196" s="3">
        <v>1295000</v>
      </c>
      <c r="F196" s="1">
        <v>807.860262008733</v>
      </c>
      <c r="G196" s="1">
        <v>6</v>
      </c>
      <c r="H196" s="1">
        <v>3</v>
      </c>
      <c r="I196" s="1">
        <v>3</v>
      </c>
      <c r="J196" s="1">
        <v>2.5</v>
      </c>
      <c r="K196" s="1">
        <v>2</v>
      </c>
      <c r="L196" s="1">
        <v>1</v>
      </c>
      <c r="M196" s="4">
        <v>1603</v>
      </c>
      <c r="N196" s="1">
        <v>1692</v>
      </c>
      <c r="O196" s="1">
        <v>1692</v>
      </c>
      <c r="Q196" s="1" t="s">
        <v>129</v>
      </c>
      <c r="S196" s="1" t="s">
        <v>129</v>
      </c>
      <c r="T196" s="1" t="s">
        <v>43</v>
      </c>
      <c r="U196" s="1">
        <v>225</v>
      </c>
      <c r="V196" s="5">
        <v>44422</v>
      </c>
      <c r="W196" s="5">
        <v>44202</v>
      </c>
      <c r="X196" s="1">
        <v>1295000</v>
      </c>
      <c r="AB196" s="1" t="s">
        <v>44</v>
      </c>
      <c r="AF196" s="1">
        <v>10044</v>
      </c>
      <c r="AI196" s="1" t="s">
        <v>84</v>
      </c>
      <c r="AJ196" s="1">
        <v>1975</v>
      </c>
      <c r="AK196" s="1" t="s">
        <v>77</v>
      </c>
      <c r="AL196" s="1">
        <v>400</v>
      </c>
    </row>
    <row r="197" spans="1:38" x14ac:dyDescent="0.2">
      <c r="A197" s="2" t="str">
        <f>HYPERLINK("https://www.compass.com/listing/2351-adam-clayton-powell-jr-boulevard-unit-217-manhattan-ny-10030/340395080401287425/","2351 Adam Clayton Powell Jr Blvd, Unit 217")</f>
        <v>2351 Adam Clayton Powell Jr Blvd, Unit 217</v>
      </c>
      <c r="B197" s="2" t="str">
        <f>HYPERLINK("https://www.compass.com/building/the-rennie-manhattan-ny/307439143554395509/","THE RENNIE")</f>
        <v>THE RENNIE</v>
      </c>
      <c r="C197" s="1" t="s">
        <v>61</v>
      </c>
      <c r="D197" s="1" t="s">
        <v>41</v>
      </c>
      <c r="E197" s="3">
        <v>598000</v>
      </c>
      <c r="F197" s="1">
        <v>1043.6300174519999</v>
      </c>
      <c r="G197" s="1">
        <v>2.5</v>
      </c>
      <c r="H197" s="1" t="s">
        <v>97</v>
      </c>
      <c r="I197" s="1">
        <v>1</v>
      </c>
      <c r="J197" s="1">
        <v>1</v>
      </c>
      <c r="K197" s="1">
        <v>1</v>
      </c>
      <c r="M197" s="1">
        <v>573</v>
      </c>
      <c r="N197" s="1">
        <v>651</v>
      </c>
      <c r="O197" s="1">
        <v>664</v>
      </c>
      <c r="P197" s="1">
        <v>13</v>
      </c>
      <c r="Q197" s="1" t="s">
        <v>42</v>
      </c>
      <c r="S197" s="1" t="s">
        <v>42</v>
      </c>
      <c r="T197" s="1" t="s">
        <v>43</v>
      </c>
      <c r="U197" s="1">
        <v>612</v>
      </c>
      <c r="V197" s="5">
        <v>44420</v>
      </c>
      <c r="W197" s="5">
        <v>43721</v>
      </c>
      <c r="X197" s="1">
        <v>650000</v>
      </c>
      <c r="AB197" s="1" t="s">
        <v>44</v>
      </c>
      <c r="AF197" s="1">
        <v>10030</v>
      </c>
      <c r="AI197" s="1" t="s">
        <v>74</v>
      </c>
      <c r="AJ197" s="1">
        <v>2018</v>
      </c>
      <c r="AK197" s="1" t="s">
        <v>77</v>
      </c>
      <c r="AL197" s="1">
        <v>106</v>
      </c>
    </row>
    <row r="198" spans="1:38" x14ac:dyDescent="0.2">
      <c r="A198" s="2" t="str">
        <f>HYPERLINK("https://www.compass.com/listing/215-chrystie-street-unit-28west-manhattan-ny-10002/772337866779680185/","215 Chrystie St, Unit 28WEST")</f>
        <v>215 Chrystie St, Unit 28WEST</v>
      </c>
      <c r="B198" s="2" t="str">
        <f t="shared" ref="B198:B199" si="36">HYPERLINK("https://www.compass.com/building/215-chrystie-st-manhattan-ny-10002/281886398615655237/","215 Chrystie St")</f>
        <v>215 Chrystie St</v>
      </c>
      <c r="C198" s="1" t="s">
        <v>66</v>
      </c>
      <c r="D198" s="1" t="s">
        <v>41</v>
      </c>
      <c r="E198" s="3">
        <v>6450000</v>
      </c>
      <c r="F198" s="1">
        <v>3262.5189681335301</v>
      </c>
      <c r="G198" s="1">
        <v>4</v>
      </c>
      <c r="H198" s="1">
        <v>2</v>
      </c>
      <c r="I198" s="1">
        <v>3</v>
      </c>
      <c r="J198" s="1">
        <v>2.5</v>
      </c>
      <c r="K198" s="1">
        <v>2</v>
      </c>
      <c r="L198" s="1">
        <v>1</v>
      </c>
      <c r="M198" s="4">
        <v>1977</v>
      </c>
      <c r="N198" s="1">
        <v>3760</v>
      </c>
      <c r="O198" s="1">
        <v>7703</v>
      </c>
      <c r="Q198" s="1" t="s">
        <v>140</v>
      </c>
      <c r="S198" s="1" t="s">
        <v>141</v>
      </c>
      <c r="T198" s="1" t="s">
        <v>43</v>
      </c>
      <c r="U198" s="1">
        <v>110</v>
      </c>
      <c r="V198" s="5">
        <v>44427</v>
      </c>
      <c r="W198" s="5">
        <v>44317</v>
      </c>
      <c r="X198" s="1">
        <v>6450000</v>
      </c>
      <c r="AB198" s="1" t="s">
        <v>44</v>
      </c>
      <c r="AF198" s="1">
        <v>10002</v>
      </c>
      <c r="AI198" s="1" t="s">
        <v>142</v>
      </c>
      <c r="AJ198" s="1">
        <v>2016</v>
      </c>
      <c r="AK198" s="1" t="s">
        <v>49</v>
      </c>
      <c r="AL198" s="1">
        <v>11</v>
      </c>
    </row>
    <row r="199" spans="1:38" x14ac:dyDescent="0.2">
      <c r="A199" s="2" t="str">
        <f>HYPERLINK("https://www.compass.com/listing/215-chrystie-street-unit-28w-e-manhattan-ny-10002/772337572561588633/","215 Chrystie St, Unit 28W/E")</f>
        <v>215 Chrystie St, Unit 28W/E</v>
      </c>
      <c r="B199" s="2" t="str">
        <f t="shared" si="36"/>
        <v>215 Chrystie St</v>
      </c>
      <c r="C199" s="1" t="s">
        <v>66</v>
      </c>
      <c r="D199" s="1" t="s">
        <v>41</v>
      </c>
      <c r="E199" s="3">
        <v>13250000</v>
      </c>
      <c r="F199" s="1">
        <v>3139.8104265402799</v>
      </c>
      <c r="G199" s="1">
        <v>10</v>
      </c>
      <c r="H199" s="1">
        <v>5</v>
      </c>
      <c r="I199" s="1">
        <v>6</v>
      </c>
      <c r="J199" s="1">
        <v>5.5</v>
      </c>
      <c r="K199" s="1">
        <v>5</v>
      </c>
      <c r="L199" s="1">
        <v>1</v>
      </c>
      <c r="M199" s="4">
        <v>4220</v>
      </c>
      <c r="N199" s="1">
        <v>8024</v>
      </c>
      <c r="O199" s="1">
        <v>17860</v>
      </c>
      <c r="P199" s="1">
        <v>9836</v>
      </c>
      <c r="Q199" s="1" t="s">
        <v>42</v>
      </c>
      <c r="S199" s="1" t="s">
        <v>42</v>
      </c>
      <c r="T199" s="1" t="s">
        <v>43</v>
      </c>
      <c r="U199" s="1">
        <v>110</v>
      </c>
      <c r="V199" s="5">
        <v>44427</v>
      </c>
      <c r="W199" s="5">
        <v>44317</v>
      </c>
      <c r="X199" s="1">
        <v>13250000</v>
      </c>
      <c r="AB199" s="1" t="s">
        <v>44</v>
      </c>
      <c r="AF199" s="1">
        <v>10002</v>
      </c>
      <c r="AJ199" s="1">
        <v>2016</v>
      </c>
      <c r="AK199" s="1" t="s">
        <v>49</v>
      </c>
      <c r="AL199" s="1">
        <v>11</v>
      </c>
    </row>
    <row r="200" spans="1:38" x14ac:dyDescent="0.2">
      <c r="A200" s="2" t="str">
        <f>HYPERLINK("https://www.compass.com/listing/25-park-row-unit-21a-manhattan-ny-10038/719624547045037473/","25 Park Row, Unit 21A")</f>
        <v>25 Park Row, Unit 21A</v>
      </c>
      <c r="B200" s="2" t="str">
        <f t="shared" ref="B200:B209" si="37">HYPERLINK("https://www.compass.com/building/25-park-row-manhattan-ny-10038/292920743539264837/","25 Park Row")</f>
        <v>25 Park Row</v>
      </c>
      <c r="C200" s="1" t="s">
        <v>117</v>
      </c>
      <c r="D200" s="1" t="s">
        <v>41</v>
      </c>
      <c r="E200" s="3">
        <v>3050000</v>
      </c>
      <c r="F200" s="1">
        <v>1957.6379974326001</v>
      </c>
      <c r="G200" s="1">
        <v>4.5</v>
      </c>
      <c r="H200" s="1">
        <v>2</v>
      </c>
      <c r="I200" s="1">
        <v>3</v>
      </c>
      <c r="J200" s="1">
        <v>2.5</v>
      </c>
      <c r="K200" s="1">
        <v>2</v>
      </c>
      <c r="L200" s="1">
        <v>1</v>
      </c>
      <c r="M200" s="4">
        <v>1558</v>
      </c>
      <c r="N200" s="1">
        <v>3002.12</v>
      </c>
      <c r="O200" s="1">
        <v>5005.42</v>
      </c>
      <c r="P200" s="1">
        <v>2003.3333333333301</v>
      </c>
      <c r="Q200" s="1" t="s">
        <v>42</v>
      </c>
      <c r="S200" s="1" t="s">
        <v>42</v>
      </c>
      <c r="T200" s="1" t="s">
        <v>43</v>
      </c>
      <c r="U200" s="1">
        <v>183</v>
      </c>
      <c r="V200" s="5">
        <v>44415</v>
      </c>
      <c r="W200" s="5">
        <v>44244</v>
      </c>
      <c r="X200" s="1">
        <v>3050000</v>
      </c>
      <c r="AB200" s="1" t="s">
        <v>44</v>
      </c>
      <c r="AF200" s="1">
        <v>10038</v>
      </c>
      <c r="AI200" s="1" t="s">
        <v>143</v>
      </c>
      <c r="AJ200" s="1">
        <v>2019</v>
      </c>
      <c r="AK200" s="1" t="s">
        <v>77</v>
      </c>
      <c r="AL200" s="1">
        <v>110</v>
      </c>
    </row>
    <row r="201" spans="1:38" x14ac:dyDescent="0.2">
      <c r="A201" s="2" t="str">
        <f>HYPERLINK("https://www.compass.com/listing/25-park-row-unit-10a-manhattan-ny-10038/690087788910121321/","25 Park Row, Unit 10A")</f>
        <v>25 Park Row, Unit 10A</v>
      </c>
      <c r="B201" s="2" t="str">
        <f t="shared" si="37"/>
        <v>25 Park Row</v>
      </c>
      <c r="C201" s="1" t="s">
        <v>117</v>
      </c>
      <c r="D201" s="1" t="s">
        <v>41</v>
      </c>
      <c r="E201" s="3">
        <v>2815000</v>
      </c>
      <c r="F201" s="1">
        <v>1831.4899154196401</v>
      </c>
      <c r="G201" s="1">
        <v>4.5</v>
      </c>
      <c r="H201" s="1">
        <v>2</v>
      </c>
      <c r="I201" s="1">
        <v>3</v>
      </c>
      <c r="J201" s="1">
        <v>2.5</v>
      </c>
      <c r="K201" s="1">
        <v>2</v>
      </c>
      <c r="L201" s="1">
        <v>1</v>
      </c>
      <c r="M201" s="4">
        <v>1537</v>
      </c>
      <c r="N201" s="1">
        <v>2824</v>
      </c>
      <c r="O201" s="1">
        <v>4708.37</v>
      </c>
      <c r="P201" s="1">
        <v>1884.3333333333301</v>
      </c>
      <c r="Q201" s="1" t="s">
        <v>42</v>
      </c>
      <c r="S201" s="1" t="s">
        <v>42</v>
      </c>
      <c r="T201" s="1" t="s">
        <v>43</v>
      </c>
      <c r="U201" s="1">
        <v>224</v>
      </c>
      <c r="V201" s="5">
        <v>44415</v>
      </c>
      <c r="W201" s="5">
        <v>44203</v>
      </c>
      <c r="X201" s="1">
        <v>2815000</v>
      </c>
      <c r="AB201" s="1" t="s">
        <v>44</v>
      </c>
      <c r="AF201" s="1">
        <v>10038</v>
      </c>
      <c r="AI201" s="1" t="s">
        <v>144</v>
      </c>
      <c r="AJ201" s="1">
        <v>2019</v>
      </c>
      <c r="AK201" s="1" t="s">
        <v>77</v>
      </c>
      <c r="AL201" s="1">
        <v>110</v>
      </c>
    </row>
    <row r="202" spans="1:38" x14ac:dyDescent="0.2">
      <c r="A202" s="2" t="str">
        <f>HYPERLINK("https://www.compass.com/listing/25-park-row-unit-25a-manhattan-ny-10038/223044030731127297/","25 Park Row, Unit 25A")</f>
        <v>25 Park Row, Unit 25A</v>
      </c>
      <c r="B202" s="2" t="str">
        <f t="shared" si="37"/>
        <v>25 Park Row</v>
      </c>
      <c r="C202" s="1" t="s">
        <v>117</v>
      </c>
      <c r="D202" s="1" t="s">
        <v>41</v>
      </c>
      <c r="E202" s="3">
        <v>4170000</v>
      </c>
      <c r="F202" s="1">
        <v>2306.4159292035301</v>
      </c>
      <c r="G202" s="1">
        <v>5</v>
      </c>
      <c r="H202" s="1">
        <v>3</v>
      </c>
      <c r="I202" s="1">
        <v>3</v>
      </c>
      <c r="J202" s="1">
        <v>3</v>
      </c>
      <c r="K202" s="1">
        <v>3</v>
      </c>
      <c r="M202" s="4">
        <v>1808</v>
      </c>
      <c r="N202" s="1">
        <v>3652.06</v>
      </c>
      <c r="O202" s="1">
        <v>6088.82</v>
      </c>
      <c r="P202" s="1">
        <v>2436.75</v>
      </c>
      <c r="Q202" s="1" t="s">
        <v>42</v>
      </c>
      <c r="S202" s="1" t="s">
        <v>42</v>
      </c>
      <c r="T202" s="1" t="s">
        <v>43</v>
      </c>
      <c r="U202" s="1">
        <v>225</v>
      </c>
      <c r="V202" s="5">
        <v>44415</v>
      </c>
      <c r="W202" s="5">
        <v>44132</v>
      </c>
      <c r="AB202" s="1" t="s">
        <v>44</v>
      </c>
      <c r="AF202" s="1">
        <v>10038</v>
      </c>
      <c r="AI202" s="1" t="s">
        <v>145</v>
      </c>
      <c r="AJ202" s="1">
        <v>2019</v>
      </c>
      <c r="AK202" s="1" t="s">
        <v>77</v>
      </c>
      <c r="AL202" s="1">
        <v>110</v>
      </c>
    </row>
    <row r="203" spans="1:38" x14ac:dyDescent="0.2">
      <c r="A203" s="2" t="str">
        <f>HYPERLINK("https://www.compass.com/listing/25-park-row-unit-15a-manhattan-ny-10038/266602881518430481/","25 Park Row, Unit 15A")</f>
        <v>25 Park Row, Unit 15A</v>
      </c>
      <c r="B203" s="2" t="str">
        <f t="shared" si="37"/>
        <v>25 Park Row</v>
      </c>
      <c r="C203" s="1" t="s">
        <v>117</v>
      </c>
      <c r="D203" s="1" t="s">
        <v>41</v>
      </c>
      <c r="E203" s="3">
        <v>4150000</v>
      </c>
      <c r="F203" s="1">
        <v>2013.58563803978</v>
      </c>
      <c r="G203" s="1">
        <v>5.5</v>
      </c>
      <c r="H203" s="1">
        <v>3</v>
      </c>
      <c r="I203" s="1">
        <v>4</v>
      </c>
      <c r="J203" s="1">
        <v>3.5</v>
      </c>
      <c r="K203" s="1">
        <v>3</v>
      </c>
      <c r="L203" s="1">
        <v>1</v>
      </c>
      <c r="M203" s="4">
        <v>2061</v>
      </c>
      <c r="N203" s="1">
        <v>3860.94</v>
      </c>
      <c r="O203" s="1">
        <v>6436.7</v>
      </c>
      <c r="P203" s="1">
        <v>2575.75</v>
      </c>
      <c r="Q203" s="1" t="s">
        <v>42</v>
      </c>
      <c r="S203" s="1" t="s">
        <v>42</v>
      </c>
      <c r="T203" s="1" t="s">
        <v>43</v>
      </c>
      <c r="U203" s="1">
        <v>223</v>
      </c>
      <c r="V203" s="5">
        <v>44415</v>
      </c>
      <c r="W203" s="5">
        <v>44203</v>
      </c>
      <c r="X203" s="1">
        <v>4150000</v>
      </c>
      <c r="AB203" s="1" t="s">
        <v>44</v>
      </c>
      <c r="AF203" s="1">
        <v>10038</v>
      </c>
      <c r="AI203" s="1" t="s">
        <v>146</v>
      </c>
      <c r="AJ203" s="1">
        <v>2019</v>
      </c>
      <c r="AK203" s="1" t="s">
        <v>77</v>
      </c>
      <c r="AL203" s="1">
        <v>110</v>
      </c>
    </row>
    <row r="204" spans="1:38" x14ac:dyDescent="0.2">
      <c r="A204" s="2" t="str">
        <f>HYPERLINK("https://www.compass.com/listing/25-park-row-unit-15c-manhattan-ny-10038/243338152054378513/","25 Park Row, Unit 15C")</f>
        <v>25 Park Row, Unit 15C</v>
      </c>
      <c r="B204" s="2" t="str">
        <f t="shared" si="37"/>
        <v>25 Park Row</v>
      </c>
      <c r="C204" s="1" t="s">
        <v>117</v>
      </c>
      <c r="D204" s="1" t="s">
        <v>41</v>
      </c>
      <c r="E204" s="3">
        <v>4420000</v>
      </c>
      <c r="F204" s="1">
        <v>2130.12048192771</v>
      </c>
      <c r="G204" s="1">
        <v>5.5</v>
      </c>
      <c r="H204" s="1">
        <v>3</v>
      </c>
      <c r="I204" s="1">
        <v>4</v>
      </c>
      <c r="J204" s="1">
        <v>3.5</v>
      </c>
      <c r="K204" s="1">
        <v>3</v>
      </c>
      <c r="L204" s="1">
        <v>1</v>
      </c>
      <c r="M204" s="4">
        <v>2075</v>
      </c>
      <c r="N204" s="1">
        <v>3887.05</v>
      </c>
      <c r="O204" s="1">
        <v>6480.66</v>
      </c>
      <c r="P204" s="1">
        <v>2593.5833333333298</v>
      </c>
      <c r="Q204" s="1" t="s">
        <v>42</v>
      </c>
      <c r="S204" s="1" t="s">
        <v>42</v>
      </c>
      <c r="T204" s="1" t="s">
        <v>43</v>
      </c>
      <c r="U204" s="1">
        <v>352</v>
      </c>
      <c r="V204" s="5">
        <v>44415</v>
      </c>
      <c r="W204" s="5">
        <v>44075</v>
      </c>
      <c r="AB204" s="1" t="s">
        <v>44</v>
      </c>
      <c r="AF204" s="1">
        <v>10038</v>
      </c>
      <c r="AI204" s="1" t="s">
        <v>144</v>
      </c>
      <c r="AJ204" s="1">
        <v>2019</v>
      </c>
      <c r="AK204" s="1" t="s">
        <v>77</v>
      </c>
      <c r="AL204" s="1">
        <v>110</v>
      </c>
    </row>
    <row r="205" spans="1:38" x14ac:dyDescent="0.2">
      <c r="A205" s="2" t="str">
        <f>HYPERLINK("https://www.compass.com/listing/25-park-row-unit-36a-manhattan-ny-10038/555784845568285881/","25 Park Row, Unit 36A")</f>
        <v>25 Park Row, Unit 36A</v>
      </c>
      <c r="B205" s="2" t="str">
        <f t="shared" si="37"/>
        <v>25 Park Row</v>
      </c>
      <c r="C205" s="1" t="s">
        <v>117</v>
      </c>
      <c r="D205" s="1" t="s">
        <v>41</v>
      </c>
      <c r="E205" s="3">
        <v>3890000</v>
      </c>
      <c r="F205" s="1">
        <v>2408.6687306501499</v>
      </c>
      <c r="G205" s="1">
        <v>4.5</v>
      </c>
      <c r="H205" s="1">
        <v>2</v>
      </c>
      <c r="I205" s="1">
        <v>3</v>
      </c>
      <c r="J205" s="1">
        <v>2.5</v>
      </c>
      <c r="K205" s="1">
        <v>2</v>
      </c>
      <c r="L205" s="1">
        <v>1</v>
      </c>
      <c r="M205" s="4">
        <v>1615</v>
      </c>
      <c r="N205" s="1">
        <v>3457.6</v>
      </c>
      <c r="O205" s="1">
        <v>5764.7999999999902</v>
      </c>
      <c r="P205" s="1">
        <v>2307.1666666666601</v>
      </c>
      <c r="Q205" s="1" t="s">
        <v>42</v>
      </c>
      <c r="S205" s="1" t="s">
        <v>42</v>
      </c>
      <c r="T205" s="1" t="s">
        <v>43</v>
      </c>
      <c r="U205" s="1">
        <v>409</v>
      </c>
      <c r="V205" s="5">
        <v>44427</v>
      </c>
      <c r="W205" s="5">
        <v>44018</v>
      </c>
      <c r="X205" s="1">
        <v>3890000</v>
      </c>
      <c r="AB205" s="1" t="s">
        <v>44</v>
      </c>
      <c r="AF205" s="1">
        <v>10038</v>
      </c>
      <c r="AI205" s="1" t="s">
        <v>116</v>
      </c>
      <c r="AJ205" s="1">
        <v>2019</v>
      </c>
      <c r="AK205" s="1" t="s">
        <v>77</v>
      </c>
      <c r="AL205" s="1">
        <v>110</v>
      </c>
    </row>
    <row r="206" spans="1:38" x14ac:dyDescent="0.2">
      <c r="A206" s="2" t="str">
        <f>HYPERLINK("https://www.compass.com/listing/25-park-row-unit-6e-manhattan-ny-10038/178438719685019409/","25 Park Row, Unit 6E")</f>
        <v>25 Park Row, Unit 6E</v>
      </c>
      <c r="B206" s="2" t="str">
        <f t="shared" si="37"/>
        <v>25 Park Row</v>
      </c>
      <c r="C206" s="1" t="s">
        <v>117</v>
      </c>
      <c r="D206" s="1" t="s">
        <v>41</v>
      </c>
      <c r="E206" s="3">
        <v>3575000</v>
      </c>
      <c r="F206" s="1">
        <v>1918.9479334406799</v>
      </c>
      <c r="G206" s="1">
        <v>5</v>
      </c>
      <c r="H206" s="1">
        <v>3</v>
      </c>
      <c r="I206" s="1">
        <v>3</v>
      </c>
      <c r="J206" s="1">
        <v>3</v>
      </c>
      <c r="K206" s="1">
        <v>3</v>
      </c>
      <c r="M206" s="4">
        <v>1863</v>
      </c>
      <c r="N206" s="1">
        <v>3356.46</v>
      </c>
      <c r="O206" s="1">
        <v>5595.95</v>
      </c>
      <c r="P206" s="1">
        <v>2239.5</v>
      </c>
      <c r="Q206" s="1" t="s">
        <v>42</v>
      </c>
      <c r="S206" s="1" t="s">
        <v>42</v>
      </c>
      <c r="T206" s="1" t="s">
        <v>43</v>
      </c>
      <c r="U206" s="1">
        <v>188</v>
      </c>
      <c r="V206" s="5">
        <v>44415</v>
      </c>
      <c r="W206" s="5">
        <v>44106</v>
      </c>
      <c r="AB206" s="1" t="s">
        <v>44</v>
      </c>
      <c r="AF206" s="1">
        <v>10038</v>
      </c>
      <c r="AI206" s="1" t="s">
        <v>147</v>
      </c>
      <c r="AJ206" s="1">
        <v>2019</v>
      </c>
      <c r="AK206" s="1" t="s">
        <v>77</v>
      </c>
      <c r="AL206" s="1">
        <v>110</v>
      </c>
    </row>
    <row r="207" spans="1:38" x14ac:dyDescent="0.2">
      <c r="A207" s="2" t="str">
        <f>HYPERLINK("https://www.compass.com/listing/25-park-row-unit-ph42a-manhattan-ny-10038/178301085419586449/","25 Park Row, Unit PH42A")</f>
        <v>25 Park Row, Unit PH42A</v>
      </c>
      <c r="B207" s="2" t="str">
        <f t="shared" si="37"/>
        <v>25 Park Row</v>
      </c>
      <c r="C207" s="1" t="s">
        <v>117</v>
      </c>
      <c r="D207" s="1" t="s">
        <v>41</v>
      </c>
      <c r="E207" s="3">
        <v>12500000</v>
      </c>
      <c r="F207" s="1">
        <v>3491.6201117318401</v>
      </c>
      <c r="G207" s="1">
        <v>7</v>
      </c>
      <c r="H207" s="1">
        <v>4</v>
      </c>
      <c r="I207" s="1">
        <v>5</v>
      </c>
      <c r="J207" s="1">
        <v>4.5</v>
      </c>
      <c r="K207" s="1">
        <v>4</v>
      </c>
      <c r="L207" s="1">
        <v>1</v>
      </c>
      <c r="M207" s="4">
        <v>3580</v>
      </c>
      <c r="N207" s="1">
        <v>8781.66</v>
      </c>
      <c r="O207" s="1">
        <v>14641.14</v>
      </c>
      <c r="P207" s="1">
        <v>5859.5</v>
      </c>
      <c r="Q207" s="1" t="s">
        <v>42</v>
      </c>
      <c r="S207" s="1" t="s">
        <v>42</v>
      </c>
      <c r="T207" s="1" t="s">
        <v>43</v>
      </c>
      <c r="U207" s="1">
        <v>840</v>
      </c>
      <c r="V207" s="5">
        <v>44420</v>
      </c>
      <c r="W207" s="5">
        <v>43493</v>
      </c>
      <c r="X207" s="1">
        <v>12500000</v>
      </c>
      <c r="AB207" s="1" t="s">
        <v>44</v>
      </c>
      <c r="AF207" s="1">
        <v>10038</v>
      </c>
      <c r="AI207" s="1" t="s">
        <v>148</v>
      </c>
      <c r="AJ207" s="1">
        <v>2019</v>
      </c>
      <c r="AK207" s="1" t="s">
        <v>77</v>
      </c>
      <c r="AL207" s="1">
        <v>110</v>
      </c>
    </row>
    <row r="208" spans="1:38" x14ac:dyDescent="0.2">
      <c r="A208" s="2" t="str">
        <f>HYPERLINK("https://www.compass.com/listing/25-park-row-unit-44a-manhattan-ny-10038/549240240395788913/","25 Park Row, Unit 44A")</f>
        <v>25 Park Row, Unit 44A</v>
      </c>
      <c r="B208" s="2" t="str">
        <f t="shared" si="37"/>
        <v>25 Park Row</v>
      </c>
      <c r="C208" s="1" t="s">
        <v>117</v>
      </c>
      <c r="D208" s="1" t="s">
        <v>41</v>
      </c>
      <c r="E208" s="3">
        <v>12950000</v>
      </c>
      <c r="F208" s="1">
        <v>3617.31843575419</v>
      </c>
      <c r="G208" s="1">
        <v>7.5</v>
      </c>
      <c r="H208" s="1">
        <v>4</v>
      </c>
      <c r="I208" s="1">
        <v>5</v>
      </c>
      <c r="J208" s="1">
        <v>4.5</v>
      </c>
      <c r="K208" s="1">
        <v>4</v>
      </c>
      <c r="L208" s="1">
        <v>1</v>
      </c>
      <c r="M208" s="4">
        <v>3580</v>
      </c>
      <c r="N208" s="1">
        <v>9153</v>
      </c>
      <c r="O208" s="1">
        <v>15259</v>
      </c>
      <c r="P208" s="1">
        <v>6106</v>
      </c>
      <c r="Q208" s="1" t="s">
        <v>42</v>
      </c>
      <c r="S208" s="1" t="s">
        <v>42</v>
      </c>
      <c r="T208" s="1" t="s">
        <v>43</v>
      </c>
      <c r="U208" s="1">
        <v>418</v>
      </c>
      <c r="V208" s="5">
        <v>44415</v>
      </c>
      <c r="W208" s="5">
        <v>44009</v>
      </c>
      <c r="X208" s="1">
        <v>12950000</v>
      </c>
      <c r="AB208" s="1" t="s">
        <v>44</v>
      </c>
      <c r="AF208" s="1">
        <v>10038</v>
      </c>
      <c r="AI208" s="1" t="s">
        <v>149</v>
      </c>
      <c r="AJ208" s="1">
        <v>2019</v>
      </c>
      <c r="AK208" s="1" t="s">
        <v>77</v>
      </c>
      <c r="AL208" s="1">
        <v>110</v>
      </c>
    </row>
    <row r="209" spans="1:39" x14ac:dyDescent="0.2">
      <c r="A209" s="2" t="str">
        <f>HYPERLINK("https://www.compass.com/listing/25-park-row-unit-5a-manhattan-ny-10038/618279721421140961/","25 Park Row, Unit 5A")</f>
        <v>25 Park Row, Unit 5A</v>
      </c>
      <c r="B209" s="2" t="str">
        <f t="shared" si="37"/>
        <v>25 Park Row</v>
      </c>
      <c r="C209" s="1" t="s">
        <v>117</v>
      </c>
      <c r="D209" s="1" t="s">
        <v>41</v>
      </c>
      <c r="E209" s="3">
        <v>6995000</v>
      </c>
      <c r="F209" s="1">
        <v>2274.7967479674799</v>
      </c>
      <c r="G209" s="1">
        <v>7</v>
      </c>
      <c r="H209" s="1">
        <v>4</v>
      </c>
      <c r="I209" s="1">
        <v>4</v>
      </c>
      <c r="J209" s="1">
        <v>4</v>
      </c>
      <c r="K209" s="1">
        <v>4</v>
      </c>
      <c r="M209" s="4">
        <v>3075</v>
      </c>
      <c r="N209" s="1">
        <v>5806.57</v>
      </c>
      <c r="O209" s="1">
        <v>9680.5299999999897</v>
      </c>
      <c r="P209" s="1">
        <v>3874</v>
      </c>
      <c r="Q209" s="1" t="s">
        <v>42</v>
      </c>
      <c r="S209" s="1" t="s">
        <v>42</v>
      </c>
      <c r="T209" s="1" t="s">
        <v>43</v>
      </c>
      <c r="U209" s="1">
        <v>323</v>
      </c>
      <c r="V209" s="5">
        <v>44415</v>
      </c>
      <c r="W209" s="5">
        <v>44104</v>
      </c>
      <c r="X209" s="1">
        <v>6995000</v>
      </c>
      <c r="AB209" s="1" t="s">
        <v>44</v>
      </c>
      <c r="AF209" s="1">
        <v>10038</v>
      </c>
      <c r="AI209" s="1" t="s">
        <v>150</v>
      </c>
      <c r="AJ209" s="1">
        <v>2019</v>
      </c>
      <c r="AK209" s="1" t="s">
        <v>77</v>
      </c>
      <c r="AL209" s="1">
        <v>110</v>
      </c>
    </row>
    <row r="210" spans="1:39" x14ac:dyDescent="0.2">
      <c r="A210" s="2" t="str">
        <f>HYPERLINK("https://www.compass.com/listing/215-chrystie-street-unit-29w-manhattan-ny-10002/637436254495365121/","215 Chrystie St, Unit 29W")</f>
        <v>215 Chrystie St, Unit 29W</v>
      </c>
      <c r="B210" s="2" t="str">
        <f>HYPERLINK("https://www.compass.com/building/215-chrystie-st-manhattan-ny-10002/281886398615655237/","215 Chrystie St")</f>
        <v>215 Chrystie St</v>
      </c>
      <c r="C210" s="1" t="s">
        <v>66</v>
      </c>
      <c r="D210" s="1" t="s">
        <v>41</v>
      </c>
      <c r="E210" s="3">
        <v>6995000</v>
      </c>
      <c r="F210" s="1">
        <v>3538.1891755184602</v>
      </c>
      <c r="G210" s="1">
        <v>5</v>
      </c>
      <c r="H210" s="1">
        <v>2</v>
      </c>
      <c r="J210" s="1">
        <v>2.5</v>
      </c>
      <c r="M210" s="4">
        <v>1977</v>
      </c>
      <c r="N210" s="1">
        <v>3800</v>
      </c>
      <c r="O210" s="1">
        <v>8116</v>
      </c>
      <c r="P210" s="1">
        <v>4316</v>
      </c>
      <c r="S210" s="1" t="s">
        <v>42</v>
      </c>
      <c r="T210" s="1" t="s">
        <v>43</v>
      </c>
      <c r="U210" s="1">
        <v>296</v>
      </c>
      <c r="V210" s="5">
        <v>44369</v>
      </c>
      <c r="W210" s="5">
        <v>44130</v>
      </c>
      <c r="X210" s="1">
        <v>6995000</v>
      </c>
      <c r="AB210" s="1" t="s">
        <v>44</v>
      </c>
      <c r="AF210" s="1">
        <v>10002</v>
      </c>
      <c r="AJ210" s="1">
        <v>2016</v>
      </c>
      <c r="AK210" s="1" t="s">
        <v>49</v>
      </c>
      <c r="AL210" s="1">
        <v>11</v>
      </c>
    </row>
    <row r="211" spans="1:39" x14ac:dyDescent="0.2">
      <c r="A211" s="2" t="str">
        <f>HYPERLINK("https://www.compass.com/listing/252-south-street-unit-19c-manhattan-ny-10002/778901916380429889/","252 South St, Unit 19C")</f>
        <v>252 South St, Unit 19C</v>
      </c>
      <c r="B211" s="2" t="str">
        <f>HYPERLINK("https://www.compass.com/building/one-manhattan-square-manhattan-ny/294844950218926165/","One Manhattan Square")</f>
        <v>One Manhattan Square</v>
      </c>
      <c r="C211" s="1" t="s">
        <v>66</v>
      </c>
      <c r="D211" s="1" t="s">
        <v>41</v>
      </c>
      <c r="E211" s="3">
        <v>1520000</v>
      </c>
      <c r="F211" s="1">
        <v>2187.0503597122301</v>
      </c>
      <c r="G211" s="1">
        <v>3</v>
      </c>
      <c r="H211" s="1">
        <v>1</v>
      </c>
      <c r="I211" s="1">
        <v>1</v>
      </c>
      <c r="J211" s="1">
        <v>1</v>
      </c>
      <c r="K211" s="1">
        <v>1</v>
      </c>
      <c r="M211" s="1">
        <v>695</v>
      </c>
      <c r="N211" s="1">
        <v>812</v>
      </c>
      <c r="O211" s="1">
        <v>824.16666666666595</v>
      </c>
      <c r="P211" s="1">
        <v>12.1666666666666</v>
      </c>
      <c r="Q211" s="1" t="s">
        <v>151</v>
      </c>
      <c r="S211" s="1" t="s">
        <v>42</v>
      </c>
      <c r="T211" s="1" t="s">
        <v>43</v>
      </c>
      <c r="U211" s="1">
        <v>101</v>
      </c>
      <c r="V211" s="5">
        <v>44326</v>
      </c>
      <c r="W211" s="5">
        <v>44326</v>
      </c>
      <c r="X211" s="1">
        <v>1520000</v>
      </c>
      <c r="AB211" s="1" t="s">
        <v>44</v>
      </c>
      <c r="AF211" s="1">
        <v>10002</v>
      </c>
      <c r="AI211" s="1" t="s">
        <v>55</v>
      </c>
      <c r="AJ211" s="1">
        <v>2019</v>
      </c>
      <c r="AK211" s="1" t="s">
        <v>46</v>
      </c>
      <c r="AL211" s="1">
        <v>787</v>
      </c>
    </row>
    <row r="212" spans="1:39" x14ac:dyDescent="0.2">
      <c r="A212" s="2" t="str">
        <f>HYPERLINK("https://www.compass.com/listing/2351-adam-clayton-powell-jr-boulevard-unit-504-manhattan-ny-10030/462304811501938273/","2351 Adam Clayton Powell Jr Blvd, Unit 504")</f>
        <v>2351 Adam Clayton Powell Jr Blvd, Unit 504</v>
      </c>
      <c r="B212" s="2" t="str">
        <f>HYPERLINK("https://www.compass.com/building/the-rennie-manhattan-ny/307439143554395509/","THE RENNIE")</f>
        <v>THE RENNIE</v>
      </c>
      <c r="C212" s="1" t="s">
        <v>61</v>
      </c>
      <c r="D212" s="1" t="s">
        <v>41</v>
      </c>
      <c r="E212" s="3">
        <v>1160000</v>
      </c>
      <c r="F212" s="1">
        <v>1104.7619047619</v>
      </c>
      <c r="G212" s="1">
        <v>4</v>
      </c>
      <c r="H212" s="1">
        <v>2</v>
      </c>
      <c r="I212" s="1">
        <v>2</v>
      </c>
      <c r="J212" s="1">
        <v>2</v>
      </c>
      <c r="K212" s="1">
        <v>2</v>
      </c>
      <c r="M212" s="4">
        <v>1050</v>
      </c>
      <c r="N212" s="1">
        <v>1194</v>
      </c>
      <c r="O212" s="1">
        <v>1213</v>
      </c>
      <c r="P212" s="1">
        <v>19</v>
      </c>
      <c r="Q212" s="1" t="s">
        <v>42</v>
      </c>
      <c r="S212" s="1" t="s">
        <v>42</v>
      </c>
      <c r="T212" s="1" t="s">
        <v>43</v>
      </c>
      <c r="U212" s="1">
        <v>444</v>
      </c>
      <c r="V212" s="5">
        <v>44420</v>
      </c>
      <c r="W212" s="5">
        <v>43889</v>
      </c>
      <c r="X212" s="1">
        <v>1160000</v>
      </c>
      <c r="AB212" s="1" t="s">
        <v>44</v>
      </c>
      <c r="AF212" s="1">
        <v>10030</v>
      </c>
      <c r="AI212" s="1" t="s">
        <v>45</v>
      </c>
      <c r="AJ212" s="1">
        <v>2018</v>
      </c>
      <c r="AK212" s="1" t="s">
        <v>77</v>
      </c>
      <c r="AL212" s="1">
        <v>106</v>
      </c>
    </row>
    <row r="213" spans="1:39" x14ac:dyDescent="0.2">
      <c r="A213" s="2" t="str">
        <f>HYPERLINK("https://www.compass.com/listing/215-chrystie-street-unit-28e-manhattan-ny-10002/728935288274795153/","215 Chrystie St, Unit 28E")</f>
        <v>215 Chrystie St, Unit 28E</v>
      </c>
      <c r="B213" s="2" t="str">
        <f t="shared" ref="B213:B214" si="38">HYPERLINK("https://www.compass.com/building/215-chrystie-st-manhattan-ny-10002/281886398615655237/","215 Chrystie St")</f>
        <v>215 Chrystie St</v>
      </c>
      <c r="C213" s="1" t="s">
        <v>66</v>
      </c>
      <c r="D213" s="1" t="s">
        <v>41</v>
      </c>
      <c r="E213" s="3">
        <v>6800000</v>
      </c>
      <c r="F213" s="1">
        <v>3031.6540347748501</v>
      </c>
      <c r="G213" s="1">
        <v>5</v>
      </c>
      <c r="H213" s="1">
        <v>3</v>
      </c>
      <c r="I213" s="1">
        <v>3</v>
      </c>
      <c r="J213" s="1">
        <v>3</v>
      </c>
      <c r="K213" s="1">
        <v>3</v>
      </c>
      <c r="M213" s="4">
        <v>2243</v>
      </c>
      <c r="N213" s="1">
        <v>4264</v>
      </c>
      <c r="O213" s="1">
        <v>9126</v>
      </c>
      <c r="P213" s="1">
        <v>4862</v>
      </c>
      <c r="Q213" s="1" t="s">
        <v>42</v>
      </c>
      <c r="S213" s="1" t="s">
        <v>42</v>
      </c>
      <c r="T213" s="1" t="s">
        <v>43</v>
      </c>
      <c r="U213" s="1">
        <v>169</v>
      </c>
      <c r="V213" s="5">
        <v>44427</v>
      </c>
      <c r="W213" s="5">
        <v>44258</v>
      </c>
      <c r="X213" s="1">
        <v>7350000</v>
      </c>
      <c r="AB213" s="1" t="s">
        <v>44</v>
      </c>
      <c r="AF213" s="1">
        <v>10002</v>
      </c>
      <c r="AJ213" s="1">
        <v>2016</v>
      </c>
      <c r="AK213" s="1" t="s">
        <v>152</v>
      </c>
      <c r="AL213" s="1">
        <v>11</v>
      </c>
    </row>
    <row r="214" spans="1:39" x14ac:dyDescent="0.2">
      <c r="A214" s="2" t="str">
        <f>HYPERLINK("https://www.compass.com/listing/215-chrystie-street-unit-ph3-manhattan-ny-10002/569310593646282849/","215 Chrystie St, Unit PH3")</f>
        <v>215 Chrystie St, Unit PH3</v>
      </c>
      <c r="B214" s="2" t="str">
        <f t="shared" si="38"/>
        <v>215 Chrystie St</v>
      </c>
      <c r="C214" s="1" t="s">
        <v>66</v>
      </c>
      <c r="D214" s="1" t="s">
        <v>41</v>
      </c>
      <c r="E214" s="3">
        <v>32000000</v>
      </c>
      <c r="G214" s="1">
        <v>4</v>
      </c>
      <c r="H214" s="1">
        <v>4</v>
      </c>
      <c r="J214" s="1">
        <v>4.5</v>
      </c>
      <c r="N214" s="1">
        <v>7900</v>
      </c>
      <c r="O214" s="1">
        <v>17215</v>
      </c>
      <c r="P214" s="1">
        <v>9315</v>
      </c>
      <c r="S214" s="1" t="s">
        <v>42</v>
      </c>
      <c r="T214" s="1" t="s">
        <v>43</v>
      </c>
      <c r="U214" s="1">
        <v>390</v>
      </c>
      <c r="V214" s="5">
        <v>44369</v>
      </c>
      <c r="W214" s="5">
        <v>44036</v>
      </c>
      <c r="X214" s="1">
        <v>32000000</v>
      </c>
      <c r="AB214" s="1" t="s">
        <v>44</v>
      </c>
      <c r="AF214" s="1">
        <v>10002</v>
      </c>
      <c r="AJ214" s="1">
        <v>2016</v>
      </c>
      <c r="AK214" s="1" t="s">
        <v>73</v>
      </c>
      <c r="AL214" s="1">
        <v>11</v>
      </c>
    </row>
    <row r="215" spans="1:39" x14ac:dyDescent="0.2">
      <c r="A215" s="2" t="str">
        <f>HYPERLINK("https://www.compass.com/listing/252-south-street-unit-7d-manhattan-ny-10002/789843742486484609/","252 South St, Unit 7D")</f>
        <v>252 South St, Unit 7D</v>
      </c>
      <c r="B215" s="2" t="str">
        <f t="shared" ref="B215:B217" si="39">HYPERLINK("https://www.compass.com/building/one-manhattan-square-manhattan-ny/294844950218926165/","One Manhattan Square")</f>
        <v>One Manhattan Square</v>
      </c>
      <c r="C215" s="1" t="s">
        <v>66</v>
      </c>
      <c r="D215" s="1" t="s">
        <v>41</v>
      </c>
      <c r="E215" s="3">
        <v>2500000</v>
      </c>
      <c r="F215" s="1">
        <v>2226.1798753339199</v>
      </c>
      <c r="G215" s="1">
        <v>4</v>
      </c>
      <c r="H215" s="1">
        <v>2</v>
      </c>
      <c r="I215" s="1">
        <v>2</v>
      </c>
      <c r="J215" s="1">
        <v>2</v>
      </c>
      <c r="K215" s="1">
        <v>2</v>
      </c>
      <c r="M215" s="4">
        <v>1123</v>
      </c>
      <c r="N215" s="1">
        <v>810</v>
      </c>
      <c r="O215" s="1">
        <v>832</v>
      </c>
      <c r="P215" s="1">
        <v>22</v>
      </c>
      <c r="Q215" s="1" t="s">
        <v>42</v>
      </c>
      <c r="S215" s="1" t="s">
        <v>42</v>
      </c>
      <c r="T215" s="1" t="s">
        <v>43</v>
      </c>
      <c r="U215" s="1">
        <v>86</v>
      </c>
      <c r="V215" s="5">
        <v>44427</v>
      </c>
      <c r="W215" s="5">
        <v>44341</v>
      </c>
      <c r="X215" s="1">
        <v>2600000</v>
      </c>
      <c r="AB215" s="1" t="s">
        <v>44</v>
      </c>
      <c r="AF215" s="1">
        <v>10002</v>
      </c>
      <c r="AI215" s="1" t="s">
        <v>153</v>
      </c>
      <c r="AJ215" s="1">
        <v>2019</v>
      </c>
      <c r="AK215" s="1" t="s">
        <v>46</v>
      </c>
      <c r="AL215" s="1">
        <v>787</v>
      </c>
    </row>
    <row r="216" spans="1:39" x14ac:dyDescent="0.2">
      <c r="A216" s="2" t="str">
        <f>HYPERLINK("https://www.compass.com/listing/252-south-street-unit-11g-manhattan-ny-10002/647350683392443969/","252 South St, Unit 11G")</f>
        <v>252 South St, Unit 11G</v>
      </c>
      <c r="B216" s="2" t="str">
        <f t="shared" si="39"/>
        <v>One Manhattan Square</v>
      </c>
      <c r="C216" s="1" t="s">
        <v>66</v>
      </c>
      <c r="D216" s="1" t="s">
        <v>41</v>
      </c>
      <c r="E216" s="3">
        <v>1220000</v>
      </c>
      <c r="F216" s="1">
        <v>1687.4135546334701</v>
      </c>
      <c r="G216" s="1">
        <v>3</v>
      </c>
      <c r="H216" s="1">
        <v>1</v>
      </c>
      <c r="J216" s="1">
        <v>1</v>
      </c>
      <c r="M216" s="1">
        <v>723</v>
      </c>
      <c r="N216" s="1">
        <v>775</v>
      </c>
      <c r="O216" s="1">
        <v>788</v>
      </c>
      <c r="P216" s="1">
        <v>13</v>
      </c>
      <c r="S216" s="1" t="s">
        <v>42</v>
      </c>
      <c r="T216" s="1" t="s">
        <v>43</v>
      </c>
      <c r="U216" s="1">
        <v>284</v>
      </c>
      <c r="V216" s="5">
        <v>44422</v>
      </c>
      <c r="W216" s="5">
        <v>44142</v>
      </c>
      <c r="X216" s="1">
        <v>1220000</v>
      </c>
      <c r="AB216" s="1" t="s">
        <v>44</v>
      </c>
      <c r="AF216" s="1">
        <v>10002</v>
      </c>
      <c r="AI216" s="1" t="s">
        <v>55</v>
      </c>
      <c r="AJ216" s="1">
        <v>2019</v>
      </c>
      <c r="AK216" s="1" t="s">
        <v>46</v>
      </c>
      <c r="AL216" s="1">
        <v>787</v>
      </c>
    </row>
    <row r="217" spans="1:39" x14ac:dyDescent="0.2">
      <c r="A217" s="2" t="str">
        <f>HYPERLINK("https://www.compass.com/listing/252-south-street-unit-47c-manhattan-ny-10002/781278605355937321/","252 South St, Unit 47C")</f>
        <v>252 South St, Unit 47C</v>
      </c>
      <c r="B217" s="2" t="str">
        <f t="shared" si="39"/>
        <v>One Manhattan Square</v>
      </c>
      <c r="C217" s="1" t="s">
        <v>66</v>
      </c>
      <c r="D217" s="1" t="s">
        <v>41</v>
      </c>
      <c r="E217" s="3">
        <v>3260000</v>
      </c>
      <c r="F217" s="1">
        <v>2192.3335574983098</v>
      </c>
      <c r="G217" s="1">
        <v>7</v>
      </c>
      <c r="H217" s="1">
        <v>3</v>
      </c>
      <c r="I217" s="1">
        <v>3</v>
      </c>
      <c r="J217" s="1">
        <v>3</v>
      </c>
      <c r="K217" s="1">
        <v>3</v>
      </c>
      <c r="M217" s="4">
        <v>1487</v>
      </c>
      <c r="N217" s="1">
        <v>1888</v>
      </c>
      <c r="O217" s="1">
        <v>1918</v>
      </c>
      <c r="P217" s="1">
        <v>30</v>
      </c>
      <c r="Q217" s="1" t="s">
        <v>42</v>
      </c>
      <c r="S217" s="1" t="s">
        <v>42</v>
      </c>
      <c r="T217" s="1" t="s">
        <v>43</v>
      </c>
      <c r="U217" s="1">
        <v>98</v>
      </c>
      <c r="V217" s="5">
        <v>44419</v>
      </c>
      <c r="W217" s="5">
        <v>44329</v>
      </c>
      <c r="X217" s="1">
        <v>3260000</v>
      </c>
      <c r="AB217" s="1" t="s">
        <v>44</v>
      </c>
      <c r="AF217" s="1">
        <v>10002</v>
      </c>
      <c r="AI217" s="1" t="s">
        <v>113</v>
      </c>
      <c r="AJ217" s="1">
        <v>2019</v>
      </c>
      <c r="AK217" s="1" t="s">
        <v>73</v>
      </c>
      <c r="AL217" s="1">
        <v>787</v>
      </c>
    </row>
    <row r="218" spans="1:39" x14ac:dyDescent="0.2">
      <c r="A218" s="2" t="str">
        <f>HYPERLINK("https://www.compass.com/listing/10-madison-square-west-unit-2c-manhattan-ny-10010/825734430183053649/","10 Madison Sq W, Unit 2C")</f>
        <v>10 Madison Sq W, Unit 2C</v>
      </c>
      <c r="B218" s="2" t="str">
        <f t="shared" ref="B218:B219" si="40">HYPERLINK("https://www.compass.com/building/10-madison-square-west-manhattan-ny/294838725091521285/","10 Madison Square West")</f>
        <v>10 Madison Square West</v>
      </c>
      <c r="D218" s="1" t="s">
        <v>41</v>
      </c>
      <c r="E218" s="3">
        <v>3825000</v>
      </c>
      <c r="F218" s="1">
        <v>2669.2254012561002</v>
      </c>
      <c r="G218" s="1">
        <v>6</v>
      </c>
      <c r="H218" s="1">
        <v>2</v>
      </c>
      <c r="J218" s="1">
        <v>2.5</v>
      </c>
      <c r="M218" s="4">
        <v>1433</v>
      </c>
      <c r="N218" s="1">
        <v>1800</v>
      </c>
      <c r="O218" s="1">
        <v>3421</v>
      </c>
      <c r="P218" s="1">
        <v>1621</v>
      </c>
      <c r="S218" s="1" t="s">
        <v>42</v>
      </c>
      <c r="T218" s="1" t="s">
        <v>43</v>
      </c>
      <c r="U218" s="1">
        <v>36</v>
      </c>
      <c r="V218" s="5">
        <v>44422</v>
      </c>
      <c r="W218" s="5">
        <v>44391</v>
      </c>
      <c r="X218" s="1">
        <v>3825000</v>
      </c>
      <c r="AB218" s="1" t="s">
        <v>44</v>
      </c>
      <c r="AF218" s="1">
        <v>10010</v>
      </c>
      <c r="AI218" s="1" t="s">
        <v>59</v>
      </c>
      <c r="AJ218" s="1">
        <v>1915</v>
      </c>
      <c r="AK218" s="1" t="s">
        <v>46</v>
      </c>
      <c r="AL218" s="1">
        <v>125</v>
      </c>
    </row>
    <row r="219" spans="1:39" x14ac:dyDescent="0.2">
      <c r="A219" s="2" t="str">
        <f>HYPERLINK("https://www.compass.com/listing/10-madison-square-west-unit-3b-manhattan-ny-10010/604079422791921513/","10 Madison Sq W, Unit 3B")</f>
        <v>10 Madison Sq W, Unit 3B</v>
      </c>
      <c r="B219" s="2" t="str">
        <f t="shared" si="40"/>
        <v>10 Madison Square West</v>
      </c>
      <c r="C219" s="1" t="s">
        <v>154</v>
      </c>
      <c r="D219" s="1" t="s">
        <v>41</v>
      </c>
      <c r="E219" s="3">
        <v>4950000</v>
      </c>
      <c r="F219" s="1">
        <v>2449.2825333993001</v>
      </c>
      <c r="G219" s="1">
        <v>6</v>
      </c>
      <c r="H219" s="1">
        <v>3</v>
      </c>
      <c r="I219" s="1">
        <v>4</v>
      </c>
      <c r="J219" s="1">
        <v>3.5</v>
      </c>
      <c r="K219" s="1">
        <v>3</v>
      </c>
      <c r="L219" s="1">
        <v>1</v>
      </c>
      <c r="M219" s="4">
        <v>2021</v>
      </c>
      <c r="N219" s="1">
        <v>2589</v>
      </c>
      <c r="O219" s="1">
        <v>6797</v>
      </c>
      <c r="P219" s="1">
        <v>4208</v>
      </c>
      <c r="Q219" s="1" t="s">
        <v>42</v>
      </c>
      <c r="S219" s="1" t="s">
        <v>155</v>
      </c>
      <c r="T219" s="1" t="s">
        <v>43</v>
      </c>
      <c r="U219" s="1">
        <v>343</v>
      </c>
      <c r="V219" s="5">
        <v>44427</v>
      </c>
      <c r="W219" s="5">
        <v>44084</v>
      </c>
      <c r="X219" s="1">
        <v>4950000</v>
      </c>
      <c r="AB219" s="1" t="s">
        <v>44</v>
      </c>
      <c r="AF219" s="1">
        <v>10010</v>
      </c>
      <c r="AI219" s="1" t="s">
        <v>59</v>
      </c>
      <c r="AJ219" s="1">
        <v>1915</v>
      </c>
      <c r="AK219" s="1" t="s">
        <v>73</v>
      </c>
      <c r="AL219" s="1">
        <v>125</v>
      </c>
    </row>
    <row r="222" spans="1:39" x14ac:dyDescent="0.2">
      <c r="A222" s="1" t="s">
        <v>156</v>
      </c>
    </row>
    <row r="223" spans="1:39" x14ac:dyDescent="0.2">
      <c r="A223" s="1" t="s">
        <v>1</v>
      </c>
      <c r="B223" s="1" t="s">
        <v>2</v>
      </c>
      <c r="C223" s="1" t="s">
        <v>3</v>
      </c>
      <c r="D223" s="1" t="s">
        <v>4</v>
      </c>
      <c r="E223" s="1" t="s">
        <v>5</v>
      </c>
      <c r="F223" s="1" t="s">
        <v>6</v>
      </c>
      <c r="G223" s="1" t="s">
        <v>7</v>
      </c>
      <c r="H223" s="1" t="s">
        <v>8</v>
      </c>
      <c r="I223" s="1" t="s">
        <v>9</v>
      </c>
      <c r="J223" s="1" t="s">
        <v>10</v>
      </c>
      <c r="K223" s="1" t="s">
        <v>11</v>
      </c>
      <c r="L223" s="1" t="s">
        <v>12</v>
      </c>
      <c r="M223" s="1" t="s">
        <v>13</v>
      </c>
      <c r="N223" s="1" t="s">
        <v>14</v>
      </c>
      <c r="O223" s="1" t="s">
        <v>15</v>
      </c>
      <c r="P223" s="1" t="s">
        <v>16</v>
      </c>
      <c r="Q223" s="1" t="s">
        <v>17</v>
      </c>
      <c r="R223" s="1" t="s">
        <v>18</v>
      </c>
      <c r="S223" s="1" t="s">
        <v>19</v>
      </c>
      <c r="T223" s="1" t="s">
        <v>20</v>
      </c>
      <c r="U223" s="1" t="s">
        <v>21</v>
      </c>
      <c r="V223" s="1" t="s">
        <v>22</v>
      </c>
      <c r="W223" s="1" t="s">
        <v>23</v>
      </c>
      <c r="X223" s="1" t="s">
        <v>24</v>
      </c>
      <c r="Y223" s="1" t="s">
        <v>25</v>
      </c>
      <c r="Z223" s="1" t="s">
        <v>26</v>
      </c>
      <c r="AA223" s="1" t="s">
        <v>27</v>
      </c>
      <c r="AB223" s="1" t="s">
        <v>28</v>
      </c>
      <c r="AC223" s="1" t="s">
        <v>29</v>
      </c>
      <c r="AD223" s="1" t="s">
        <v>30</v>
      </c>
      <c r="AE223" s="1" t="s">
        <v>31</v>
      </c>
      <c r="AF223" s="1" t="s">
        <v>32</v>
      </c>
      <c r="AG223" s="1" t="s">
        <v>33</v>
      </c>
      <c r="AH223" s="1" t="s">
        <v>34</v>
      </c>
      <c r="AI223" s="1" t="s">
        <v>35</v>
      </c>
      <c r="AJ223" s="1" t="s">
        <v>36</v>
      </c>
      <c r="AK223" s="1" t="s">
        <v>37</v>
      </c>
      <c r="AL223" s="1" t="s">
        <v>38</v>
      </c>
      <c r="AM223" s="1" t="s">
        <v>39</v>
      </c>
    </row>
    <row r="224" spans="1:39" x14ac:dyDescent="0.2">
      <c r="A224" s="2" t="str">
        <f>HYPERLINK("https://www.compass.com/listing/100-barclay-street-unit-17k-manhattan-ny-10007/526017034195721129/","100 Barclay St, Unit 17K")</f>
        <v>100 Barclay St, Unit 17K</v>
      </c>
      <c r="B224" s="2" t="str">
        <f>HYPERLINK("https://www.compass.com/building/100-barclay-manhattan-ny/281896670466155525/","100 Barclay")</f>
        <v>100 Barclay</v>
      </c>
      <c r="C224" s="1" t="s">
        <v>40</v>
      </c>
      <c r="D224" s="1" t="s">
        <v>41</v>
      </c>
      <c r="E224" s="3">
        <v>2995000</v>
      </c>
      <c r="F224" s="1">
        <v>1735.2259559675499</v>
      </c>
      <c r="G224" s="1">
        <v>5</v>
      </c>
      <c r="H224" s="1">
        <v>2</v>
      </c>
      <c r="I224" s="1">
        <v>3</v>
      </c>
      <c r="J224" s="1">
        <v>2.5</v>
      </c>
      <c r="K224" s="1">
        <v>2</v>
      </c>
      <c r="L224" s="1">
        <v>1</v>
      </c>
      <c r="M224" s="4">
        <v>1726</v>
      </c>
      <c r="N224" s="1">
        <v>2737</v>
      </c>
      <c r="O224" s="1">
        <v>5311</v>
      </c>
      <c r="P224" s="1">
        <v>2574</v>
      </c>
      <c r="S224" s="1" t="s">
        <v>42</v>
      </c>
      <c r="T224" s="1" t="s">
        <v>157</v>
      </c>
      <c r="U224" s="1">
        <v>284</v>
      </c>
      <c r="V224" s="5">
        <v>44425</v>
      </c>
      <c r="W224" s="5">
        <v>44054</v>
      </c>
      <c r="X224" s="1">
        <v>3175000</v>
      </c>
      <c r="Z224" s="5">
        <v>44344</v>
      </c>
      <c r="AB224" s="1" t="s">
        <v>44</v>
      </c>
      <c r="AF224" s="1">
        <v>10007</v>
      </c>
      <c r="AI224" s="1" t="s">
        <v>45</v>
      </c>
      <c r="AJ224" s="1">
        <v>1930</v>
      </c>
      <c r="AK224" s="1" t="s">
        <v>46</v>
      </c>
      <c r="AL224" s="1">
        <v>156</v>
      </c>
    </row>
    <row r="225" spans="1:38" x14ac:dyDescent="0.2">
      <c r="A225" s="2" t="str">
        <f>HYPERLINK("https://www.compass.com/listing/30-park-place-unit-ph78a-manhattan-ny-10007/720108489355364713/","30 Park Pl, Unit PH78A")</f>
        <v>30 Park Pl, Unit PH78A</v>
      </c>
      <c r="B225" s="2" t="str">
        <f>HYPERLINK("https://www.compass.com/building/30-park-pl-manhattan-ny-10007/281896912905317605/","30 Park Pl")</f>
        <v>30 Park Pl</v>
      </c>
      <c r="C225" s="1" t="s">
        <v>40</v>
      </c>
      <c r="D225" s="1" t="s">
        <v>41</v>
      </c>
      <c r="E225" s="3">
        <v>39500000</v>
      </c>
      <c r="F225" s="1">
        <v>6446.8744899624598</v>
      </c>
      <c r="G225" s="1">
        <v>12</v>
      </c>
      <c r="H225" s="1">
        <v>5</v>
      </c>
      <c r="I225" s="1">
        <v>7</v>
      </c>
      <c r="J225" s="1">
        <v>6</v>
      </c>
      <c r="K225" s="1">
        <v>5</v>
      </c>
      <c r="L225" s="1">
        <v>2</v>
      </c>
      <c r="M225" s="4">
        <v>6127</v>
      </c>
      <c r="N225" s="1">
        <v>6743.34</v>
      </c>
      <c r="O225" s="1">
        <v>21932.13</v>
      </c>
      <c r="P225" s="1">
        <v>15188.75</v>
      </c>
      <c r="S225" s="1" t="s">
        <v>42</v>
      </c>
      <c r="T225" s="1" t="s">
        <v>157</v>
      </c>
      <c r="U225" s="1">
        <v>146</v>
      </c>
      <c r="V225" s="5">
        <v>44393</v>
      </c>
      <c r="W225" s="5">
        <v>44247</v>
      </c>
      <c r="X225" s="1">
        <v>39500000</v>
      </c>
      <c r="Z225" s="5">
        <v>44393</v>
      </c>
      <c r="AB225" s="1" t="s">
        <v>44</v>
      </c>
      <c r="AF225" s="1">
        <v>10007</v>
      </c>
      <c r="AI225" s="1" t="s">
        <v>85</v>
      </c>
      <c r="AJ225" s="1">
        <v>2016</v>
      </c>
      <c r="AK225" s="1" t="s">
        <v>46</v>
      </c>
      <c r="AL225" s="1">
        <v>157</v>
      </c>
    </row>
    <row r="226" spans="1:38" x14ac:dyDescent="0.2">
      <c r="A226" s="2" t="str">
        <f>HYPERLINK("https://www.compass.com/listing/555-west-end-avenue-unit-4w-manhattan-ny-10024/334023892393872017/","555 W End Ave, Unit 4W")</f>
        <v>555 W End Ave, Unit 4W</v>
      </c>
      <c r="B226" s="2" t="str">
        <f>HYPERLINK("https://www.compass.com/building/555-west-end-avenue-manhattan-ny/292874438096018885/","555 West End Avenue")</f>
        <v>555 West End Avenue</v>
      </c>
      <c r="C226" s="1" t="s">
        <v>50</v>
      </c>
      <c r="D226" s="1" t="s">
        <v>41</v>
      </c>
      <c r="E226" s="3">
        <v>8400000</v>
      </c>
      <c r="F226" s="1">
        <v>3092.7835051546299</v>
      </c>
      <c r="G226" s="1">
        <v>6</v>
      </c>
      <c r="H226" s="1">
        <v>4</v>
      </c>
      <c r="I226" s="1">
        <v>5</v>
      </c>
      <c r="J226" s="1">
        <v>4.5</v>
      </c>
      <c r="K226" s="1">
        <v>4</v>
      </c>
      <c r="L226" s="1">
        <v>1</v>
      </c>
      <c r="M226" s="4">
        <v>2716</v>
      </c>
      <c r="N226" s="1">
        <v>3735.9</v>
      </c>
      <c r="O226" s="1">
        <v>9697.9</v>
      </c>
      <c r="P226" s="1">
        <v>5962</v>
      </c>
      <c r="S226" s="1" t="s">
        <v>42</v>
      </c>
      <c r="T226" s="1" t="s">
        <v>157</v>
      </c>
      <c r="U226" s="1">
        <v>1</v>
      </c>
      <c r="V226" s="5">
        <v>44410</v>
      </c>
      <c r="W226" s="5">
        <v>43713</v>
      </c>
      <c r="X226" s="1">
        <v>8400000</v>
      </c>
      <c r="Z226" s="5">
        <v>43714</v>
      </c>
      <c r="AB226" s="1" t="s">
        <v>44</v>
      </c>
      <c r="AF226" s="1">
        <v>10024</v>
      </c>
      <c r="AJ226" s="1">
        <v>2019</v>
      </c>
      <c r="AK226" s="1" t="s">
        <v>49</v>
      </c>
      <c r="AL226" s="1">
        <v>13</v>
      </c>
    </row>
    <row r="227" spans="1:38" x14ac:dyDescent="0.2">
      <c r="A227" s="2" t="str">
        <f>HYPERLINK("https://www.compass.com/listing/570-broome-street-unit-17b-manhattan-ny-10013/510678885074686089/","570 Broome St, Unit 17B")</f>
        <v>570 Broome St, Unit 17B</v>
      </c>
      <c r="B227" s="2" t="str">
        <f>HYPERLINK("https://www.compass.com/building/570-broome-manhattan-ny/292818583757562981/","570 Broome")</f>
        <v>570 Broome</v>
      </c>
      <c r="C227" s="1" t="s">
        <v>47</v>
      </c>
      <c r="D227" s="1" t="s">
        <v>41</v>
      </c>
      <c r="E227" s="3">
        <v>2990000</v>
      </c>
      <c r="F227" s="1">
        <v>2527.4725274725201</v>
      </c>
      <c r="G227" s="1">
        <v>4</v>
      </c>
      <c r="H227" s="1">
        <v>2</v>
      </c>
      <c r="I227" s="1">
        <v>3</v>
      </c>
      <c r="J227" s="1">
        <v>2.5</v>
      </c>
      <c r="K227" s="1">
        <v>2</v>
      </c>
      <c r="L227" s="1">
        <v>1</v>
      </c>
      <c r="M227" s="4">
        <v>1183</v>
      </c>
      <c r="N227" s="1">
        <v>1379</v>
      </c>
      <c r="O227" s="1">
        <v>3750</v>
      </c>
      <c r="P227" s="1">
        <v>2371</v>
      </c>
      <c r="S227" s="1" t="s">
        <v>42</v>
      </c>
      <c r="T227" s="1" t="s">
        <v>157</v>
      </c>
      <c r="U227" s="1">
        <v>421</v>
      </c>
      <c r="V227" s="5">
        <v>44426</v>
      </c>
      <c r="W227" s="5">
        <v>43956</v>
      </c>
      <c r="X227" s="1">
        <v>2990000</v>
      </c>
      <c r="Z227" s="5">
        <v>44426</v>
      </c>
      <c r="AB227" s="1" t="s">
        <v>44</v>
      </c>
      <c r="AF227" s="1">
        <v>10013</v>
      </c>
      <c r="AI227" s="1" t="s">
        <v>59</v>
      </c>
      <c r="AJ227" s="1">
        <v>2019</v>
      </c>
      <c r="AK227" s="1" t="s">
        <v>49</v>
      </c>
      <c r="AL227" s="1">
        <v>54</v>
      </c>
    </row>
    <row r="228" spans="1:38" x14ac:dyDescent="0.2">
      <c r="A228" s="2" t="str">
        <f>HYPERLINK("https://www.compass.com/listing/48-east-132nd-street-unit-3c-manhattan-ny-10037/740595414763323217/","48 E 132nd St, Unit 3C")</f>
        <v>48 E 132nd St, Unit 3C</v>
      </c>
      <c r="B228" s="2" t="str">
        <f>HYPERLINK("https://www.compass.com/building/48-e-132nd-st-manhattan-ny-10037/282028625274876293/","48 E 132nd St")</f>
        <v>48 E 132nd St</v>
      </c>
      <c r="C228" s="1" t="s">
        <v>61</v>
      </c>
      <c r="D228" s="1" t="s">
        <v>41</v>
      </c>
      <c r="E228" s="3">
        <v>435000</v>
      </c>
      <c r="F228" s="1">
        <v>1087.5</v>
      </c>
      <c r="G228" s="1">
        <v>3</v>
      </c>
      <c r="H228" s="1" t="s">
        <v>97</v>
      </c>
      <c r="I228" s="1">
        <v>1</v>
      </c>
      <c r="J228" s="1">
        <v>1</v>
      </c>
      <c r="K228" s="1">
        <v>1</v>
      </c>
      <c r="M228" s="1">
        <v>400</v>
      </c>
      <c r="N228" s="1">
        <v>395</v>
      </c>
      <c r="O228" s="1">
        <v>654</v>
      </c>
      <c r="P228" s="1">
        <v>259</v>
      </c>
      <c r="S228" s="1" t="s">
        <v>42</v>
      </c>
      <c r="T228" s="1" t="s">
        <v>157</v>
      </c>
      <c r="U228" s="1">
        <v>5</v>
      </c>
      <c r="V228" s="5">
        <v>44405</v>
      </c>
      <c r="W228" s="5">
        <v>44391</v>
      </c>
      <c r="X228" s="1">
        <v>435000</v>
      </c>
      <c r="Z228" s="5">
        <v>44405</v>
      </c>
      <c r="AB228" s="1" t="s">
        <v>44</v>
      </c>
      <c r="AF228" s="1">
        <v>10037</v>
      </c>
      <c r="AI228" s="1" t="s">
        <v>62</v>
      </c>
      <c r="AJ228" s="1">
        <v>2016</v>
      </c>
      <c r="AK228" s="1" t="s">
        <v>63</v>
      </c>
      <c r="AL228" s="1">
        <v>19</v>
      </c>
    </row>
    <row r="229" spans="1:38" x14ac:dyDescent="0.2">
      <c r="A229" s="2" t="str">
        <f>HYPERLINK("https://www.compass.com/listing/50-riverside-boulevard-unit-7l-manhattan-ny-10069/784881848395922841/","50 Riverside Blvd, Unit 7L")</f>
        <v>50 Riverside Blvd, Unit 7L</v>
      </c>
      <c r="B229" s="2" t="str">
        <f t="shared" ref="B229:B230" si="41">HYPERLINK("https://www.compass.com/building/one-riverside-park-manhattan-ny/282041440266113253/","One Riverside Park")</f>
        <v>One Riverside Park</v>
      </c>
      <c r="C229" s="1" t="s">
        <v>50</v>
      </c>
      <c r="D229" s="1" t="s">
        <v>41</v>
      </c>
      <c r="E229" s="3">
        <v>4000000</v>
      </c>
      <c r="F229" s="1">
        <v>2108.5925144965699</v>
      </c>
      <c r="G229" s="1">
        <v>6</v>
      </c>
      <c r="H229" s="1">
        <v>3</v>
      </c>
      <c r="I229" s="1">
        <v>4</v>
      </c>
      <c r="J229" s="1">
        <v>3.5</v>
      </c>
      <c r="K229" s="1">
        <v>3</v>
      </c>
      <c r="L229" s="1">
        <v>1</v>
      </c>
      <c r="M229" s="4">
        <v>1897</v>
      </c>
      <c r="N229" s="1">
        <v>2118</v>
      </c>
      <c r="O229" s="1">
        <v>2225</v>
      </c>
      <c r="P229" s="1">
        <v>107</v>
      </c>
      <c r="S229" s="1" t="s">
        <v>42</v>
      </c>
      <c r="T229" s="1" t="s">
        <v>157</v>
      </c>
      <c r="U229" s="1">
        <v>79</v>
      </c>
      <c r="V229" s="5">
        <v>44415</v>
      </c>
      <c r="W229" s="5">
        <v>44335</v>
      </c>
      <c r="X229" s="1">
        <v>4250000</v>
      </c>
      <c r="Z229" s="5">
        <v>44415</v>
      </c>
      <c r="AB229" s="1" t="s">
        <v>44</v>
      </c>
      <c r="AF229" s="1">
        <v>10069</v>
      </c>
      <c r="AI229" s="1" t="s">
        <v>158</v>
      </c>
      <c r="AJ229" s="1">
        <v>2016</v>
      </c>
      <c r="AK229" s="1" t="s">
        <v>46</v>
      </c>
      <c r="AL229" s="1">
        <v>657</v>
      </c>
    </row>
    <row r="230" spans="1:38" x14ac:dyDescent="0.2">
      <c r="A230" s="2" t="str">
        <f>HYPERLINK("https://www.compass.com/listing/50-riverside-boulevard-unit-18b-manhattan-ny-10069/495587072550669809/","50 Riverside Blvd, Unit 18B")</f>
        <v>50 Riverside Blvd, Unit 18B</v>
      </c>
      <c r="B230" s="2" t="str">
        <f t="shared" si="41"/>
        <v>One Riverside Park</v>
      </c>
      <c r="C230" s="1" t="s">
        <v>50</v>
      </c>
      <c r="D230" s="1" t="s">
        <v>41</v>
      </c>
      <c r="E230" s="3">
        <v>7490000</v>
      </c>
      <c r="F230" s="1">
        <v>2198.4150278837601</v>
      </c>
      <c r="G230" s="1">
        <v>7</v>
      </c>
      <c r="H230" s="1">
        <v>4</v>
      </c>
      <c r="I230" s="1">
        <v>5</v>
      </c>
      <c r="J230" s="1">
        <v>4.5</v>
      </c>
      <c r="K230" s="1">
        <v>4</v>
      </c>
      <c r="L230" s="1">
        <v>1</v>
      </c>
      <c r="M230" s="4">
        <v>3407</v>
      </c>
      <c r="N230" s="1">
        <v>3795</v>
      </c>
      <c r="O230" s="1">
        <v>3991</v>
      </c>
      <c r="P230" s="1">
        <v>196</v>
      </c>
      <c r="S230" s="1" t="s">
        <v>42</v>
      </c>
      <c r="T230" s="1" t="s">
        <v>157</v>
      </c>
      <c r="U230" s="1">
        <v>321</v>
      </c>
      <c r="V230" s="5">
        <v>44378</v>
      </c>
      <c r="W230" s="5">
        <v>44005</v>
      </c>
      <c r="X230" s="1">
        <v>7590000</v>
      </c>
      <c r="Z230" s="5">
        <v>44326</v>
      </c>
      <c r="AB230" s="1" t="s">
        <v>44</v>
      </c>
      <c r="AF230" s="1">
        <v>10069</v>
      </c>
      <c r="AI230" s="1" t="s">
        <v>45</v>
      </c>
      <c r="AJ230" s="1">
        <v>2016</v>
      </c>
      <c r="AK230" s="1" t="s">
        <v>46</v>
      </c>
      <c r="AL230" s="1">
        <v>657</v>
      </c>
    </row>
    <row r="231" spans="1:38" x14ac:dyDescent="0.2">
      <c r="A231" s="2" t="str">
        <f>HYPERLINK("https://www.compass.com/listing/100-barclay-street-unit-28b-manhattan-ny-10007/849278543895808849/","100 Barclay St, Unit 28B")</f>
        <v>100 Barclay St, Unit 28B</v>
      </c>
      <c r="B231" s="2" t="str">
        <f t="shared" ref="B231:B232" si="42">HYPERLINK("https://www.compass.com/building/100-barclay-manhattan-ny/281896670466155525/","100 Barclay")</f>
        <v>100 Barclay</v>
      </c>
      <c r="C231" s="1" t="s">
        <v>40</v>
      </c>
      <c r="D231" s="1" t="s">
        <v>41</v>
      </c>
      <c r="E231" s="3">
        <v>6950000</v>
      </c>
      <c r="F231" s="1">
        <v>2421.6027874564402</v>
      </c>
      <c r="G231" s="1">
        <v>6</v>
      </c>
      <c r="H231" s="1">
        <v>3</v>
      </c>
      <c r="I231" s="1">
        <v>4</v>
      </c>
      <c r="J231" s="1">
        <v>4</v>
      </c>
      <c r="K231" s="1">
        <v>4</v>
      </c>
      <c r="M231" s="4">
        <v>2870</v>
      </c>
      <c r="N231" s="1">
        <v>4138</v>
      </c>
      <c r="O231" s="1">
        <v>8884</v>
      </c>
      <c r="P231" s="1">
        <v>4746</v>
      </c>
      <c r="Q231" s="1" t="s">
        <v>42</v>
      </c>
      <c r="S231" s="1" t="s">
        <v>42</v>
      </c>
      <c r="T231" s="1" t="s">
        <v>157</v>
      </c>
      <c r="V231" s="5">
        <v>44424</v>
      </c>
      <c r="W231" s="5">
        <v>44423</v>
      </c>
      <c r="X231" s="1">
        <v>6950000</v>
      </c>
      <c r="Z231" s="5">
        <v>44424</v>
      </c>
      <c r="AB231" s="1" t="s">
        <v>44</v>
      </c>
      <c r="AF231" s="1">
        <v>10007</v>
      </c>
      <c r="AI231" s="1" t="s">
        <v>45</v>
      </c>
      <c r="AJ231" s="1">
        <v>1930</v>
      </c>
      <c r="AK231" s="1" t="s">
        <v>73</v>
      </c>
      <c r="AL231" s="1">
        <v>156</v>
      </c>
    </row>
    <row r="232" spans="1:38" x14ac:dyDescent="0.2">
      <c r="A232" s="2" t="str">
        <f>HYPERLINK("https://www.compass.com/listing/100-barclay-street-unit-25a-manhattan-ny-10007/842739658950997953/","100 Barclay St, Unit 25A")</f>
        <v>100 Barclay St, Unit 25A</v>
      </c>
      <c r="B232" s="2" t="str">
        <f t="shared" si="42"/>
        <v>100 Barclay</v>
      </c>
      <c r="C232" s="1" t="s">
        <v>40</v>
      </c>
      <c r="D232" s="1" t="s">
        <v>41</v>
      </c>
      <c r="E232" s="3">
        <v>6625000</v>
      </c>
      <c r="F232" s="1">
        <v>2226.89075630252</v>
      </c>
      <c r="G232" s="1">
        <v>7</v>
      </c>
      <c r="H232" s="1">
        <v>3</v>
      </c>
      <c r="I232" s="1">
        <v>4</v>
      </c>
      <c r="J232" s="1">
        <v>4</v>
      </c>
      <c r="K232" s="1">
        <v>4</v>
      </c>
      <c r="M232" s="4">
        <v>2975</v>
      </c>
      <c r="N232" s="1">
        <v>4289</v>
      </c>
      <c r="O232" s="1">
        <v>9208</v>
      </c>
      <c r="P232" s="1">
        <v>4919</v>
      </c>
      <c r="Q232" s="1" t="s">
        <v>42</v>
      </c>
      <c r="S232" s="1" t="s">
        <v>42</v>
      </c>
      <c r="T232" s="1" t="s">
        <v>157</v>
      </c>
      <c r="U232" s="1">
        <v>1</v>
      </c>
      <c r="V232" s="5">
        <v>44415</v>
      </c>
      <c r="W232" s="5">
        <v>44413</v>
      </c>
      <c r="X232" s="1">
        <v>6625000</v>
      </c>
      <c r="Z232" s="5">
        <v>44415</v>
      </c>
      <c r="AB232" s="1" t="s">
        <v>44</v>
      </c>
      <c r="AF232" s="1">
        <v>10007</v>
      </c>
      <c r="AI232" s="1" t="s">
        <v>45</v>
      </c>
      <c r="AJ232" s="1">
        <v>1930</v>
      </c>
      <c r="AK232" s="1" t="s">
        <v>73</v>
      </c>
      <c r="AL232" s="1">
        <v>156</v>
      </c>
    </row>
    <row r="233" spans="1:38" x14ac:dyDescent="0.2">
      <c r="A233" s="2" t="str">
        <f>HYPERLINK("https://www.compass.com/listing/121-east-22nd-street-unit-s401-manhattan-ny-10010/820288682881173825/","121 E 22nd St, Unit S401")</f>
        <v>121 E 22nd St, Unit S401</v>
      </c>
      <c r="B233" s="2" t="str">
        <f>HYPERLINK("https://www.compass.com/building/121-e-22nd-manhattan-ny/292795784653461493/","121 E 22nd")</f>
        <v>121 E 22nd</v>
      </c>
      <c r="C233" s="1" t="s">
        <v>54</v>
      </c>
      <c r="D233" s="1" t="s">
        <v>41</v>
      </c>
      <c r="E233" s="3">
        <v>3425000</v>
      </c>
      <c r="F233" s="1">
        <v>2074.5003028467499</v>
      </c>
      <c r="G233" s="1">
        <v>3.5</v>
      </c>
      <c r="H233" s="1">
        <v>2</v>
      </c>
      <c r="I233" s="1">
        <v>3</v>
      </c>
      <c r="J233" s="1">
        <v>2.5</v>
      </c>
      <c r="K233" s="1">
        <v>2</v>
      </c>
      <c r="L233" s="1">
        <v>1</v>
      </c>
      <c r="M233" s="4">
        <v>1651</v>
      </c>
      <c r="N233" s="1">
        <v>1665</v>
      </c>
      <c r="O233" s="1">
        <v>5001</v>
      </c>
      <c r="P233" s="1">
        <v>3336</v>
      </c>
      <c r="Q233" s="1" t="s">
        <v>42</v>
      </c>
      <c r="S233" s="1" t="s">
        <v>42</v>
      </c>
      <c r="T233" s="1" t="s">
        <v>157</v>
      </c>
      <c r="U233" s="1">
        <v>13</v>
      </c>
      <c r="V233" s="5">
        <v>44405</v>
      </c>
      <c r="W233" s="5">
        <v>44384</v>
      </c>
      <c r="X233" s="1">
        <v>3425000</v>
      </c>
      <c r="Z233" s="5">
        <v>44397</v>
      </c>
      <c r="AB233" s="1" t="s">
        <v>44</v>
      </c>
      <c r="AF233" s="1">
        <v>10010</v>
      </c>
      <c r="AI233" s="1" t="s">
        <v>78</v>
      </c>
      <c r="AJ233" s="1">
        <v>2016</v>
      </c>
      <c r="AK233" s="1" t="s">
        <v>73</v>
      </c>
      <c r="AL233" s="1">
        <v>140</v>
      </c>
    </row>
    <row r="234" spans="1:38" x14ac:dyDescent="0.2">
      <c r="A234" s="2" t="str">
        <f>HYPERLINK("https://www.compass.com/listing/215-east-19th-street-unit-14g-manhattan-ny-10003/831299655550050217/","215 E 19th St, Unit 14G")</f>
        <v>215 E 19th St, Unit 14G</v>
      </c>
      <c r="B234" s="2" t="str">
        <f t="shared" ref="B234:B235" si="43">HYPERLINK("https://www.compass.com/building/the-tower-at-gramercy-square-manhattan-ny/281890815108713781/","The Tower at Gramercy Square")</f>
        <v>The Tower at Gramercy Square</v>
      </c>
      <c r="C234" s="1" t="s">
        <v>54</v>
      </c>
      <c r="D234" s="1" t="s">
        <v>41</v>
      </c>
      <c r="E234" s="3">
        <v>5125000</v>
      </c>
      <c r="F234" s="1">
        <v>2495.13145082765</v>
      </c>
      <c r="G234" s="1">
        <v>5.5</v>
      </c>
      <c r="H234" s="1">
        <v>3</v>
      </c>
      <c r="I234" s="1">
        <v>4</v>
      </c>
      <c r="J234" s="1">
        <v>3.5</v>
      </c>
      <c r="K234" s="1">
        <v>3</v>
      </c>
      <c r="L234" s="1">
        <v>1</v>
      </c>
      <c r="M234" s="4">
        <v>2054</v>
      </c>
      <c r="N234" s="1">
        <v>2332</v>
      </c>
      <c r="O234" s="1">
        <v>6345</v>
      </c>
      <c r="P234" s="1">
        <v>4013</v>
      </c>
      <c r="Q234" s="1" t="s">
        <v>42</v>
      </c>
      <c r="S234" s="1" t="s">
        <v>42</v>
      </c>
      <c r="T234" s="1" t="s">
        <v>157</v>
      </c>
      <c r="V234" s="5">
        <v>44399</v>
      </c>
      <c r="W234" s="5">
        <v>44398</v>
      </c>
      <c r="X234" s="1">
        <v>1</v>
      </c>
      <c r="Z234" s="5">
        <v>44399</v>
      </c>
      <c r="AB234" s="1" t="s">
        <v>44</v>
      </c>
      <c r="AF234" s="1">
        <v>10003</v>
      </c>
      <c r="AI234" s="1" t="s">
        <v>76</v>
      </c>
      <c r="AJ234" s="1">
        <v>1920</v>
      </c>
      <c r="AK234" s="1" t="s">
        <v>46</v>
      </c>
      <c r="AL234" s="1">
        <v>130</v>
      </c>
    </row>
    <row r="235" spans="1:38" x14ac:dyDescent="0.2">
      <c r="A235" s="2" t="str">
        <f>HYPERLINK("https://www.compass.com/listing/215-east-19th-street-unit-12d-manhattan-ny-10003/821398007796043769/","215 E 19th St, Unit 12D")</f>
        <v>215 E 19th St, Unit 12D</v>
      </c>
      <c r="B235" s="2" t="str">
        <f t="shared" si="43"/>
        <v>The Tower at Gramercy Square</v>
      </c>
      <c r="C235" s="1" t="s">
        <v>54</v>
      </c>
      <c r="D235" s="1" t="s">
        <v>41</v>
      </c>
      <c r="E235" s="3">
        <v>4265000</v>
      </c>
      <c r="F235" s="1">
        <v>2325.5179934569201</v>
      </c>
      <c r="G235" s="1">
        <v>4</v>
      </c>
      <c r="H235" s="1">
        <v>2</v>
      </c>
      <c r="J235" s="1">
        <v>2.5</v>
      </c>
      <c r="M235" s="4">
        <v>1834</v>
      </c>
      <c r="N235" s="1">
        <v>2082</v>
      </c>
      <c r="O235" s="1">
        <v>5665</v>
      </c>
      <c r="P235" s="1">
        <v>3583</v>
      </c>
      <c r="S235" s="1" t="s">
        <v>42</v>
      </c>
      <c r="T235" s="1" t="s">
        <v>157</v>
      </c>
      <c r="V235" s="5">
        <v>44385</v>
      </c>
      <c r="W235" s="5">
        <v>44384</v>
      </c>
      <c r="X235" s="1">
        <v>4265000</v>
      </c>
      <c r="Z235" s="5">
        <v>44385</v>
      </c>
      <c r="AB235" s="1" t="s">
        <v>44</v>
      </c>
      <c r="AF235" s="1">
        <v>10003</v>
      </c>
      <c r="AI235" s="1" t="s">
        <v>76</v>
      </c>
      <c r="AJ235" s="1">
        <v>1920</v>
      </c>
      <c r="AK235" s="1" t="s">
        <v>46</v>
      </c>
      <c r="AL235" s="1">
        <v>130</v>
      </c>
    </row>
    <row r="236" spans="1:38" x14ac:dyDescent="0.2">
      <c r="A236" s="2" t="str">
        <f>HYPERLINK("https://www.compass.com/listing/277-5th-avenue-unit-20d-manhattan-ny-10016/840610309181153457/","277 5th Ave, Unit 20D")</f>
        <v>277 5th Ave, Unit 20D</v>
      </c>
      <c r="B236" s="2" t="str">
        <f t="shared" ref="B236:B237" si="44">HYPERLINK("https://www.compass.com/building/277-fifth-avenue-manhattan-ny/281939285475645317/","277 FIFTH AVENUE")</f>
        <v>277 FIFTH AVENUE</v>
      </c>
      <c r="C236" s="1" t="s">
        <v>81</v>
      </c>
      <c r="D236" s="1" t="s">
        <v>41</v>
      </c>
      <c r="E236" s="3">
        <v>3325000</v>
      </c>
      <c r="G236" s="1">
        <v>4</v>
      </c>
      <c r="H236" s="1">
        <v>2</v>
      </c>
      <c r="I236" s="1">
        <v>2</v>
      </c>
      <c r="J236" s="1">
        <v>2</v>
      </c>
      <c r="K236" s="1">
        <v>2</v>
      </c>
      <c r="N236" s="1">
        <v>1976</v>
      </c>
      <c r="O236" s="1">
        <v>3786</v>
      </c>
      <c r="P236" s="1">
        <v>1810</v>
      </c>
      <c r="Q236" s="1" t="s">
        <v>42</v>
      </c>
      <c r="S236" s="1" t="s">
        <v>42</v>
      </c>
      <c r="T236" s="1" t="s">
        <v>157</v>
      </c>
      <c r="V236" s="5">
        <v>44426</v>
      </c>
      <c r="W236" s="5">
        <v>44411</v>
      </c>
      <c r="X236" s="1">
        <v>3325000</v>
      </c>
      <c r="Z236" s="5">
        <v>44412</v>
      </c>
      <c r="AB236" s="1" t="s">
        <v>44</v>
      </c>
      <c r="AF236" s="1">
        <v>10016</v>
      </c>
      <c r="AI236" s="1" t="s">
        <v>82</v>
      </c>
      <c r="AJ236" s="1">
        <v>2019</v>
      </c>
      <c r="AK236" s="1" t="s">
        <v>46</v>
      </c>
      <c r="AL236" s="1">
        <v>130</v>
      </c>
    </row>
    <row r="237" spans="1:38" x14ac:dyDescent="0.2">
      <c r="A237" s="2" t="str">
        <f>HYPERLINK("https://www.compass.com/listing/277-5th-avenue-unit-23d-manhattan-ny-10016/840640948420400985/","277 5th Ave, Unit 23D")</f>
        <v>277 5th Ave, Unit 23D</v>
      </c>
      <c r="B237" s="2" t="str">
        <f t="shared" si="44"/>
        <v>277 FIFTH AVENUE</v>
      </c>
      <c r="C237" s="1" t="s">
        <v>81</v>
      </c>
      <c r="D237" s="1" t="s">
        <v>41</v>
      </c>
      <c r="E237" s="3">
        <v>3430000</v>
      </c>
      <c r="F237" s="1">
        <v>2498.17916970138</v>
      </c>
      <c r="G237" s="1">
        <v>4</v>
      </c>
      <c r="H237" s="1">
        <v>2</v>
      </c>
      <c r="I237" s="1">
        <v>2</v>
      </c>
      <c r="J237" s="1">
        <v>2</v>
      </c>
      <c r="K237" s="1">
        <v>2</v>
      </c>
      <c r="M237" s="4">
        <v>1373</v>
      </c>
      <c r="N237" s="1">
        <v>1977</v>
      </c>
      <c r="O237" s="1">
        <v>3787</v>
      </c>
      <c r="P237" s="1">
        <v>1810</v>
      </c>
      <c r="Q237" s="1" t="s">
        <v>42</v>
      </c>
      <c r="S237" s="1" t="s">
        <v>42</v>
      </c>
      <c r="T237" s="1" t="s">
        <v>157</v>
      </c>
      <c r="V237" s="5">
        <v>44426</v>
      </c>
      <c r="W237" s="5">
        <v>44411</v>
      </c>
      <c r="X237" s="1">
        <v>3430000</v>
      </c>
      <c r="Z237" s="5">
        <v>44412</v>
      </c>
      <c r="AB237" s="1" t="s">
        <v>44</v>
      </c>
      <c r="AF237" s="1">
        <v>10016</v>
      </c>
      <c r="AI237" s="1" t="s">
        <v>82</v>
      </c>
      <c r="AJ237" s="1">
        <v>2019</v>
      </c>
      <c r="AK237" s="1" t="s">
        <v>46</v>
      </c>
      <c r="AL237" s="1">
        <v>130</v>
      </c>
    </row>
    <row r="238" spans="1:38" x14ac:dyDescent="0.2">
      <c r="A238" s="2" t="str">
        <f>HYPERLINK("https://www.compass.com/listing/30-park-place-unit-55c-manhattan-ny-10007/748709722177647721/","30 Park Pl, Unit 55C")</f>
        <v>30 Park Pl, Unit 55C</v>
      </c>
      <c r="B238" s="2" t="str">
        <f>HYPERLINK("https://www.compass.com/building/30-park-pl-manhattan-ny-10007/281896912905317605/","30 Park Pl")</f>
        <v>30 Park Pl</v>
      </c>
      <c r="C238" s="1" t="s">
        <v>40</v>
      </c>
      <c r="D238" s="1" t="s">
        <v>41</v>
      </c>
      <c r="E238" s="3">
        <v>4300000</v>
      </c>
      <c r="F238" s="1">
        <v>2786.77900194426</v>
      </c>
      <c r="G238" s="1">
        <v>4</v>
      </c>
      <c r="H238" s="1">
        <v>2</v>
      </c>
      <c r="I238" s="1">
        <v>3</v>
      </c>
      <c r="J238" s="1">
        <v>2.5</v>
      </c>
      <c r="K238" s="1">
        <v>2</v>
      </c>
      <c r="L238" s="1">
        <v>1</v>
      </c>
      <c r="M238" s="4">
        <v>1543</v>
      </c>
      <c r="N238" s="1">
        <v>1330</v>
      </c>
      <c r="O238" s="1">
        <v>4541</v>
      </c>
      <c r="P238" s="1">
        <v>3211</v>
      </c>
      <c r="Q238" s="1" t="s">
        <v>42</v>
      </c>
      <c r="S238" s="1" t="s">
        <v>42</v>
      </c>
      <c r="T238" s="1" t="s">
        <v>157</v>
      </c>
      <c r="U238" s="1">
        <v>128</v>
      </c>
      <c r="V238" s="5">
        <v>44427</v>
      </c>
      <c r="W238" s="5">
        <v>44284</v>
      </c>
      <c r="X238" s="1">
        <v>4300000</v>
      </c>
      <c r="Z238" s="5">
        <v>44412</v>
      </c>
      <c r="AB238" s="1" t="s">
        <v>44</v>
      </c>
      <c r="AF238" s="1">
        <v>10007</v>
      </c>
      <c r="AJ238" s="1">
        <v>2016</v>
      </c>
      <c r="AK238" s="1" t="s">
        <v>73</v>
      </c>
      <c r="AL238" s="1">
        <v>157</v>
      </c>
    </row>
    <row r="239" spans="1:38" x14ac:dyDescent="0.2">
      <c r="A239" s="2" t="str">
        <f>HYPERLINK("https://www.compass.com/listing/150-east-23rd-street-unit-7c-manhattan-ny-10010/788733780262529873/","150 E 23rd St, Unit 7C")</f>
        <v>150 E 23rd St, Unit 7C</v>
      </c>
      <c r="B239" s="2" t="str">
        <f>HYPERLINK("https://www.compass.com/building/celeste-gramercy-manhattan-ny/292795972759607813/","Celeste Gramercy")</f>
        <v>Celeste Gramercy</v>
      </c>
      <c r="C239" s="1" t="s">
        <v>54</v>
      </c>
      <c r="D239" s="1" t="s">
        <v>41</v>
      </c>
      <c r="E239" s="3">
        <v>2425000</v>
      </c>
      <c r="F239" s="1">
        <v>1787.0302137066999</v>
      </c>
      <c r="G239" s="1">
        <v>4</v>
      </c>
      <c r="H239" s="1">
        <v>2</v>
      </c>
      <c r="I239" s="1">
        <v>2</v>
      </c>
      <c r="J239" s="1">
        <v>2</v>
      </c>
      <c r="K239" s="1">
        <v>2</v>
      </c>
      <c r="M239" s="4">
        <v>1357</v>
      </c>
      <c r="N239" s="1">
        <v>1809</v>
      </c>
      <c r="O239" s="1">
        <v>3505</v>
      </c>
      <c r="P239" s="1">
        <v>1696</v>
      </c>
      <c r="Q239" s="1" t="s">
        <v>42</v>
      </c>
      <c r="S239" s="1" t="s">
        <v>42</v>
      </c>
      <c r="T239" s="1" t="s">
        <v>157</v>
      </c>
      <c r="V239" s="5">
        <v>44424</v>
      </c>
      <c r="W239" s="5">
        <v>44342</v>
      </c>
      <c r="Z239" s="5">
        <v>44342</v>
      </c>
      <c r="AB239" s="1" t="s">
        <v>44</v>
      </c>
      <c r="AF239" s="1">
        <v>10010</v>
      </c>
      <c r="AI239" s="1" t="s">
        <v>53</v>
      </c>
      <c r="AJ239" s="1">
        <v>2018</v>
      </c>
      <c r="AK239" s="1" t="s">
        <v>46</v>
      </c>
      <c r="AL239" s="1">
        <v>51</v>
      </c>
    </row>
    <row r="240" spans="1:38" x14ac:dyDescent="0.2">
      <c r="A240" s="2" t="str">
        <f>HYPERLINK("https://www.compass.com/listing/100-barclay-street-unit-12a-manhattan-ny-10007/668392133026343353/","100 Barclay St, Unit 12A")</f>
        <v>100 Barclay St, Unit 12A</v>
      </c>
      <c r="B240" s="2" t="str">
        <f>HYPERLINK("https://www.compass.com/building/100-barclay-manhattan-ny/281896670466155525/","100 Barclay")</f>
        <v>100 Barclay</v>
      </c>
      <c r="C240" s="1" t="s">
        <v>40</v>
      </c>
      <c r="D240" s="1" t="s">
        <v>41</v>
      </c>
      <c r="E240" s="3">
        <v>5125000</v>
      </c>
      <c r="F240" s="1">
        <v>1884.8841485840301</v>
      </c>
      <c r="G240" s="1">
        <v>7</v>
      </c>
      <c r="H240" s="1">
        <v>4</v>
      </c>
      <c r="I240" s="1">
        <v>4</v>
      </c>
      <c r="J240" s="1">
        <v>4</v>
      </c>
      <c r="K240" s="1">
        <v>4</v>
      </c>
      <c r="M240" s="4">
        <v>2719</v>
      </c>
      <c r="N240" s="1">
        <v>3920</v>
      </c>
      <c r="O240" s="1">
        <v>8225.7900000000009</v>
      </c>
      <c r="P240" s="1">
        <v>4305.75</v>
      </c>
      <c r="Q240" s="1" t="s">
        <v>42</v>
      </c>
      <c r="S240" s="1" t="s">
        <v>42</v>
      </c>
      <c r="T240" s="1" t="s">
        <v>157</v>
      </c>
      <c r="U240" s="1">
        <v>149</v>
      </c>
      <c r="V240" s="5">
        <v>44417</v>
      </c>
      <c r="W240" s="5">
        <v>44173</v>
      </c>
      <c r="X240" s="1">
        <v>5125000</v>
      </c>
      <c r="Z240" s="5">
        <v>44323</v>
      </c>
      <c r="AB240" s="1" t="s">
        <v>44</v>
      </c>
      <c r="AF240" s="1">
        <v>10007</v>
      </c>
      <c r="AI240" s="1" t="s">
        <v>45</v>
      </c>
      <c r="AJ240" s="1">
        <v>1930</v>
      </c>
      <c r="AK240" s="1" t="s">
        <v>73</v>
      </c>
      <c r="AL240" s="1">
        <v>156</v>
      </c>
    </row>
    <row r="241" spans="1:38" x14ac:dyDescent="0.2">
      <c r="A241" s="2" t="str">
        <f>HYPERLINK("https://www.compass.com/listing/2351-adam-clayton-powell-jr-boulevard-unit-519-manhattan-ny-10030/850657604920071217/","2351 Adam Clayton Powell Jr Blvd, Unit 519")</f>
        <v>2351 Adam Clayton Powell Jr Blvd, Unit 519</v>
      </c>
      <c r="B241" s="2" t="str">
        <f>HYPERLINK("https://www.compass.com/building/the-rennie-manhattan-ny/307439143554395509/","THE RENNIE")</f>
        <v>THE RENNIE</v>
      </c>
      <c r="C241" s="1" t="s">
        <v>61</v>
      </c>
      <c r="D241" s="1" t="s">
        <v>41</v>
      </c>
      <c r="E241" s="3">
        <v>1010000</v>
      </c>
      <c r="F241" s="1">
        <v>1014.05622489959</v>
      </c>
      <c r="G241" s="1">
        <v>5</v>
      </c>
      <c r="H241" s="1">
        <v>2</v>
      </c>
      <c r="I241" s="1">
        <v>2</v>
      </c>
      <c r="J241" s="1">
        <v>2</v>
      </c>
      <c r="K241" s="1">
        <v>2</v>
      </c>
      <c r="M241" s="1">
        <v>996</v>
      </c>
      <c r="N241" s="1">
        <v>1132</v>
      </c>
      <c r="O241" s="1">
        <v>1150</v>
      </c>
      <c r="P241" s="1">
        <v>18</v>
      </c>
      <c r="Q241" s="1" t="s">
        <v>42</v>
      </c>
      <c r="S241" s="1" t="s">
        <v>42</v>
      </c>
      <c r="T241" s="1" t="s">
        <v>157</v>
      </c>
      <c r="V241" s="5">
        <v>44426</v>
      </c>
      <c r="W241" s="5">
        <v>44425</v>
      </c>
      <c r="X241" s="1">
        <v>1010000</v>
      </c>
      <c r="Z241" s="5">
        <v>44426</v>
      </c>
      <c r="AB241" s="1" t="s">
        <v>44</v>
      </c>
      <c r="AF241" s="1">
        <v>10030</v>
      </c>
      <c r="AI241" s="1" t="s">
        <v>45</v>
      </c>
      <c r="AJ241" s="1">
        <v>2018</v>
      </c>
      <c r="AK241" s="1" t="s">
        <v>77</v>
      </c>
      <c r="AL241" s="1">
        <v>106</v>
      </c>
    </row>
    <row r="242" spans="1:38" x14ac:dyDescent="0.2">
      <c r="A242" s="2" t="str">
        <f>HYPERLINK("https://www.compass.com/listing/100-barclay-street-unit-25c-manhattan-ny-10007/279530309211513697/","100 Barclay St, Unit 25C")</f>
        <v>100 Barclay St, Unit 25C</v>
      </c>
      <c r="B242" s="2" t="str">
        <f t="shared" ref="B242:B243" si="45">HYPERLINK("https://www.compass.com/building/100-barclay-manhattan-ny/281896670466155525/","100 Barclay")</f>
        <v>100 Barclay</v>
      </c>
      <c r="C242" s="1" t="s">
        <v>40</v>
      </c>
      <c r="D242" s="1" t="s">
        <v>41</v>
      </c>
      <c r="E242" s="3">
        <v>6175000</v>
      </c>
      <c r="F242" s="1">
        <v>2276.9174041297902</v>
      </c>
      <c r="G242" s="1">
        <v>7</v>
      </c>
      <c r="H242" s="1">
        <v>4</v>
      </c>
      <c r="I242" s="1">
        <v>4</v>
      </c>
      <c r="J242" s="1">
        <v>4</v>
      </c>
      <c r="K242" s="1">
        <v>4</v>
      </c>
      <c r="M242" s="4">
        <v>2712</v>
      </c>
      <c r="N242" s="1">
        <v>3910</v>
      </c>
      <c r="O242" s="1">
        <v>8402.92</v>
      </c>
      <c r="P242" s="1">
        <v>4492.9166666666597</v>
      </c>
      <c r="Q242" s="1" t="s">
        <v>42</v>
      </c>
      <c r="S242" s="1" t="s">
        <v>42</v>
      </c>
      <c r="T242" s="1" t="s">
        <v>157</v>
      </c>
      <c r="U242" s="1">
        <v>423</v>
      </c>
      <c r="V242" s="5">
        <v>44419</v>
      </c>
      <c r="W242" s="5">
        <v>43887</v>
      </c>
      <c r="Z242" s="5">
        <v>44405</v>
      </c>
      <c r="AB242" s="1" t="s">
        <v>44</v>
      </c>
      <c r="AF242" s="1">
        <v>10007</v>
      </c>
      <c r="AI242" s="1" t="s">
        <v>45</v>
      </c>
      <c r="AJ242" s="1">
        <v>1930</v>
      </c>
      <c r="AK242" s="1" t="s">
        <v>73</v>
      </c>
      <c r="AL242" s="1">
        <v>156</v>
      </c>
    </row>
    <row r="243" spans="1:38" x14ac:dyDescent="0.2">
      <c r="A243" s="2" t="str">
        <f>HYPERLINK("https://www.compass.com/listing/100-barclay-street-unit-14p-manhattan-ny-10007/692992075415600857/","100 Barclay St, Unit 14P")</f>
        <v>100 Barclay St, Unit 14P</v>
      </c>
      <c r="B243" s="2" t="str">
        <f t="shared" si="45"/>
        <v>100 Barclay</v>
      </c>
      <c r="C243" s="1" t="s">
        <v>40</v>
      </c>
      <c r="D243" s="1" t="s">
        <v>41</v>
      </c>
      <c r="E243" s="3">
        <v>6150000</v>
      </c>
      <c r="F243" s="1">
        <v>1917.0822942643299</v>
      </c>
      <c r="G243" s="1">
        <v>7.5</v>
      </c>
      <c r="H243" s="1">
        <v>4</v>
      </c>
      <c r="I243" s="1">
        <v>5</v>
      </c>
      <c r="J243" s="1">
        <v>5</v>
      </c>
      <c r="K243" s="1">
        <v>5</v>
      </c>
      <c r="M243" s="4">
        <v>3208</v>
      </c>
      <c r="N243" s="1">
        <v>4822</v>
      </c>
      <c r="O243" s="1">
        <v>10062</v>
      </c>
      <c r="P243" s="1">
        <v>5240</v>
      </c>
      <c r="Q243" s="1" t="s">
        <v>42</v>
      </c>
      <c r="S243" s="1" t="s">
        <v>42</v>
      </c>
      <c r="T243" s="1" t="s">
        <v>157</v>
      </c>
      <c r="U243" s="1">
        <v>179</v>
      </c>
      <c r="V243" s="5">
        <v>44420</v>
      </c>
      <c r="W243" s="5">
        <v>44207</v>
      </c>
      <c r="X243" s="1">
        <v>7100000</v>
      </c>
      <c r="Z243" s="5">
        <v>44391</v>
      </c>
      <c r="AB243" s="1" t="s">
        <v>44</v>
      </c>
      <c r="AF243" s="1">
        <v>10007</v>
      </c>
      <c r="AI243" s="1" t="s">
        <v>74</v>
      </c>
      <c r="AJ243" s="1">
        <v>1930</v>
      </c>
      <c r="AK243" s="1" t="s">
        <v>73</v>
      </c>
      <c r="AL243" s="1">
        <v>156</v>
      </c>
    </row>
    <row r="244" spans="1:38" x14ac:dyDescent="0.2">
      <c r="A244" s="2" t="str">
        <f>HYPERLINK("https://www.compass.com/listing/121-east-22nd-street-unit-n501-manhattan-ny-10010/763686996857777681/","121 E 22nd St, Unit N501")</f>
        <v>121 E 22nd St, Unit N501</v>
      </c>
      <c r="B244" s="2" t="str">
        <f t="shared" ref="B244:B247" si="46">HYPERLINK("https://www.compass.com/building/121-e-22nd-manhattan-ny/292795784653461493/","121 E 22nd")</f>
        <v>121 E 22nd</v>
      </c>
      <c r="C244" s="1" t="s">
        <v>54</v>
      </c>
      <c r="D244" s="1" t="s">
        <v>41</v>
      </c>
      <c r="E244" s="3">
        <v>2795000</v>
      </c>
      <c r="F244" s="1">
        <v>2071.9051148999201</v>
      </c>
      <c r="G244" s="1">
        <v>3.5</v>
      </c>
      <c r="H244" s="1">
        <v>2</v>
      </c>
      <c r="I244" s="1">
        <v>3</v>
      </c>
      <c r="J244" s="1">
        <v>2.5</v>
      </c>
      <c r="K244" s="1">
        <v>2</v>
      </c>
      <c r="L244" s="1">
        <v>1</v>
      </c>
      <c r="M244" s="4">
        <v>1349</v>
      </c>
      <c r="N244" s="1">
        <v>1435</v>
      </c>
      <c r="O244" s="1">
        <v>4125</v>
      </c>
      <c r="P244" s="1">
        <v>2690</v>
      </c>
      <c r="Q244" s="1" t="s">
        <v>42</v>
      </c>
      <c r="S244" s="1" t="s">
        <v>42</v>
      </c>
      <c r="T244" s="1" t="s">
        <v>157</v>
      </c>
      <c r="U244" s="1">
        <v>119</v>
      </c>
      <c r="V244" s="5">
        <v>44425</v>
      </c>
      <c r="W244" s="5">
        <v>44306</v>
      </c>
      <c r="X244" s="1">
        <v>2795000</v>
      </c>
      <c r="Z244" s="5">
        <v>44425</v>
      </c>
      <c r="AB244" s="1" t="s">
        <v>44</v>
      </c>
      <c r="AF244" s="1">
        <v>10010</v>
      </c>
      <c r="AI244" s="1" t="s">
        <v>78</v>
      </c>
      <c r="AJ244" s="1">
        <v>2016</v>
      </c>
      <c r="AK244" s="1" t="s">
        <v>73</v>
      </c>
      <c r="AL244" s="1">
        <v>140</v>
      </c>
    </row>
    <row r="245" spans="1:38" x14ac:dyDescent="0.2">
      <c r="A245" s="2" t="str">
        <f>HYPERLINK("https://www.compass.com/listing/121-east-22nd-street-unit-s201-manhattan-ny-10010/381154985944635585/","121 E 22nd St, Unit S201")</f>
        <v>121 E 22nd St, Unit S201</v>
      </c>
      <c r="B245" s="2" t="str">
        <f t="shared" si="46"/>
        <v>121 E 22nd</v>
      </c>
      <c r="C245" s="1" t="s">
        <v>54</v>
      </c>
      <c r="D245" s="1" t="s">
        <v>41</v>
      </c>
      <c r="E245" s="3">
        <v>2950000</v>
      </c>
      <c r="F245" s="1">
        <v>1778.17962628089</v>
      </c>
      <c r="G245" s="1">
        <v>3.5</v>
      </c>
      <c r="H245" s="1">
        <v>2</v>
      </c>
      <c r="I245" s="1">
        <v>3</v>
      </c>
      <c r="J245" s="1">
        <v>2.5</v>
      </c>
      <c r="K245" s="1">
        <v>2</v>
      </c>
      <c r="L245" s="1">
        <v>1</v>
      </c>
      <c r="M245" s="4">
        <v>1659</v>
      </c>
      <c r="N245" s="1">
        <v>1682</v>
      </c>
      <c r="O245" s="1">
        <v>5041</v>
      </c>
      <c r="P245" s="1">
        <v>3359</v>
      </c>
      <c r="Q245" s="1" t="s">
        <v>42</v>
      </c>
      <c r="S245" s="1" t="s">
        <v>42</v>
      </c>
      <c r="T245" s="1" t="s">
        <v>157</v>
      </c>
      <c r="U245" s="1">
        <v>513</v>
      </c>
      <c r="V245" s="5">
        <v>44404</v>
      </c>
      <c r="W245" s="5">
        <v>43778</v>
      </c>
      <c r="X245" s="1">
        <v>3360000</v>
      </c>
      <c r="Z245" s="5">
        <v>44386</v>
      </c>
      <c r="AB245" s="1" t="s">
        <v>44</v>
      </c>
      <c r="AF245" s="1">
        <v>10010</v>
      </c>
      <c r="AI245" s="1" t="s">
        <v>75</v>
      </c>
      <c r="AJ245" s="1">
        <v>2016</v>
      </c>
      <c r="AK245" s="1" t="s">
        <v>73</v>
      </c>
      <c r="AL245" s="1">
        <v>140</v>
      </c>
    </row>
    <row r="246" spans="1:38" x14ac:dyDescent="0.2">
      <c r="A246" s="2" t="str">
        <f>HYPERLINK("https://www.compass.com/listing/121-east-22nd-street-unit-n807-manhattan-ny-10010/754337451349418753/","121 E 22nd St, Unit N807")</f>
        <v>121 E 22nd St, Unit N807</v>
      </c>
      <c r="B246" s="2" t="str">
        <f t="shared" si="46"/>
        <v>121 E 22nd</v>
      </c>
      <c r="C246" s="1" t="s">
        <v>54</v>
      </c>
      <c r="D246" s="1" t="s">
        <v>41</v>
      </c>
      <c r="E246" s="3">
        <v>3675000</v>
      </c>
      <c r="F246" s="1">
        <v>2152.8998242530702</v>
      </c>
      <c r="G246" s="1">
        <v>4.5</v>
      </c>
      <c r="H246" s="1">
        <v>2</v>
      </c>
      <c r="I246" s="1">
        <v>3</v>
      </c>
      <c r="J246" s="1">
        <v>2.5</v>
      </c>
      <c r="K246" s="1">
        <v>2</v>
      </c>
      <c r="L246" s="1">
        <v>1</v>
      </c>
      <c r="M246" s="4">
        <v>1707</v>
      </c>
      <c r="N246" s="1">
        <v>1754</v>
      </c>
      <c r="O246" s="1">
        <v>5035</v>
      </c>
      <c r="P246" s="1">
        <v>3281</v>
      </c>
      <c r="Q246" s="1" t="s">
        <v>42</v>
      </c>
      <c r="S246" s="1" t="s">
        <v>42</v>
      </c>
      <c r="T246" s="1" t="s">
        <v>157</v>
      </c>
      <c r="U246" s="1">
        <v>116</v>
      </c>
      <c r="V246" s="5">
        <v>44410</v>
      </c>
      <c r="W246" s="5">
        <v>44293</v>
      </c>
      <c r="X246" s="1">
        <v>3675000</v>
      </c>
      <c r="Z246" s="5">
        <v>44410</v>
      </c>
      <c r="AB246" s="1" t="s">
        <v>44</v>
      </c>
      <c r="AF246" s="1">
        <v>10010</v>
      </c>
      <c r="AI246" s="1" t="s">
        <v>75</v>
      </c>
      <c r="AJ246" s="1">
        <v>2016</v>
      </c>
      <c r="AK246" s="1" t="s">
        <v>73</v>
      </c>
      <c r="AL246" s="1">
        <v>140</v>
      </c>
    </row>
    <row r="247" spans="1:38" x14ac:dyDescent="0.2">
      <c r="A247" s="2" t="str">
        <f>HYPERLINK("https://www.compass.com/listing/121-east-22nd-street-unit-n606-manhattan-ny-10010/348552882068109841/","121 E 22nd St, Unit N606")</f>
        <v>121 E 22nd St, Unit N606</v>
      </c>
      <c r="B247" s="2" t="str">
        <f t="shared" si="46"/>
        <v>121 E 22nd</v>
      </c>
      <c r="C247" s="1" t="s">
        <v>54</v>
      </c>
      <c r="D247" s="1" t="s">
        <v>41</v>
      </c>
      <c r="E247" s="3">
        <v>4990000</v>
      </c>
      <c r="F247" s="1">
        <v>1997.59807846277</v>
      </c>
      <c r="G247" s="1">
        <v>5</v>
      </c>
      <c r="H247" s="1">
        <v>3</v>
      </c>
      <c r="I247" s="1">
        <v>4</v>
      </c>
      <c r="J247" s="1">
        <v>3.5</v>
      </c>
      <c r="K247" s="1">
        <v>3</v>
      </c>
      <c r="L247" s="1">
        <v>1</v>
      </c>
      <c r="M247" s="4">
        <v>2498</v>
      </c>
      <c r="N247" s="1">
        <v>2512</v>
      </c>
      <c r="O247" s="1">
        <v>7528</v>
      </c>
      <c r="P247" s="1">
        <v>5016</v>
      </c>
      <c r="Q247" s="1" t="s">
        <v>42</v>
      </c>
      <c r="S247" s="1" t="s">
        <v>42</v>
      </c>
      <c r="T247" s="1" t="s">
        <v>157</v>
      </c>
      <c r="V247" s="5">
        <v>44404</v>
      </c>
      <c r="W247" s="5">
        <v>43733</v>
      </c>
      <c r="X247" s="1">
        <v>4990000</v>
      </c>
      <c r="Z247" s="5">
        <v>43733</v>
      </c>
      <c r="AB247" s="1" t="s">
        <v>44</v>
      </c>
      <c r="AF247" s="1">
        <v>10010</v>
      </c>
      <c r="AI247" s="1" t="s">
        <v>159</v>
      </c>
      <c r="AJ247" s="1">
        <v>2016</v>
      </c>
      <c r="AK247" s="1" t="s">
        <v>73</v>
      </c>
      <c r="AL247" s="1">
        <v>140</v>
      </c>
    </row>
    <row r="248" spans="1:38" x14ac:dyDescent="0.2">
      <c r="A248" s="2" t="str">
        <f>HYPERLINK("https://www.compass.com/listing/150-east-23rd-street-unit-3d-manhattan-ny-10010/574753701078922897/","150 E 23rd St, Unit 3D")</f>
        <v>150 E 23rd St, Unit 3D</v>
      </c>
      <c r="B248" s="2" t="str">
        <f t="shared" ref="B248:B254" si="47">HYPERLINK("https://www.compass.com/building/celeste-gramercy-manhattan-ny/292795972759607813/","Celeste Gramercy")</f>
        <v>Celeste Gramercy</v>
      </c>
      <c r="C248" s="1" t="s">
        <v>54</v>
      </c>
      <c r="D248" s="1" t="s">
        <v>41</v>
      </c>
      <c r="E248" s="3">
        <v>2675000</v>
      </c>
      <c r="F248" s="1">
        <v>2054.5314900153599</v>
      </c>
      <c r="G248" s="1">
        <v>4</v>
      </c>
      <c r="H248" s="1">
        <v>2</v>
      </c>
      <c r="I248" s="1">
        <v>3</v>
      </c>
      <c r="J248" s="1">
        <v>2.5</v>
      </c>
      <c r="K248" s="1">
        <v>2</v>
      </c>
      <c r="L248" s="1">
        <v>1</v>
      </c>
      <c r="M248" s="4">
        <v>1302</v>
      </c>
      <c r="N248" s="1">
        <v>1907</v>
      </c>
      <c r="O248" s="1">
        <v>3694</v>
      </c>
      <c r="P248" s="1">
        <v>1787</v>
      </c>
      <c r="Q248" s="1" t="s">
        <v>42</v>
      </c>
      <c r="S248" s="1" t="s">
        <v>42</v>
      </c>
      <c r="T248" s="1" t="s">
        <v>157</v>
      </c>
      <c r="U248" s="1">
        <v>366</v>
      </c>
      <c r="V248" s="5">
        <v>44424</v>
      </c>
      <c r="W248" s="5">
        <v>44044</v>
      </c>
      <c r="X248" s="1">
        <v>2675000</v>
      </c>
      <c r="Z248" s="5">
        <v>44411</v>
      </c>
      <c r="AB248" s="1" t="s">
        <v>44</v>
      </c>
      <c r="AF248" s="1">
        <v>10010</v>
      </c>
      <c r="AI248" s="1" t="s">
        <v>95</v>
      </c>
      <c r="AJ248" s="1">
        <v>2018</v>
      </c>
      <c r="AK248" s="1" t="s">
        <v>46</v>
      </c>
      <c r="AL248" s="1">
        <v>51</v>
      </c>
    </row>
    <row r="249" spans="1:38" x14ac:dyDescent="0.2">
      <c r="A249" s="2" t="str">
        <f>HYPERLINK("https://www.compass.com/listing/150-east-23rd-street-unit-14c-manhattan-ny-10010/304264828277517217/","150 E 23rd St, Unit 14C")</f>
        <v>150 E 23rd St, Unit 14C</v>
      </c>
      <c r="B249" s="2" t="str">
        <f t="shared" si="47"/>
        <v>Celeste Gramercy</v>
      </c>
      <c r="C249" s="1" t="s">
        <v>54</v>
      </c>
      <c r="D249" s="1" t="s">
        <v>41</v>
      </c>
      <c r="E249" s="3">
        <v>2650000</v>
      </c>
      <c r="F249" s="1">
        <v>2035.3302611367101</v>
      </c>
      <c r="G249" s="1">
        <v>3</v>
      </c>
      <c r="H249" s="1">
        <v>2</v>
      </c>
      <c r="I249" s="1">
        <v>3</v>
      </c>
      <c r="J249" s="1">
        <v>2.5</v>
      </c>
      <c r="K249" s="1">
        <v>2</v>
      </c>
      <c r="L249" s="1">
        <v>1</v>
      </c>
      <c r="M249" s="4">
        <v>1302</v>
      </c>
      <c r="N249" s="1">
        <v>1843</v>
      </c>
      <c r="O249" s="1">
        <v>3570</v>
      </c>
      <c r="P249" s="1">
        <v>1727</v>
      </c>
      <c r="Q249" s="1" t="s">
        <v>42</v>
      </c>
      <c r="S249" s="1" t="s">
        <v>42</v>
      </c>
      <c r="T249" s="1" t="s">
        <v>157</v>
      </c>
      <c r="U249" s="1">
        <v>544</v>
      </c>
      <c r="V249" s="5">
        <v>44424</v>
      </c>
      <c r="W249" s="5">
        <v>43671</v>
      </c>
      <c r="X249" s="1">
        <v>2750000</v>
      </c>
      <c r="Z249" s="5">
        <v>44309</v>
      </c>
      <c r="AB249" s="1" t="s">
        <v>44</v>
      </c>
      <c r="AF249" s="1">
        <v>10010</v>
      </c>
      <c r="AI249" s="1" t="s">
        <v>53</v>
      </c>
      <c r="AJ249" s="1">
        <v>2018</v>
      </c>
      <c r="AK249" s="1" t="s">
        <v>46</v>
      </c>
      <c r="AL249" s="1">
        <v>51</v>
      </c>
    </row>
    <row r="250" spans="1:38" x14ac:dyDescent="0.2">
      <c r="A250" s="2" t="str">
        <f>HYPERLINK("https://www.compass.com/listing/150-east-23rd-street-unit-4c-manhattan-ny-10010/640084823295736353/","150 E 23rd St, Unit 4C")</f>
        <v>150 E 23rd St, Unit 4C</v>
      </c>
      <c r="B250" s="2" t="str">
        <f t="shared" si="47"/>
        <v>Celeste Gramercy</v>
      </c>
      <c r="C250" s="1" t="s">
        <v>54</v>
      </c>
      <c r="D250" s="1" t="s">
        <v>41</v>
      </c>
      <c r="E250" s="3">
        <v>2995000</v>
      </c>
      <c r="F250" s="1">
        <v>1849.90735021618</v>
      </c>
      <c r="G250" s="1">
        <v>5</v>
      </c>
      <c r="H250" s="1">
        <v>3</v>
      </c>
      <c r="I250" s="1">
        <v>3</v>
      </c>
      <c r="J250" s="1">
        <v>3</v>
      </c>
      <c r="K250" s="1">
        <v>3</v>
      </c>
      <c r="M250" s="4">
        <v>1619</v>
      </c>
      <c r="N250" s="1">
        <v>2201</v>
      </c>
      <c r="O250" s="1">
        <v>4263</v>
      </c>
      <c r="P250" s="1">
        <v>2062</v>
      </c>
      <c r="Q250" s="1" t="s">
        <v>42</v>
      </c>
      <c r="S250" s="1" t="s">
        <v>42</v>
      </c>
      <c r="T250" s="1" t="s">
        <v>157</v>
      </c>
      <c r="U250" s="1">
        <v>273</v>
      </c>
      <c r="V250" s="5">
        <v>44424</v>
      </c>
      <c r="W250" s="5">
        <v>44134</v>
      </c>
      <c r="X250" s="1">
        <v>2995000</v>
      </c>
      <c r="Z250" s="5">
        <v>44408</v>
      </c>
      <c r="AB250" s="1" t="s">
        <v>44</v>
      </c>
      <c r="AF250" s="1">
        <v>10010</v>
      </c>
      <c r="AI250" s="1" t="s">
        <v>53</v>
      </c>
      <c r="AJ250" s="1">
        <v>2018</v>
      </c>
      <c r="AK250" s="1" t="s">
        <v>46</v>
      </c>
      <c r="AL250" s="1">
        <v>51</v>
      </c>
    </row>
    <row r="251" spans="1:38" x14ac:dyDescent="0.2">
      <c r="A251" s="2" t="str">
        <f>HYPERLINK("https://www.compass.com/listing/150-east-23rd-street-unit-16b-manhattan-ny-10010/122395332268036673/","150 E 23rd St, Unit 16B")</f>
        <v>150 E 23rd St, Unit 16B</v>
      </c>
      <c r="B251" s="2" t="str">
        <f t="shared" si="47"/>
        <v>Celeste Gramercy</v>
      </c>
      <c r="C251" s="1" t="s">
        <v>54</v>
      </c>
      <c r="D251" s="1" t="s">
        <v>41</v>
      </c>
      <c r="E251" s="3">
        <v>4250000</v>
      </c>
      <c r="F251" s="1">
        <v>2116.5338645418301</v>
      </c>
      <c r="G251" s="1">
        <v>6.5</v>
      </c>
      <c r="H251" s="1">
        <v>3</v>
      </c>
      <c r="I251" s="1">
        <v>3</v>
      </c>
      <c r="J251" s="1">
        <v>2.5</v>
      </c>
      <c r="K251" s="1">
        <v>2</v>
      </c>
      <c r="L251" s="1">
        <v>1</v>
      </c>
      <c r="M251" s="4">
        <v>2008</v>
      </c>
      <c r="N251" s="1">
        <v>2885</v>
      </c>
      <c r="O251" s="1">
        <v>5588</v>
      </c>
      <c r="P251" s="1">
        <v>2703</v>
      </c>
      <c r="Q251" s="1" t="s">
        <v>42</v>
      </c>
      <c r="S251" s="1" t="s">
        <v>42</v>
      </c>
      <c r="T251" s="1" t="s">
        <v>157</v>
      </c>
      <c r="U251" s="1">
        <v>795</v>
      </c>
      <c r="V251" s="5">
        <v>44424</v>
      </c>
      <c r="W251" s="5">
        <v>43420</v>
      </c>
      <c r="X251" s="1">
        <v>4250000</v>
      </c>
      <c r="Z251" s="5">
        <v>44309</v>
      </c>
      <c r="AB251" s="1" t="s">
        <v>44</v>
      </c>
      <c r="AF251" s="1">
        <v>10010</v>
      </c>
      <c r="AI251" s="1" t="s">
        <v>95</v>
      </c>
      <c r="AJ251" s="1">
        <v>2018</v>
      </c>
      <c r="AK251" s="1" t="s">
        <v>73</v>
      </c>
      <c r="AL251" s="1">
        <v>51</v>
      </c>
    </row>
    <row r="252" spans="1:38" x14ac:dyDescent="0.2">
      <c r="A252" s="2" t="str">
        <f>HYPERLINK("https://www.compass.com/listing/150-east-23rd-street-unit-11b-manhattan-ny-10010/122395331840239025/","150 E 23rd St, Unit 11B")</f>
        <v>150 E 23rd St, Unit 11B</v>
      </c>
      <c r="B252" s="2" t="str">
        <f t="shared" si="47"/>
        <v>Celeste Gramercy</v>
      </c>
      <c r="C252" s="1" t="s">
        <v>54</v>
      </c>
      <c r="D252" s="1" t="s">
        <v>41</v>
      </c>
      <c r="E252" s="3">
        <v>3145000</v>
      </c>
      <c r="F252" s="1">
        <v>2001.9096117122799</v>
      </c>
      <c r="G252" s="1">
        <v>5</v>
      </c>
      <c r="H252" s="1">
        <v>3</v>
      </c>
      <c r="I252" s="1">
        <v>3</v>
      </c>
      <c r="J252" s="1">
        <v>3</v>
      </c>
      <c r="K252" s="1">
        <v>3</v>
      </c>
      <c r="M252" s="4">
        <v>1571</v>
      </c>
      <c r="N252" s="1">
        <v>2184</v>
      </c>
      <c r="O252" s="1">
        <v>4231</v>
      </c>
      <c r="P252" s="1">
        <v>2047</v>
      </c>
      <c r="Q252" s="1" t="s">
        <v>42</v>
      </c>
      <c r="S252" s="1" t="s">
        <v>42</v>
      </c>
      <c r="T252" s="1" t="s">
        <v>157</v>
      </c>
      <c r="V252" s="5">
        <v>44424</v>
      </c>
      <c r="W252" s="5">
        <v>43420</v>
      </c>
      <c r="X252" s="1">
        <v>3145000</v>
      </c>
      <c r="Z252" s="5">
        <v>43420</v>
      </c>
      <c r="AB252" s="1" t="s">
        <v>44</v>
      </c>
      <c r="AF252" s="1">
        <v>10010</v>
      </c>
      <c r="AI252" s="1" t="s">
        <v>53</v>
      </c>
      <c r="AJ252" s="1">
        <v>2018</v>
      </c>
      <c r="AK252" s="1" t="s">
        <v>73</v>
      </c>
      <c r="AL252" s="1">
        <v>51</v>
      </c>
    </row>
    <row r="253" spans="1:38" x14ac:dyDescent="0.2">
      <c r="A253" s="2" t="str">
        <f>HYPERLINK("https://www.compass.com/listing/150-east-23rd-street-unit-14a-manhattan-ny-10010/437701015236881849/","150 E 23rd St, Unit 14A")</f>
        <v>150 E 23rd St, Unit 14A</v>
      </c>
      <c r="B253" s="2" t="str">
        <f t="shared" si="47"/>
        <v>Celeste Gramercy</v>
      </c>
      <c r="C253" s="1" t="s">
        <v>54</v>
      </c>
      <c r="D253" s="1" t="s">
        <v>41</v>
      </c>
      <c r="E253" s="3">
        <v>2500000</v>
      </c>
      <c r="F253" s="1">
        <v>1805.0541516245401</v>
      </c>
      <c r="G253" s="1">
        <v>3</v>
      </c>
      <c r="H253" s="1">
        <v>2</v>
      </c>
      <c r="I253" s="1">
        <v>3</v>
      </c>
      <c r="J253" s="1">
        <v>2.5</v>
      </c>
      <c r="K253" s="1">
        <v>2</v>
      </c>
      <c r="L253" s="1">
        <v>1</v>
      </c>
      <c r="M253" s="4">
        <v>1385</v>
      </c>
      <c r="N253" s="1">
        <v>1866</v>
      </c>
      <c r="O253" s="1">
        <v>3219</v>
      </c>
      <c r="P253" s="1">
        <v>1353</v>
      </c>
      <c r="Q253" s="1" t="s">
        <v>42</v>
      </c>
      <c r="S253" s="1" t="s">
        <v>42</v>
      </c>
      <c r="T253" s="1" t="s">
        <v>157</v>
      </c>
      <c r="V253" s="5">
        <v>44424</v>
      </c>
      <c r="W253" s="5">
        <v>43855</v>
      </c>
      <c r="Z253" s="5">
        <v>43855</v>
      </c>
      <c r="AB253" s="1" t="s">
        <v>44</v>
      </c>
      <c r="AF253" s="1">
        <v>10010</v>
      </c>
      <c r="AI253" s="1" t="s">
        <v>53</v>
      </c>
      <c r="AJ253" s="1">
        <v>2018</v>
      </c>
      <c r="AK253" s="1" t="s">
        <v>46</v>
      </c>
      <c r="AL253" s="1">
        <v>51</v>
      </c>
    </row>
    <row r="254" spans="1:38" x14ac:dyDescent="0.2">
      <c r="A254" s="2" t="str">
        <f>HYPERLINK("https://www.compass.com/listing/150-east-23rd-street-unit-17b-manhattan-ny-10010/122395328275058929/","150 E 23rd St, Unit 17B")</f>
        <v>150 E 23rd St, Unit 17B</v>
      </c>
      <c r="B254" s="2" t="str">
        <f t="shared" si="47"/>
        <v>Celeste Gramercy</v>
      </c>
      <c r="C254" s="1" t="s">
        <v>54</v>
      </c>
      <c r="D254" s="1" t="s">
        <v>41</v>
      </c>
      <c r="E254" s="3">
        <v>2995000</v>
      </c>
      <c r="F254" s="1">
        <v>2098.8086895585102</v>
      </c>
      <c r="G254" s="1">
        <v>4</v>
      </c>
      <c r="H254" s="1">
        <v>2</v>
      </c>
      <c r="I254" s="1">
        <v>3</v>
      </c>
      <c r="J254" s="1">
        <v>2.5</v>
      </c>
      <c r="K254" s="1">
        <v>2</v>
      </c>
      <c r="L254" s="1">
        <v>1</v>
      </c>
      <c r="M254" s="4">
        <v>1427</v>
      </c>
      <c r="N254" s="1">
        <v>2072</v>
      </c>
      <c r="O254" s="1">
        <v>4014</v>
      </c>
      <c r="P254" s="1">
        <v>1942</v>
      </c>
      <c r="Q254" s="1" t="s">
        <v>42</v>
      </c>
      <c r="S254" s="1" t="s">
        <v>42</v>
      </c>
      <c r="T254" s="1" t="s">
        <v>157</v>
      </c>
      <c r="U254" s="1">
        <v>137</v>
      </c>
      <c r="V254" s="5">
        <v>44424</v>
      </c>
      <c r="W254" s="5">
        <v>44019</v>
      </c>
      <c r="X254" s="1">
        <v>2995000</v>
      </c>
      <c r="Z254" s="5">
        <v>44156</v>
      </c>
      <c r="AB254" s="1" t="s">
        <v>44</v>
      </c>
      <c r="AF254" s="1">
        <v>10010</v>
      </c>
      <c r="AI254" s="1" t="s">
        <v>160</v>
      </c>
      <c r="AJ254" s="1">
        <v>2018</v>
      </c>
      <c r="AK254" s="1" t="s">
        <v>73</v>
      </c>
      <c r="AL254" s="1">
        <v>51</v>
      </c>
    </row>
    <row r="255" spans="1:38" x14ac:dyDescent="0.2">
      <c r="A255" s="2" t="str">
        <f>HYPERLINK("https://www.compass.com/listing/30-riverside-boulevard-unit-37a-manhattan-ny-10069/845165032696128721/","30 Riverside Blvd, Unit 37A")</f>
        <v>30 Riverside Blvd, Unit 37A</v>
      </c>
      <c r="B255" s="2" t="str">
        <f>HYPERLINK("https://www.compass.com/building/two-waterline-square-manhattan-ny/282058630956612773/","Two Waterline Square")</f>
        <v>Two Waterline Square</v>
      </c>
      <c r="C255" s="1" t="s">
        <v>50</v>
      </c>
      <c r="D255" s="1" t="s">
        <v>41</v>
      </c>
      <c r="E255" s="3">
        <v>10250000</v>
      </c>
      <c r="F255" s="1">
        <v>3546.7128027681601</v>
      </c>
      <c r="G255" s="1">
        <v>4.5</v>
      </c>
      <c r="H255" s="1">
        <v>3</v>
      </c>
      <c r="I255" s="1">
        <v>4</v>
      </c>
      <c r="J255" s="1">
        <v>3.5</v>
      </c>
      <c r="K255" s="1">
        <v>3</v>
      </c>
      <c r="L255" s="1">
        <v>1</v>
      </c>
      <c r="M255" s="4">
        <v>2890</v>
      </c>
      <c r="N255" s="1">
        <v>4081</v>
      </c>
      <c r="O255" s="1">
        <v>4298</v>
      </c>
      <c r="P255" s="1">
        <v>217</v>
      </c>
      <c r="Q255" s="1" t="s">
        <v>42</v>
      </c>
      <c r="S255" s="1" t="s">
        <v>42</v>
      </c>
      <c r="T255" s="1" t="s">
        <v>157</v>
      </c>
      <c r="U255" s="1">
        <v>3</v>
      </c>
      <c r="V255" s="5">
        <v>44421</v>
      </c>
      <c r="W255" s="5">
        <v>44417</v>
      </c>
      <c r="X255" s="1">
        <v>10250000</v>
      </c>
      <c r="Z255" s="5">
        <v>44420</v>
      </c>
      <c r="AB255" s="1" t="s">
        <v>44</v>
      </c>
      <c r="AF255" s="1">
        <v>10069</v>
      </c>
      <c r="AI255" s="1" t="s">
        <v>109</v>
      </c>
      <c r="AJ255" s="1">
        <v>2019</v>
      </c>
      <c r="AK255" s="1" t="s">
        <v>77</v>
      </c>
      <c r="AL255" s="1">
        <v>160</v>
      </c>
    </row>
    <row r="256" spans="1:38" x14ac:dyDescent="0.2">
      <c r="A256" s="2" t="str">
        <f>HYPERLINK("https://www.compass.com/listing/150-east-23rd-street-unit-phb-manhattan-ny-10010/247835960765685073/","150 E 23rd St, Unit PHB")</f>
        <v>150 E 23rd St, Unit PHB</v>
      </c>
      <c r="B256" s="2" t="str">
        <f t="shared" ref="B256:B259" si="48">HYPERLINK("https://www.compass.com/building/celeste-gramercy-manhattan-ny/292795972759607813/","Celeste Gramercy")</f>
        <v>Celeste Gramercy</v>
      </c>
      <c r="C256" s="1" t="s">
        <v>54</v>
      </c>
      <c r="D256" s="1" t="s">
        <v>41</v>
      </c>
      <c r="E256" s="3">
        <v>6650000</v>
      </c>
      <c r="F256" s="1">
        <v>2506.5963060685999</v>
      </c>
      <c r="G256" s="1">
        <v>5</v>
      </c>
      <c r="H256" s="1">
        <v>3</v>
      </c>
      <c r="I256" s="1">
        <v>4</v>
      </c>
      <c r="J256" s="1">
        <v>3.5</v>
      </c>
      <c r="K256" s="1">
        <v>3</v>
      </c>
      <c r="L256" s="1">
        <v>1</v>
      </c>
      <c r="M256" s="4">
        <v>2653</v>
      </c>
      <c r="N256" s="1">
        <v>4098</v>
      </c>
      <c r="O256" s="1">
        <v>7070</v>
      </c>
      <c r="P256" s="1">
        <v>2972</v>
      </c>
      <c r="Q256" s="1" t="s">
        <v>42</v>
      </c>
      <c r="S256" s="1" t="s">
        <v>42</v>
      </c>
      <c r="T256" s="1" t="s">
        <v>157</v>
      </c>
      <c r="V256" s="5">
        <v>44424</v>
      </c>
      <c r="W256" s="5">
        <v>43593</v>
      </c>
      <c r="X256" s="1">
        <v>6650000</v>
      </c>
      <c r="Z256" s="5">
        <v>43593</v>
      </c>
      <c r="AB256" s="1" t="s">
        <v>44</v>
      </c>
      <c r="AF256" s="1">
        <v>10010</v>
      </c>
      <c r="AI256" s="1" t="s">
        <v>95</v>
      </c>
      <c r="AJ256" s="1">
        <v>2018</v>
      </c>
      <c r="AK256" s="1" t="s">
        <v>46</v>
      </c>
      <c r="AL256" s="1">
        <v>51</v>
      </c>
    </row>
    <row r="257" spans="1:38" x14ac:dyDescent="0.2">
      <c r="A257" s="2" t="str">
        <f>HYPERLINK("https://www.compass.com/listing/150-east-23rd-street-unit-11c-manhattan-ny-10010/304281576770629201/","150 E 23rd St, Unit 11C")</f>
        <v>150 E 23rd St, Unit 11C</v>
      </c>
      <c r="B257" s="2" t="str">
        <f t="shared" si="48"/>
        <v>Celeste Gramercy</v>
      </c>
      <c r="C257" s="1" t="s">
        <v>54</v>
      </c>
      <c r="D257" s="1" t="s">
        <v>41</v>
      </c>
      <c r="E257" s="3">
        <v>2750000</v>
      </c>
      <c r="F257" s="1">
        <v>2112.1351766512998</v>
      </c>
      <c r="G257" s="1">
        <v>3</v>
      </c>
      <c r="H257" s="1">
        <v>2</v>
      </c>
      <c r="I257" s="1">
        <v>3</v>
      </c>
      <c r="J257" s="1">
        <v>2.5</v>
      </c>
      <c r="K257" s="1">
        <v>2</v>
      </c>
      <c r="L257" s="1">
        <v>1</v>
      </c>
      <c r="M257" s="4">
        <v>1302</v>
      </c>
      <c r="N257" s="1">
        <v>1824</v>
      </c>
      <c r="O257" s="1">
        <v>3147</v>
      </c>
      <c r="P257" s="1">
        <v>1323</v>
      </c>
      <c r="Q257" s="1" t="s">
        <v>42</v>
      </c>
      <c r="S257" s="1" t="s">
        <v>42</v>
      </c>
      <c r="T257" s="1" t="s">
        <v>157</v>
      </c>
      <c r="V257" s="5">
        <v>44424</v>
      </c>
      <c r="W257" s="5">
        <v>43671</v>
      </c>
      <c r="X257" s="1">
        <v>2650000</v>
      </c>
      <c r="Z257" s="5">
        <v>43671</v>
      </c>
      <c r="AB257" s="1" t="s">
        <v>44</v>
      </c>
      <c r="AF257" s="1">
        <v>10010</v>
      </c>
      <c r="AI257" s="1" t="s">
        <v>53</v>
      </c>
      <c r="AJ257" s="1">
        <v>2018</v>
      </c>
      <c r="AK257" s="1" t="s">
        <v>46</v>
      </c>
      <c r="AL257" s="1">
        <v>51</v>
      </c>
    </row>
    <row r="258" spans="1:38" x14ac:dyDescent="0.2">
      <c r="A258" s="2" t="str">
        <f>HYPERLINK("https://www.compass.com/listing/150-east-23rd-street-unit-3a-manhattan-ny-10010/122395326370844353/","150 E 23rd St, Unit 3A")</f>
        <v>150 E 23rd St, Unit 3A</v>
      </c>
      <c r="B258" s="2" t="str">
        <f t="shared" si="48"/>
        <v>Celeste Gramercy</v>
      </c>
      <c r="C258" s="1" t="s">
        <v>54</v>
      </c>
      <c r="D258" s="1" t="s">
        <v>41</v>
      </c>
      <c r="E258" s="3">
        <v>1175000</v>
      </c>
      <c r="F258" s="1">
        <v>1697.9768786127099</v>
      </c>
      <c r="G258" s="1">
        <v>3</v>
      </c>
      <c r="H258" s="1">
        <v>1</v>
      </c>
      <c r="I258" s="1">
        <v>1</v>
      </c>
      <c r="J258" s="1">
        <v>1</v>
      </c>
      <c r="K258" s="1">
        <v>1</v>
      </c>
      <c r="M258" s="1">
        <v>692</v>
      </c>
      <c r="N258" s="1">
        <v>900</v>
      </c>
      <c r="O258" s="1">
        <v>1553</v>
      </c>
      <c r="P258" s="1">
        <v>653</v>
      </c>
      <c r="Q258" s="1" t="s">
        <v>42</v>
      </c>
      <c r="S258" s="1" t="s">
        <v>42</v>
      </c>
      <c r="T258" s="1" t="s">
        <v>157</v>
      </c>
      <c r="U258" s="1">
        <v>173</v>
      </c>
      <c r="V258" s="5">
        <v>44424</v>
      </c>
      <c r="W258" s="5">
        <v>43420</v>
      </c>
      <c r="X258" s="1">
        <v>1110000</v>
      </c>
      <c r="Z258" s="5">
        <v>43594</v>
      </c>
      <c r="AB258" s="1" t="s">
        <v>44</v>
      </c>
      <c r="AF258" s="1">
        <v>10010</v>
      </c>
      <c r="AI258" s="1" t="s">
        <v>53</v>
      </c>
      <c r="AJ258" s="1">
        <v>2018</v>
      </c>
      <c r="AK258" s="1" t="s">
        <v>46</v>
      </c>
      <c r="AL258" s="1">
        <v>51</v>
      </c>
    </row>
    <row r="259" spans="1:38" x14ac:dyDescent="0.2">
      <c r="A259" s="2" t="str">
        <f>HYPERLINK("https://www.compass.com/listing/150-east-23rd-street-unit-3b-manhattan-ny-10010/195706579998243921/","150 E 23rd St, Unit 3B")</f>
        <v>150 E 23rd St, Unit 3B</v>
      </c>
      <c r="B259" s="2" t="str">
        <f t="shared" si="48"/>
        <v>Celeste Gramercy</v>
      </c>
      <c r="C259" s="1" t="s">
        <v>54</v>
      </c>
      <c r="D259" s="1" t="s">
        <v>41</v>
      </c>
      <c r="E259" s="3">
        <v>1140000</v>
      </c>
      <c r="F259" s="1">
        <v>1764.7058823529401</v>
      </c>
      <c r="G259" s="1">
        <v>3</v>
      </c>
      <c r="H259" s="1">
        <v>1</v>
      </c>
      <c r="I259" s="1">
        <v>1</v>
      </c>
      <c r="J259" s="1">
        <v>1</v>
      </c>
      <c r="K259" s="1">
        <v>1</v>
      </c>
      <c r="M259" s="1">
        <v>646</v>
      </c>
      <c r="N259" s="1">
        <v>849</v>
      </c>
      <c r="O259" s="1">
        <v>1465</v>
      </c>
      <c r="P259" s="1">
        <v>616</v>
      </c>
      <c r="Q259" s="1" t="s">
        <v>42</v>
      </c>
      <c r="S259" s="1" t="s">
        <v>42</v>
      </c>
      <c r="T259" s="1" t="s">
        <v>157</v>
      </c>
      <c r="V259" s="5">
        <v>44424</v>
      </c>
      <c r="W259" s="5">
        <v>43521</v>
      </c>
      <c r="Z259" s="5">
        <v>43521</v>
      </c>
      <c r="AB259" s="1" t="s">
        <v>44</v>
      </c>
      <c r="AF259" s="1">
        <v>10010</v>
      </c>
      <c r="AI259" s="1" t="s">
        <v>53</v>
      </c>
      <c r="AJ259" s="1">
        <v>2018</v>
      </c>
      <c r="AK259" s="1" t="s">
        <v>46</v>
      </c>
      <c r="AL259" s="1">
        <v>51</v>
      </c>
    </row>
    <row r="260" spans="1:38" x14ac:dyDescent="0.2">
      <c r="A260" s="2" t="str">
        <f>HYPERLINK("https://www.compass.com/listing/215-east-19th-street-unit-2a-manhattan-ny-10003/781837771763522137/","215 E 19th St, Unit 2A")</f>
        <v>215 E 19th St, Unit 2A</v>
      </c>
      <c r="B260" s="2" t="str">
        <f>HYPERLINK("https://www.compass.com/building/the-tower-at-gramercy-square-manhattan-ny/281890815108713781/","The Tower at Gramercy Square")</f>
        <v>The Tower at Gramercy Square</v>
      </c>
      <c r="C260" s="1" t="s">
        <v>54</v>
      </c>
      <c r="D260" s="1" t="s">
        <v>41</v>
      </c>
      <c r="E260" s="3">
        <v>2275000</v>
      </c>
      <c r="F260" s="1">
        <v>1719.57671957671</v>
      </c>
      <c r="G260" s="1">
        <v>3</v>
      </c>
      <c r="H260" s="1">
        <v>2</v>
      </c>
      <c r="I260" s="1">
        <v>2</v>
      </c>
      <c r="J260" s="1">
        <v>2</v>
      </c>
      <c r="K260" s="1">
        <v>2</v>
      </c>
      <c r="M260" s="4">
        <v>1323</v>
      </c>
      <c r="N260" s="1">
        <v>1521</v>
      </c>
      <c r="O260" s="1">
        <v>4105</v>
      </c>
      <c r="P260" s="1">
        <v>2584</v>
      </c>
      <c r="Q260" s="1" t="s">
        <v>42</v>
      </c>
      <c r="S260" s="1" t="s">
        <v>42</v>
      </c>
      <c r="T260" s="1" t="s">
        <v>157</v>
      </c>
      <c r="U260" s="1">
        <v>41</v>
      </c>
      <c r="V260" s="5">
        <v>44425</v>
      </c>
      <c r="W260" s="5">
        <v>44329</v>
      </c>
      <c r="X260" s="1">
        <v>2275000</v>
      </c>
      <c r="Z260" s="5">
        <v>44370</v>
      </c>
      <c r="AB260" s="1" t="s">
        <v>44</v>
      </c>
      <c r="AF260" s="1">
        <v>10003</v>
      </c>
      <c r="AI260" s="1" t="s">
        <v>161</v>
      </c>
      <c r="AJ260" s="1">
        <v>1920</v>
      </c>
      <c r="AK260" s="1" t="s">
        <v>73</v>
      </c>
      <c r="AL260" s="1">
        <v>130</v>
      </c>
    </row>
    <row r="261" spans="1:38" x14ac:dyDescent="0.2">
      <c r="A261" s="2" t="str">
        <f>HYPERLINK("https://www.compass.com/listing/32-east-1st-street-unit-phb-manhattan-ny-10003/786256839904698777/","32 E 1st St, Unit PHB")</f>
        <v>32 E 1st St, Unit PHB</v>
      </c>
      <c r="B261" s="2" t="str">
        <f>HYPERLINK("https://www.compass.com/building/32-east-1st-street-manhattan-ny/292783157810310133/","32 East 1st Street")</f>
        <v>32 East 1st Street</v>
      </c>
      <c r="C261" s="1" t="s">
        <v>89</v>
      </c>
      <c r="D261" s="1" t="s">
        <v>41</v>
      </c>
      <c r="E261" s="3">
        <v>8700000</v>
      </c>
      <c r="F261" s="1">
        <v>3145.3362255965199</v>
      </c>
      <c r="G261" s="1">
        <v>6</v>
      </c>
      <c r="H261" s="1">
        <v>3</v>
      </c>
      <c r="I261" s="1">
        <v>3</v>
      </c>
      <c r="J261" s="1">
        <v>3</v>
      </c>
      <c r="K261" s="1">
        <v>3</v>
      </c>
      <c r="M261" s="4">
        <v>2766</v>
      </c>
      <c r="N261" s="1">
        <v>4244</v>
      </c>
      <c r="O261" s="1">
        <v>10679</v>
      </c>
      <c r="P261" s="1">
        <v>6435</v>
      </c>
      <c r="Q261" s="1" t="s">
        <v>42</v>
      </c>
      <c r="S261" s="1" t="s">
        <v>42</v>
      </c>
      <c r="T261" s="1" t="s">
        <v>157</v>
      </c>
      <c r="U261" s="1">
        <v>42</v>
      </c>
      <c r="V261" s="5">
        <v>44427</v>
      </c>
      <c r="W261" s="5">
        <v>44335</v>
      </c>
      <c r="X261" s="1">
        <v>8700000</v>
      </c>
      <c r="Z261" s="5">
        <v>44378</v>
      </c>
      <c r="AB261" s="1" t="s">
        <v>44</v>
      </c>
      <c r="AF261" s="1">
        <v>10003</v>
      </c>
      <c r="AI261" s="1" t="s">
        <v>95</v>
      </c>
      <c r="AJ261" s="1">
        <v>2019</v>
      </c>
      <c r="AK261" s="1" t="s">
        <v>77</v>
      </c>
      <c r="AL261" s="1">
        <v>30</v>
      </c>
    </row>
    <row r="262" spans="1:38" x14ac:dyDescent="0.2">
      <c r="A262" s="2" t="str">
        <f>HYPERLINK("https://www.compass.com/listing/215-east-19th-street-unit-4a-manhattan-ny-10003/379612182204466993/","215 E 19th St, Unit 4A")</f>
        <v>215 E 19th St, Unit 4A</v>
      </c>
      <c r="B262" s="2" t="str">
        <f>HYPERLINK("https://www.compass.com/building/the-tower-at-gramercy-square-manhattan-ny/281890815108713781/","The Tower at Gramercy Square")</f>
        <v>The Tower at Gramercy Square</v>
      </c>
      <c r="C262" s="1" t="s">
        <v>54</v>
      </c>
      <c r="D262" s="1" t="s">
        <v>41</v>
      </c>
      <c r="E262" s="3">
        <v>2350000</v>
      </c>
      <c r="F262" s="1">
        <v>1776.2660619803401</v>
      </c>
      <c r="G262" s="1">
        <v>3</v>
      </c>
      <c r="H262" s="1">
        <v>1</v>
      </c>
      <c r="I262" s="1">
        <v>2</v>
      </c>
      <c r="J262" s="1">
        <v>2</v>
      </c>
      <c r="K262" s="1">
        <v>2</v>
      </c>
      <c r="M262" s="4">
        <v>1323</v>
      </c>
      <c r="N262" s="1">
        <v>1502</v>
      </c>
      <c r="O262" s="1">
        <v>4086</v>
      </c>
      <c r="P262" s="1">
        <v>2584</v>
      </c>
      <c r="Q262" s="1" t="s">
        <v>42</v>
      </c>
      <c r="S262" s="1" t="s">
        <v>42</v>
      </c>
      <c r="T262" s="1" t="s">
        <v>157</v>
      </c>
      <c r="U262" s="1">
        <v>544</v>
      </c>
      <c r="V262" s="5">
        <v>44422</v>
      </c>
      <c r="W262" s="5">
        <v>43774</v>
      </c>
      <c r="X262" s="1">
        <v>2375000</v>
      </c>
      <c r="Z262" s="5">
        <v>44415</v>
      </c>
      <c r="AB262" s="1" t="s">
        <v>44</v>
      </c>
      <c r="AF262" s="1">
        <v>10003</v>
      </c>
      <c r="AI262" s="1" t="s">
        <v>76</v>
      </c>
      <c r="AJ262" s="1">
        <v>1920</v>
      </c>
      <c r="AK262" s="1" t="s">
        <v>46</v>
      </c>
      <c r="AL262" s="1">
        <v>130</v>
      </c>
    </row>
    <row r="263" spans="1:38" x14ac:dyDescent="0.2">
      <c r="A263" s="2" t="str">
        <f>HYPERLINK("https://www.compass.com/listing/15-west-61st-street-unit-6g-manhattan-ny-10023/820188368299449825/","15 W 61st St, Unit 6G")</f>
        <v>15 W 61st St, Unit 6G</v>
      </c>
      <c r="B263" s="2" t="str">
        <f>HYPERLINK("https://www.compass.com/building/the-park-loggia-manhattan-ny/292861833130357557/","The Park Loggia")</f>
        <v>The Park Loggia</v>
      </c>
      <c r="C263" s="1" t="s">
        <v>50</v>
      </c>
      <c r="D263" s="1" t="s">
        <v>41</v>
      </c>
      <c r="E263" s="3">
        <v>1640000</v>
      </c>
      <c r="F263" s="1">
        <v>2363.1123919308302</v>
      </c>
      <c r="G263" s="1">
        <v>3</v>
      </c>
      <c r="H263" s="1">
        <v>1</v>
      </c>
      <c r="I263" s="1">
        <v>1</v>
      </c>
      <c r="J263" s="1">
        <v>1</v>
      </c>
      <c r="K263" s="1">
        <v>1</v>
      </c>
      <c r="M263" s="1">
        <v>694</v>
      </c>
      <c r="N263" s="1">
        <v>705</v>
      </c>
      <c r="O263" s="1">
        <v>1415</v>
      </c>
      <c r="P263" s="1">
        <v>710</v>
      </c>
      <c r="Q263" s="1" t="s">
        <v>42</v>
      </c>
      <c r="S263" s="1" t="s">
        <v>42</v>
      </c>
      <c r="T263" s="1" t="s">
        <v>157</v>
      </c>
      <c r="U263" s="1">
        <v>27</v>
      </c>
      <c r="V263" s="5">
        <v>44425</v>
      </c>
      <c r="W263" s="5">
        <v>44383</v>
      </c>
      <c r="X263" s="1">
        <v>1640000</v>
      </c>
      <c r="Z263" s="5">
        <v>44411</v>
      </c>
      <c r="AB263" s="1" t="s">
        <v>44</v>
      </c>
      <c r="AF263" s="1">
        <v>10023</v>
      </c>
      <c r="AI263" s="1" t="s">
        <v>76</v>
      </c>
      <c r="AJ263" s="1">
        <v>2019</v>
      </c>
      <c r="AK263" s="1" t="s">
        <v>77</v>
      </c>
      <c r="AL263" s="1">
        <v>172</v>
      </c>
    </row>
    <row r="264" spans="1:38" x14ac:dyDescent="0.2">
      <c r="A264" s="2" t="str">
        <f>HYPERLINK("https://www.compass.com/listing/215-east-19th-street-unit-1g-manhattan-ny-10003/29514953148910033/","215 E 19th St, Unit 1G")</f>
        <v>215 E 19th St, Unit 1G</v>
      </c>
      <c r="B264" s="2" t="str">
        <f>HYPERLINK("https://www.compass.com/building/the-tower-at-gramercy-square-manhattan-ny/281890815108713781/","The Tower at Gramercy Square")</f>
        <v>The Tower at Gramercy Square</v>
      </c>
      <c r="C264" s="1" t="s">
        <v>54</v>
      </c>
      <c r="D264" s="1" t="s">
        <v>41</v>
      </c>
      <c r="E264" s="3">
        <v>3055000</v>
      </c>
      <c r="F264" s="1">
        <v>2057.23905723905</v>
      </c>
      <c r="G264" s="1">
        <v>3</v>
      </c>
      <c r="H264" s="1">
        <v>1</v>
      </c>
      <c r="I264" s="1">
        <v>2</v>
      </c>
      <c r="J264" s="1">
        <v>1.5</v>
      </c>
      <c r="K264" s="1">
        <v>1</v>
      </c>
      <c r="L264" s="1">
        <v>1</v>
      </c>
      <c r="M264" s="4">
        <v>1485</v>
      </c>
      <c r="N264" s="1">
        <v>2513</v>
      </c>
      <c r="O264" s="1">
        <v>5695</v>
      </c>
      <c r="P264" s="1">
        <v>3182</v>
      </c>
      <c r="Q264" s="1" t="s">
        <v>42</v>
      </c>
      <c r="S264" s="1" t="s">
        <v>42</v>
      </c>
      <c r="T264" s="1" t="s">
        <v>157</v>
      </c>
      <c r="U264" s="1">
        <v>2</v>
      </c>
      <c r="V264" s="5">
        <v>44427</v>
      </c>
      <c r="W264" s="5">
        <v>43003</v>
      </c>
      <c r="X264" s="1">
        <v>2995000</v>
      </c>
      <c r="Z264" s="5">
        <v>43005</v>
      </c>
      <c r="AB264" s="1" t="s">
        <v>44</v>
      </c>
      <c r="AF264" s="1">
        <v>10003</v>
      </c>
      <c r="AI264" s="1" t="s">
        <v>102</v>
      </c>
      <c r="AJ264" s="1">
        <v>1920</v>
      </c>
      <c r="AK264" s="1" t="s">
        <v>46</v>
      </c>
      <c r="AL264" s="1">
        <v>130</v>
      </c>
    </row>
    <row r="265" spans="1:38" x14ac:dyDescent="0.2">
      <c r="A265" s="2" t="str">
        <f>HYPERLINK("https://www.compass.com/listing/225-east-19th-street-unit-402-manhattan-ny-10003/756191613123042729/","225 E 19th St, Unit 402")</f>
        <v>225 E 19th St, Unit 402</v>
      </c>
      <c r="B265" s="2" t="str">
        <f>HYPERLINK("https://www.compass.com/building/the-prewar-at-gramercy-square-manhattan-ny/282059248584654437/","The Prewar at Gramercy Square")</f>
        <v>The Prewar at Gramercy Square</v>
      </c>
      <c r="C265" s="1" t="s">
        <v>54</v>
      </c>
      <c r="D265" s="1" t="s">
        <v>41</v>
      </c>
      <c r="E265" s="3">
        <v>1600000</v>
      </c>
      <c r="F265" s="1">
        <v>1953.6019536019501</v>
      </c>
      <c r="G265" s="1">
        <v>3</v>
      </c>
      <c r="H265" s="1">
        <v>1</v>
      </c>
      <c r="I265" s="1">
        <v>1</v>
      </c>
      <c r="J265" s="1">
        <v>1</v>
      </c>
      <c r="M265" s="1">
        <v>819</v>
      </c>
      <c r="N265" s="1">
        <v>930</v>
      </c>
      <c r="O265" s="1">
        <v>2653</v>
      </c>
      <c r="P265" s="1">
        <v>1723</v>
      </c>
      <c r="Q265" s="1" t="s">
        <v>42</v>
      </c>
      <c r="S265" s="1" t="s">
        <v>42</v>
      </c>
      <c r="T265" s="1" t="s">
        <v>157</v>
      </c>
      <c r="U265" s="1">
        <v>85</v>
      </c>
      <c r="V265" s="5">
        <v>44427</v>
      </c>
      <c r="W265" s="5">
        <v>44295</v>
      </c>
      <c r="X265" s="1">
        <v>1725000</v>
      </c>
      <c r="Z265" s="5">
        <v>44380</v>
      </c>
      <c r="AB265" s="1" t="s">
        <v>44</v>
      </c>
      <c r="AF265" s="1">
        <v>10003</v>
      </c>
      <c r="AI265" s="1" t="s">
        <v>76</v>
      </c>
      <c r="AJ265" s="1">
        <v>1920</v>
      </c>
      <c r="AK265" s="1" t="s">
        <v>46</v>
      </c>
      <c r="AL265" s="1">
        <v>48</v>
      </c>
    </row>
    <row r="266" spans="1:38" x14ac:dyDescent="0.2">
      <c r="A266" s="2" t="str">
        <f>HYPERLINK("https://www.compass.com/listing/215-east-19th-street-unit-4g-manhattan-ny-10003/29514958802804849/","215 E 19th St, Unit 4G")</f>
        <v>215 E 19th St, Unit 4G</v>
      </c>
      <c r="B266" s="2" t="str">
        <f>HYPERLINK("https://www.compass.com/building/the-tower-at-gramercy-square-manhattan-ny/281890815108713781/","The Tower at Gramercy Square")</f>
        <v>The Tower at Gramercy Square</v>
      </c>
      <c r="C266" s="1" t="s">
        <v>54</v>
      </c>
      <c r="D266" s="1" t="s">
        <v>41</v>
      </c>
      <c r="E266" s="3">
        <v>1235000</v>
      </c>
      <c r="F266" s="1">
        <v>1810.8504398826899</v>
      </c>
      <c r="G266" s="1">
        <v>2</v>
      </c>
      <c r="H266" s="1" t="s">
        <v>79</v>
      </c>
      <c r="I266" s="1">
        <v>1</v>
      </c>
      <c r="J266" s="1">
        <v>1</v>
      </c>
      <c r="K266" s="1">
        <v>1</v>
      </c>
      <c r="M266" s="1">
        <v>682</v>
      </c>
      <c r="N266" s="1">
        <v>774</v>
      </c>
      <c r="O266" s="1">
        <v>1755</v>
      </c>
      <c r="P266" s="1">
        <v>981</v>
      </c>
      <c r="Q266" s="1" t="s">
        <v>42</v>
      </c>
      <c r="S266" s="1" t="s">
        <v>42</v>
      </c>
      <c r="T266" s="1" t="s">
        <v>157</v>
      </c>
      <c r="U266" s="1">
        <v>1</v>
      </c>
      <c r="V266" s="5">
        <v>44427</v>
      </c>
      <c r="W266" s="5">
        <v>43004</v>
      </c>
      <c r="X266" s="1">
        <v>1225000</v>
      </c>
      <c r="Z266" s="5">
        <v>43005</v>
      </c>
      <c r="AB266" s="1" t="s">
        <v>44</v>
      </c>
      <c r="AF266" s="1">
        <v>10003</v>
      </c>
      <c r="AI266" s="1" t="s">
        <v>76</v>
      </c>
      <c r="AJ266" s="1">
        <v>1920</v>
      </c>
      <c r="AK266" s="1" t="s">
        <v>46</v>
      </c>
      <c r="AL266" s="1">
        <v>130</v>
      </c>
    </row>
    <row r="267" spans="1:38" x14ac:dyDescent="0.2">
      <c r="A267" s="2" t="str">
        <f>HYPERLINK("https://www.compass.com/listing/32-east-1st-street-unit-2c-manhattan-ny-10003/709542413948667249/","32 E 1st St, Unit 2C")</f>
        <v>32 E 1st St, Unit 2C</v>
      </c>
      <c r="B267" s="2" t="str">
        <f>HYPERLINK("https://www.compass.com/building/32-east-1st-street-manhattan-ny/292783157810310133/","32 East 1st Street")</f>
        <v>32 East 1st Street</v>
      </c>
      <c r="C267" s="1" t="s">
        <v>89</v>
      </c>
      <c r="D267" s="1" t="s">
        <v>41</v>
      </c>
      <c r="E267" s="3">
        <v>3495000</v>
      </c>
      <c r="F267" s="1">
        <v>2334.66933867735</v>
      </c>
      <c r="G267" s="1">
        <v>6</v>
      </c>
      <c r="H267" s="1">
        <v>3</v>
      </c>
      <c r="I267" s="1">
        <v>3</v>
      </c>
      <c r="J267" s="1">
        <v>3</v>
      </c>
      <c r="K267" s="1">
        <v>3</v>
      </c>
      <c r="M267" s="4">
        <v>1497</v>
      </c>
      <c r="N267" s="1">
        <v>1759</v>
      </c>
      <c r="O267" s="1">
        <v>4429</v>
      </c>
      <c r="P267" s="1">
        <v>2670</v>
      </c>
      <c r="Q267" s="1" t="s">
        <v>42</v>
      </c>
      <c r="S267" s="1" t="s">
        <v>42</v>
      </c>
      <c r="T267" s="1" t="s">
        <v>157</v>
      </c>
      <c r="U267" s="1">
        <v>188</v>
      </c>
      <c r="V267" s="5">
        <v>44419</v>
      </c>
      <c r="W267" s="5">
        <v>44230</v>
      </c>
      <c r="X267" s="1">
        <v>3495000</v>
      </c>
      <c r="Z267" s="5">
        <v>44419</v>
      </c>
      <c r="AB267" s="1" t="s">
        <v>44</v>
      </c>
      <c r="AF267" s="1">
        <v>10003</v>
      </c>
      <c r="AI267" s="1" t="s">
        <v>53</v>
      </c>
      <c r="AJ267" s="1">
        <v>2019</v>
      </c>
      <c r="AK267" s="1" t="s">
        <v>77</v>
      </c>
      <c r="AL267" s="1">
        <v>30</v>
      </c>
    </row>
    <row r="268" spans="1:38" x14ac:dyDescent="0.2">
      <c r="A268" s="2" t="str">
        <f>HYPERLINK("https://www.compass.com/listing/215-east-19th-street-unit-3b-manhattan-ny-10003/294089953753713521/","215 E 19th St, Unit 3B")</f>
        <v>215 E 19th St, Unit 3B</v>
      </c>
      <c r="B268" s="2" t="str">
        <f t="shared" ref="B268:B269" si="49">HYPERLINK("https://www.compass.com/building/the-tower-at-gramercy-square-manhattan-ny/281890815108713781/","The Tower at Gramercy Square")</f>
        <v>The Tower at Gramercy Square</v>
      </c>
      <c r="C268" s="1" t="s">
        <v>54</v>
      </c>
      <c r="D268" s="1" t="s">
        <v>41</v>
      </c>
      <c r="E268" s="3">
        <v>3195000</v>
      </c>
      <c r="F268" s="1">
        <v>2101.9736842105199</v>
      </c>
      <c r="G268" s="1">
        <v>4</v>
      </c>
      <c r="H268" s="1">
        <v>2</v>
      </c>
      <c r="I268" s="1">
        <v>3</v>
      </c>
      <c r="J268" s="1">
        <v>2.5</v>
      </c>
      <c r="K268" s="1">
        <v>2</v>
      </c>
      <c r="L268" s="1">
        <v>1</v>
      </c>
      <c r="M268" s="4">
        <v>1520</v>
      </c>
      <c r="N268" s="1">
        <v>1725</v>
      </c>
      <c r="O268" s="1">
        <v>4614</v>
      </c>
      <c r="P268" s="1">
        <v>2889</v>
      </c>
      <c r="Q268" s="1" t="s">
        <v>42</v>
      </c>
      <c r="S268" s="1" t="s">
        <v>42</v>
      </c>
      <c r="T268" s="1" t="s">
        <v>157</v>
      </c>
      <c r="U268" s="1">
        <v>491</v>
      </c>
      <c r="V268" s="5">
        <v>44427</v>
      </c>
      <c r="W268" s="5">
        <v>43654</v>
      </c>
      <c r="X268" s="1">
        <v>3195000</v>
      </c>
      <c r="Z268" s="5">
        <v>44273</v>
      </c>
      <c r="AB268" s="1" t="s">
        <v>44</v>
      </c>
      <c r="AF268" s="1">
        <v>10003</v>
      </c>
      <c r="AI268" s="1" t="s">
        <v>76</v>
      </c>
      <c r="AJ268" s="1">
        <v>1920</v>
      </c>
      <c r="AK268" s="1" t="s">
        <v>46</v>
      </c>
      <c r="AL268" s="1">
        <v>130</v>
      </c>
    </row>
    <row r="269" spans="1:38" x14ac:dyDescent="0.2">
      <c r="A269" s="2" t="str">
        <f>HYPERLINK("https://www.compass.com/listing/215-east-19th-street-unit-15b-manhattan-ny-10003/29514955371932369/","215 E 19th St, Unit 15B")</f>
        <v>215 E 19th St, Unit 15B</v>
      </c>
      <c r="B269" s="2" t="str">
        <f t="shared" si="49"/>
        <v>The Tower at Gramercy Square</v>
      </c>
      <c r="C269" s="1" t="s">
        <v>54</v>
      </c>
      <c r="D269" s="1" t="s">
        <v>41</v>
      </c>
      <c r="E269" s="3">
        <v>4370000</v>
      </c>
      <c r="F269" s="1">
        <v>2422.39467849223</v>
      </c>
      <c r="G269" s="1">
        <v>4</v>
      </c>
      <c r="H269" s="1">
        <v>2</v>
      </c>
      <c r="I269" s="1">
        <v>3</v>
      </c>
      <c r="J269" s="1">
        <v>3</v>
      </c>
      <c r="K269" s="1">
        <v>3</v>
      </c>
      <c r="M269" s="4">
        <v>1804</v>
      </c>
      <c r="N269" s="1">
        <v>2047</v>
      </c>
      <c r="O269" s="1">
        <v>4640</v>
      </c>
      <c r="P269" s="1">
        <v>2593</v>
      </c>
      <c r="Q269" s="1" t="s">
        <v>42</v>
      </c>
      <c r="S269" s="1" t="s">
        <v>42</v>
      </c>
      <c r="T269" s="1" t="s">
        <v>157</v>
      </c>
      <c r="V269" s="5">
        <v>44427</v>
      </c>
      <c r="W269" s="5">
        <v>43025</v>
      </c>
      <c r="X269" s="1">
        <v>4370000</v>
      </c>
      <c r="Z269" s="5">
        <v>43026</v>
      </c>
      <c r="AB269" s="1" t="s">
        <v>44</v>
      </c>
      <c r="AF269" s="1">
        <v>10003</v>
      </c>
      <c r="AI269" s="1" t="s">
        <v>76</v>
      </c>
      <c r="AJ269" s="1">
        <v>1920</v>
      </c>
      <c r="AK269" s="1" t="s">
        <v>46</v>
      </c>
      <c r="AL269" s="1">
        <v>130</v>
      </c>
    </row>
    <row r="270" spans="1:38" x14ac:dyDescent="0.2">
      <c r="A270" s="2" t="str">
        <f>HYPERLINK("https://www.compass.com/listing/277-5th-avenue-unit-12d-manhattan-ny-10016/832304471416779929/","277 5th Ave, Unit 12D")</f>
        <v>277 5th Ave, Unit 12D</v>
      </c>
      <c r="B270" s="2" t="str">
        <f>HYPERLINK("https://www.compass.com/building/277-fifth-avenue-manhattan-ny/281939285475645317/","277 FIFTH AVENUE")</f>
        <v>277 FIFTH AVENUE</v>
      </c>
      <c r="C270" s="1" t="s">
        <v>81</v>
      </c>
      <c r="D270" s="1" t="s">
        <v>41</v>
      </c>
      <c r="E270" s="3">
        <v>3080000</v>
      </c>
      <c r="F270" s="1">
        <v>2243.2629278951199</v>
      </c>
      <c r="G270" s="1">
        <v>4</v>
      </c>
      <c r="H270" s="1">
        <v>2</v>
      </c>
      <c r="I270" s="1">
        <v>2</v>
      </c>
      <c r="J270" s="1">
        <v>2</v>
      </c>
      <c r="K270" s="1">
        <v>2</v>
      </c>
      <c r="M270" s="4">
        <v>1373</v>
      </c>
      <c r="N270" s="1">
        <v>1980</v>
      </c>
      <c r="O270" s="1">
        <v>3733</v>
      </c>
      <c r="P270" s="1">
        <v>1753</v>
      </c>
      <c r="Q270" s="1" t="s">
        <v>42</v>
      </c>
      <c r="S270" s="1" t="s">
        <v>42</v>
      </c>
      <c r="T270" s="1" t="s">
        <v>157</v>
      </c>
      <c r="V270" s="5">
        <v>44414</v>
      </c>
      <c r="W270" s="5">
        <v>44399</v>
      </c>
      <c r="X270" s="1">
        <v>3080000</v>
      </c>
      <c r="Z270" s="5">
        <v>44400</v>
      </c>
      <c r="AB270" s="1" t="s">
        <v>44</v>
      </c>
      <c r="AF270" s="1">
        <v>10016</v>
      </c>
      <c r="AI270" s="1" t="s">
        <v>82</v>
      </c>
      <c r="AJ270" s="1">
        <v>2019</v>
      </c>
      <c r="AK270" s="1" t="s">
        <v>46</v>
      </c>
      <c r="AL270" s="1">
        <v>130</v>
      </c>
    </row>
    <row r="271" spans="1:38" x14ac:dyDescent="0.2">
      <c r="A271" s="2" t="str">
        <f>HYPERLINK("https://www.compass.com/listing/221-west-77th-street-unit-12e-manhattan-ny-10024/428814347545464985/","221 W 77th St, Unit 12E")</f>
        <v>221 W 77th St, Unit 12E</v>
      </c>
      <c r="B271" s="2" t="str">
        <f>HYPERLINK("https://www.compass.com/building/221-west-77th-street-manhattan-ny/292869344491294229/","221 West 77th Street")</f>
        <v>221 West 77th Street</v>
      </c>
      <c r="C271" s="1" t="s">
        <v>50</v>
      </c>
      <c r="D271" s="1" t="s">
        <v>41</v>
      </c>
      <c r="E271" s="3">
        <v>4995000</v>
      </c>
      <c r="F271" s="1">
        <v>2416.5457184325101</v>
      </c>
      <c r="G271" s="1">
        <v>5</v>
      </c>
      <c r="H271" s="1">
        <v>3</v>
      </c>
      <c r="I271" s="1">
        <v>4</v>
      </c>
      <c r="J271" s="1">
        <v>3.5</v>
      </c>
      <c r="K271" s="1">
        <v>3</v>
      </c>
      <c r="L271" s="1">
        <v>1</v>
      </c>
      <c r="M271" s="4">
        <v>2067</v>
      </c>
      <c r="N271" s="1">
        <v>2380</v>
      </c>
      <c r="O271" s="1">
        <v>5352</v>
      </c>
      <c r="P271" s="1">
        <v>2972</v>
      </c>
      <c r="Q271" s="1" t="s">
        <v>42</v>
      </c>
      <c r="S271" s="1" t="s">
        <v>42</v>
      </c>
      <c r="T271" s="1" t="s">
        <v>157</v>
      </c>
      <c r="U271" s="1">
        <v>23</v>
      </c>
      <c r="V271" s="5">
        <v>44425</v>
      </c>
      <c r="W271" s="5">
        <v>44313</v>
      </c>
      <c r="X271" s="1">
        <v>4995000</v>
      </c>
      <c r="Z271" s="5">
        <v>44337</v>
      </c>
      <c r="AB271" s="1" t="s">
        <v>44</v>
      </c>
      <c r="AF271" s="1">
        <v>10024</v>
      </c>
      <c r="AI271" s="1" t="s">
        <v>162</v>
      </c>
      <c r="AJ271" s="1">
        <v>2017</v>
      </c>
      <c r="AK271" s="1" t="s">
        <v>77</v>
      </c>
      <c r="AL271" s="1">
        <v>26</v>
      </c>
    </row>
    <row r="272" spans="1:38" x14ac:dyDescent="0.2">
      <c r="A272" s="2" t="str">
        <f>HYPERLINK("https://www.compass.com/listing/375-west-123rd-street-unit-6a-manhattan-ny-10027/839839950323914665/","375 W 123rd St, Unit 6A")</f>
        <v>375 W 123rd St, Unit 6A</v>
      </c>
      <c r="B272" s="2" t="str">
        <f>HYPERLINK("https://www.compass.com/building/99-morningside-manhattan-ny/281983676789660549/","99 Morningside")</f>
        <v>99 Morningside</v>
      </c>
      <c r="C272" s="1" t="s">
        <v>106</v>
      </c>
      <c r="D272" s="1" t="s">
        <v>41</v>
      </c>
      <c r="E272" s="3">
        <v>1685000</v>
      </c>
      <c r="F272" s="1">
        <v>1190.81272084805</v>
      </c>
      <c r="G272" s="1">
        <v>5</v>
      </c>
      <c r="H272" s="1">
        <v>3</v>
      </c>
      <c r="I272" s="1">
        <v>2</v>
      </c>
      <c r="J272" s="1">
        <v>2</v>
      </c>
      <c r="K272" s="1">
        <v>2</v>
      </c>
      <c r="M272" s="4">
        <v>1415</v>
      </c>
      <c r="N272" s="1">
        <v>1320</v>
      </c>
      <c r="O272" s="1">
        <v>2383</v>
      </c>
      <c r="P272" s="1">
        <v>1063</v>
      </c>
      <c r="Q272" s="1" t="s">
        <v>42</v>
      </c>
      <c r="S272" s="1" t="s">
        <v>42</v>
      </c>
      <c r="T272" s="1" t="s">
        <v>157</v>
      </c>
      <c r="U272" s="1">
        <v>14</v>
      </c>
      <c r="V272" s="5">
        <v>44425</v>
      </c>
      <c r="W272" s="5">
        <v>44410</v>
      </c>
      <c r="X272" s="1">
        <v>1685000</v>
      </c>
      <c r="Z272" s="5">
        <v>44425</v>
      </c>
      <c r="AB272" s="1" t="s">
        <v>44</v>
      </c>
      <c r="AF272" s="1">
        <v>10027</v>
      </c>
      <c r="AI272" s="1" t="s">
        <v>107</v>
      </c>
      <c r="AJ272" s="1">
        <v>2016</v>
      </c>
      <c r="AK272" s="1" t="s">
        <v>108</v>
      </c>
      <c r="AL272" s="1">
        <v>22</v>
      </c>
    </row>
    <row r="273" spans="1:38" x14ac:dyDescent="0.2">
      <c r="A273" s="2" t="str">
        <f>HYPERLINK("https://www.compass.com/listing/15-west-61st-street-unit-28a-manhattan-ny-10023/826184342074626553/","15 W 61st St, Unit 28A")</f>
        <v>15 W 61st St, Unit 28A</v>
      </c>
      <c r="B273" s="2" t="str">
        <f>HYPERLINK("https://www.compass.com/building/the-park-loggia-manhattan-ny/292861833130357557/","The Park Loggia")</f>
        <v>The Park Loggia</v>
      </c>
      <c r="C273" s="1" t="s">
        <v>50</v>
      </c>
      <c r="D273" s="1" t="s">
        <v>41</v>
      </c>
      <c r="E273" s="3">
        <v>7125000</v>
      </c>
      <c r="F273" s="1">
        <v>3718.6847599164898</v>
      </c>
      <c r="G273" s="1">
        <v>6</v>
      </c>
      <c r="H273" s="1">
        <v>3</v>
      </c>
      <c r="I273" s="1">
        <v>3</v>
      </c>
      <c r="J273" s="1">
        <v>2.5</v>
      </c>
      <c r="K273" s="1">
        <v>2</v>
      </c>
      <c r="L273" s="1">
        <v>1</v>
      </c>
      <c r="M273" s="4">
        <v>1916</v>
      </c>
      <c r="N273" s="1">
        <v>2038</v>
      </c>
      <c r="O273" s="1">
        <v>4087</v>
      </c>
      <c r="P273" s="1">
        <v>2049</v>
      </c>
      <c r="Q273" s="1" t="s">
        <v>42</v>
      </c>
      <c r="S273" s="1" t="s">
        <v>42</v>
      </c>
      <c r="T273" s="1" t="s">
        <v>157</v>
      </c>
      <c r="U273" s="1">
        <v>8</v>
      </c>
      <c r="V273" s="5">
        <v>44424</v>
      </c>
      <c r="W273" s="5">
        <v>44383</v>
      </c>
      <c r="X273" s="1">
        <v>7125000</v>
      </c>
      <c r="Z273" s="5">
        <v>44392</v>
      </c>
      <c r="AB273" s="1" t="s">
        <v>44</v>
      </c>
      <c r="AF273" s="1">
        <v>10023</v>
      </c>
      <c r="AI273" s="1" t="s">
        <v>102</v>
      </c>
      <c r="AJ273" s="1">
        <v>2019</v>
      </c>
      <c r="AK273" s="1" t="s">
        <v>77</v>
      </c>
      <c r="AL273" s="1">
        <v>172</v>
      </c>
    </row>
    <row r="274" spans="1:38" x14ac:dyDescent="0.2">
      <c r="A274" s="2" t="str">
        <f>HYPERLINK("https://www.compass.com/listing/30-riverside-boulevard-unit-23a-manhattan-ny-10069/840472121820310057/","30 Riverside Blvd, Unit 23A")</f>
        <v>30 Riverside Blvd, Unit 23A</v>
      </c>
      <c r="B274" s="2" t="str">
        <f>HYPERLINK("https://www.compass.com/building/two-waterline-square-manhattan-ny/282058630956612773/","Two Waterline Square")</f>
        <v>Two Waterline Square</v>
      </c>
      <c r="C274" s="1" t="s">
        <v>50</v>
      </c>
      <c r="D274" s="1" t="s">
        <v>41</v>
      </c>
      <c r="E274" s="3">
        <v>4215000</v>
      </c>
      <c r="F274" s="1">
        <v>2834.56624075319</v>
      </c>
      <c r="G274" s="1">
        <v>4</v>
      </c>
      <c r="H274" s="1">
        <v>2</v>
      </c>
      <c r="I274" s="1">
        <v>4</v>
      </c>
      <c r="J274" s="1">
        <v>3.5</v>
      </c>
      <c r="K274" s="1">
        <v>3</v>
      </c>
      <c r="L274" s="1">
        <v>1</v>
      </c>
      <c r="M274" s="4">
        <v>1487</v>
      </c>
      <c r="N274" s="1">
        <v>1965</v>
      </c>
      <c r="O274" s="1">
        <v>2069</v>
      </c>
      <c r="P274" s="1">
        <v>104</v>
      </c>
      <c r="Q274" s="1" t="s">
        <v>42</v>
      </c>
      <c r="S274" s="1" t="s">
        <v>42</v>
      </c>
      <c r="T274" s="1" t="s">
        <v>157</v>
      </c>
      <c r="U274" s="1">
        <v>2</v>
      </c>
      <c r="V274" s="5">
        <v>44420</v>
      </c>
      <c r="W274" s="5">
        <v>44411</v>
      </c>
      <c r="X274" s="1">
        <v>4215000</v>
      </c>
      <c r="Z274" s="5">
        <v>44414</v>
      </c>
      <c r="AB274" s="1" t="s">
        <v>44</v>
      </c>
      <c r="AF274" s="1">
        <v>10069</v>
      </c>
      <c r="AI274" s="1" t="s">
        <v>109</v>
      </c>
      <c r="AJ274" s="1">
        <v>2019</v>
      </c>
      <c r="AK274" s="1" t="s">
        <v>77</v>
      </c>
      <c r="AL274" s="1">
        <v>160</v>
      </c>
    </row>
    <row r="275" spans="1:38" x14ac:dyDescent="0.2">
      <c r="A275" s="2" t="str">
        <f>HYPERLINK("https://www.compass.com/listing/555-west-end-avenue-unit-4w-manhattan-ny-10024/334014933729374161/","555 W End Ave, Unit 4W")</f>
        <v>555 W End Ave, Unit 4W</v>
      </c>
      <c r="B275" s="2" t="str">
        <f>HYPERLINK("https://www.compass.com/building/555-west-end-avenue-manhattan-ny/292874438096018885/","555 West End Avenue")</f>
        <v>555 West End Avenue</v>
      </c>
      <c r="C275" s="1" t="s">
        <v>50</v>
      </c>
      <c r="D275" s="1" t="s">
        <v>41</v>
      </c>
      <c r="E275" s="3">
        <v>8400000</v>
      </c>
      <c r="F275" s="1">
        <v>3092.7835051546299</v>
      </c>
      <c r="G275" s="1">
        <v>6</v>
      </c>
      <c r="H275" s="1">
        <v>4</v>
      </c>
      <c r="I275" s="1">
        <v>5</v>
      </c>
      <c r="J275" s="1">
        <v>4.5</v>
      </c>
      <c r="K275" s="1">
        <v>4</v>
      </c>
      <c r="L275" s="1">
        <v>1</v>
      </c>
      <c r="M275" s="4">
        <v>2716</v>
      </c>
      <c r="N275" s="1">
        <v>3735</v>
      </c>
      <c r="O275" s="1">
        <v>9697</v>
      </c>
      <c r="P275" s="1">
        <v>5962</v>
      </c>
      <c r="Q275" s="1" t="s">
        <v>42</v>
      </c>
      <c r="S275" s="1" t="s">
        <v>42</v>
      </c>
      <c r="T275" s="1" t="s">
        <v>157</v>
      </c>
      <c r="V275" s="5">
        <v>44425</v>
      </c>
      <c r="W275" s="5">
        <v>43713</v>
      </c>
      <c r="X275" s="1">
        <v>8400000</v>
      </c>
      <c r="Z275" s="5">
        <v>43713</v>
      </c>
      <c r="AB275" s="1" t="s">
        <v>44</v>
      </c>
      <c r="AF275" s="1">
        <v>10024</v>
      </c>
      <c r="AJ275" s="1">
        <v>2019</v>
      </c>
      <c r="AK275" s="1" t="s">
        <v>77</v>
      </c>
      <c r="AL275" s="1">
        <v>13</v>
      </c>
    </row>
    <row r="276" spans="1:38" x14ac:dyDescent="0.2">
      <c r="A276" s="2" t="str">
        <f>HYPERLINK("https://www.compass.com/listing/375-west-123rd-street-unit-5c-manhattan-ny-10027/839832468918227737/","375 W 123rd St, Unit 5C")</f>
        <v>375 W 123rd St, Unit 5C</v>
      </c>
      <c r="B276" s="2" t="str">
        <f>HYPERLINK("https://www.compass.com/building/99-morningside-manhattan-ny/281983676789660549/","99 Morningside")</f>
        <v>99 Morningside</v>
      </c>
      <c r="C276" s="1" t="s">
        <v>106</v>
      </c>
      <c r="D276" s="1" t="s">
        <v>41</v>
      </c>
      <c r="E276" s="3">
        <v>1475000</v>
      </c>
      <c r="F276" s="1">
        <v>1160.50354051927</v>
      </c>
      <c r="G276" s="1">
        <v>4</v>
      </c>
      <c r="H276" s="1">
        <v>2</v>
      </c>
      <c r="I276" s="1">
        <v>2</v>
      </c>
      <c r="J276" s="1">
        <v>2</v>
      </c>
      <c r="K276" s="1">
        <v>2</v>
      </c>
      <c r="M276" s="4">
        <v>1271</v>
      </c>
      <c r="N276" s="1">
        <v>1163</v>
      </c>
      <c r="O276" s="1">
        <v>1983</v>
      </c>
      <c r="P276" s="1">
        <v>820</v>
      </c>
      <c r="Q276" s="1" t="s">
        <v>42</v>
      </c>
      <c r="S276" s="1" t="s">
        <v>42</v>
      </c>
      <c r="T276" s="1" t="s">
        <v>157</v>
      </c>
      <c r="U276" s="1">
        <v>17</v>
      </c>
      <c r="V276" s="5">
        <v>44411</v>
      </c>
      <c r="W276" s="5">
        <v>44393</v>
      </c>
      <c r="X276" s="1">
        <v>1475000</v>
      </c>
      <c r="Z276" s="5">
        <v>44411</v>
      </c>
      <c r="AB276" s="1" t="s">
        <v>44</v>
      </c>
      <c r="AF276" s="1">
        <v>10027</v>
      </c>
      <c r="AI276" s="1" t="s">
        <v>107</v>
      </c>
      <c r="AJ276" s="1">
        <v>2016</v>
      </c>
      <c r="AK276" s="1" t="s">
        <v>108</v>
      </c>
      <c r="AL276" s="1">
        <v>22</v>
      </c>
    </row>
    <row r="277" spans="1:38" x14ac:dyDescent="0.2">
      <c r="A277" s="2" t="str">
        <f>HYPERLINK("https://www.compass.com/listing/15-west-61st-street-unit-3d-manhattan-ny-10023/620293412071159457/","15 W 61st St, Unit 3D")</f>
        <v>15 W 61st St, Unit 3D</v>
      </c>
      <c r="B277" s="2" t="str">
        <f>HYPERLINK("https://www.compass.com/building/the-park-loggia-manhattan-ny/292861833130357557/","The Park Loggia")</f>
        <v>The Park Loggia</v>
      </c>
      <c r="C277" s="1" t="s">
        <v>50</v>
      </c>
      <c r="D277" s="1" t="s">
        <v>41</v>
      </c>
      <c r="E277" s="3">
        <v>1385000</v>
      </c>
      <c r="F277" s="1">
        <v>2108.0669710806601</v>
      </c>
      <c r="G277" s="1">
        <v>2</v>
      </c>
      <c r="H277" s="1" t="s">
        <v>79</v>
      </c>
      <c r="I277" s="1">
        <v>1</v>
      </c>
      <c r="J277" s="1">
        <v>1</v>
      </c>
      <c r="K277" s="1">
        <v>1</v>
      </c>
      <c r="M277" s="1">
        <v>657</v>
      </c>
      <c r="N277" s="1">
        <v>725</v>
      </c>
      <c r="O277" s="1">
        <v>1454</v>
      </c>
      <c r="P277" s="1">
        <v>729</v>
      </c>
      <c r="Q277" s="1" t="s">
        <v>42</v>
      </c>
      <c r="S277" s="1" t="s">
        <v>42</v>
      </c>
      <c r="T277" s="1" t="s">
        <v>157</v>
      </c>
      <c r="U277" s="1">
        <v>303</v>
      </c>
      <c r="V277" s="5">
        <v>44425</v>
      </c>
      <c r="W277" s="5">
        <v>44107</v>
      </c>
      <c r="X277" s="1">
        <v>1385000</v>
      </c>
      <c r="Z277" s="5">
        <v>44411</v>
      </c>
      <c r="AB277" s="1" t="s">
        <v>44</v>
      </c>
      <c r="AF277" s="1">
        <v>10023</v>
      </c>
      <c r="AI277" s="1" t="s">
        <v>102</v>
      </c>
      <c r="AJ277" s="1">
        <v>2019</v>
      </c>
      <c r="AK277" s="1" t="s">
        <v>77</v>
      </c>
      <c r="AL277" s="1">
        <v>172</v>
      </c>
    </row>
    <row r="278" spans="1:38" x14ac:dyDescent="0.2">
      <c r="A278" s="2" t="str">
        <f>HYPERLINK("https://www.compass.com/listing/375-west-123rd-street-unit-8a-manhattan-ny-10027/830380102144308409/","375 W 123rd St, Unit 8A")</f>
        <v>375 W 123rd St, Unit 8A</v>
      </c>
      <c r="B278" s="2" t="str">
        <f>HYPERLINK("https://www.compass.com/building/99-morningside-manhattan-ny/281983676789660549/","99 Morningside")</f>
        <v>99 Morningside</v>
      </c>
      <c r="C278" s="1" t="s">
        <v>106</v>
      </c>
      <c r="D278" s="1" t="s">
        <v>41</v>
      </c>
      <c r="E278" s="3">
        <v>1785000</v>
      </c>
      <c r="F278" s="1">
        <v>1210.9905020352701</v>
      </c>
      <c r="G278" s="1">
        <v>5</v>
      </c>
      <c r="H278" s="1">
        <v>3</v>
      </c>
      <c r="I278" s="1">
        <v>2</v>
      </c>
      <c r="J278" s="1">
        <v>2</v>
      </c>
      <c r="K278" s="1">
        <v>2</v>
      </c>
      <c r="M278" s="4">
        <v>1474</v>
      </c>
      <c r="N278" s="1">
        <v>1376</v>
      </c>
      <c r="O278" s="1">
        <v>2526</v>
      </c>
      <c r="P278" s="1">
        <v>1150</v>
      </c>
      <c r="Q278" s="1" t="s">
        <v>42</v>
      </c>
      <c r="S278" s="1" t="s">
        <v>42</v>
      </c>
      <c r="T278" s="1" t="s">
        <v>157</v>
      </c>
      <c r="U278" s="1">
        <v>9</v>
      </c>
      <c r="V278" s="5">
        <v>44407</v>
      </c>
      <c r="W278" s="5">
        <v>44397</v>
      </c>
      <c r="X278" s="1">
        <v>1785000</v>
      </c>
      <c r="Z278" s="5">
        <v>44407</v>
      </c>
      <c r="AB278" s="1" t="s">
        <v>44</v>
      </c>
      <c r="AF278" s="1">
        <v>10027</v>
      </c>
      <c r="AI278" s="1" t="s">
        <v>107</v>
      </c>
      <c r="AJ278" s="1">
        <v>2016</v>
      </c>
      <c r="AK278" s="1" t="s">
        <v>108</v>
      </c>
      <c r="AL278" s="1">
        <v>22</v>
      </c>
    </row>
    <row r="279" spans="1:38" x14ac:dyDescent="0.2">
      <c r="A279" s="2" t="str">
        <f>HYPERLINK("https://www.compass.com/listing/15-west-61st-street-unit-6c-manhattan-ny-10023/620322207488788569/","15 W 61st St, Unit 6C")</f>
        <v>15 W 61st St, Unit 6C</v>
      </c>
      <c r="B279" s="2" t="str">
        <f t="shared" ref="B279:B281" si="50">HYPERLINK("https://www.compass.com/building/the-park-loggia-manhattan-ny/292861833130357557/","The Park Loggia")</f>
        <v>The Park Loggia</v>
      </c>
      <c r="C279" s="1" t="s">
        <v>50</v>
      </c>
      <c r="D279" s="1" t="s">
        <v>41</v>
      </c>
      <c r="E279" s="3">
        <v>2860000</v>
      </c>
      <c r="F279" s="1">
        <v>2397.3176865046098</v>
      </c>
      <c r="G279" s="1">
        <v>4.5</v>
      </c>
      <c r="H279" s="1">
        <v>2</v>
      </c>
      <c r="I279" s="1">
        <v>3</v>
      </c>
      <c r="J279" s="1">
        <v>2.5</v>
      </c>
      <c r="K279" s="1">
        <v>2</v>
      </c>
      <c r="L279" s="1">
        <v>1</v>
      </c>
      <c r="M279" s="4">
        <v>1193</v>
      </c>
      <c r="N279" s="1">
        <v>1212</v>
      </c>
      <c r="O279" s="1">
        <v>2431</v>
      </c>
      <c r="P279" s="1">
        <v>1219</v>
      </c>
      <c r="Q279" s="1" t="s">
        <v>42</v>
      </c>
      <c r="S279" s="1" t="s">
        <v>42</v>
      </c>
      <c r="T279" s="1" t="s">
        <v>157</v>
      </c>
      <c r="U279" s="1">
        <v>294</v>
      </c>
      <c r="V279" s="5">
        <v>44416</v>
      </c>
      <c r="W279" s="5">
        <v>44107</v>
      </c>
      <c r="X279" s="1">
        <v>2860000</v>
      </c>
      <c r="Z279" s="5">
        <v>44402</v>
      </c>
      <c r="AB279" s="1" t="s">
        <v>44</v>
      </c>
      <c r="AF279" s="1">
        <v>10023</v>
      </c>
      <c r="AI279" s="1" t="s">
        <v>76</v>
      </c>
      <c r="AJ279" s="1">
        <v>2019</v>
      </c>
      <c r="AK279" s="1" t="s">
        <v>77</v>
      </c>
      <c r="AL279" s="1">
        <v>172</v>
      </c>
    </row>
    <row r="280" spans="1:38" x14ac:dyDescent="0.2">
      <c r="A280" s="2" t="str">
        <f>HYPERLINK("https://www.compass.com/listing/15-west-61st-street-unit-27a-manhattan-ny-10023/820214152196453729/","15 W 61st St, Unit 27A")</f>
        <v>15 W 61st St, Unit 27A</v>
      </c>
      <c r="B280" s="2" t="str">
        <f t="shared" si="50"/>
        <v>The Park Loggia</v>
      </c>
      <c r="C280" s="1" t="s">
        <v>50</v>
      </c>
      <c r="D280" s="1" t="s">
        <v>41</v>
      </c>
      <c r="E280" s="3">
        <v>7075000</v>
      </c>
      <c r="F280" s="1">
        <v>3692.5887265135698</v>
      </c>
      <c r="G280" s="1">
        <v>5.5</v>
      </c>
      <c r="H280" s="1">
        <v>3</v>
      </c>
      <c r="I280" s="1">
        <v>3</v>
      </c>
      <c r="J280" s="1">
        <v>2.5</v>
      </c>
      <c r="K280" s="1">
        <v>2</v>
      </c>
      <c r="L280" s="1">
        <v>1</v>
      </c>
      <c r="M280" s="4">
        <v>1916</v>
      </c>
      <c r="N280" s="1">
        <v>2038</v>
      </c>
      <c r="O280" s="1">
        <v>4087</v>
      </c>
      <c r="P280" s="1">
        <v>2049</v>
      </c>
      <c r="Q280" s="1" t="s">
        <v>42</v>
      </c>
      <c r="S280" s="1" t="s">
        <v>42</v>
      </c>
      <c r="T280" s="1" t="s">
        <v>157</v>
      </c>
      <c r="U280" s="1">
        <v>46</v>
      </c>
      <c r="V280" s="5">
        <v>44420</v>
      </c>
      <c r="W280" s="5">
        <v>44337</v>
      </c>
      <c r="X280" s="1">
        <v>7075000</v>
      </c>
      <c r="Z280" s="5">
        <v>44384</v>
      </c>
      <c r="AB280" s="1" t="s">
        <v>44</v>
      </c>
      <c r="AF280" s="1">
        <v>10023</v>
      </c>
      <c r="AI280" s="1" t="s">
        <v>112</v>
      </c>
      <c r="AJ280" s="1">
        <v>2019</v>
      </c>
      <c r="AK280" s="1" t="s">
        <v>77</v>
      </c>
      <c r="AL280" s="1">
        <v>172</v>
      </c>
    </row>
    <row r="281" spans="1:38" x14ac:dyDescent="0.2">
      <c r="A281" s="2" t="str">
        <f>HYPERLINK("https://www.compass.com/listing/15-west-61st-street-unit-6j-manhattan-ny-10023/620417400464310177/","15 W 61st St, Unit 6J")</f>
        <v>15 W 61st St, Unit 6J</v>
      </c>
      <c r="B281" s="2" t="str">
        <f t="shared" si="50"/>
        <v>The Park Loggia</v>
      </c>
      <c r="C281" s="1" t="s">
        <v>50</v>
      </c>
      <c r="D281" s="1" t="s">
        <v>41</v>
      </c>
      <c r="E281" s="3">
        <v>3800000</v>
      </c>
      <c r="F281" s="1">
        <v>2724.0143369175598</v>
      </c>
      <c r="G281" s="1">
        <v>4</v>
      </c>
      <c r="H281" s="1">
        <v>2</v>
      </c>
      <c r="I281" s="1">
        <v>2</v>
      </c>
      <c r="J281" s="1">
        <v>2</v>
      </c>
      <c r="K281" s="1">
        <v>2</v>
      </c>
      <c r="M281" s="4">
        <v>1395</v>
      </c>
      <c r="N281" s="1">
        <v>1418</v>
      </c>
      <c r="O281" s="1">
        <v>2843</v>
      </c>
      <c r="P281" s="1">
        <v>1425</v>
      </c>
      <c r="Q281" s="1" t="s">
        <v>42</v>
      </c>
      <c r="S281" s="1" t="s">
        <v>42</v>
      </c>
      <c r="T281" s="1" t="s">
        <v>157</v>
      </c>
      <c r="U281" s="1">
        <v>265</v>
      </c>
      <c r="V281" s="5">
        <v>44417</v>
      </c>
      <c r="W281" s="5">
        <v>44107</v>
      </c>
      <c r="X281" s="1">
        <v>3800000</v>
      </c>
      <c r="Z281" s="5">
        <v>44373</v>
      </c>
      <c r="AB281" s="1" t="s">
        <v>44</v>
      </c>
      <c r="AF281" s="1">
        <v>10023</v>
      </c>
      <c r="AI281" s="1" t="s">
        <v>76</v>
      </c>
      <c r="AJ281" s="1">
        <v>2019</v>
      </c>
      <c r="AK281" s="1" t="s">
        <v>77</v>
      </c>
      <c r="AL281" s="1">
        <v>172</v>
      </c>
    </row>
    <row r="282" spans="1:38" x14ac:dyDescent="0.2">
      <c r="A282" s="2" t="str">
        <f>HYPERLINK("https://www.compass.com/listing/252-south-street-unit-19e-manhattan-ny-10002/845688854243764873/","252 South St, Unit 19E")</f>
        <v>252 South St, Unit 19E</v>
      </c>
      <c r="B282" s="2" t="str">
        <f>HYPERLINK("https://www.compass.com/building/one-manhattan-square-manhattan-ny/294844950218926165/","One Manhattan Square")</f>
        <v>One Manhattan Square</v>
      </c>
      <c r="C282" s="1" t="s">
        <v>66</v>
      </c>
      <c r="D282" s="1" t="s">
        <v>41</v>
      </c>
      <c r="E282" s="3">
        <v>1985000</v>
      </c>
      <c r="F282" s="1">
        <v>1767.58682101513</v>
      </c>
      <c r="G282" s="1">
        <v>4</v>
      </c>
      <c r="H282" s="1">
        <v>2</v>
      </c>
      <c r="I282" s="1">
        <v>2</v>
      </c>
      <c r="J282" s="1">
        <v>2</v>
      </c>
      <c r="K282" s="1">
        <v>2</v>
      </c>
      <c r="M282" s="4">
        <v>1123</v>
      </c>
      <c r="N282" s="1">
        <v>1258</v>
      </c>
      <c r="O282" s="1">
        <v>1278</v>
      </c>
      <c r="P282" s="1">
        <v>20</v>
      </c>
      <c r="Q282" s="1" t="s">
        <v>42</v>
      </c>
      <c r="S282" s="1" t="s">
        <v>42</v>
      </c>
      <c r="T282" s="1" t="s">
        <v>157</v>
      </c>
      <c r="U282" s="1">
        <v>6</v>
      </c>
      <c r="V282" s="5">
        <v>44426</v>
      </c>
      <c r="W282" s="5">
        <v>44419</v>
      </c>
      <c r="X282" s="1">
        <v>1985000</v>
      </c>
      <c r="Z282" s="5">
        <v>44426</v>
      </c>
      <c r="AB282" s="1" t="s">
        <v>44</v>
      </c>
      <c r="AF282" s="1">
        <v>10002</v>
      </c>
      <c r="AI282" s="1" t="s">
        <v>163</v>
      </c>
      <c r="AJ282" s="1">
        <v>2019</v>
      </c>
      <c r="AK282" s="1" t="s">
        <v>73</v>
      </c>
      <c r="AL282" s="1">
        <v>787</v>
      </c>
    </row>
    <row r="283" spans="1:38" x14ac:dyDescent="0.2">
      <c r="A283" s="2" t="str">
        <f>HYPERLINK("https://www.compass.com/listing/200-east-95th-street-unit-10a-manhattan-ny-10128/663040015729172281/","200 E 95th St, Unit 10A")</f>
        <v>200 E 95th St, Unit 10A</v>
      </c>
      <c r="B283" s="2" t="str">
        <f t="shared" ref="B283:B286" si="51">HYPERLINK("https://www.compass.com/building/the-kent-manhattan-ny/282049801384650021/","The Kent")</f>
        <v>The Kent</v>
      </c>
      <c r="C283" s="1" t="s">
        <v>115</v>
      </c>
      <c r="D283" s="1" t="s">
        <v>41</v>
      </c>
      <c r="E283" s="3">
        <v>7100000</v>
      </c>
      <c r="F283" s="1">
        <v>1992.1436588103199</v>
      </c>
      <c r="G283" s="1">
        <v>8</v>
      </c>
      <c r="H283" s="1">
        <v>5</v>
      </c>
      <c r="I283" s="1">
        <v>5</v>
      </c>
      <c r="J283" s="1">
        <v>4.5</v>
      </c>
      <c r="K283" s="1">
        <v>4</v>
      </c>
      <c r="L283" s="1">
        <v>1</v>
      </c>
      <c r="M283" s="4">
        <v>3564</v>
      </c>
      <c r="N283" s="1">
        <v>4251</v>
      </c>
      <c r="O283" s="1">
        <v>4683</v>
      </c>
      <c r="P283" s="1">
        <v>432</v>
      </c>
      <c r="Q283" s="1" t="s">
        <v>42</v>
      </c>
      <c r="S283" s="1" t="s">
        <v>42</v>
      </c>
      <c r="T283" s="1" t="s">
        <v>157</v>
      </c>
      <c r="U283" s="1">
        <v>253</v>
      </c>
      <c r="V283" s="5">
        <v>44420</v>
      </c>
      <c r="W283" s="5">
        <v>44167</v>
      </c>
      <c r="X283" s="1">
        <v>7100000</v>
      </c>
      <c r="Z283" s="5">
        <v>44420</v>
      </c>
      <c r="AB283" s="1" t="s">
        <v>44</v>
      </c>
      <c r="AF283" s="1">
        <v>10128</v>
      </c>
      <c r="AJ283" s="1">
        <v>2017</v>
      </c>
      <c r="AK283" s="1" t="s">
        <v>73</v>
      </c>
      <c r="AL283" s="1">
        <v>83</v>
      </c>
    </row>
    <row r="284" spans="1:38" x14ac:dyDescent="0.2">
      <c r="A284" s="2" t="str">
        <f>HYPERLINK("https://www.compass.com/listing/200-east-95th-street-unit-28a-manhattan-ny-10128/403661642458977265/","200 E 95th St, Unit 28A")</f>
        <v>200 E 95th St, Unit 28A</v>
      </c>
      <c r="B284" s="2" t="str">
        <f t="shared" si="51"/>
        <v>The Kent</v>
      </c>
      <c r="C284" s="1" t="s">
        <v>115</v>
      </c>
      <c r="D284" s="1" t="s">
        <v>41</v>
      </c>
      <c r="E284" s="3">
        <v>10769000</v>
      </c>
      <c r="F284" s="1">
        <v>3055.0354609929</v>
      </c>
      <c r="G284" s="1">
        <v>8</v>
      </c>
      <c r="H284" s="1">
        <v>5</v>
      </c>
      <c r="I284" s="1">
        <v>5</v>
      </c>
      <c r="J284" s="1">
        <v>4.5</v>
      </c>
      <c r="K284" s="1">
        <v>4</v>
      </c>
      <c r="L284" s="1">
        <v>1</v>
      </c>
      <c r="M284" s="4">
        <v>3525</v>
      </c>
      <c r="N284" s="1">
        <v>4509</v>
      </c>
      <c r="O284" s="1">
        <v>4967</v>
      </c>
      <c r="P284" s="1">
        <v>458</v>
      </c>
      <c r="Q284" s="1" t="s">
        <v>42</v>
      </c>
      <c r="S284" s="1" t="s">
        <v>42</v>
      </c>
      <c r="T284" s="1" t="s">
        <v>157</v>
      </c>
      <c r="V284" s="5">
        <v>44063</v>
      </c>
      <c r="W284" s="5">
        <v>43809</v>
      </c>
      <c r="X284" s="1">
        <v>10769000</v>
      </c>
      <c r="Z284" s="5">
        <v>43809</v>
      </c>
      <c r="AB284" s="1" t="s">
        <v>44</v>
      </c>
      <c r="AF284" s="1">
        <v>10128</v>
      </c>
      <c r="AJ284" s="1">
        <v>2017</v>
      </c>
      <c r="AK284" s="1" t="s">
        <v>73</v>
      </c>
      <c r="AL284" s="1">
        <v>83</v>
      </c>
    </row>
    <row r="285" spans="1:38" x14ac:dyDescent="0.2">
      <c r="A285" s="2" t="str">
        <f>HYPERLINK("https://www.compass.com/listing/200-east-95th-street-unit-10b-manhattan-ny-10128/354175368065415121/","200 E 95th St, Unit 10B")</f>
        <v>200 E 95th St, Unit 10B</v>
      </c>
      <c r="B285" s="2" t="str">
        <f t="shared" si="51"/>
        <v>The Kent</v>
      </c>
      <c r="C285" s="1" t="s">
        <v>115</v>
      </c>
      <c r="D285" s="1" t="s">
        <v>41</v>
      </c>
      <c r="E285" s="3">
        <v>6138000</v>
      </c>
      <c r="F285" s="1">
        <v>2244.2413162705602</v>
      </c>
      <c r="G285" s="1">
        <v>7</v>
      </c>
      <c r="H285" s="1">
        <v>4</v>
      </c>
      <c r="I285" s="1">
        <v>5</v>
      </c>
      <c r="J285" s="1">
        <v>4.5</v>
      </c>
      <c r="K285" s="1">
        <v>4</v>
      </c>
      <c r="L285" s="1">
        <v>1</v>
      </c>
      <c r="M285" s="4">
        <v>2735</v>
      </c>
      <c r="N285" s="1">
        <v>3345</v>
      </c>
      <c r="O285" s="1">
        <v>3685</v>
      </c>
      <c r="P285" s="1">
        <v>340</v>
      </c>
      <c r="Q285" s="1" t="s">
        <v>42</v>
      </c>
      <c r="S285" s="1" t="s">
        <v>42</v>
      </c>
      <c r="T285" s="1" t="s">
        <v>157</v>
      </c>
      <c r="U285" s="1">
        <v>68</v>
      </c>
      <c r="V285" s="5">
        <v>44068</v>
      </c>
      <c r="W285" s="5">
        <v>43740</v>
      </c>
      <c r="X285" s="1">
        <v>6138000</v>
      </c>
      <c r="Z285" s="5">
        <v>43809</v>
      </c>
      <c r="AB285" s="1" t="s">
        <v>44</v>
      </c>
      <c r="AF285" s="1">
        <v>10128</v>
      </c>
      <c r="AJ285" s="1">
        <v>2017</v>
      </c>
      <c r="AK285" s="1" t="s">
        <v>73</v>
      </c>
      <c r="AL285" s="1">
        <v>83</v>
      </c>
    </row>
    <row r="286" spans="1:38" x14ac:dyDescent="0.2">
      <c r="A286" s="2" t="str">
        <f>HYPERLINK("https://www.compass.com/listing/200-east-95th-street-unit-11b-manhattan-ny-10128/403661641359835329/","200 E 95th St, Unit 11B")</f>
        <v>200 E 95th St, Unit 11B</v>
      </c>
      <c r="B286" s="2" t="str">
        <f t="shared" si="51"/>
        <v>The Kent</v>
      </c>
      <c r="C286" s="1" t="s">
        <v>115</v>
      </c>
      <c r="D286" s="1" t="s">
        <v>41</v>
      </c>
      <c r="E286" s="3">
        <v>6199000</v>
      </c>
      <c r="F286" s="1">
        <v>2266.5447897623399</v>
      </c>
      <c r="G286" s="1">
        <v>6</v>
      </c>
      <c r="H286" s="1">
        <v>4</v>
      </c>
      <c r="I286" s="1">
        <v>5</v>
      </c>
      <c r="J286" s="1">
        <v>4.5</v>
      </c>
      <c r="K286" s="1">
        <v>4</v>
      </c>
      <c r="L286" s="1">
        <v>1</v>
      </c>
      <c r="M286" s="4">
        <v>2735</v>
      </c>
      <c r="N286" s="1">
        <v>3361</v>
      </c>
      <c r="O286" s="1">
        <v>3702</v>
      </c>
      <c r="P286" s="1">
        <v>341</v>
      </c>
      <c r="Q286" s="1" t="s">
        <v>42</v>
      </c>
      <c r="S286" s="1" t="s">
        <v>42</v>
      </c>
      <c r="T286" s="1" t="s">
        <v>157</v>
      </c>
      <c r="V286" s="5">
        <v>44068</v>
      </c>
      <c r="W286" s="5">
        <v>43809</v>
      </c>
      <c r="X286" s="1">
        <v>6199000</v>
      </c>
      <c r="Z286" s="5">
        <v>43809</v>
      </c>
      <c r="AB286" s="1" t="s">
        <v>44</v>
      </c>
      <c r="AF286" s="1">
        <v>10128</v>
      </c>
      <c r="AJ286" s="1">
        <v>2017</v>
      </c>
      <c r="AK286" s="1" t="s">
        <v>73</v>
      </c>
      <c r="AL286" s="1">
        <v>83</v>
      </c>
    </row>
    <row r="287" spans="1:38" x14ac:dyDescent="0.2">
      <c r="A287" s="2" t="str">
        <f>HYPERLINK("https://www.compass.com/listing/277-5th-avenue-unit-35a-manhattan-ny-10016/797971512551154905/","277 5th Ave, Unit 35A")</f>
        <v>277 5th Ave, Unit 35A</v>
      </c>
      <c r="B287" s="2" t="str">
        <f>HYPERLINK("https://www.compass.com/building/277-fifth-avenue-manhattan-ny/281939285475645317/","277 FIFTH AVENUE")</f>
        <v>277 FIFTH AVENUE</v>
      </c>
      <c r="C287" s="1" t="s">
        <v>81</v>
      </c>
      <c r="D287" s="1" t="s">
        <v>41</v>
      </c>
      <c r="E287" s="3">
        <v>5700000</v>
      </c>
      <c r="F287" s="1">
        <v>3195.0672645739901</v>
      </c>
      <c r="G287" s="1">
        <v>5</v>
      </c>
      <c r="H287" s="1">
        <v>3</v>
      </c>
      <c r="I287" s="1">
        <v>3</v>
      </c>
      <c r="J287" s="1">
        <v>3</v>
      </c>
      <c r="K287" s="1">
        <v>3</v>
      </c>
      <c r="M287" s="4">
        <v>1784</v>
      </c>
      <c r="N287" s="1">
        <v>2568</v>
      </c>
      <c r="O287" s="1">
        <v>4919.6099999999997</v>
      </c>
      <c r="P287" s="1">
        <v>2351.5833333333298</v>
      </c>
      <c r="Q287" s="1" t="s">
        <v>42</v>
      </c>
      <c r="S287" s="1" t="s">
        <v>42</v>
      </c>
      <c r="T287" s="1" t="s">
        <v>157</v>
      </c>
      <c r="U287" s="1">
        <v>60</v>
      </c>
      <c r="V287" s="5">
        <v>44427</v>
      </c>
      <c r="W287" s="5">
        <v>44352</v>
      </c>
      <c r="X287" s="1">
        <v>5700000</v>
      </c>
      <c r="Z287" s="5">
        <v>44413</v>
      </c>
      <c r="AB287" s="1" t="s">
        <v>44</v>
      </c>
      <c r="AF287" s="1">
        <v>10016</v>
      </c>
      <c r="AI287" s="1" t="s">
        <v>82</v>
      </c>
      <c r="AJ287" s="1">
        <v>2019</v>
      </c>
      <c r="AK287" s="1" t="s">
        <v>46</v>
      </c>
      <c r="AL287" s="1">
        <v>130</v>
      </c>
    </row>
    <row r="288" spans="1:38" x14ac:dyDescent="0.2">
      <c r="A288" s="2" t="str">
        <f>HYPERLINK("https://www.compass.com/listing/25-park-row-unit-34a-manhattan-ny-10038/841201746780558113/","25 Park Row, Unit 34A")</f>
        <v>25 Park Row, Unit 34A</v>
      </c>
      <c r="B288" s="2" t="str">
        <f>HYPERLINK("https://www.compass.com/building/25-park-row-manhattan-ny-10038/292920743539264837/","25 Park Row")</f>
        <v>25 Park Row</v>
      </c>
      <c r="C288" s="1" t="s">
        <v>117</v>
      </c>
      <c r="D288" s="1" t="s">
        <v>41</v>
      </c>
      <c r="E288" s="3">
        <v>4175000</v>
      </c>
      <c r="F288" s="1">
        <v>2585.1393188854399</v>
      </c>
      <c r="G288" s="1">
        <v>4.5</v>
      </c>
      <c r="H288" s="1">
        <v>2</v>
      </c>
      <c r="I288" s="1">
        <v>3</v>
      </c>
      <c r="J288" s="1">
        <v>2.5</v>
      </c>
      <c r="K288" s="1">
        <v>2</v>
      </c>
      <c r="L288" s="1">
        <v>1</v>
      </c>
      <c r="M288" s="4">
        <v>1615</v>
      </c>
      <c r="N288" s="1">
        <v>2391.5700000000002</v>
      </c>
      <c r="O288" s="1">
        <v>5976.03</v>
      </c>
      <c r="P288" s="1">
        <v>3584.5</v>
      </c>
      <c r="Q288" s="1" t="s">
        <v>42</v>
      </c>
      <c r="S288" s="1" t="s">
        <v>42</v>
      </c>
      <c r="T288" s="1" t="s">
        <v>157</v>
      </c>
      <c r="U288" s="1">
        <v>2</v>
      </c>
      <c r="V288" s="5">
        <v>44422</v>
      </c>
      <c r="W288" s="5">
        <v>44412</v>
      </c>
      <c r="X288" s="1">
        <v>4175000</v>
      </c>
      <c r="Z288" s="5">
        <v>44415</v>
      </c>
      <c r="AB288" s="1" t="s">
        <v>44</v>
      </c>
      <c r="AF288" s="1">
        <v>10038</v>
      </c>
      <c r="AI288" s="1" t="s">
        <v>137</v>
      </c>
      <c r="AJ288" s="1">
        <v>2019</v>
      </c>
      <c r="AK288" s="1" t="s">
        <v>77</v>
      </c>
      <c r="AL288" s="1">
        <v>110</v>
      </c>
    </row>
    <row r="289" spans="1:38" x14ac:dyDescent="0.2">
      <c r="A289" s="2" t="str">
        <f>HYPERLINK("https://www.compass.com/listing/520-park-avenue-unit-25-manhattan-ny-10065/784064342025474505/","520 Park Ave, Unit 25")</f>
        <v>520 Park Ave, Unit 25</v>
      </c>
      <c r="B289" s="2" t="str">
        <f>HYPERLINK("https://www.compass.com/building/520-park-ave-manhattan-ny-10065/344158009579879061/","520 Park Ave")</f>
        <v>520 Park Ave</v>
      </c>
      <c r="C289" s="1" t="s">
        <v>115</v>
      </c>
      <c r="D289" s="1" t="s">
        <v>41</v>
      </c>
      <c r="E289" s="3">
        <v>20500000</v>
      </c>
      <c r="F289" s="1">
        <v>4429.5592048401004</v>
      </c>
      <c r="G289" s="1">
        <v>7</v>
      </c>
      <c r="H289" s="1">
        <v>4</v>
      </c>
      <c r="I289" s="1">
        <v>5</v>
      </c>
      <c r="J289" s="1">
        <v>5</v>
      </c>
      <c r="K289" s="1">
        <v>5</v>
      </c>
      <c r="M289" s="4">
        <v>4628</v>
      </c>
      <c r="N289" s="1">
        <v>7427</v>
      </c>
      <c r="O289" s="1">
        <v>25620</v>
      </c>
      <c r="P289" s="1">
        <v>18193</v>
      </c>
      <c r="Q289" s="1" t="s">
        <v>42</v>
      </c>
      <c r="S289" s="1" t="s">
        <v>42</v>
      </c>
      <c r="T289" s="1" t="s">
        <v>157</v>
      </c>
      <c r="U289" s="1">
        <v>212</v>
      </c>
      <c r="V289" s="5">
        <v>44402</v>
      </c>
      <c r="W289" s="5">
        <v>44189</v>
      </c>
      <c r="X289" s="1">
        <v>20500000</v>
      </c>
      <c r="Z289" s="5">
        <v>44402</v>
      </c>
      <c r="AB289" s="1" t="s">
        <v>44</v>
      </c>
      <c r="AF289" s="1">
        <v>10065</v>
      </c>
      <c r="AI289" s="1" t="s">
        <v>48</v>
      </c>
      <c r="AJ289" s="1">
        <v>2018</v>
      </c>
      <c r="AK289" s="1" t="s">
        <v>73</v>
      </c>
      <c r="AL289" s="1">
        <v>35</v>
      </c>
    </row>
    <row r="290" spans="1:38" x14ac:dyDescent="0.2">
      <c r="A290" s="2" t="str">
        <f>HYPERLINK("https://www.compass.com/listing/375-west-123rd-street-unit-5b-manhattan-ny-10027/699187704312295745/","375 W 123rd St, Unit 5B")</f>
        <v>375 W 123rd St, Unit 5B</v>
      </c>
      <c r="B290" s="2" t="str">
        <f>HYPERLINK("https://www.compass.com/building/99-morningside-manhattan-ny/281983676789660549/","99 Morningside")</f>
        <v>99 Morningside</v>
      </c>
      <c r="C290" s="1" t="s">
        <v>106</v>
      </c>
      <c r="D290" s="1" t="s">
        <v>41</v>
      </c>
      <c r="E290" s="3">
        <v>1530000</v>
      </c>
      <c r="F290" s="1">
        <v>1200.94191522762</v>
      </c>
      <c r="G290" s="1">
        <v>4</v>
      </c>
      <c r="H290" s="1">
        <v>2</v>
      </c>
      <c r="I290" s="1">
        <v>2</v>
      </c>
      <c r="J290" s="1">
        <v>2</v>
      </c>
      <c r="K290" s="1">
        <v>2</v>
      </c>
      <c r="M290" s="4">
        <v>1274</v>
      </c>
      <c r="N290" s="1">
        <v>1193</v>
      </c>
      <c r="O290" s="1">
        <v>2059</v>
      </c>
      <c r="P290" s="1">
        <v>866</v>
      </c>
      <c r="Q290" s="1" t="s">
        <v>42</v>
      </c>
      <c r="S290" s="1" t="s">
        <v>42</v>
      </c>
      <c r="T290" s="1" t="s">
        <v>157</v>
      </c>
      <c r="U290" s="1">
        <v>79</v>
      </c>
      <c r="V290" s="5">
        <v>44419</v>
      </c>
      <c r="W290" s="5">
        <v>44137</v>
      </c>
      <c r="X290" s="1">
        <v>1530000</v>
      </c>
      <c r="Z290" s="5">
        <v>44216</v>
      </c>
      <c r="AB290" s="1" t="s">
        <v>44</v>
      </c>
      <c r="AF290" s="1">
        <v>10027</v>
      </c>
      <c r="AI290" s="1" t="s">
        <v>107</v>
      </c>
      <c r="AJ290" s="1">
        <v>2016</v>
      </c>
      <c r="AK290" s="1" t="s">
        <v>108</v>
      </c>
      <c r="AL290" s="1">
        <v>22</v>
      </c>
    </row>
    <row r="291" spans="1:38" x14ac:dyDescent="0.2">
      <c r="A291" s="2" t="str">
        <f>HYPERLINK("https://www.compass.com/listing/2351-adam-clayton-powell-jr-boulevard-unit-ph22-manhattan-ny-10030/830522481159067145/","2351 Adam Clayton Powell Jr Blvd, Unit PH22")</f>
        <v>2351 Adam Clayton Powell Jr Blvd, Unit PH22</v>
      </c>
      <c r="B291" s="2" t="str">
        <f>HYPERLINK("https://www.compass.com/building/the-rennie-manhattan-ny/307439143554395509/","THE RENNIE")</f>
        <v>THE RENNIE</v>
      </c>
      <c r="C291" s="1" t="s">
        <v>61</v>
      </c>
      <c r="D291" s="1" t="s">
        <v>41</v>
      </c>
      <c r="E291" s="3">
        <v>1150000</v>
      </c>
      <c r="F291" s="1">
        <v>1134.1222879684401</v>
      </c>
      <c r="G291" s="1">
        <v>5</v>
      </c>
      <c r="H291" s="1">
        <v>2</v>
      </c>
      <c r="I291" s="1">
        <v>2</v>
      </c>
      <c r="J291" s="1">
        <v>2</v>
      </c>
      <c r="K291" s="1">
        <v>2</v>
      </c>
      <c r="M291" s="4">
        <v>1014</v>
      </c>
      <c r="N291" s="1">
        <v>1152</v>
      </c>
      <c r="O291" s="1">
        <v>1197</v>
      </c>
      <c r="P291" s="1">
        <v>45</v>
      </c>
      <c r="Q291" s="1" t="s">
        <v>42</v>
      </c>
      <c r="S291" s="1" t="s">
        <v>42</v>
      </c>
      <c r="T291" s="1" t="s">
        <v>157</v>
      </c>
      <c r="U291" s="1">
        <v>1</v>
      </c>
      <c r="V291" s="5">
        <v>44399</v>
      </c>
      <c r="W291" s="5">
        <v>44397</v>
      </c>
      <c r="X291" s="1">
        <v>1150000</v>
      </c>
      <c r="Z291" s="5">
        <v>44399</v>
      </c>
      <c r="AB291" s="1" t="s">
        <v>44</v>
      </c>
      <c r="AF291" s="1">
        <v>10030</v>
      </c>
      <c r="AI291" s="1" t="s">
        <v>45</v>
      </c>
      <c r="AJ291" s="1">
        <v>2018</v>
      </c>
      <c r="AK291" s="1" t="s">
        <v>77</v>
      </c>
      <c r="AL291" s="1">
        <v>106</v>
      </c>
    </row>
    <row r="292" spans="1:38" x14ac:dyDescent="0.2">
      <c r="A292" s="2" t="str">
        <f>HYPERLINK("https://www.compass.com/listing/375-west-123rd-street-unit-5a-manhattan-ny-10027/815073038309656593/","375 W 123rd St, Unit 5A")</f>
        <v>375 W 123rd St, Unit 5A</v>
      </c>
      <c r="B292" s="2" t="str">
        <f t="shared" ref="B292:B294" si="52">HYPERLINK("https://www.compass.com/building/99-morningside-manhattan-ny/281983676789660549/","99 Morningside")</f>
        <v>99 Morningside</v>
      </c>
      <c r="C292" s="1" t="s">
        <v>106</v>
      </c>
      <c r="D292" s="1" t="s">
        <v>41</v>
      </c>
      <c r="E292" s="3">
        <v>1650000</v>
      </c>
      <c r="F292" s="1">
        <v>1166.0777385158999</v>
      </c>
      <c r="G292" s="1">
        <v>5</v>
      </c>
      <c r="H292" s="1">
        <v>3</v>
      </c>
      <c r="I292" s="1">
        <v>2</v>
      </c>
      <c r="J292" s="1">
        <v>2</v>
      </c>
      <c r="K292" s="1">
        <v>2</v>
      </c>
      <c r="M292" s="4">
        <v>1415</v>
      </c>
      <c r="N292" s="1">
        <v>1320</v>
      </c>
      <c r="O292" s="1">
        <v>2383</v>
      </c>
      <c r="P292" s="1">
        <v>1063</v>
      </c>
      <c r="Q292" s="1" t="s">
        <v>42</v>
      </c>
      <c r="S292" s="1" t="s">
        <v>42</v>
      </c>
      <c r="T292" s="1" t="s">
        <v>157</v>
      </c>
      <c r="U292" s="1">
        <v>239</v>
      </c>
      <c r="V292" s="5">
        <v>44376</v>
      </c>
      <c r="W292" s="5">
        <v>44137</v>
      </c>
      <c r="X292" s="1">
        <v>1650000</v>
      </c>
      <c r="Z292" s="5">
        <v>44376</v>
      </c>
      <c r="AB292" s="1" t="s">
        <v>44</v>
      </c>
      <c r="AF292" s="1">
        <v>10027</v>
      </c>
      <c r="AI292" s="1" t="s">
        <v>107</v>
      </c>
      <c r="AJ292" s="1">
        <v>2016</v>
      </c>
      <c r="AK292" s="1" t="s">
        <v>108</v>
      </c>
      <c r="AL292" s="1">
        <v>22</v>
      </c>
    </row>
    <row r="293" spans="1:38" x14ac:dyDescent="0.2">
      <c r="A293" s="2" t="str">
        <f>HYPERLINK("https://www.compass.com/listing/375-west-123rd-street-unit-3b-manhattan-ny-10027/715151073483148609/","375 W 123rd St, Unit 3B")</f>
        <v>375 W 123rd St, Unit 3B</v>
      </c>
      <c r="B293" s="2" t="str">
        <f t="shared" si="52"/>
        <v>99 Morningside</v>
      </c>
      <c r="C293" s="1" t="s">
        <v>106</v>
      </c>
      <c r="D293" s="1" t="s">
        <v>41</v>
      </c>
      <c r="E293" s="3">
        <v>1100000</v>
      </c>
      <c r="F293" s="1">
        <v>1055.6621880998</v>
      </c>
      <c r="G293" s="1">
        <v>3</v>
      </c>
      <c r="H293" s="1">
        <v>1</v>
      </c>
      <c r="I293" s="1">
        <v>2</v>
      </c>
      <c r="J293" s="1">
        <v>1</v>
      </c>
      <c r="K293" s="1">
        <v>1</v>
      </c>
      <c r="M293" s="4">
        <v>1042</v>
      </c>
      <c r="N293" s="1">
        <v>967</v>
      </c>
      <c r="O293" s="1">
        <v>1484</v>
      </c>
      <c r="P293" s="1">
        <v>517</v>
      </c>
      <c r="Q293" s="1" t="s">
        <v>42</v>
      </c>
      <c r="S293" s="1" t="s">
        <v>42</v>
      </c>
      <c r="T293" s="1" t="s">
        <v>157</v>
      </c>
      <c r="U293" s="1">
        <v>56</v>
      </c>
      <c r="V293" s="5">
        <v>44416</v>
      </c>
      <c r="W293" s="5">
        <v>44238</v>
      </c>
      <c r="X293" s="1">
        <v>1100000</v>
      </c>
      <c r="Z293" s="5">
        <v>44295</v>
      </c>
      <c r="AB293" s="1" t="s">
        <v>44</v>
      </c>
      <c r="AF293" s="1">
        <v>10027</v>
      </c>
      <c r="AI293" s="1" t="s">
        <v>107</v>
      </c>
      <c r="AJ293" s="1">
        <v>2016</v>
      </c>
      <c r="AK293" s="1" t="s">
        <v>108</v>
      </c>
      <c r="AL293" s="1">
        <v>22</v>
      </c>
    </row>
    <row r="294" spans="1:38" x14ac:dyDescent="0.2">
      <c r="A294" s="2" t="str">
        <f>HYPERLINK("https://www.compass.com/listing/375-west-123rd-street-unit-10b-manhattan-ny-10027/652881868618866465/","375 W 123rd St, Unit 10B")</f>
        <v>375 W 123rd St, Unit 10B</v>
      </c>
      <c r="B294" s="2" t="str">
        <f t="shared" si="52"/>
        <v>99 Morningside</v>
      </c>
      <c r="C294" s="1" t="s">
        <v>106</v>
      </c>
      <c r="D294" s="1" t="s">
        <v>41</v>
      </c>
      <c r="E294" s="3">
        <v>2395000</v>
      </c>
      <c r="F294" s="1">
        <v>1478.3950617283899</v>
      </c>
      <c r="G294" s="1">
        <v>6</v>
      </c>
      <c r="H294" s="1">
        <v>3</v>
      </c>
      <c r="I294" s="1">
        <v>3</v>
      </c>
      <c r="J294" s="1">
        <v>2</v>
      </c>
      <c r="K294" s="1">
        <v>2</v>
      </c>
      <c r="M294" s="4">
        <v>1620</v>
      </c>
      <c r="N294" s="1">
        <v>1481</v>
      </c>
      <c r="O294" s="1">
        <v>2794</v>
      </c>
      <c r="P294" s="1">
        <v>1313</v>
      </c>
      <c r="Q294" s="1" t="s">
        <v>42</v>
      </c>
      <c r="S294" s="1" t="s">
        <v>42</v>
      </c>
      <c r="T294" s="1" t="s">
        <v>157</v>
      </c>
      <c r="U294" s="1">
        <v>183</v>
      </c>
      <c r="V294" s="5">
        <v>44398</v>
      </c>
      <c r="W294" s="5">
        <v>44152</v>
      </c>
      <c r="X294" s="1">
        <v>2395000</v>
      </c>
      <c r="Z294" s="5">
        <v>44335</v>
      </c>
      <c r="AB294" s="1" t="s">
        <v>44</v>
      </c>
      <c r="AF294" s="1">
        <v>10027</v>
      </c>
      <c r="AI294" s="1" t="s">
        <v>122</v>
      </c>
      <c r="AJ294" s="1">
        <v>2016</v>
      </c>
      <c r="AK294" s="1" t="s">
        <v>108</v>
      </c>
      <c r="AL294" s="1">
        <v>22</v>
      </c>
    </row>
    <row r="295" spans="1:38" x14ac:dyDescent="0.2">
      <c r="A295" s="2" t="str">
        <f>HYPERLINK("https://www.compass.com/listing/252-south-street-unit-23g-manhattan-ny-10002/839811089175519945/","252 South St, Unit 23G")</f>
        <v>252 South St, Unit 23G</v>
      </c>
      <c r="B295" s="2" t="str">
        <f t="shared" ref="B295:B297" si="53">HYPERLINK("https://www.compass.com/building/one-manhattan-square-manhattan-ny/294844950218926165/","One Manhattan Square")</f>
        <v>One Manhattan Square</v>
      </c>
      <c r="C295" s="1" t="s">
        <v>66</v>
      </c>
      <c r="D295" s="1" t="s">
        <v>41</v>
      </c>
      <c r="E295" s="3">
        <v>1316000</v>
      </c>
      <c r="F295" s="1">
        <v>1820.1936376210199</v>
      </c>
      <c r="G295" s="1">
        <v>3</v>
      </c>
      <c r="H295" s="1">
        <v>1</v>
      </c>
      <c r="I295" s="1">
        <v>1</v>
      </c>
      <c r="J295" s="1">
        <v>1</v>
      </c>
      <c r="K295" s="1">
        <v>1</v>
      </c>
      <c r="M295" s="1">
        <v>723</v>
      </c>
      <c r="N295" s="1">
        <v>829</v>
      </c>
      <c r="O295" s="1">
        <v>842</v>
      </c>
      <c r="P295" s="1">
        <v>13</v>
      </c>
      <c r="Q295" s="1" t="s">
        <v>42</v>
      </c>
      <c r="S295" s="1" t="s">
        <v>42</v>
      </c>
      <c r="T295" s="1" t="s">
        <v>157</v>
      </c>
      <c r="U295" s="1">
        <v>3</v>
      </c>
      <c r="V295" s="5">
        <v>44411</v>
      </c>
      <c r="W295" s="5">
        <v>44407</v>
      </c>
      <c r="X295" s="1">
        <v>1316000</v>
      </c>
      <c r="Z295" s="5">
        <v>44411</v>
      </c>
      <c r="AB295" s="1" t="s">
        <v>44</v>
      </c>
      <c r="AF295" s="1">
        <v>10002</v>
      </c>
      <c r="AI295" s="1" t="s">
        <v>163</v>
      </c>
      <c r="AJ295" s="1">
        <v>2019</v>
      </c>
      <c r="AK295" s="1" t="s">
        <v>73</v>
      </c>
      <c r="AL295" s="1">
        <v>787</v>
      </c>
    </row>
    <row r="296" spans="1:38" x14ac:dyDescent="0.2">
      <c r="A296" s="2" t="str">
        <f>HYPERLINK("https://www.compass.com/listing/252-south-street-unit-43c-manhattan-ny-10002/836999934240510649/","252 South St, Unit 43C")</f>
        <v>252 South St, Unit 43C</v>
      </c>
      <c r="B296" s="2" t="str">
        <f t="shared" si="53"/>
        <v>One Manhattan Square</v>
      </c>
      <c r="C296" s="1" t="s">
        <v>66</v>
      </c>
      <c r="D296" s="1" t="s">
        <v>41</v>
      </c>
      <c r="E296" s="3">
        <v>3240000</v>
      </c>
      <c r="F296" s="1">
        <v>2178.8836583725601</v>
      </c>
      <c r="G296" s="1">
        <v>5</v>
      </c>
      <c r="H296" s="1">
        <v>3</v>
      </c>
      <c r="I296" s="1">
        <v>3</v>
      </c>
      <c r="J296" s="1">
        <v>3</v>
      </c>
      <c r="K296" s="1">
        <v>3</v>
      </c>
      <c r="M296" s="4">
        <v>1487</v>
      </c>
      <c r="N296" s="1">
        <v>1864</v>
      </c>
      <c r="O296" s="1">
        <v>1893</v>
      </c>
      <c r="P296" s="1">
        <v>29</v>
      </c>
      <c r="Q296" s="1" t="s">
        <v>42</v>
      </c>
      <c r="S296" s="1" t="s">
        <v>42</v>
      </c>
      <c r="T296" s="1" t="s">
        <v>157</v>
      </c>
      <c r="V296" s="5">
        <v>44407</v>
      </c>
      <c r="W296" s="5">
        <v>44407</v>
      </c>
      <c r="X296" s="1">
        <v>3240000</v>
      </c>
      <c r="Z296" s="5">
        <v>44407</v>
      </c>
      <c r="AB296" s="1" t="s">
        <v>44</v>
      </c>
      <c r="AF296" s="1">
        <v>10002</v>
      </c>
      <c r="AI296" s="1" t="s">
        <v>163</v>
      </c>
      <c r="AJ296" s="1">
        <v>2019</v>
      </c>
      <c r="AK296" s="1" t="s">
        <v>73</v>
      </c>
      <c r="AL296" s="1">
        <v>787</v>
      </c>
    </row>
    <row r="297" spans="1:38" x14ac:dyDescent="0.2">
      <c r="A297" s="2" t="str">
        <f>HYPERLINK("https://www.compass.com/listing/252-south-street-unit-27m-manhattan-ny-10002/839810698736070001/","252 South St, Unit 27M")</f>
        <v>252 South St, Unit 27M</v>
      </c>
      <c r="B297" s="2" t="str">
        <f t="shared" si="53"/>
        <v>One Manhattan Square</v>
      </c>
      <c r="C297" s="1" t="s">
        <v>66</v>
      </c>
      <c r="D297" s="1" t="s">
        <v>41</v>
      </c>
      <c r="E297" s="3">
        <v>2483000</v>
      </c>
      <c r="F297" s="1">
        <v>2211.04185218165</v>
      </c>
      <c r="G297" s="1">
        <v>4</v>
      </c>
      <c r="H297" s="1">
        <v>2</v>
      </c>
      <c r="I297" s="1">
        <v>2</v>
      </c>
      <c r="J297" s="1">
        <v>2</v>
      </c>
      <c r="K297" s="1">
        <v>2</v>
      </c>
      <c r="M297" s="4">
        <v>1123</v>
      </c>
      <c r="N297" s="1">
        <v>1312</v>
      </c>
      <c r="O297" s="1">
        <v>1333</v>
      </c>
      <c r="P297" s="1">
        <v>21</v>
      </c>
      <c r="Q297" s="1" t="s">
        <v>42</v>
      </c>
      <c r="S297" s="1" t="s">
        <v>42</v>
      </c>
      <c r="T297" s="1" t="s">
        <v>157</v>
      </c>
      <c r="U297" s="1">
        <v>3</v>
      </c>
      <c r="V297" s="5">
        <v>44411</v>
      </c>
      <c r="W297" s="5">
        <v>44407</v>
      </c>
      <c r="X297" s="1">
        <v>2483000</v>
      </c>
      <c r="Z297" s="5">
        <v>44411</v>
      </c>
      <c r="AB297" s="1" t="s">
        <v>44</v>
      </c>
      <c r="AF297" s="1">
        <v>10002</v>
      </c>
      <c r="AI297" s="1" t="s">
        <v>163</v>
      </c>
      <c r="AJ297" s="1">
        <v>2019</v>
      </c>
      <c r="AK297" s="1" t="s">
        <v>73</v>
      </c>
      <c r="AL297" s="1">
        <v>787</v>
      </c>
    </row>
    <row r="298" spans="1:38" x14ac:dyDescent="0.2">
      <c r="A298" s="2" t="str">
        <f>HYPERLINK("https://www.compass.com/listing/30-riverside-boulevard-unit-35e-manhattan-ny-10069/542638133790504137/","30 Riverside Blvd, Unit 35E")</f>
        <v>30 Riverside Blvd, Unit 35E</v>
      </c>
      <c r="B298" s="2" t="str">
        <f t="shared" ref="B298:B299" si="54">HYPERLINK("https://www.compass.com/building/two-waterline-square-manhattan-ny/282058630956612773/","Two Waterline Square")</f>
        <v>Two Waterline Square</v>
      </c>
      <c r="C298" s="1" t="s">
        <v>50</v>
      </c>
      <c r="D298" s="1" t="s">
        <v>41</v>
      </c>
      <c r="E298" s="3">
        <v>3140000</v>
      </c>
      <c r="F298" s="1">
        <v>2692.9674099485401</v>
      </c>
      <c r="G298" s="1">
        <v>3</v>
      </c>
      <c r="H298" s="1">
        <v>2</v>
      </c>
      <c r="I298" s="1">
        <v>2</v>
      </c>
      <c r="J298" s="1">
        <v>2</v>
      </c>
      <c r="K298" s="1">
        <v>2</v>
      </c>
      <c r="M298" s="4">
        <v>1166</v>
      </c>
      <c r="N298" s="1">
        <v>1631</v>
      </c>
      <c r="O298" s="1">
        <v>1718</v>
      </c>
      <c r="P298" s="1">
        <v>87</v>
      </c>
      <c r="Q298" s="1" t="s">
        <v>42</v>
      </c>
      <c r="S298" s="1" t="s">
        <v>42</v>
      </c>
      <c r="T298" s="1" t="s">
        <v>157</v>
      </c>
      <c r="U298" s="1">
        <v>342</v>
      </c>
      <c r="V298" s="5">
        <v>44425</v>
      </c>
      <c r="W298" s="5">
        <v>44000</v>
      </c>
      <c r="X298" s="1">
        <v>3140000</v>
      </c>
      <c r="Z298" s="5">
        <v>44350</v>
      </c>
      <c r="AB298" s="1" t="s">
        <v>44</v>
      </c>
      <c r="AF298" s="1">
        <v>10069</v>
      </c>
      <c r="AI298" s="1" t="s">
        <v>109</v>
      </c>
      <c r="AJ298" s="1">
        <v>2019</v>
      </c>
      <c r="AK298" s="1" t="s">
        <v>77</v>
      </c>
      <c r="AL298" s="1">
        <v>160</v>
      </c>
    </row>
    <row r="299" spans="1:38" x14ac:dyDescent="0.2">
      <c r="A299" s="2" t="str">
        <f>HYPERLINK("https://www.compass.com/listing/30-riverside-boulevard-unit-phb-manhattan-ny-10069/756652145461926249/","30 Riverside Blvd, Unit PHB")</f>
        <v>30 Riverside Blvd, Unit PHB</v>
      </c>
      <c r="B299" s="2" t="str">
        <f t="shared" si="54"/>
        <v>Two Waterline Square</v>
      </c>
      <c r="C299" s="1" t="s">
        <v>50</v>
      </c>
      <c r="D299" s="1" t="s">
        <v>41</v>
      </c>
      <c r="E299" s="3">
        <v>17250000</v>
      </c>
      <c r="F299" s="1">
        <v>4172.7140783744499</v>
      </c>
      <c r="G299" s="1">
        <v>5.5</v>
      </c>
      <c r="H299" s="1">
        <v>4</v>
      </c>
      <c r="I299" s="1">
        <v>6</v>
      </c>
      <c r="J299" s="1">
        <v>5.5</v>
      </c>
      <c r="K299" s="1">
        <v>5</v>
      </c>
      <c r="L299" s="1">
        <v>1</v>
      </c>
      <c r="M299" s="4">
        <v>4134</v>
      </c>
      <c r="N299" s="1">
        <v>6519</v>
      </c>
      <c r="O299" s="1">
        <v>6865</v>
      </c>
      <c r="P299" s="1">
        <v>346</v>
      </c>
      <c r="Q299" s="1" t="s">
        <v>42</v>
      </c>
      <c r="S299" s="1" t="s">
        <v>42</v>
      </c>
      <c r="T299" s="1" t="s">
        <v>157</v>
      </c>
      <c r="U299" s="1">
        <v>91</v>
      </c>
      <c r="V299" s="5">
        <v>44416</v>
      </c>
      <c r="W299" s="5">
        <v>44295</v>
      </c>
      <c r="X299" s="1">
        <v>17250000</v>
      </c>
      <c r="Z299" s="5">
        <v>44386</v>
      </c>
      <c r="AB299" s="1" t="s">
        <v>44</v>
      </c>
      <c r="AF299" s="1">
        <v>10069</v>
      </c>
      <c r="AI299" s="1" t="s">
        <v>164</v>
      </c>
      <c r="AJ299" s="1">
        <v>2019</v>
      </c>
      <c r="AK299" s="1" t="s">
        <v>77</v>
      </c>
      <c r="AL299" s="1">
        <v>160</v>
      </c>
    </row>
    <row r="300" spans="1:38" x14ac:dyDescent="0.2">
      <c r="A300" s="2" t="str">
        <f>HYPERLINK("https://www.compass.com/listing/252-south-street-unit-46d-manhattan-ny-10002/836999591800919577/","252 South St, Unit 46D")</f>
        <v>252 South St, Unit 46D</v>
      </c>
      <c r="B300" s="2" t="str">
        <f t="shared" ref="B300:B301" si="55">HYPERLINK("https://www.compass.com/building/one-manhattan-square-manhattan-ny/294844950218926165/","One Manhattan Square")</f>
        <v>One Manhattan Square</v>
      </c>
      <c r="C300" s="1" t="s">
        <v>66</v>
      </c>
      <c r="D300" s="1" t="s">
        <v>41</v>
      </c>
      <c r="E300" s="3">
        <v>2680000</v>
      </c>
      <c r="F300" s="1">
        <v>2302.4054982817802</v>
      </c>
      <c r="G300" s="1">
        <v>4</v>
      </c>
      <c r="H300" s="1">
        <v>2</v>
      </c>
      <c r="I300" s="1">
        <v>2</v>
      </c>
      <c r="J300" s="1">
        <v>2</v>
      </c>
      <c r="K300" s="1">
        <v>2</v>
      </c>
      <c r="M300" s="4">
        <v>1164</v>
      </c>
      <c r="N300" s="1">
        <v>1471</v>
      </c>
      <c r="O300" s="1">
        <v>1494</v>
      </c>
      <c r="P300" s="1">
        <v>23</v>
      </c>
      <c r="Q300" s="1" t="s">
        <v>42</v>
      </c>
      <c r="S300" s="1" t="s">
        <v>42</v>
      </c>
      <c r="T300" s="1" t="s">
        <v>157</v>
      </c>
      <c r="V300" s="5">
        <v>44407</v>
      </c>
      <c r="W300" s="5">
        <v>44406</v>
      </c>
      <c r="X300" s="1">
        <v>2680000</v>
      </c>
      <c r="Z300" s="5">
        <v>44407</v>
      </c>
      <c r="AB300" s="1" t="s">
        <v>44</v>
      </c>
      <c r="AF300" s="1">
        <v>10002</v>
      </c>
      <c r="AI300" s="1" t="s">
        <v>163</v>
      </c>
      <c r="AJ300" s="1">
        <v>2019</v>
      </c>
      <c r="AK300" s="1" t="s">
        <v>73</v>
      </c>
      <c r="AL300" s="1">
        <v>787</v>
      </c>
    </row>
    <row r="301" spans="1:38" x14ac:dyDescent="0.2">
      <c r="A301" s="2" t="str">
        <f>HYPERLINK("https://www.compass.com/listing/252-south-street-unit-76j-manhattan-ny-10002/837000025777535377/","252 South St, Unit 76J")</f>
        <v>252 South St, Unit 76J</v>
      </c>
      <c r="B301" s="2" t="str">
        <f t="shared" si="55"/>
        <v>One Manhattan Square</v>
      </c>
      <c r="C301" s="1" t="s">
        <v>66</v>
      </c>
      <c r="D301" s="1" t="s">
        <v>41</v>
      </c>
      <c r="E301" s="3">
        <v>6843000</v>
      </c>
      <c r="F301" s="1">
        <v>2915.6369833830399</v>
      </c>
      <c r="G301" s="1">
        <v>5.5</v>
      </c>
      <c r="H301" s="1">
        <v>3</v>
      </c>
      <c r="I301" s="1">
        <v>4</v>
      </c>
      <c r="J301" s="1">
        <v>3.5</v>
      </c>
      <c r="K301" s="1">
        <v>3</v>
      </c>
      <c r="L301" s="1">
        <v>1</v>
      </c>
      <c r="M301" s="4">
        <v>2347</v>
      </c>
      <c r="N301" s="1">
        <v>3375</v>
      </c>
      <c r="O301" s="1">
        <v>3428</v>
      </c>
      <c r="P301" s="1">
        <v>53</v>
      </c>
      <c r="Q301" s="1" t="s">
        <v>42</v>
      </c>
      <c r="S301" s="1" t="s">
        <v>42</v>
      </c>
      <c r="T301" s="1" t="s">
        <v>157</v>
      </c>
      <c r="V301" s="5">
        <v>44407</v>
      </c>
      <c r="W301" s="5">
        <v>44406</v>
      </c>
      <c r="X301" s="1">
        <v>6843000</v>
      </c>
      <c r="Z301" s="5">
        <v>44407</v>
      </c>
      <c r="AB301" s="1" t="s">
        <v>44</v>
      </c>
      <c r="AF301" s="1">
        <v>10002</v>
      </c>
      <c r="AI301" s="1" t="s">
        <v>163</v>
      </c>
      <c r="AJ301" s="1">
        <v>2019</v>
      </c>
      <c r="AK301" s="1" t="s">
        <v>73</v>
      </c>
      <c r="AL301" s="1">
        <v>787</v>
      </c>
    </row>
    <row r="302" spans="1:38" x14ac:dyDescent="0.2">
      <c r="A302" s="2" t="str">
        <f>HYPERLINK("https://www.compass.com/listing/30-riverside-boulevard-unit-21a-manhattan-ny-10069/28301684170122257/","30 Riverside Blvd, Unit 21A")</f>
        <v>30 Riverside Blvd, Unit 21A</v>
      </c>
      <c r="B302" s="2" t="str">
        <f>HYPERLINK("https://www.compass.com/building/two-waterline-square-manhattan-ny/282058630956612773/","Two Waterline Square")</f>
        <v>Two Waterline Square</v>
      </c>
      <c r="C302" s="1" t="s">
        <v>50</v>
      </c>
      <c r="D302" s="1" t="s">
        <v>41</v>
      </c>
      <c r="E302" s="3">
        <v>4125000</v>
      </c>
      <c r="F302" s="1">
        <v>2774.0416946872801</v>
      </c>
      <c r="G302" s="1">
        <v>3.5</v>
      </c>
      <c r="H302" s="1">
        <v>2</v>
      </c>
      <c r="I302" s="1">
        <v>3</v>
      </c>
      <c r="J302" s="1">
        <v>2.5</v>
      </c>
      <c r="K302" s="1">
        <v>2</v>
      </c>
      <c r="L302" s="1">
        <v>1</v>
      </c>
      <c r="M302" s="4">
        <v>1487</v>
      </c>
      <c r="N302" s="1">
        <v>1946</v>
      </c>
      <c r="O302" s="1">
        <v>2049</v>
      </c>
      <c r="P302" s="1">
        <v>103</v>
      </c>
      <c r="Q302" s="1" t="s">
        <v>42</v>
      </c>
      <c r="S302" s="1" t="s">
        <v>42</v>
      </c>
      <c r="T302" s="1" t="s">
        <v>157</v>
      </c>
      <c r="U302" s="1">
        <v>156</v>
      </c>
      <c r="V302" s="5">
        <v>44412</v>
      </c>
      <c r="W302" s="5">
        <v>44237</v>
      </c>
      <c r="Z302" s="5">
        <v>44398</v>
      </c>
      <c r="AB302" s="1" t="s">
        <v>44</v>
      </c>
      <c r="AF302" s="1">
        <v>10069</v>
      </c>
      <c r="AI302" s="1" t="s">
        <v>109</v>
      </c>
      <c r="AJ302" s="1">
        <v>2019</v>
      </c>
      <c r="AK302" s="1" t="s">
        <v>77</v>
      </c>
      <c r="AL302" s="1">
        <v>160</v>
      </c>
    </row>
    <row r="303" spans="1:38" x14ac:dyDescent="0.2">
      <c r="A303" s="2" t="str">
        <f>HYPERLINK("https://www.compass.com/listing/252-south-street-unit-42g-manhattan-ny-10002/830493716118217161/","252 South St, Unit 42G")</f>
        <v>252 South St, Unit 42G</v>
      </c>
      <c r="B303" s="2" t="str">
        <f>HYPERLINK("https://www.compass.com/building/one-manhattan-square-manhattan-ny/294844950218926165/","One Manhattan Square")</f>
        <v>One Manhattan Square</v>
      </c>
      <c r="C303" s="1" t="s">
        <v>66</v>
      </c>
      <c r="D303" s="1" t="s">
        <v>41</v>
      </c>
      <c r="E303" s="3">
        <v>2566000</v>
      </c>
      <c r="F303" s="1">
        <v>2219.723183391</v>
      </c>
      <c r="G303" s="1">
        <v>4</v>
      </c>
      <c r="H303" s="1">
        <v>2</v>
      </c>
      <c r="I303" s="1">
        <v>2</v>
      </c>
      <c r="J303" s="1">
        <v>2</v>
      </c>
      <c r="K303" s="1">
        <v>2</v>
      </c>
      <c r="M303" s="4">
        <v>1156</v>
      </c>
      <c r="N303" s="1">
        <v>1443</v>
      </c>
      <c r="O303" s="1">
        <v>1466</v>
      </c>
      <c r="P303" s="1">
        <v>23</v>
      </c>
      <c r="Q303" s="1" t="s">
        <v>42</v>
      </c>
      <c r="S303" s="1" t="s">
        <v>42</v>
      </c>
      <c r="T303" s="1" t="s">
        <v>157</v>
      </c>
      <c r="U303" s="1">
        <v>28</v>
      </c>
      <c r="V303" s="5">
        <v>44426</v>
      </c>
      <c r="W303" s="5">
        <v>44398</v>
      </c>
      <c r="X303" s="1">
        <v>2566000</v>
      </c>
      <c r="Z303" s="5">
        <v>44426</v>
      </c>
      <c r="AB303" s="1" t="s">
        <v>44</v>
      </c>
      <c r="AF303" s="1">
        <v>10002</v>
      </c>
      <c r="AI303" s="1" t="s">
        <v>163</v>
      </c>
      <c r="AJ303" s="1">
        <v>2019</v>
      </c>
      <c r="AK303" s="1" t="s">
        <v>73</v>
      </c>
      <c r="AL303" s="1">
        <v>787</v>
      </c>
    </row>
    <row r="304" spans="1:38" x14ac:dyDescent="0.2">
      <c r="A304" s="2" t="str">
        <f>HYPERLINK("https://www.compass.com/listing/555-main-street-unit-1107-manhattan-ny-10044/787062447653190233/","555 Main St, Unit 1107")</f>
        <v>555 Main St, Unit 1107</v>
      </c>
      <c r="B304" s="2" t="str">
        <f>HYPERLINK("https://www.compass.com/building/island-house-manhattan-ny/282034908468103317/","Island House")</f>
        <v>Island House</v>
      </c>
      <c r="C304" s="1" t="s">
        <v>128</v>
      </c>
      <c r="D304" s="1" t="s">
        <v>41</v>
      </c>
      <c r="E304" s="3">
        <v>642986</v>
      </c>
      <c r="F304" s="1">
        <v>676.82736842105203</v>
      </c>
      <c r="G304" s="1">
        <v>6</v>
      </c>
      <c r="H304" s="1">
        <v>2</v>
      </c>
      <c r="I304" s="1">
        <v>2</v>
      </c>
      <c r="J304" s="1">
        <v>1.5</v>
      </c>
      <c r="K304" s="1">
        <v>1</v>
      </c>
      <c r="L304" s="1">
        <v>1</v>
      </c>
      <c r="M304" s="1">
        <v>950</v>
      </c>
      <c r="N304" s="1">
        <v>1015</v>
      </c>
      <c r="O304" s="1">
        <v>1015</v>
      </c>
      <c r="Q304" s="1" t="s">
        <v>129</v>
      </c>
      <c r="S304" s="1" t="s">
        <v>129</v>
      </c>
      <c r="T304" s="1" t="s">
        <v>157</v>
      </c>
      <c r="U304" s="1">
        <v>49</v>
      </c>
      <c r="V304" s="5">
        <v>44416</v>
      </c>
      <c r="W304" s="5">
        <v>44337</v>
      </c>
      <c r="X304" s="1">
        <v>642986</v>
      </c>
      <c r="Z304" s="5">
        <v>44387</v>
      </c>
      <c r="AB304" s="1" t="s">
        <v>44</v>
      </c>
      <c r="AF304" s="1">
        <v>10044</v>
      </c>
      <c r="AI304" s="1" t="s">
        <v>132</v>
      </c>
      <c r="AJ304" s="1">
        <v>1975</v>
      </c>
      <c r="AK304" s="1" t="s">
        <v>77</v>
      </c>
      <c r="AL304" s="1">
        <v>400</v>
      </c>
    </row>
    <row r="305" spans="1:38" x14ac:dyDescent="0.2">
      <c r="A305" s="2" t="str">
        <f>HYPERLINK("https://www.compass.com/listing/252-south-street-unit-9c-manhattan-ny-10002/665195871116686521/","252 South St, Unit 9C")</f>
        <v>252 South St, Unit 9C</v>
      </c>
      <c r="B305" s="2" t="str">
        <f>HYPERLINK("https://www.compass.com/building/one-manhattan-square-manhattan-ny/294844950218926165/","One Manhattan Square")</f>
        <v>One Manhattan Square</v>
      </c>
      <c r="C305" s="1" t="s">
        <v>66</v>
      </c>
      <c r="D305" s="1" t="s">
        <v>41</v>
      </c>
      <c r="E305" s="3">
        <v>1225000</v>
      </c>
      <c r="F305" s="1">
        <v>1762.58992805755</v>
      </c>
      <c r="G305" s="1">
        <v>3</v>
      </c>
      <c r="H305" s="1">
        <v>1</v>
      </c>
      <c r="I305" s="1">
        <v>1</v>
      </c>
      <c r="J305" s="1">
        <v>1</v>
      </c>
      <c r="K305" s="1">
        <v>1</v>
      </c>
      <c r="M305" s="1">
        <v>695</v>
      </c>
      <c r="N305" s="1">
        <v>749</v>
      </c>
      <c r="O305" s="1">
        <v>761</v>
      </c>
      <c r="P305" s="1">
        <v>12</v>
      </c>
      <c r="Q305" s="1" t="s">
        <v>42</v>
      </c>
      <c r="S305" s="1" t="s">
        <v>42</v>
      </c>
      <c r="T305" s="1" t="s">
        <v>157</v>
      </c>
      <c r="V305" s="5">
        <v>44389</v>
      </c>
      <c r="W305" s="5">
        <v>44389</v>
      </c>
      <c r="Z305" s="5">
        <v>44389</v>
      </c>
      <c r="AB305" s="1" t="s">
        <v>44</v>
      </c>
      <c r="AF305" s="1">
        <v>10002</v>
      </c>
      <c r="AI305" s="1" t="s">
        <v>163</v>
      </c>
      <c r="AJ305" s="1">
        <v>2019</v>
      </c>
      <c r="AK305" s="1" t="s">
        <v>73</v>
      </c>
      <c r="AL305" s="1">
        <v>787</v>
      </c>
    </row>
    <row r="306" spans="1:38" x14ac:dyDescent="0.2">
      <c r="A306" s="2" t="str">
        <f>HYPERLINK("https://www.compass.com/listing/555-main-street-unit-506-manhattan-ny-10044/689719446323706401/","555 Main St, Unit 506")</f>
        <v>555 Main St, Unit 506</v>
      </c>
      <c r="B306" s="2" t="str">
        <f>HYPERLINK("https://www.compass.com/building/island-house-manhattan-ny/282034908468103317/","Island House")</f>
        <v>Island House</v>
      </c>
      <c r="C306" s="1" t="s">
        <v>128</v>
      </c>
      <c r="D306" s="1" t="s">
        <v>41</v>
      </c>
      <c r="E306" s="3">
        <v>630000</v>
      </c>
      <c r="F306" s="1">
        <v>784.55790784557905</v>
      </c>
      <c r="G306" s="1">
        <v>3</v>
      </c>
      <c r="H306" s="1">
        <v>1</v>
      </c>
      <c r="I306" s="1">
        <v>1</v>
      </c>
      <c r="J306" s="1">
        <v>1</v>
      </c>
      <c r="K306" s="1">
        <v>1</v>
      </c>
      <c r="M306" s="1">
        <v>803</v>
      </c>
      <c r="N306" s="1">
        <v>874</v>
      </c>
      <c r="O306" s="1">
        <v>874</v>
      </c>
      <c r="Q306" s="1" t="s">
        <v>129</v>
      </c>
      <c r="S306" s="1" t="s">
        <v>129</v>
      </c>
      <c r="T306" s="1" t="s">
        <v>157</v>
      </c>
      <c r="U306" s="1">
        <v>179</v>
      </c>
      <c r="V306" s="5">
        <v>44421</v>
      </c>
      <c r="W306" s="5">
        <v>44208</v>
      </c>
      <c r="X306" s="1">
        <v>630000</v>
      </c>
      <c r="Z306" s="5">
        <v>44421</v>
      </c>
      <c r="AB306" s="1" t="s">
        <v>44</v>
      </c>
      <c r="AF306" s="1">
        <v>10044</v>
      </c>
      <c r="AI306" s="1" t="s">
        <v>84</v>
      </c>
      <c r="AJ306" s="1">
        <v>1975</v>
      </c>
      <c r="AK306" s="1" t="s">
        <v>77</v>
      </c>
      <c r="AL306" s="1">
        <v>400</v>
      </c>
    </row>
    <row r="307" spans="1:38" x14ac:dyDescent="0.2">
      <c r="A307" s="2" t="str">
        <f>HYPERLINK("https://www.compass.com/listing/551-main-street-unit-218-manhattan-ny-10044/731175359288954609/","551 Main St, Unit 218")</f>
        <v>551 Main St, Unit 218</v>
      </c>
      <c r="B307" s="2" t="str">
        <f>HYPERLINK("https://www.compass.com/building/island-house-manhattan-ny/282059863998105557/","Island House")</f>
        <v>Island House</v>
      </c>
      <c r="C307" s="1" t="s">
        <v>128</v>
      </c>
      <c r="D307" s="1" t="s">
        <v>41</v>
      </c>
      <c r="E307" s="3">
        <v>1250000</v>
      </c>
      <c r="G307" s="1">
        <v>7</v>
      </c>
      <c r="H307" s="1">
        <v>4</v>
      </c>
      <c r="I307" s="1">
        <v>3</v>
      </c>
      <c r="J307" s="1">
        <v>2.5</v>
      </c>
      <c r="K307" s="1">
        <v>2</v>
      </c>
      <c r="L307" s="1">
        <v>1</v>
      </c>
      <c r="N307" s="1">
        <v>1953</v>
      </c>
      <c r="O307" s="1">
        <v>1953</v>
      </c>
      <c r="Q307" s="1" t="s">
        <v>129</v>
      </c>
      <c r="S307" s="1" t="s">
        <v>129</v>
      </c>
      <c r="T307" s="1" t="s">
        <v>157</v>
      </c>
      <c r="U307" s="1">
        <v>58</v>
      </c>
      <c r="V307" s="5">
        <v>44377</v>
      </c>
      <c r="W307" s="5">
        <v>44258</v>
      </c>
      <c r="X307" s="1">
        <v>1250000</v>
      </c>
      <c r="Z307" s="5">
        <v>44317</v>
      </c>
      <c r="AB307" s="1" t="s">
        <v>44</v>
      </c>
      <c r="AF307" s="1">
        <v>10044</v>
      </c>
      <c r="AI307" s="1" t="s">
        <v>165</v>
      </c>
      <c r="AJ307" s="1">
        <v>1975</v>
      </c>
      <c r="AK307" s="1" t="s">
        <v>166</v>
      </c>
      <c r="AL307" s="1">
        <v>400</v>
      </c>
    </row>
    <row r="308" spans="1:38" x14ac:dyDescent="0.2">
      <c r="A308" s="2" t="str">
        <f>HYPERLINK("https://www.compass.com/listing/252-south-street-unit-41e-manhattan-ny-10002/821769451902955329/","252 South St, Unit 41E")</f>
        <v>252 South St, Unit 41E</v>
      </c>
      <c r="B308" s="2" t="str">
        <f t="shared" ref="B308:B311" si="56">HYPERLINK("https://www.compass.com/building/one-manhattan-square-manhattan-ny/294844950218926165/","One Manhattan Square")</f>
        <v>One Manhattan Square</v>
      </c>
      <c r="C308" s="1" t="s">
        <v>66</v>
      </c>
      <c r="D308" s="1" t="s">
        <v>41</v>
      </c>
      <c r="E308" s="3">
        <v>1430000</v>
      </c>
      <c r="F308" s="1">
        <v>2060.5187319884699</v>
      </c>
      <c r="G308" s="1">
        <v>3</v>
      </c>
      <c r="H308" s="1">
        <v>1</v>
      </c>
      <c r="I308" s="1">
        <v>1</v>
      </c>
      <c r="J308" s="1">
        <v>1</v>
      </c>
      <c r="K308" s="1">
        <v>1</v>
      </c>
      <c r="M308" s="1">
        <v>694</v>
      </c>
      <c r="N308" s="1">
        <v>862.46</v>
      </c>
      <c r="O308" s="1">
        <v>876.46</v>
      </c>
      <c r="P308" s="1">
        <v>14</v>
      </c>
      <c r="Q308" s="1" t="s">
        <v>42</v>
      </c>
      <c r="S308" s="1" t="s">
        <v>42</v>
      </c>
      <c r="T308" s="1" t="s">
        <v>157</v>
      </c>
      <c r="V308" s="5">
        <v>44386</v>
      </c>
      <c r="W308" s="5">
        <v>44385</v>
      </c>
      <c r="X308" s="1">
        <v>1430000</v>
      </c>
      <c r="Z308" s="5">
        <v>44386</v>
      </c>
      <c r="AB308" s="1" t="s">
        <v>44</v>
      </c>
      <c r="AF308" s="1">
        <v>10002</v>
      </c>
      <c r="AI308" s="1" t="s">
        <v>163</v>
      </c>
      <c r="AJ308" s="1">
        <v>2019</v>
      </c>
      <c r="AK308" s="1" t="s">
        <v>73</v>
      </c>
      <c r="AL308" s="1">
        <v>787</v>
      </c>
    </row>
    <row r="309" spans="1:38" x14ac:dyDescent="0.2">
      <c r="A309" s="2" t="str">
        <f>HYPERLINK("https://www.compass.com/listing/252-south-street-unit-9h-manhattan-ny-10002/665293922510339249/","252 South St, Unit 9H")</f>
        <v>252 South St, Unit 9H</v>
      </c>
      <c r="B309" s="2" t="str">
        <f t="shared" si="56"/>
        <v>One Manhattan Square</v>
      </c>
      <c r="C309" s="1" t="s">
        <v>66</v>
      </c>
      <c r="D309" s="1" t="s">
        <v>41</v>
      </c>
      <c r="E309" s="3">
        <v>1835000</v>
      </c>
      <c r="F309" s="1">
        <v>1587.37024221453</v>
      </c>
      <c r="G309" s="1">
        <v>5</v>
      </c>
      <c r="H309" s="1">
        <v>2</v>
      </c>
      <c r="I309" s="1">
        <v>2</v>
      </c>
      <c r="J309" s="1">
        <v>2</v>
      </c>
      <c r="K309" s="1">
        <v>2</v>
      </c>
      <c r="M309" s="4">
        <v>1156</v>
      </c>
      <c r="N309" s="1">
        <v>1245</v>
      </c>
      <c r="O309" s="1">
        <v>1265</v>
      </c>
      <c r="P309" s="1">
        <v>20</v>
      </c>
      <c r="Q309" s="1" t="s">
        <v>42</v>
      </c>
      <c r="S309" s="1" t="s">
        <v>42</v>
      </c>
      <c r="T309" s="1" t="s">
        <v>157</v>
      </c>
      <c r="V309" s="5">
        <v>44383</v>
      </c>
      <c r="W309" s="5">
        <v>44383</v>
      </c>
      <c r="Z309" s="5">
        <v>44383</v>
      </c>
      <c r="AB309" s="1" t="s">
        <v>44</v>
      </c>
      <c r="AF309" s="1">
        <v>10002</v>
      </c>
      <c r="AI309" s="1" t="s">
        <v>163</v>
      </c>
      <c r="AJ309" s="1">
        <v>2019</v>
      </c>
      <c r="AK309" s="1" t="s">
        <v>73</v>
      </c>
      <c r="AL309" s="1">
        <v>787</v>
      </c>
    </row>
    <row r="310" spans="1:38" x14ac:dyDescent="0.2">
      <c r="A310" s="2" t="str">
        <f>HYPERLINK("https://www.compass.com/listing/252-south-street-unit-80d-manhattan-ny-10002/804270689858693321/","252 South St, Unit 80D")</f>
        <v>252 South St, Unit 80D</v>
      </c>
      <c r="B310" s="2" t="str">
        <f t="shared" si="56"/>
        <v>One Manhattan Square</v>
      </c>
      <c r="C310" s="1" t="s">
        <v>66</v>
      </c>
      <c r="D310" s="1" t="s">
        <v>41</v>
      </c>
      <c r="E310" s="3">
        <v>12134000</v>
      </c>
      <c r="F310" s="1">
        <v>3562.5366999412799</v>
      </c>
      <c r="G310" s="1">
        <v>7</v>
      </c>
      <c r="H310" s="1">
        <v>4</v>
      </c>
      <c r="I310" s="1">
        <v>4</v>
      </c>
      <c r="J310" s="1">
        <v>3.5</v>
      </c>
      <c r="K310" s="1">
        <v>3</v>
      </c>
      <c r="L310" s="1">
        <v>1</v>
      </c>
      <c r="M310" s="4">
        <v>3406</v>
      </c>
      <c r="N310" s="1">
        <v>5095</v>
      </c>
      <c r="O310" s="1">
        <v>5175</v>
      </c>
      <c r="P310" s="1">
        <v>80</v>
      </c>
      <c r="Q310" s="1" t="s">
        <v>42</v>
      </c>
      <c r="S310" s="1" t="s">
        <v>42</v>
      </c>
      <c r="T310" s="1" t="s">
        <v>157</v>
      </c>
      <c r="V310" s="5">
        <v>44362</v>
      </c>
      <c r="W310" s="5">
        <v>44362</v>
      </c>
      <c r="X310" s="1">
        <v>12134000</v>
      </c>
      <c r="Z310" s="5">
        <v>44362</v>
      </c>
      <c r="AB310" s="1" t="s">
        <v>44</v>
      </c>
      <c r="AF310" s="1">
        <v>10002</v>
      </c>
      <c r="AI310" s="1" t="s">
        <v>163</v>
      </c>
      <c r="AJ310" s="1">
        <v>2019</v>
      </c>
      <c r="AK310" s="1" t="s">
        <v>73</v>
      </c>
      <c r="AL310" s="1">
        <v>787</v>
      </c>
    </row>
    <row r="311" spans="1:38" x14ac:dyDescent="0.2">
      <c r="A311" s="2" t="str">
        <f>HYPERLINK("https://www.compass.com/listing/252-south-street-unit-21k-manhattan-ny-10002/816569271090441793/","252 South St, Unit 21K")</f>
        <v>252 South St, Unit 21K</v>
      </c>
      <c r="B311" s="2" t="str">
        <f t="shared" si="56"/>
        <v>One Manhattan Square</v>
      </c>
      <c r="C311" s="1" t="s">
        <v>66</v>
      </c>
      <c r="D311" s="1" t="s">
        <v>41</v>
      </c>
      <c r="E311" s="3">
        <v>1304000</v>
      </c>
      <c r="F311" s="1">
        <v>1876.25899280575</v>
      </c>
      <c r="G311" s="1">
        <v>3</v>
      </c>
      <c r="H311" s="1">
        <v>1</v>
      </c>
      <c r="I311" s="1">
        <v>1</v>
      </c>
      <c r="J311" s="1">
        <v>1</v>
      </c>
      <c r="K311" s="1">
        <v>1</v>
      </c>
      <c r="M311" s="1">
        <v>695</v>
      </c>
      <c r="N311" s="1">
        <v>790</v>
      </c>
      <c r="O311" s="1">
        <v>803</v>
      </c>
      <c r="P311" s="1">
        <v>13</v>
      </c>
      <c r="Q311" s="1" t="s">
        <v>42</v>
      </c>
      <c r="S311" s="1" t="s">
        <v>42</v>
      </c>
      <c r="T311" s="1" t="s">
        <v>157</v>
      </c>
      <c r="V311" s="5">
        <v>44385</v>
      </c>
      <c r="W311" s="5">
        <v>44378</v>
      </c>
      <c r="X311" s="1">
        <v>1304000</v>
      </c>
      <c r="Z311" s="5">
        <v>44385</v>
      </c>
      <c r="AB311" s="1" t="s">
        <v>44</v>
      </c>
      <c r="AF311" s="1">
        <v>10002</v>
      </c>
      <c r="AI311" s="1" t="s">
        <v>163</v>
      </c>
      <c r="AJ311" s="1">
        <v>2019</v>
      </c>
      <c r="AK311" s="1" t="s">
        <v>73</v>
      </c>
      <c r="AL311" s="1">
        <v>787</v>
      </c>
    </row>
    <row r="312" spans="1:38" x14ac:dyDescent="0.2">
      <c r="A312" s="2" t="str">
        <f>HYPERLINK("https://www.compass.com/listing/2351-adam-clayton-powell-jr-boulevard-unit-320-manhattan-ny-10030/462304800346878009/","2351 Adam Clayton Powell Jr Blvd, Unit 320")</f>
        <v>2351 Adam Clayton Powell Jr Blvd, Unit 320</v>
      </c>
      <c r="B312" s="2" t="str">
        <f>HYPERLINK("https://www.compass.com/building/the-rennie-manhattan-ny/307439143554395509/","THE RENNIE")</f>
        <v>THE RENNIE</v>
      </c>
      <c r="C312" s="1" t="s">
        <v>106</v>
      </c>
      <c r="D312" s="1" t="s">
        <v>41</v>
      </c>
      <c r="E312" s="3">
        <v>498000</v>
      </c>
      <c r="F312" s="1">
        <v>955.85412667946196</v>
      </c>
      <c r="G312" s="1">
        <v>2</v>
      </c>
      <c r="H312" s="1" t="s">
        <v>79</v>
      </c>
      <c r="I312" s="1">
        <v>1</v>
      </c>
      <c r="J312" s="1">
        <v>1</v>
      </c>
      <c r="K312" s="1">
        <v>1</v>
      </c>
      <c r="M312" s="1">
        <v>521</v>
      </c>
      <c r="N312" s="1">
        <v>592</v>
      </c>
      <c r="O312" s="1">
        <v>602</v>
      </c>
      <c r="P312" s="1">
        <v>10</v>
      </c>
      <c r="Q312" s="1" t="s">
        <v>42</v>
      </c>
      <c r="S312" s="1" t="s">
        <v>42</v>
      </c>
      <c r="T312" s="1" t="s">
        <v>157</v>
      </c>
      <c r="U312" s="1">
        <v>190</v>
      </c>
      <c r="V312" s="5">
        <v>44420</v>
      </c>
      <c r="W312" s="5">
        <v>43889</v>
      </c>
      <c r="X312" s="1">
        <v>530000</v>
      </c>
      <c r="Z312" s="5">
        <v>44173</v>
      </c>
      <c r="AB312" s="1" t="s">
        <v>44</v>
      </c>
      <c r="AF312" s="1">
        <v>10030</v>
      </c>
      <c r="AI312" s="1" t="s">
        <v>45</v>
      </c>
      <c r="AJ312" s="1">
        <v>2018</v>
      </c>
      <c r="AK312" s="1" t="s">
        <v>77</v>
      </c>
      <c r="AL312" s="1">
        <v>106</v>
      </c>
    </row>
    <row r="313" spans="1:38" x14ac:dyDescent="0.2">
      <c r="A313" s="2" t="str">
        <f>HYPERLINK("https://www.compass.com/listing/252-south-street-unit-54d-manhattan-ny-10002/816565521038404417/","252 South St, Unit 54D")</f>
        <v>252 South St, Unit 54D</v>
      </c>
      <c r="B313" s="2" t="str">
        <f t="shared" ref="B313:B315" si="57">HYPERLINK("https://www.compass.com/building/one-manhattan-square-manhattan-ny/294844950218926165/","One Manhattan Square")</f>
        <v>One Manhattan Square</v>
      </c>
      <c r="C313" s="1" t="s">
        <v>66</v>
      </c>
      <c r="D313" s="1" t="s">
        <v>41</v>
      </c>
      <c r="E313" s="3">
        <v>3095000</v>
      </c>
      <c r="F313" s="1">
        <v>2658.9347079037798</v>
      </c>
      <c r="G313" s="1">
        <v>4</v>
      </c>
      <c r="H313" s="1">
        <v>2</v>
      </c>
      <c r="I313" s="1">
        <v>2</v>
      </c>
      <c r="J313" s="1">
        <v>2</v>
      </c>
      <c r="K313" s="1">
        <v>2</v>
      </c>
      <c r="M313" s="4">
        <v>1164</v>
      </c>
      <c r="N313" s="1">
        <v>1533</v>
      </c>
      <c r="O313" s="1">
        <v>1557</v>
      </c>
      <c r="P313" s="1">
        <v>24</v>
      </c>
      <c r="Q313" s="1" t="s">
        <v>42</v>
      </c>
      <c r="S313" s="1" t="s">
        <v>42</v>
      </c>
      <c r="T313" s="1" t="s">
        <v>157</v>
      </c>
      <c r="V313" s="5">
        <v>44379</v>
      </c>
      <c r="W313" s="5">
        <v>44378</v>
      </c>
      <c r="X313" s="1">
        <v>3095000</v>
      </c>
      <c r="Z313" s="5">
        <v>44379</v>
      </c>
      <c r="AB313" s="1" t="s">
        <v>44</v>
      </c>
      <c r="AF313" s="1">
        <v>10002</v>
      </c>
      <c r="AI313" s="1" t="s">
        <v>163</v>
      </c>
      <c r="AJ313" s="1">
        <v>2019</v>
      </c>
      <c r="AK313" s="1" t="s">
        <v>73</v>
      </c>
      <c r="AL313" s="1">
        <v>787</v>
      </c>
    </row>
    <row r="314" spans="1:38" x14ac:dyDescent="0.2">
      <c r="A314" s="2" t="str">
        <f>HYPERLINK("https://www.compass.com/listing/252-south-street-unit-43c-manhattan-ny-10002/816791328300190545/","252 South St, Unit 43C")</f>
        <v>252 South St, Unit 43C</v>
      </c>
      <c r="B314" s="2" t="str">
        <f t="shared" si="57"/>
        <v>One Manhattan Square</v>
      </c>
      <c r="C314" s="1" t="s">
        <v>66</v>
      </c>
      <c r="D314" s="1" t="s">
        <v>41</v>
      </c>
      <c r="E314" s="3">
        <v>3240000</v>
      </c>
      <c r="F314" s="1">
        <v>2178.8836583725601</v>
      </c>
      <c r="G314" s="1">
        <v>5</v>
      </c>
      <c r="H314" s="1">
        <v>3</v>
      </c>
      <c r="I314" s="1">
        <v>3</v>
      </c>
      <c r="J314" s="1">
        <v>3</v>
      </c>
      <c r="K314" s="1">
        <v>3</v>
      </c>
      <c r="M314" s="4">
        <v>1487</v>
      </c>
      <c r="N314" s="1">
        <v>1864</v>
      </c>
      <c r="O314" s="1">
        <v>1893</v>
      </c>
      <c r="P314" s="1">
        <v>29</v>
      </c>
      <c r="Q314" s="1" t="s">
        <v>42</v>
      </c>
      <c r="S314" s="1" t="s">
        <v>42</v>
      </c>
      <c r="T314" s="1" t="s">
        <v>157</v>
      </c>
      <c r="U314" s="1">
        <v>27</v>
      </c>
      <c r="V314" s="5">
        <v>44425</v>
      </c>
      <c r="W314" s="5">
        <v>44378</v>
      </c>
      <c r="X314" s="1">
        <v>3240000</v>
      </c>
      <c r="Z314" s="5">
        <v>44410</v>
      </c>
      <c r="AB314" s="1" t="s">
        <v>44</v>
      </c>
      <c r="AF314" s="1">
        <v>10002</v>
      </c>
      <c r="AI314" s="1" t="s">
        <v>113</v>
      </c>
      <c r="AJ314" s="1">
        <v>2019</v>
      </c>
      <c r="AK314" s="1" t="s">
        <v>73</v>
      </c>
      <c r="AL314" s="1">
        <v>787</v>
      </c>
    </row>
    <row r="315" spans="1:38" x14ac:dyDescent="0.2">
      <c r="A315" s="2" t="str">
        <f>HYPERLINK("https://www.compass.com/listing/252-south-street-unit-41g-manhattan-ny-10002/665244528633243241/","252 South St, Unit 41G")</f>
        <v>252 South St, Unit 41G</v>
      </c>
      <c r="B315" s="2" t="str">
        <f t="shared" si="57"/>
        <v>One Manhattan Square</v>
      </c>
      <c r="C315" s="1" t="s">
        <v>66</v>
      </c>
      <c r="D315" s="1" t="s">
        <v>41</v>
      </c>
      <c r="E315" s="3">
        <v>2290000</v>
      </c>
      <c r="F315" s="1">
        <v>1980.9688581314799</v>
      </c>
      <c r="G315" s="1">
        <v>4</v>
      </c>
      <c r="H315" s="1">
        <v>2</v>
      </c>
      <c r="I315" s="1">
        <v>2</v>
      </c>
      <c r="J315" s="1">
        <v>2</v>
      </c>
      <c r="K315" s="1">
        <v>2</v>
      </c>
      <c r="M315" s="4">
        <v>1156</v>
      </c>
      <c r="N315" s="1">
        <v>1437</v>
      </c>
      <c r="O315" s="1">
        <v>1460</v>
      </c>
      <c r="P315" s="1">
        <v>23</v>
      </c>
      <c r="Q315" s="1" t="s">
        <v>42</v>
      </c>
      <c r="S315" s="1" t="s">
        <v>42</v>
      </c>
      <c r="T315" s="1" t="s">
        <v>157</v>
      </c>
      <c r="V315" s="5">
        <v>44375</v>
      </c>
      <c r="W315" s="5">
        <v>44375</v>
      </c>
      <c r="Z315" s="5">
        <v>44375</v>
      </c>
      <c r="AB315" s="1" t="s">
        <v>44</v>
      </c>
      <c r="AF315" s="1">
        <v>10002</v>
      </c>
      <c r="AI315" s="1" t="s">
        <v>163</v>
      </c>
      <c r="AJ315" s="1">
        <v>2019</v>
      </c>
      <c r="AK315" s="1" t="s">
        <v>73</v>
      </c>
      <c r="AL315" s="1">
        <v>787</v>
      </c>
    </row>
    <row r="316" spans="1:38" x14ac:dyDescent="0.2">
      <c r="A316" s="2" t="str">
        <f>HYPERLINK("https://www.compass.com/listing/25-park-row-unit-11d-manhattan-ny-10038/243338152322808049/","25 Park Row, Unit 11D")</f>
        <v>25 Park Row, Unit 11D</v>
      </c>
      <c r="B316" s="2" t="str">
        <f t="shared" ref="B316:B317" si="58">HYPERLINK("https://www.compass.com/building/25-park-row-manhattan-ny-10038/292920743539264837/","25 Park Row")</f>
        <v>25 Park Row</v>
      </c>
      <c r="C316" s="1" t="s">
        <v>117</v>
      </c>
      <c r="D316" s="1" t="s">
        <v>41</v>
      </c>
      <c r="E316" s="3">
        <v>5125000</v>
      </c>
      <c r="F316" s="1">
        <v>2423.1678486997598</v>
      </c>
      <c r="G316" s="1">
        <v>5.5</v>
      </c>
      <c r="H316" s="1">
        <v>3</v>
      </c>
      <c r="I316" s="1">
        <v>4</v>
      </c>
      <c r="J316" s="1">
        <v>3.5</v>
      </c>
      <c r="K316" s="1">
        <v>3</v>
      </c>
      <c r="L316" s="1">
        <v>1</v>
      </c>
      <c r="M316" s="4">
        <v>2115</v>
      </c>
      <c r="N316" s="1">
        <v>4355.62</v>
      </c>
      <c r="O316" s="1">
        <v>7261.88</v>
      </c>
      <c r="P316" s="1">
        <v>2906.25</v>
      </c>
      <c r="Q316" s="1" t="s">
        <v>42</v>
      </c>
      <c r="S316" s="1" t="s">
        <v>42</v>
      </c>
      <c r="T316" s="1" t="s">
        <v>157</v>
      </c>
      <c r="U316" s="1">
        <v>300</v>
      </c>
      <c r="V316" s="5">
        <v>44419</v>
      </c>
      <c r="W316" s="5">
        <v>44089</v>
      </c>
      <c r="Z316" s="5">
        <v>44390</v>
      </c>
      <c r="AB316" s="1" t="s">
        <v>44</v>
      </c>
      <c r="AF316" s="1">
        <v>10038</v>
      </c>
      <c r="AI316" s="1" t="s">
        <v>150</v>
      </c>
      <c r="AJ316" s="1">
        <v>2019</v>
      </c>
      <c r="AK316" s="1" t="s">
        <v>77</v>
      </c>
      <c r="AL316" s="1">
        <v>110</v>
      </c>
    </row>
    <row r="317" spans="1:38" x14ac:dyDescent="0.2">
      <c r="A317" s="2" t="str">
        <f>HYPERLINK("https://www.compass.com/listing/25-park-row-unit-15b-manhattan-ny-10038/178426775909451041/","25 Park Row, Unit 15B")</f>
        <v>25 Park Row, Unit 15B</v>
      </c>
      <c r="B317" s="2" t="str">
        <f t="shared" si="58"/>
        <v>25 Park Row</v>
      </c>
      <c r="C317" s="1" t="s">
        <v>117</v>
      </c>
      <c r="D317" s="1" t="s">
        <v>41</v>
      </c>
      <c r="E317" s="3">
        <v>7650000</v>
      </c>
      <c r="F317" s="1">
        <v>2629.7696803025001</v>
      </c>
      <c r="G317" s="1">
        <v>7</v>
      </c>
      <c r="H317" s="1">
        <v>4</v>
      </c>
      <c r="I317" s="1">
        <v>4</v>
      </c>
      <c r="J317" s="1">
        <v>4</v>
      </c>
      <c r="K317" s="1">
        <v>4</v>
      </c>
      <c r="M317" s="4">
        <v>2909</v>
      </c>
      <c r="N317" s="1">
        <v>3954.81</v>
      </c>
      <c r="O317" s="1">
        <v>7910.15</v>
      </c>
      <c r="P317" s="1">
        <v>3955.3333333333298</v>
      </c>
      <c r="Q317" s="1" t="s">
        <v>42</v>
      </c>
      <c r="S317" s="1" t="s">
        <v>42</v>
      </c>
      <c r="T317" s="1" t="s">
        <v>157</v>
      </c>
      <c r="U317" s="1">
        <v>789</v>
      </c>
      <c r="V317" s="5">
        <v>44421</v>
      </c>
      <c r="W317" s="5">
        <v>43493</v>
      </c>
      <c r="X317" s="1">
        <v>7650000</v>
      </c>
      <c r="Z317" s="5">
        <v>44377</v>
      </c>
      <c r="AB317" s="1" t="s">
        <v>44</v>
      </c>
      <c r="AF317" s="1">
        <v>10038</v>
      </c>
      <c r="AI317" s="1" t="s">
        <v>149</v>
      </c>
      <c r="AJ317" s="1">
        <v>2019</v>
      </c>
      <c r="AK317" s="1" t="s">
        <v>77</v>
      </c>
      <c r="AL317" s="1">
        <v>110</v>
      </c>
    </row>
    <row r="318" spans="1:38" x14ac:dyDescent="0.2">
      <c r="A318" s="2" t="str">
        <f>HYPERLINK("https://www.compass.com/listing/252-south-street-unit-20e-manhattan-ny-10002/814563851363989009/","252 South St, Unit 20E")</f>
        <v>252 South St, Unit 20E</v>
      </c>
      <c r="B318" s="2" t="str">
        <f>HYPERLINK("https://www.compass.com/building/one-manhattan-square-manhattan-ny/294844950218926165/","One Manhattan Square")</f>
        <v>One Manhattan Square</v>
      </c>
      <c r="C318" s="1" t="s">
        <v>66</v>
      </c>
      <c r="D318" s="1" t="s">
        <v>41</v>
      </c>
      <c r="E318" s="3">
        <v>2495000</v>
      </c>
      <c r="F318" s="1">
        <v>2221.7275155832499</v>
      </c>
      <c r="G318" s="1">
        <v>4</v>
      </c>
      <c r="H318" s="1">
        <v>2</v>
      </c>
      <c r="I318" s="1">
        <v>2</v>
      </c>
      <c r="J318" s="1">
        <v>2</v>
      </c>
      <c r="K318" s="1">
        <v>2</v>
      </c>
      <c r="M318" s="4">
        <v>1123</v>
      </c>
      <c r="N318" s="1">
        <v>1270</v>
      </c>
      <c r="O318" s="1">
        <v>1290</v>
      </c>
      <c r="P318" s="1">
        <v>20</v>
      </c>
      <c r="Q318" s="1" t="s">
        <v>42</v>
      </c>
      <c r="S318" s="1" t="s">
        <v>42</v>
      </c>
      <c r="T318" s="1" t="s">
        <v>157</v>
      </c>
      <c r="U318" s="1">
        <v>4</v>
      </c>
      <c r="V318" s="5">
        <v>44376</v>
      </c>
      <c r="W318" s="5">
        <v>44372</v>
      </c>
      <c r="X318" s="1">
        <v>2495000</v>
      </c>
      <c r="Z318" s="5">
        <v>44376</v>
      </c>
      <c r="AB318" s="1" t="s">
        <v>44</v>
      </c>
      <c r="AF318" s="1">
        <v>10002</v>
      </c>
      <c r="AI318" s="1" t="s">
        <v>163</v>
      </c>
      <c r="AJ318" s="1">
        <v>2019</v>
      </c>
      <c r="AK318" s="1" t="s">
        <v>73</v>
      </c>
      <c r="AL318" s="1">
        <v>787</v>
      </c>
    </row>
    <row r="319" spans="1:38" x14ac:dyDescent="0.2">
      <c r="A319" s="2" t="str">
        <f>HYPERLINK("https://www.compass.com/listing/2351-adam-clayton-powell-jr-boulevard-unit-313-manhattan-ny-10030/607134571492182089/","2351 Adam Clayton Powell Jr Blvd, Unit 313")</f>
        <v>2351 Adam Clayton Powell Jr Blvd, Unit 313</v>
      </c>
      <c r="B319" s="2" t="str">
        <f t="shared" ref="B319:B322" si="59">HYPERLINK("https://www.compass.com/building/the-rennie-manhattan-ny/307439143554395509/","THE RENNIE")</f>
        <v>THE RENNIE</v>
      </c>
      <c r="C319" s="1" t="s">
        <v>61</v>
      </c>
      <c r="D319" s="1" t="s">
        <v>41</v>
      </c>
      <c r="E319" s="3">
        <v>895000</v>
      </c>
      <c r="F319" s="1">
        <v>988.95027624309296</v>
      </c>
      <c r="G319" s="1">
        <v>4</v>
      </c>
      <c r="H319" s="1">
        <v>2</v>
      </c>
      <c r="I319" s="1">
        <v>2</v>
      </c>
      <c r="J319" s="1">
        <v>2</v>
      </c>
      <c r="K319" s="1">
        <v>2</v>
      </c>
      <c r="M319" s="1">
        <v>905</v>
      </c>
      <c r="N319" s="1">
        <v>1028</v>
      </c>
      <c r="O319" s="1">
        <v>1045</v>
      </c>
      <c r="P319" s="1">
        <v>17</v>
      </c>
      <c r="Q319" s="1" t="s">
        <v>42</v>
      </c>
      <c r="S319" s="1" t="s">
        <v>42</v>
      </c>
      <c r="T319" s="1" t="s">
        <v>157</v>
      </c>
      <c r="U319" s="1">
        <v>329</v>
      </c>
      <c r="V319" s="5">
        <v>44418</v>
      </c>
      <c r="W319" s="5">
        <v>44089</v>
      </c>
      <c r="X319" s="1">
        <v>895000</v>
      </c>
      <c r="Z319" s="5">
        <v>44418</v>
      </c>
      <c r="AB319" s="1" t="s">
        <v>44</v>
      </c>
      <c r="AF319" s="1">
        <v>10030</v>
      </c>
      <c r="AI319" s="1" t="s">
        <v>45</v>
      </c>
      <c r="AJ319" s="1">
        <v>2018</v>
      </c>
      <c r="AK319" s="1" t="s">
        <v>77</v>
      </c>
      <c r="AL319" s="1">
        <v>106</v>
      </c>
    </row>
    <row r="320" spans="1:38" x14ac:dyDescent="0.2">
      <c r="A320" s="2" t="str">
        <f>HYPERLINK("https://www.compass.com/listing/2351-adam-clayton-powell-jr-boulevard-unit-407-manhattan-ny-10030/157743605828556593/","2351 Adam Clayton Powell Jr Blvd, Unit 407")</f>
        <v>2351 Adam Clayton Powell Jr Blvd, Unit 407</v>
      </c>
      <c r="B320" s="2" t="str">
        <f t="shared" si="59"/>
        <v>THE RENNIE</v>
      </c>
      <c r="C320" s="1" t="s">
        <v>106</v>
      </c>
      <c r="D320" s="1" t="s">
        <v>41</v>
      </c>
      <c r="E320" s="3">
        <v>1080000</v>
      </c>
      <c r="F320" s="1">
        <v>1059.8626104023499</v>
      </c>
      <c r="G320" s="1">
        <v>4</v>
      </c>
      <c r="H320" s="1">
        <v>2</v>
      </c>
      <c r="I320" s="1">
        <v>2</v>
      </c>
      <c r="J320" s="1">
        <v>2</v>
      </c>
      <c r="K320" s="1">
        <v>2</v>
      </c>
      <c r="M320" s="4">
        <v>1019</v>
      </c>
      <c r="N320" s="1">
        <v>1158</v>
      </c>
      <c r="O320" s="1">
        <v>1177</v>
      </c>
      <c r="P320" s="1">
        <v>19</v>
      </c>
      <c r="Q320" s="1" t="s">
        <v>42</v>
      </c>
      <c r="S320" s="1" t="s">
        <v>42</v>
      </c>
      <c r="T320" s="1" t="s">
        <v>157</v>
      </c>
      <c r="U320" s="1">
        <v>74</v>
      </c>
      <c r="V320" s="5">
        <v>44402</v>
      </c>
      <c r="W320" s="5">
        <v>44267</v>
      </c>
      <c r="X320" s="1">
        <v>1080000</v>
      </c>
      <c r="Z320" s="5">
        <v>44342</v>
      </c>
      <c r="AB320" s="1" t="s">
        <v>44</v>
      </c>
      <c r="AF320" s="1">
        <v>10030</v>
      </c>
      <c r="AI320" s="1" t="s">
        <v>167</v>
      </c>
      <c r="AJ320" s="1">
        <v>2018</v>
      </c>
      <c r="AK320" s="1" t="s">
        <v>77</v>
      </c>
      <c r="AL320" s="1">
        <v>106</v>
      </c>
    </row>
    <row r="321" spans="1:38" x14ac:dyDescent="0.2">
      <c r="A321" s="2" t="str">
        <f>HYPERLINK("https://www.compass.com/listing/2351-adam-clayton-powell-jr-boulevard-unit-516-manhattan-ny-10030/850704723883163377/","2351 Adam Clayton Powell Jr Blvd, Unit 516")</f>
        <v>2351 Adam Clayton Powell Jr Blvd, Unit 516</v>
      </c>
      <c r="B321" s="2" t="str">
        <f t="shared" si="59"/>
        <v>THE RENNIE</v>
      </c>
      <c r="C321" s="1" t="s">
        <v>61</v>
      </c>
      <c r="D321" s="1" t="s">
        <v>41</v>
      </c>
      <c r="E321" s="3">
        <v>685000</v>
      </c>
      <c r="F321" s="1">
        <v>1078.74015748031</v>
      </c>
      <c r="G321" s="1">
        <v>3</v>
      </c>
      <c r="H321" s="1">
        <v>1</v>
      </c>
      <c r="I321" s="1">
        <v>1</v>
      </c>
      <c r="J321" s="1">
        <v>1</v>
      </c>
      <c r="K321" s="1">
        <v>1</v>
      </c>
      <c r="M321" s="1">
        <v>635</v>
      </c>
      <c r="N321" s="1">
        <v>721</v>
      </c>
      <c r="O321" s="1">
        <v>733</v>
      </c>
      <c r="P321" s="1">
        <v>12</v>
      </c>
      <c r="Q321" s="1" t="s">
        <v>42</v>
      </c>
      <c r="S321" s="1" t="s">
        <v>42</v>
      </c>
      <c r="T321" s="1" t="s">
        <v>157</v>
      </c>
      <c r="U321" s="1">
        <v>1060</v>
      </c>
      <c r="V321" s="5">
        <v>44426</v>
      </c>
      <c r="W321" s="5">
        <v>43271</v>
      </c>
      <c r="X321" s="1">
        <v>685000</v>
      </c>
      <c r="Z321" s="5">
        <v>44426</v>
      </c>
      <c r="AB321" s="1" t="s">
        <v>44</v>
      </c>
      <c r="AF321" s="1">
        <v>10030</v>
      </c>
      <c r="AI321" s="1" t="s">
        <v>45</v>
      </c>
      <c r="AJ321" s="1">
        <v>2018</v>
      </c>
      <c r="AK321" s="1" t="s">
        <v>77</v>
      </c>
      <c r="AL321" s="1">
        <v>106</v>
      </c>
    </row>
    <row r="322" spans="1:38" x14ac:dyDescent="0.2">
      <c r="A322" s="2" t="str">
        <f>HYPERLINK("https://www.compass.com/listing/2351-adam-clayton-powell-jr-boulevard-unit-609-manhattan-ny-10030/607156204378460353/","2351 Adam Clayton Powell Jr Blvd, Unit 609")</f>
        <v>2351 Adam Clayton Powell Jr Blvd, Unit 609</v>
      </c>
      <c r="B322" s="2" t="str">
        <f t="shared" si="59"/>
        <v>THE RENNIE</v>
      </c>
      <c r="C322" s="1" t="s">
        <v>106</v>
      </c>
      <c r="D322" s="1" t="s">
        <v>41</v>
      </c>
      <c r="E322" s="3">
        <v>1075000</v>
      </c>
      <c r="F322" s="1">
        <v>1017.0293282876</v>
      </c>
      <c r="G322" s="1">
        <v>4</v>
      </c>
      <c r="H322" s="1">
        <v>2</v>
      </c>
      <c r="I322" s="1">
        <v>2</v>
      </c>
      <c r="J322" s="1">
        <v>2</v>
      </c>
      <c r="K322" s="1">
        <v>2</v>
      </c>
      <c r="M322" s="4">
        <v>1057</v>
      </c>
      <c r="N322" s="1">
        <v>1201</v>
      </c>
      <c r="O322" s="1">
        <v>1220</v>
      </c>
      <c r="P322" s="1">
        <v>19</v>
      </c>
      <c r="Q322" s="1" t="s">
        <v>42</v>
      </c>
      <c r="S322" s="1" t="s">
        <v>42</v>
      </c>
      <c r="T322" s="1" t="s">
        <v>157</v>
      </c>
      <c r="V322" s="5">
        <v>44417</v>
      </c>
      <c r="W322" s="5">
        <v>44089</v>
      </c>
      <c r="X322" s="1">
        <v>1075000</v>
      </c>
      <c r="Z322" s="5">
        <v>44357</v>
      </c>
      <c r="AB322" s="1" t="s">
        <v>44</v>
      </c>
      <c r="AF322" s="1">
        <v>10030</v>
      </c>
      <c r="AI322" s="1" t="s">
        <v>45</v>
      </c>
      <c r="AJ322" s="1">
        <v>2018</v>
      </c>
      <c r="AK322" s="1" t="s">
        <v>77</v>
      </c>
      <c r="AL322" s="1">
        <v>106</v>
      </c>
    </row>
    <row r="323" spans="1:38" x14ac:dyDescent="0.2">
      <c r="A323" s="2" t="str">
        <f>HYPERLINK("https://www.compass.com/listing/252-south-street-unit-37j-manhattan-ny-10002/814563936306874473/","252 South St, Unit 37J")</f>
        <v>252 South St, Unit 37J</v>
      </c>
      <c r="B323" s="2" t="str">
        <f t="shared" ref="B323:B335" si="60">HYPERLINK("https://www.compass.com/building/one-manhattan-square-manhattan-ny/294844950218926165/","One Manhattan Square")</f>
        <v>One Manhattan Square</v>
      </c>
      <c r="C323" s="1" t="s">
        <v>66</v>
      </c>
      <c r="D323" s="1" t="s">
        <v>41</v>
      </c>
      <c r="E323" s="3">
        <v>1445000</v>
      </c>
      <c r="F323" s="1">
        <v>2079.13669064748</v>
      </c>
      <c r="G323" s="1">
        <v>3</v>
      </c>
      <c r="H323" s="1">
        <v>1</v>
      </c>
      <c r="I323" s="1">
        <v>1</v>
      </c>
      <c r="J323" s="1">
        <v>1</v>
      </c>
      <c r="K323" s="1">
        <v>1</v>
      </c>
      <c r="M323" s="1">
        <v>695</v>
      </c>
      <c r="N323" s="1">
        <v>845</v>
      </c>
      <c r="O323" s="1">
        <v>858</v>
      </c>
      <c r="P323" s="1">
        <v>13</v>
      </c>
      <c r="Q323" s="1" t="s">
        <v>42</v>
      </c>
      <c r="S323" s="1" t="s">
        <v>42</v>
      </c>
      <c r="T323" s="1" t="s">
        <v>157</v>
      </c>
      <c r="U323" s="1">
        <v>4</v>
      </c>
      <c r="V323" s="5">
        <v>44376</v>
      </c>
      <c r="W323" s="5">
        <v>44372</v>
      </c>
      <c r="X323" s="1">
        <v>1445000</v>
      </c>
      <c r="Z323" s="5">
        <v>44376</v>
      </c>
      <c r="AB323" s="1" t="s">
        <v>44</v>
      </c>
      <c r="AF323" s="1">
        <v>10002</v>
      </c>
      <c r="AI323" s="1" t="s">
        <v>163</v>
      </c>
      <c r="AJ323" s="1">
        <v>2019</v>
      </c>
      <c r="AK323" s="1" t="s">
        <v>73</v>
      </c>
      <c r="AL323" s="1">
        <v>787</v>
      </c>
    </row>
    <row r="324" spans="1:38" x14ac:dyDescent="0.2">
      <c r="A324" s="2" t="str">
        <f>HYPERLINK("https://www.compass.com/listing/252-south-street-unit-60b-manhattan-ny-10002/810730812455624849/","252 South St, Unit 60B")</f>
        <v>252 South St, Unit 60B</v>
      </c>
      <c r="B324" s="2" t="str">
        <f t="shared" si="60"/>
        <v>One Manhattan Square</v>
      </c>
      <c r="C324" s="1" t="s">
        <v>66</v>
      </c>
      <c r="D324" s="1" t="s">
        <v>41</v>
      </c>
      <c r="E324" s="3">
        <v>2889000</v>
      </c>
      <c r="F324" s="1">
        <v>2794.0038684719502</v>
      </c>
      <c r="G324" s="1">
        <v>4</v>
      </c>
      <c r="H324" s="1">
        <v>2</v>
      </c>
      <c r="I324" s="1">
        <v>2</v>
      </c>
      <c r="J324" s="1">
        <v>2</v>
      </c>
      <c r="K324" s="1">
        <v>2</v>
      </c>
      <c r="M324" s="4">
        <v>1034</v>
      </c>
      <c r="N324" s="1">
        <v>1390</v>
      </c>
      <c r="O324" s="1">
        <v>1412</v>
      </c>
      <c r="P324" s="1">
        <v>22</v>
      </c>
      <c r="Q324" s="1" t="s">
        <v>42</v>
      </c>
      <c r="S324" s="1" t="s">
        <v>42</v>
      </c>
      <c r="T324" s="1" t="s">
        <v>157</v>
      </c>
      <c r="U324" s="1">
        <v>2</v>
      </c>
      <c r="V324" s="5">
        <v>44385</v>
      </c>
      <c r="W324" s="5">
        <v>44368</v>
      </c>
      <c r="X324" s="1">
        <v>2889000</v>
      </c>
      <c r="Z324" s="5">
        <v>44370</v>
      </c>
      <c r="AB324" s="1" t="s">
        <v>44</v>
      </c>
      <c r="AF324" s="1">
        <v>10002</v>
      </c>
      <c r="AI324" s="1" t="s">
        <v>163</v>
      </c>
      <c r="AJ324" s="1">
        <v>2019</v>
      </c>
      <c r="AK324" s="1" t="s">
        <v>73</v>
      </c>
      <c r="AL324" s="1">
        <v>787</v>
      </c>
    </row>
    <row r="325" spans="1:38" x14ac:dyDescent="0.2">
      <c r="A325" s="2" t="str">
        <f>HYPERLINK("https://www.compass.com/listing/252-south-street-unit-57a-manhattan-ny-10002/786169881673503609/","252 South St, Unit 57A")</f>
        <v>252 South St, Unit 57A</v>
      </c>
      <c r="B325" s="2" t="str">
        <f t="shared" si="60"/>
        <v>One Manhattan Square</v>
      </c>
      <c r="C325" s="1" t="s">
        <v>66</v>
      </c>
      <c r="D325" s="1" t="s">
        <v>41</v>
      </c>
      <c r="E325" s="3">
        <v>3068000</v>
      </c>
      <c r="F325" s="1">
        <v>2638.0051590713601</v>
      </c>
      <c r="G325" s="1">
        <v>4</v>
      </c>
      <c r="H325" s="1">
        <v>2</v>
      </c>
      <c r="I325" s="1">
        <v>2</v>
      </c>
      <c r="J325" s="1">
        <v>2</v>
      </c>
      <c r="K325" s="1">
        <v>2</v>
      </c>
      <c r="M325" s="4">
        <v>1163</v>
      </c>
      <c r="N325" s="1">
        <v>1538</v>
      </c>
      <c r="O325" s="1">
        <v>1562</v>
      </c>
      <c r="P325" s="1">
        <v>24</v>
      </c>
      <c r="Q325" s="1" t="s">
        <v>42</v>
      </c>
      <c r="S325" s="1" t="s">
        <v>42</v>
      </c>
      <c r="T325" s="1" t="s">
        <v>157</v>
      </c>
      <c r="U325" s="1">
        <v>14</v>
      </c>
      <c r="V325" s="5">
        <v>44351</v>
      </c>
      <c r="W325" s="5">
        <v>44337</v>
      </c>
      <c r="X325" s="1">
        <v>3068000</v>
      </c>
      <c r="Z325" s="5">
        <v>44351</v>
      </c>
      <c r="AB325" s="1" t="s">
        <v>44</v>
      </c>
      <c r="AF325" s="1">
        <v>10002</v>
      </c>
      <c r="AI325" s="1" t="s">
        <v>163</v>
      </c>
      <c r="AJ325" s="1">
        <v>2019</v>
      </c>
      <c r="AK325" s="1" t="s">
        <v>73</v>
      </c>
      <c r="AL325" s="1">
        <v>787</v>
      </c>
    </row>
    <row r="326" spans="1:38" x14ac:dyDescent="0.2">
      <c r="A326" s="2" t="str">
        <f>HYPERLINK("https://www.compass.com/listing/252-south-street-unit-37b-manhattan-ny-10002/773764560807801161/","252 South St, Unit 37B")</f>
        <v>252 South St, Unit 37B</v>
      </c>
      <c r="B326" s="2" t="str">
        <f t="shared" si="60"/>
        <v>One Manhattan Square</v>
      </c>
      <c r="C326" s="1" t="s">
        <v>66</v>
      </c>
      <c r="D326" s="1" t="s">
        <v>41</v>
      </c>
      <c r="E326" s="3">
        <v>2324000</v>
      </c>
      <c r="F326" s="1">
        <v>2223.9234449760702</v>
      </c>
      <c r="G326" s="1">
        <v>4</v>
      </c>
      <c r="H326" s="1">
        <v>2</v>
      </c>
      <c r="I326" s="1">
        <v>2</v>
      </c>
      <c r="J326" s="1">
        <v>2</v>
      </c>
      <c r="K326" s="1">
        <v>2</v>
      </c>
      <c r="M326" s="4">
        <v>1045</v>
      </c>
      <c r="N326" s="1">
        <v>1270</v>
      </c>
      <c r="O326" s="1">
        <v>1290</v>
      </c>
      <c r="P326" s="1">
        <v>20</v>
      </c>
      <c r="Q326" s="1" t="s">
        <v>42</v>
      </c>
      <c r="S326" s="1" t="s">
        <v>42</v>
      </c>
      <c r="T326" s="1" t="s">
        <v>157</v>
      </c>
      <c r="V326" s="5">
        <v>44319</v>
      </c>
      <c r="W326" s="5">
        <v>44319</v>
      </c>
      <c r="X326" s="1">
        <v>2324000</v>
      </c>
      <c r="Z326" s="5">
        <v>44319</v>
      </c>
      <c r="AB326" s="1" t="s">
        <v>44</v>
      </c>
      <c r="AF326" s="1">
        <v>10002</v>
      </c>
      <c r="AI326" s="1" t="s">
        <v>163</v>
      </c>
      <c r="AJ326" s="1">
        <v>2019</v>
      </c>
      <c r="AK326" s="1" t="s">
        <v>73</v>
      </c>
      <c r="AL326" s="1">
        <v>787</v>
      </c>
    </row>
    <row r="327" spans="1:38" x14ac:dyDescent="0.2">
      <c r="A327" s="2" t="str">
        <f>HYPERLINK("https://www.compass.com/listing/252-south-street-unit-22f-manhattan-ny-10002/797181197707796601/","252 South St, Unit 22F")</f>
        <v>252 South St, Unit 22F</v>
      </c>
      <c r="B327" s="2" t="str">
        <f t="shared" si="60"/>
        <v>One Manhattan Square</v>
      </c>
      <c r="C327" s="1" t="s">
        <v>66</v>
      </c>
      <c r="D327" s="1" t="s">
        <v>41</v>
      </c>
      <c r="E327" s="3">
        <v>1210000</v>
      </c>
      <c r="F327" s="1">
        <v>1741.0071942446</v>
      </c>
      <c r="G327" s="1">
        <v>3</v>
      </c>
      <c r="H327" s="1">
        <v>1</v>
      </c>
      <c r="I327" s="1">
        <v>1</v>
      </c>
      <c r="J327" s="1">
        <v>1</v>
      </c>
      <c r="K327" s="1">
        <v>1</v>
      </c>
      <c r="M327" s="1">
        <v>695</v>
      </c>
      <c r="N327" s="1">
        <v>793</v>
      </c>
      <c r="O327" s="1">
        <v>806</v>
      </c>
      <c r="P327" s="1">
        <v>13</v>
      </c>
      <c r="Q327" s="1" t="s">
        <v>42</v>
      </c>
      <c r="S327" s="1" t="s">
        <v>42</v>
      </c>
      <c r="T327" s="1" t="s">
        <v>157</v>
      </c>
      <c r="U327" s="1">
        <v>195</v>
      </c>
      <c r="V327" s="5">
        <v>44423</v>
      </c>
      <c r="W327" s="5">
        <v>44183</v>
      </c>
      <c r="X327" s="1">
        <v>1210000</v>
      </c>
      <c r="Z327" s="5">
        <v>44378</v>
      </c>
      <c r="AB327" s="1" t="s">
        <v>44</v>
      </c>
      <c r="AF327" s="1">
        <v>10002</v>
      </c>
      <c r="AI327" s="1" t="s">
        <v>113</v>
      </c>
      <c r="AJ327" s="1">
        <v>2019</v>
      </c>
      <c r="AK327" s="1" t="s">
        <v>73</v>
      </c>
      <c r="AL327" s="1">
        <v>787</v>
      </c>
    </row>
    <row r="328" spans="1:38" x14ac:dyDescent="0.2">
      <c r="A328" s="2" t="str">
        <f>HYPERLINK("https://www.compass.com/listing/252-south-street-unit-47c-manhattan-ny-10002/821070091925449473/","252 South St, Unit 47C")</f>
        <v>252 South St, Unit 47C</v>
      </c>
      <c r="B328" s="2" t="str">
        <f t="shared" si="60"/>
        <v>One Manhattan Square</v>
      </c>
      <c r="C328" s="1" t="s">
        <v>66</v>
      </c>
      <c r="D328" s="1" t="s">
        <v>41</v>
      </c>
      <c r="E328" s="3">
        <v>3260000</v>
      </c>
      <c r="F328" s="1">
        <v>2192.3335574983098</v>
      </c>
      <c r="G328" s="1">
        <v>5</v>
      </c>
      <c r="H328" s="1">
        <v>3</v>
      </c>
      <c r="I328" s="1">
        <v>3</v>
      </c>
      <c r="J328" s="1">
        <v>3</v>
      </c>
      <c r="K328" s="1">
        <v>3</v>
      </c>
      <c r="M328" s="4">
        <v>1487</v>
      </c>
      <c r="N328" s="1">
        <v>1888</v>
      </c>
      <c r="O328" s="1">
        <v>1918</v>
      </c>
      <c r="P328" s="1">
        <v>30</v>
      </c>
      <c r="Q328" s="1" t="s">
        <v>42</v>
      </c>
      <c r="S328" s="1" t="s">
        <v>42</v>
      </c>
      <c r="T328" s="1" t="s">
        <v>157</v>
      </c>
      <c r="U328" s="1">
        <v>55</v>
      </c>
      <c r="V328" s="5">
        <v>44385</v>
      </c>
      <c r="W328" s="5">
        <v>44330</v>
      </c>
      <c r="X328" s="1">
        <v>3260000</v>
      </c>
      <c r="Z328" s="5">
        <v>44385</v>
      </c>
      <c r="AB328" s="1" t="s">
        <v>44</v>
      </c>
      <c r="AF328" s="1">
        <v>10002</v>
      </c>
      <c r="AI328" s="1" t="s">
        <v>163</v>
      </c>
      <c r="AJ328" s="1">
        <v>2019</v>
      </c>
      <c r="AK328" s="1" t="s">
        <v>73</v>
      </c>
      <c r="AL328" s="1">
        <v>787</v>
      </c>
    </row>
    <row r="329" spans="1:38" x14ac:dyDescent="0.2">
      <c r="A329" s="2" t="str">
        <f>HYPERLINK("https://www.compass.com/listing/252-south-street-unit-11h-manhattan-ny-10002/698864042069608409/","252 South St, Unit 11H")</f>
        <v>252 South St, Unit 11H</v>
      </c>
      <c r="B329" s="2" t="str">
        <f t="shared" si="60"/>
        <v>One Manhattan Square</v>
      </c>
      <c r="C329" s="1" t="s">
        <v>66</v>
      </c>
      <c r="D329" s="1" t="s">
        <v>41</v>
      </c>
      <c r="E329" s="3">
        <v>1855000</v>
      </c>
      <c r="F329" s="1">
        <v>1604.67128027681</v>
      </c>
      <c r="G329" s="1">
        <v>4</v>
      </c>
      <c r="H329" s="1">
        <v>2</v>
      </c>
      <c r="I329" s="1">
        <v>2</v>
      </c>
      <c r="J329" s="1">
        <v>2</v>
      </c>
      <c r="K329" s="1">
        <v>2</v>
      </c>
      <c r="M329" s="4">
        <v>1156</v>
      </c>
      <c r="N329" s="1">
        <v>1258</v>
      </c>
      <c r="O329" s="1">
        <v>1278</v>
      </c>
      <c r="P329" s="1">
        <v>20</v>
      </c>
      <c r="Q329" s="1" t="s">
        <v>42</v>
      </c>
      <c r="S329" s="1" t="s">
        <v>42</v>
      </c>
      <c r="T329" s="1" t="s">
        <v>157</v>
      </c>
      <c r="U329" s="1">
        <v>163</v>
      </c>
      <c r="V329" s="5">
        <v>44423</v>
      </c>
      <c r="W329" s="5">
        <v>44215</v>
      </c>
      <c r="X329" s="1">
        <v>1855000</v>
      </c>
      <c r="Z329" s="5">
        <v>44379</v>
      </c>
      <c r="AB329" s="1" t="s">
        <v>44</v>
      </c>
      <c r="AF329" s="1">
        <v>10002</v>
      </c>
      <c r="AI329" s="1" t="s">
        <v>113</v>
      </c>
      <c r="AJ329" s="1">
        <v>2019</v>
      </c>
      <c r="AK329" s="1" t="s">
        <v>73</v>
      </c>
      <c r="AL329" s="1">
        <v>787</v>
      </c>
    </row>
    <row r="330" spans="1:38" x14ac:dyDescent="0.2">
      <c r="A330" s="2" t="str">
        <f>HYPERLINK("https://www.compass.com/listing/252-south-street-unit-62b-manhattan-ny-10002/760107358279684681/","252 South St, Unit 62B")</f>
        <v>252 South St, Unit 62B</v>
      </c>
      <c r="B330" s="2" t="str">
        <f t="shared" si="60"/>
        <v>One Manhattan Square</v>
      </c>
      <c r="C330" s="1" t="s">
        <v>66</v>
      </c>
      <c r="D330" s="1" t="s">
        <v>41</v>
      </c>
      <c r="E330" s="3">
        <v>2663000</v>
      </c>
      <c r="F330" s="1">
        <v>2575.4352030947698</v>
      </c>
      <c r="G330" s="1">
        <v>4</v>
      </c>
      <c r="H330" s="1">
        <v>2</v>
      </c>
      <c r="I330" s="1">
        <v>2</v>
      </c>
      <c r="J330" s="1">
        <v>2</v>
      </c>
      <c r="K330" s="1">
        <v>2</v>
      </c>
      <c r="M330" s="4">
        <v>1034</v>
      </c>
      <c r="N330" s="1">
        <v>1401</v>
      </c>
      <c r="O330" s="1">
        <v>1423</v>
      </c>
      <c r="P330" s="1">
        <v>22</v>
      </c>
      <c r="Q330" s="1" t="s">
        <v>42</v>
      </c>
      <c r="S330" s="1" t="s">
        <v>42</v>
      </c>
      <c r="T330" s="1" t="s">
        <v>157</v>
      </c>
      <c r="U330" s="1">
        <v>1</v>
      </c>
      <c r="V330" s="5">
        <v>44302</v>
      </c>
      <c r="W330" s="5">
        <v>44301</v>
      </c>
      <c r="X330" s="1">
        <v>2663000</v>
      </c>
      <c r="Z330" s="5">
        <v>44302</v>
      </c>
      <c r="AB330" s="1" t="s">
        <v>44</v>
      </c>
      <c r="AF330" s="1">
        <v>10002</v>
      </c>
      <c r="AI330" s="1" t="s">
        <v>163</v>
      </c>
      <c r="AJ330" s="1">
        <v>2019</v>
      </c>
      <c r="AK330" s="1" t="s">
        <v>73</v>
      </c>
      <c r="AL330" s="1">
        <v>787</v>
      </c>
    </row>
    <row r="331" spans="1:38" x14ac:dyDescent="0.2">
      <c r="A331" s="2" t="str">
        <f>HYPERLINK("https://www.compass.com/listing/252-south-street-unit-35b-manhattan-ny-10002/766635183858778513/","252 South St, Unit 35B")</f>
        <v>252 South St, Unit 35B</v>
      </c>
      <c r="B331" s="2" t="str">
        <f t="shared" si="60"/>
        <v>One Manhattan Square</v>
      </c>
      <c r="C331" s="1" t="s">
        <v>66</v>
      </c>
      <c r="D331" s="1" t="s">
        <v>41</v>
      </c>
      <c r="E331" s="3">
        <v>2314000</v>
      </c>
      <c r="F331" s="1">
        <v>2214.3540669856402</v>
      </c>
      <c r="G331" s="1">
        <v>4</v>
      </c>
      <c r="H331" s="1">
        <v>2</v>
      </c>
      <c r="I331" s="1">
        <v>2</v>
      </c>
      <c r="J331" s="1">
        <v>2</v>
      </c>
      <c r="K331" s="1">
        <v>2</v>
      </c>
      <c r="M331" s="4">
        <v>1045</v>
      </c>
      <c r="N331" s="1">
        <v>1260</v>
      </c>
      <c r="O331" s="1">
        <v>1280</v>
      </c>
      <c r="P331" s="1">
        <v>20</v>
      </c>
      <c r="Q331" s="1" t="s">
        <v>42</v>
      </c>
      <c r="S331" s="1" t="s">
        <v>42</v>
      </c>
      <c r="T331" s="1" t="s">
        <v>157</v>
      </c>
      <c r="U331" s="1">
        <v>6</v>
      </c>
      <c r="V331" s="5">
        <v>44310</v>
      </c>
      <c r="W331" s="5">
        <v>44303</v>
      </c>
      <c r="X331" s="1">
        <v>2314000</v>
      </c>
      <c r="Z331" s="5">
        <v>44310</v>
      </c>
      <c r="AB331" s="1" t="s">
        <v>44</v>
      </c>
      <c r="AF331" s="1">
        <v>10002</v>
      </c>
      <c r="AI331" s="1" t="s">
        <v>163</v>
      </c>
      <c r="AJ331" s="1">
        <v>2019</v>
      </c>
      <c r="AK331" s="1" t="s">
        <v>73</v>
      </c>
      <c r="AL331" s="1">
        <v>787</v>
      </c>
    </row>
    <row r="332" spans="1:38" x14ac:dyDescent="0.2">
      <c r="A332" s="2" t="str">
        <f>HYPERLINK("https://www.compass.com/listing/252-south-street-unit-41g-manhattan-ny-10002/801629605945092377/","252 South St, Unit 41G")</f>
        <v>252 South St, Unit 41G</v>
      </c>
      <c r="B332" s="2" t="str">
        <f t="shared" si="60"/>
        <v>One Manhattan Square</v>
      </c>
      <c r="C332" s="1" t="s">
        <v>66</v>
      </c>
      <c r="D332" s="1" t="s">
        <v>41</v>
      </c>
      <c r="E332" s="3">
        <v>2290000</v>
      </c>
      <c r="F332" s="1">
        <v>1980.9688581314799</v>
      </c>
      <c r="G332" s="1">
        <v>5</v>
      </c>
      <c r="H332" s="1">
        <v>2</v>
      </c>
      <c r="I332" s="1">
        <v>2</v>
      </c>
      <c r="J332" s="1">
        <v>2</v>
      </c>
      <c r="K332" s="1">
        <v>2</v>
      </c>
      <c r="M332" s="4">
        <v>1156</v>
      </c>
      <c r="N332" s="1">
        <v>1437</v>
      </c>
      <c r="O332" s="1">
        <v>1460</v>
      </c>
      <c r="P332" s="1">
        <v>23</v>
      </c>
      <c r="Q332" s="1" t="s">
        <v>42</v>
      </c>
      <c r="S332" s="1" t="s">
        <v>42</v>
      </c>
      <c r="T332" s="1" t="s">
        <v>157</v>
      </c>
      <c r="U332" s="1">
        <v>190</v>
      </c>
      <c r="V332" s="5">
        <v>44418</v>
      </c>
      <c r="W332" s="5">
        <v>44183</v>
      </c>
      <c r="X332" s="1">
        <v>2290000</v>
      </c>
      <c r="Z332" s="5">
        <v>44374</v>
      </c>
      <c r="AB332" s="1" t="s">
        <v>44</v>
      </c>
      <c r="AF332" s="1">
        <v>10002</v>
      </c>
      <c r="AI332" s="1" t="s">
        <v>113</v>
      </c>
      <c r="AJ332" s="1">
        <v>2019</v>
      </c>
      <c r="AK332" s="1" t="s">
        <v>73</v>
      </c>
      <c r="AL332" s="1">
        <v>787</v>
      </c>
    </row>
    <row r="333" spans="1:38" x14ac:dyDescent="0.2">
      <c r="A333" s="2" t="str">
        <f>HYPERLINK("https://www.compass.com/listing/252-south-street-unit-19h-manhattan-ny-10002/530642584010553025/","252 South St, Unit 19H")</f>
        <v>252 South St, Unit 19H</v>
      </c>
      <c r="B333" s="2" t="str">
        <f t="shared" si="60"/>
        <v>One Manhattan Square</v>
      </c>
      <c r="C333" s="1" t="s">
        <v>66</v>
      </c>
      <c r="D333" s="1" t="s">
        <v>41</v>
      </c>
      <c r="E333" s="3">
        <v>2137000</v>
      </c>
      <c r="F333" s="1">
        <v>1848.6159169550101</v>
      </c>
      <c r="G333" s="1">
        <v>5</v>
      </c>
      <c r="H333" s="1">
        <v>2</v>
      </c>
      <c r="I333" s="1">
        <v>2</v>
      </c>
      <c r="J333" s="1">
        <v>2</v>
      </c>
      <c r="K333" s="1">
        <v>2</v>
      </c>
      <c r="M333" s="4">
        <v>1156</v>
      </c>
      <c r="N333" s="1">
        <v>1294</v>
      </c>
      <c r="O333" s="1">
        <v>1314</v>
      </c>
      <c r="P333" s="1">
        <v>20</v>
      </c>
      <c r="Q333" s="1" t="s">
        <v>42</v>
      </c>
      <c r="S333" s="1" t="s">
        <v>42</v>
      </c>
      <c r="T333" s="1" t="s">
        <v>157</v>
      </c>
      <c r="U333" s="1">
        <v>54</v>
      </c>
      <c r="V333" s="5">
        <v>44113</v>
      </c>
      <c r="W333" s="5">
        <v>43984</v>
      </c>
      <c r="X333" s="1">
        <v>2137000</v>
      </c>
      <c r="Z333" s="5">
        <v>44097</v>
      </c>
      <c r="AB333" s="1" t="s">
        <v>44</v>
      </c>
      <c r="AF333" s="1">
        <v>10002</v>
      </c>
      <c r="AI333" s="1" t="s">
        <v>163</v>
      </c>
      <c r="AJ333" s="1">
        <v>2019</v>
      </c>
      <c r="AK333" s="1" t="s">
        <v>73</v>
      </c>
      <c r="AL333" s="1">
        <v>787</v>
      </c>
    </row>
    <row r="334" spans="1:38" x14ac:dyDescent="0.2">
      <c r="A334" s="2" t="str">
        <f>HYPERLINK("https://www.compass.com/listing/252-south-street-unit-59j-manhattan-ny-10002/576794824819560233/","252 South St, Unit 59J")</f>
        <v>252 South St, Unit 59J</v>
      </c>
      <c r="B334" s="2" t="str">
        <f t="shared" si="60"/>
        <v>One Manhattan Square</v>
      </c>
      <c r="C334" s="1" t="s">
        <v>66</v>
      </c>
      <c r="D334" s="1" t="s">
        <v>41</v>
      </c>
      <c r="E334" s="3">
        <v>4950000</v>
      </c>
      <c r="F334" s="1">
        <v>2109.0754154239398</v>
      </c>
      <c r="G334" s="1">
        <v>6</v>
      </c>
      <c r="H334" s="1">
        <v>3</v>
      </c>
      <c r="I334" s="1">
        <v>4</v>
      </c>
      <c r="J334" s="1">
        <v>3.5</v>
      </c>
      <c r="K334" s="1">
        <v>3</v>
      </c>
      <c r="L334" s="1">
        <v>1</v>
      </c>
      <c r="M334" s="4">
        <v>2347</v>
      </c>
      <c r="N334" s="1">
        <v>3137</v>
      </c>
      <c r="O334" s="1">
        <v>3187</v>
      </c>
      <c r="P334" s="1">
        <v>50</v>
      </c>
      <c r="Q334" s="1" t="s">
        <v>42</v>
      </c>
      <c r="S334" s="1" t="s">
        <v>42</v>
      </c>
      <c r="T334" s="1" t="s">
        <v>157</v>
      </c>
      <c r="U334" s="1">
        <v>135</v>
      </c>
      <c r="V334" s="5">
        <v>44398</v>
      </c>
      <c r="W334" s="5">
        <v>44048</v>
      </c>
      <c r="X334" s="1">
        <v>6629000</v>
      </c>
      <c r="Z334" s="5">
        <v>44398</v>
      </c>
      <c r="AB334" s="1" t="s">
        <v>44</v>
      </c>
      <c r="AF334" s="1">
        <v>10002</v>
      </c>
      <c r="AI334" s="1" t="s">
        <v>163</v>
      </c>
      <c r="AJ334" s="1">
        <v>2019</v>
      </c>
      <c r="AK334" s="1" t="s">
        <v>73</v>
      </c>
      <c r="AL334" s="1">
        <v>787</v>
      </c>
    </row>
    <row r="335" spans="1:38" x14ac:dyDescent="0.2">
      <c r="A335" s="2" t="str">
        <f>HYPERLINK("https://www.compass.com/listing/252-south-street-unit-7f-manhattan-ny-10002/710237312679557361/","252 South St, Unit 7F")</f>
        <v>252 South St, Unit 7F</v>
      </c>
      <c r="B335" s="2" t="str">
        <f t="shared" si="60"/>
        <v>One Manhattan Square</v>
      </c>
      <c r="C335" s="1" t="s">
        <v>66</v>
      </c>
      <c r="D335" s="1" t="s">
        <v>41</v>
      </c>
      <c r="E335" s="3">
        <v>1090000</v>
      </c>
      <c r="F335" s="1">
        <v>1568.3453237409999</v>
      </c>
      <c r="G335" s="1">
        <v>3</v>
      </c>
      <c r="H335" s="1">
        <v>1</v>
      </c>
      <c r="I335" s="1">
        <v>1</v>
      </c>
      <c r="J335" s="1">
        <v>1</v>
      </c>
      <c r="K335" s="1">
        <v>1</v>
      </c>
      <c r="M335" s="1">
        <v>695</v>
      </c>
      <c r="N335" s="1">
        <v>741</v>
      </c>
      <c r="O335" s="1">
        <v>753</v>
      </c>
      <c r="P335" s="1">
        <v>12</v>
      </c>
      <c r="Q335" s="1" t="s">
        <v>42</v>
      </c>
      <c r="S335" s="1" t="s">
        <v>42</v>
      </c>
      <c r="T335" s="1" t="s">
        <v>157</v>
      </c>
      <c r="U335" s="1">
        <v>154</v>
      </c>
      <c r="V335" s="5">
        <v>44415</v>
      </c>
      <c r="W335" s="5">
        <v>44231</v>
      </c>
      <c r="X335" s="1">
        <v>1090000</v>
      </c>
      <c r="Z335" s="5">
        <v>44386</v>
      </c>
      <c r="AB335" s="1" t="s">
        <v>44</v>
      </c>
      <c r="AF335" s="1">
        <v>10002</v>
      </c>
      <c r="AI335" s="1" t="s">
        <v>113</v>
      </c>
      <c r="AJ335" s="1">
        <v>2019</v>
      </c>
      <c r="AK335" s="1" t="s">
        <v>73</v>
      </c>
      <c r="AL335" s="1">
        <v>787</v>
      </c>
    </row>
    <row r="336" spans="1:38" x14ac:dyDescent="0.2">
      <c r="A336" s="2" t="str">
        <f>HYPERLINK("https://www.compass.com/listing/32-east-1st-street-unit-6d-manhattan-ny-10003/677685713923508657/","32 E 1st St, Unit 6D")</f>
        <v>32 E 1st St, Unit 6D</v>
      </c>
      <c r="B336" s="2" t="str">
        <f>HYPERLINK("https://www.compass.com/building/32-east-1st-street-manhattan-ny/292783157810310133/","32 East 1st Street")</f>
        <v>32 East 1st Street</v>
      </c>
      <c r="C336" s="1" t="s">
        <v>89</v>
      </c>
      <c r="D336" s="1" t="s">
        <v>41</v>
      </c>
      <c r="E336" s="3">
        <v>3250000</v>
      </c>
      <c r="F336" s="1">
        <v>2557.0416994492498</v>
      </c>
      <c r="G336" s="1">
        <v>4</v>
      </c>
      <c r="H336" s="1">
        <v>2</v>
      </c>
      <c r="I336" s="1">
        <v>2</v>
      </c>
      <c r="J336" s="1">
        <v>2</v>
      </c>
      <c r="K336" s="1">
        <v>2</v>
      </c>
      <c r="M336" s="4">
        <v>1271</v>
      </c>
      <c r="N336" s="1">
        <v>1677</v>
      </c>
      <c r="O336" s="1">
        <v>4212</v>
      </c>
      <c r="P336" s="1">
        <v>2535</v>
      </c>
      <c r="Q336" s="1" t="s">
        <v>42</v>
      </c>
      <c r="S336" s="1" t="s">
        <v>42</v>
      </c>
      <c r="T336" s="1" t="s">
        <v>157</v>
      </c>
      <c r="U336" s="1">
        <v>217</v>
      </c>
      <c r="V336" s="5">
        <v>44404</v>
      </c>
      <c r="W336" s="5">
        <v>44186</v>
      </c>
      <c r="X336" s="1">
        <v>3250000</v>
      </c>
      <c r="Z336" s="5">
        <v>44404</v>
      </c>
      <c r="AB336" s="1" t="s">
        <v>44</v>
      </c>
      <c r="AF336" s="1">
        <v>10003</v>
      </c>
      <c r="AI336" s="1" t="s">
        <v>53</v>
      </c>
      <c r="AJ336" s="1">
        <v>2019</v>
      </c>
      <c r="AK336" s="1" t="s">
        <v>49</v>
      </c>
      <c r="AL336" s="1">
        <v>30</v>
      </c>
    </row>
    <row r="339" spans="1:39" x14ac:dyDescent="0.2">
      <c r="A339" s="1" t="s">
        <v>168</v>
      </c>
    </row>
    <row r="340" spans="1:39" x14ac:dyDescent="0.2">
      <c r="A340" s="1" t="s">
        <v>1</v>
      </c>
      <c r="B340" s="1" t="s">
        <v>2</v>
      </c>
      <c r="C340" s="1" t="s">
        <v>3</v>
      </c>
      <c r="D340" s="1" t="s">
        <v>4</v>
      </c>
      <c r="E340" s="1" t="s">
        <v>5</v>
      </c>
      <c r="F340" s="1" t="s">
        <v>6</v>
      </c>
      <c r="G340" s="1" t="s">
        <v>7</v>
      </c>
      <c r="H340" s="1" t="s">
        <v>8</v>
      </c>
      <c r="I340" s="1" t="s">
        <v>9</v>
      </c>
      <c r="J340" s="1" t="s">
        <v>10</v>
      </c>
      <c r="K340" s="1" t="s">
        <v>11</v>
      </c>
      <c r="L340" s="1" t="s">
        <v>12</v>
      </c>
      <c r="M340" s="1" t="s">
        <v>13</v>
      </c>
      <c r="N340" s="1" t="s">
        <v>14</v>
      </c>
      <c r="O340" s="1" t="s">
        <v>15</v>
      </c>
      <c r="P340" s="1" t="s">
        <v>16</v>
      </c>
      <c r="Q340" s="1" t="s">
        <v>17</v>
      </c>
      <c r="R340" s="1" t="s">
        <v>18</v>
      </c>
      <c r="S340" s="1" t="s">
        <v>19</v>
      </c>
      <c r="T340" s="1" t="s">
        <v>20</v>
      </c>
      <c r="U340" s="1" t="s">
        <v>21</v>
      </c>
      <c r="V340" s="1" t="s">
        <v>22</v>
      </c>
      <c r="W340" s="1" t="s">
        <v>23</v>
      </c>
      <c r="X340" s="1" t="s">
        <v>24</v>
      </c>
      <c r="Y340" s="1" t="s">
        <v>25</v>
      </c>
      <c r="Z340" s="1" t="s">
        <v>26</v>
      </c>
      <c r="AA340" s="1" t="s">
        <v>27</v>
      </c>
      <c r="AB340" s="1" t="s">
        <v>28</v>
      </c>
      <c r="AC340" s="1" t="s">
        <v>29</v>
      </c>
      <c r="AD340" s="1" t="s">
        <v>30</v>
      </c>
      <c r="AE340" s="1" t="s">
        <v>31</v>
      </c>
      <c r="AF340" s="1" t="s">
        <v>32</v>
      </c>
      <c r="AG340" s="1" t="s">
        <v>33</v>
      </c>
      <c r="AH340" s="1" t="s">
        <v>34</v>
      </c>
      <c r="AI340" s="1" t="s">
        <v>35</v>
      </c>
      <c r="AJ340" s="1" t="s">
        <v>36</v>
      </c>
      <c r="AK340" s="1" t="s">
        <v>37</v>
      </c>
      <c r="AL340" s="1" t="s">
        <v>38</v>
      </c>
      <c r="AM340" s="1" t="s">
        <v>39</v>
      </c>
    </row>
    <row r="341" spans="1:39" x14ac:dyDescent="0.2">
      <c r="A341" s="2" t="str">
        <f>HYPERLINK("https://www.compass.com/listing/100-barrow-street-unit-4d-manhattan-ny-10014/678296298176395713/","100 Barrow St, Unit 4D")</f>
        <v>100 Barrow St, Unit 4D</v>
      </c>
      <c r="B341" s="2" t="str">
        <f>HYPERLINK("https://www.compass.com/building/100-barrow-manhattan-ny/292834978184618837/","100 Barrow")</f>
        <v>100 Barrow</v>
      </c>
      <c r="C341" s="1" t="s">
        <v>71</v>
      </c>
      <c r="D341" s="1" t="s">
        <v>41</v>
      </c>
      <c r="E341" s="3">
        <v>3460000</v>
      </c>
      <c r="F341" s="1">
        <v>1937.2900335946199</v>
      </c>
      <c r="G341" s="1">
        <v>4</v>
      </c>
      <c r="H341" s="1">
        <v>2</v>
      </c>
      <c r="I341" s="1">
        <v>3</v>
      </c>
      <c r="J341" s="1">
        <v>3</v>
      </c>
      <c r="K341" s="1">
        <v>3</v>
      </c>
      <c r="M341" s="4">
        <v>1786</v>
      </c>
      <c r="N341" s="1">
        <v>5136</v>
      </c>
      <c r="O341" s="1">
        <v>5136</v>
      </c>
      <c r="Q341" s="1" t="s">
        <v>129</v>
      </c>
      <c r="S341" s="1" t="s">
        <v>169</v>
      </c>
      <c r="T341" s="1" t="s">
        <v>170</v>
      </c>
      <c r="U341" s="1">
        <v>30</v>
      </c>
      <c r="V341" s="5">
        <v>44265</v>
      </c>
      <c r="W341" s="5">
        <v>44188</v>
      </c>
      <c r="X341" s="1">
        <v>3600000</v>
      </c>
      <c r="Y341" s="1">
        <v>3600000</v>
      </c>
      <c r="Z341" s="5">
        <v>44218</v>
      </c>
      <c r="AA341" s="1">
        <v>3460000</v>
      </c>
      <c r="AB341" s="1" t="s">
        <v>171</v>
      </c>
      <c r="AC341" s="5">
        <v>44256</v>
      </c>
      <c r="AF341" s="1">
        <v>10014</v>
      </c>
      <c r="AJ341" s="1">
        <v>2015</v>
      </c>
      <c r="AK341" s="1" t="s">
        <v>172</v>
      </c>
      <c r="AL341" s="1">
        <v>33</v>
      </c>
    </row>
    <row r="342" spans="1:39" x14ac:dyDescent="0.2">
      <c r="A342" s="2" t="str">
        <f>HYPERLINK("https://www.compass.com/listing/30-park-place-unit-41c-manhattan-ny-10007/374533283517577713/","30 Park Pl, Unit 41C")</f>
        <v>30 Park Pl, Unit 41C</v>
      </c>
      <c r="B342" s="2" t="str">
        <f>HYPERLINK("https://www.compass.com/building/30-park-pl-manhattan-ny-10007/281896912905317605/","30 Park Pl")</f>
        <v>30 Park Pl</v>
      </c>
      <c r="C342" s="1" t="s">
        <v>40</v>
      </c>
      <c r="D342" s="1" t="s">
        <v>41</v>
      </c>
      <c r="E342" s="3">
        <v>2750000</v>
      </c>
      <c r="F342" s="1">
        <v>2481.9494584837498</v>
      </c>
      <c r="G342" s="1">
        <v>4</v>
      </c>
      <c r="H342" s="1">
        <v>1</v>
      </c>
      <c r="I342" s="1">
        <v>2</v>
      </c>
      <c r="J342" s="1">
        <v>1.5</v>
      </c>
      <c r="K342" s="1">
        <v>1</v>
      </c>
      <c r="L342" s="1">
        <v>1</v>
      </c>
      <c r="M342" s="4">
        <v>1108</v>
      </c>
      <c r="N342" s="1">
        <v>918.83</v>
      </c>
      <c r="O342" s="1">
        <v>3299.25</v>
      </c>
      <c r="P342" s="1">
        <v>2380.4166666666601</v>
      </c>
      <c r="S342" s="1" t="s">
        <v>42</v>
      </c>
      <c r="T342" s="1" t="s">
        <v>170</v>
      </c>
      <c r="U342" s="1">
        <v>51</v>
      </c>
      <c r="V342" s="5">
        <v>44172</v>
      </c>
      <c r="W342" s="5">
        <v>43769</v>
      </c>
      <c r="X342" s="1">
        <v>2750000</v>
      </c>
      <c r="Y342" s="1">
        <v>2750000</v>
      </c>
      <c r="Z342" s="5">
        <v>43820</v>
      </c>
      <c r="AA342" s="1">
        <v>2600000</v>
      </c>
      <c r="AB342" s="1" t="s">
        <v>173</v>
      </c>
      <c r="AC342" s="5">
        <v>43889</v>
      </c>
      <c r="AF342" s="1">
        <v>10007</v>
      </c>
      <c r="AI342" s="1" t="s">
        <v>84</v>
      </c>
      <c r="AJ342" s="1">
        <v>2016</v>
      </c>
      <c r="AK342" s="1" t="s">
        <v>46</v>
      </c>
      <c r="AL342" s="1">
        <v>157</v>
      </c>
    </row>
    <row r="343" spans="1:39" x14ac:dyDescent="0.2">
      <c r="A343" s="2" t="str">
        <f>HYPERLINK("https://www.compass.com/listing/100-barclay-street-unit-12j-manhattan-ny-10007/626844252103937913/","100 Barclay St, Unit 12J")</f>
        <v>100 Barclay St, Unit 12J</v>
      </c>
      <c r="B343" s="2" t="str">
        <f t="shared" ref="B343:B351" si="61">HYPERLINK("https://www.compass.com/building/100-barclay-manhattan-ny/281896670466155525/","100 Barclay")</f>
        <v>100 Barclay</v>
      </c>
      <c r="C343" s="1" t="s">
        <v>40</v>
      </c>
      <c r="D343" s="1" t="s">
        <v>41</v>
      </c>
      <c r="E343" s="3">
        <v>1799500</v>
      </c>
      <c r="F343" s="1">
        <v>1707.30550284629</v>
      </c>
      <c r="G343" s="1">
        <v>3.5</v>
      </c>
      <c r="H343" s="1">
        <v>1</v>
      </c>
      <c r="I343" s="1">
        <v>2</v>
      </c>
      <c r="J343" s="1">
        <v>1.5</v>
      </c>
      <c r="K343" s="1">
        <v>1</v>
      </c>
      <c r="L343" s="1">
        <v>1</v>
      </c>
      <c r="M343" s="4">
        <v>1054</v>
      </c>
      <c r="N343" s="1">
        <v>1519.57</v>
      </c>
      <c r="O343" s="1">
        <v>3045.55</v>
      </c>
      <c r="P343" s="1">
        <v>1526</v>
      </c>
      <c r="Q343" s="1" t="s">
        <v>42</v>
      </c>
      <c r="S343" s="1" t="s">
        <v>42</v>
      </c>
      <c r="T343" s="1" t="s">
        <v>170</v>
      </c>
      <c r="U343" s="1">
        <v>104</v>
      </c>
      <c r="V343" s="5">
        <v>44362</v>
      </c>
      <c r="W343" s="5">
        <v>44117</v>
      </c>
      <c r="X343" s="1">
        <v>1895000</v>
      </c>
      <c r="Y343" s="1">
        <v>1895000</v>
      </c>
      <c r="Z343" s="5">
        <v>44221</v>
      </c>
      <c r="AA343" s="1">
        <v>1799500</v>
      </c>
      <c r="AB343" s="1" t="s">
        <v>174</v>
      </c>
      <c r="AC343" s="5">
        <v>44341</v>
      </c>
      <c r="AF343" s="1">
        <v>10007</v>
      </c>
      <c r="AI343" s="1" t="s">
        <v>45</v>
      </c>
      <c r="AJ343" s="1">
        <v>1930</v>
      </c>
      <c r="AK343" s="1" t="s">
        <v>46</v>
      </c>
      <c r="AL343" s="1">
        <v>156</v>
      </c>
    </row>
    <row r="344" spans="1:39" x14ac:dyDescent="0.2">
      <c r="A344" s="2" t="str">
        <f>HYPERLINK("https://www.compass.com/listing/100-barclay-street-unit-15j-manhattan-ny-10007/110054945092281201/","100 Barclay St, Unit 15J")</f>
        <v>100 Barclay St, Unit 15J</v>
      </c>
      <c r="B344" s="2" t="str">
        <f t="shared" si="61"/>
        <v>100 Barclay</v>
      </c>
      <c r="C344" s="1" t="s">
        <v>40</v>
      </c>
      <c r="D344" s="1" t="s">
        <v>41</v>
      </c>
      <c r="E344" s="3">
        <v>2800000</v>
      </c>
      <c r="F344" s="1">
        <v>1985.8156028368701</v>
      </c>
      <c r="G344" s="1">
        <v>7</v>
      </c>
      <c r="H344" s="1">
        <v>2</v>
      </c>
      <c r="I344" s="1">
        <v>3</v>
      </c>
      <c r="J344" s="1">
        <v>2.5</v>
      </c>
      <c r="K344" s="1">
        <v>2</v>
      </c>
      <c r="L344" s="1">
        <v>1</v>
      </c>
      <c r="M344" s="4">
        <v>1410</v>
      </c>
      <c r="N344" s="1">
        <v>1688</v>
      </c>
      <c r="O344" s="1">
        <v>3567</v>
      </c>
      <c r="P344" s="1">
        <v>1879</v>
      </c>
      <c r="Q344" s="1" t="s">
        <v>42</v>
      </c>
      <c r="S344" s="1" t="s">
        <v>42</v>
      </c>
      <c r="T344" s="1" t="s">
        <v>170</v>
      </c>
      <c r="U344" s="1">
        <v>145</v>
      </c>
      <c r="V344" s="5">
        <v>43697</v>
      </c>
      <c r="W344" s="5">
        <v>43405</v>
      </c>
      <c r="X344" s="1">
        <v>2995000</v>
      </c>
      <c r="Y344" s="1">
        <v>2995000</v>
      </c>
      <c r="Z344" s="5">
        <v>43550</v>
      </c>
      <c r="AA344" s="1">
        <v>2800000</v>
      </c>
      <c r="AB344" s="1" t="s">
        <v>175</v>
      </c>
      <c r="AC344" s="5">
        <v>43616</v>
      </c>
      <c r="AF344" s="1">
        <v>10007</v>
      </c>
      <c r="AI344" s="1" t="s">
        <v>45</v>
      </c>
      <c r="AJ344" s="1">
        <v>1930</v>
      </c>
      <c r="AK344" s="1" t="s">
        <v>73</v>
      </c>
      <c r="AL344" s="1">
        <v>156</v>
      </c>
    </row>
    <row r="345" spans="1:39" x14ac:dyDescent="0.2">
      <c r="A345" s="2" t="str">
        <f>HYPERLINK("https://www.compass.com/listing/100-barclay-street-unit-13d-manhattan-ny-10007/558120377816249025/","100 Barclay St, Unit 13D")</f>
        <v>100 Barclay St, Unit 13D</v>
      </c>
      <c r="B345" s="2" t="str">
        <f t="shared" si="61"/>
        <v>100 Barclay</v>
      </c>
      <c r="C345" s="1" t="s">
        <v>40</v>
      </c>
      <c r="D345" s="1" t="s">
        <v>41</v>
      </c>
      <c r="E345" s="3">
        <v>2610000</v>
      </c>
      <c r="F345" s="1">
        <v>1643.5768261964699</v>
      </c>
      <c r="G345" s="1">
        <v>5</v>
      </c>
      <c r="H345" s="1">
        <v>2</v>
      </c>
      <c r="I345" s="1">
        <v>3</v>
      </c>
      <c r="J345" s="1">
        <v>2.5</v>
      </c>
      <c r="K345" s="1">
        <v>2</v>
      </c>
      <c r="L345" s="1">
        <v>1</v>
      </c>
      <c r="M345" s="4">
        <v>1588</v>
      </c>
      <c r="N345" s="1">
        <v>2526.42</v>
      </c>
      <c r="O345" s="1">
        <v>4641.42</v>
      </c>
      <c r="P345" s="1">
        <v>2115</v>
      </c>
      <c r="Q345" s="1" t="s">
        <v>42</v>
      </c>
      <c r="S345" s="1" t="s">
        <v>42</v>
      </c>
      <c r="T345" s="1" t="s">
        <v>170</v>
      </c>
      <c r="U345" s="1">
        <v>284</v>
      </c>
      <c r="V345" s="5">
        <v>44360</v>
      </c>
      <c r="W345" s="5">
        <v>44032</v>
      </c>
      <c r="X345" s="1">
        <v>3150000</v>
      </c>
      <c r="Y345" s="1">
        <v>2990000</v>
      </c>
      <c r="Z345" s="5">
        <v>44316</v>
      </c>
      <c r="AA345" s="1">
        <v>2610000</v>
      </c>
      <c r="AB345" s="1" t="s">
        <v>176</v>
      </c>
      <c r="AC345" s="5">
        <v>44354</v>
      </c>
      <c r="AF345" s="1">
        <v>10007</v>
      </c>
      <c r="AI345" s="1" t="s">
        <v>45</v>
      </c>
      <c r="AJ345" s="1">
        <v>1930</v>
      </c>
      <c r="AK345" s="1" t="s">
        <v>46</v>
      </c>
      <c r="AL345" s="1">
        <v>156</v>
      </c>
    </row>
    <row r="346" spans="1:39" x14ac:dyDescent="0.2">
      <c r="A346" s="2" t="str">
        <f>HYPERLINK("https://www.compass.com/listing/100-barclay-street-unit-15h-manhattan-ny-10007/4852350888011905297/","100 Barclay St, Unit 15H")</f>
        <v>100 Barclay St, Unit 15H</v>
      </c>
      <c r="B346" s="2" t="str">
        <f t="shared" si="61"/>
        <v>100 Barclay</v>
      </c>
      <c r="C346" s="1" t="s">
        <v>40</v>
      </c>
      <c r="D346" s="1" t="s">
        <v>41</v>
      </c>
      <c r="E346" s="3">
        <v>3103626</v>
      </c>
      <c r="F346" s="1">
        <v>1744.59021922428</v>
      </c>
      <c r="G346" s="1">
        <v>5</v>
      </c>
      <c r="H346" s="1">
        <v>2</v>
      </c>
      <c r="J346" s="1">
        <v>3</v>
      </c>
      <c r="M346" s="4">
        <v>1779</v>
      </c>
      <c r="N346" s="1">
        <v>2283</v>
      </c>
      <c r="O346" s="1">
        <v>4466</v>
      </c>
      <c r="P346" s="1">
        <v>2183</v>
      </c>
      <c r="Q346" s="1" t="s">
        <v>42</v>
      </c>
      <c r="S346" s="1" t="s">
        <v>42</v>
      </c>
      <c r="T346" s="1" t="s">
        <v>170</v>
      </c>
      <c r="U346" s="1">
        <v>33</v>
      </c>
      <c r="V346" s="5">
        <v>43701</v>
      </c>
      <c r="W346" s="5">
        <v>42664</v>
      </c>
      <c r="X346" s="1">
        <v>3550000</v>
      </c>
      <c r="Y346" s="1">
        <v>3350000</v>
      </c>
      <c r="Z346" s="5">
        <v>42478</v>
      </c>
      <c r="AA346" s="1">
        <v>3103626</v>
      </c>
      <c r="AB346" s="1" t="s">
        <v>177</v>
      </c>
      <c r="AC346" s="5">
        <v>42773</v>
      </c>
      <c r="AF346" s="1">
        <v>10007</v>
      </c>
      <c r="AI346" s="1" t="s">
        <v>45</v>
      </c>
      <c r="AJ346" s="1">
        <v>1930</v>
      </c>
      <c r="AK346" s="1" t="s">
        <v>46</v>
      </c>
      <c r="AL346" s="1">
        <v>156</v>
      </c>
    </row>
    <row r="347" spans="1:39" x14ac:dyDescent="0.2">
      <c r="A347" s="2" t="str">
        <f>HYPERLINK("https://www.compass.com/listing/100-barclay-street-unit-12n-manhattan-ny-10007/86144306275958865/","100 Barclay St, Unit 12N")</f>
        <v>100 Barclay St, Unit 12N</v>
      </c>
      <c r="B347" s="2" t="str">
        <f t="shared" si="61"/>
        <v>100 Barclay</v>
      </c>
      <c r="C347" s="1" t="s">
        <v>40</v>
      </c>
      <c r="D347" s="1" t="s">
        <v>41</v>
      </c>
      <c r="E347" s="3">
        <v>2875000</v>
      </c>
      <c r="F347" s="1">
        <v>1815.0252525252499</v>
      </c>
      <c r="G347" s="1">
        <v>5</v>
      </c>
      <c r="H347" s="1">
        <v>2</v>
      </c>
      <c r="I347" s="1">
        <v>3</v>
      </c>
      <c r="J347" s="1">
        <v>2.5</v>
      </c>
      <c r="K347" s="1">
        <v>2</v>
      </c>
      <c r="L347" s="1">
        <v>1</v>
      </c>
      <c r="M347" s="4">
        <v>1584</v>
      </c>
      <c r="N347" s="1">
        <v>2283</v>
      </c>
      <c r="O347" s="1">
        <v>4623</v>
      </c>
      <c r="P347" s="1">
        <v>2340</v>
      </c>
      <c r="Q347" s="1" t="s">
        <v>42</v>
      </c>
      <c r="S347" s="1" t="s">
        <v>42</v>
      </c>
      <c r="T347" s="1" t="s">
        <v>170</v>
      </c>
      <c r="U347" s="1">
        <v>292</v>
      </c>
      <c r="V347" s="5">
        <v>43754</v>
      </c>
      <c r="W347" s="5">
        <v>43371</v>
      </c>
      <c r="X347" s="1">
        <v>3295000</v>
      </c>
      <c r="Y347" s="1">
        <v>2995000</v>
      </c>
      <c r="Z347" s="5">
        <v>43664</v>
      </c>
      <c r="AA347" s="1">
        <v>2875000</v>
      </c>
      <c r="AB347" s="1" t="s">
        <v>178</v>
      </c>
      <c r="AC347" s="5">
        <v>43725</v>
      </c>
      <c r="AF347" s="1">
        <v>10007</v>
      </c>
      <c r="AI347" s="1" t="s">
        <v>45</v>
      </c>
      <c r="AJ347" s="1">
        <v>1930</v>
      </c>
      <c r="AK347" s="1" t="s">
        <v>73</v>
      </c>
      <c r="AL347" s="1">
        <v>156</v>
      </c>
    </row>
    <row r="348" spans="1:39" x14ac:dyDescent="0.2">
      <c r="A348" s="2" t="str">
        <f>HYPERLINK("https://www.compass.com/listing/100-barclay-street-unit-13h-manhattan-ny-10007/322401626534878625/","100 Barclay St, Unit 13H")</f>
        <v>100 Barclay St, Unit 13H</v>
      </c>
      <c r="B348" s="2" t="str">
        <f t="shared" si="61"/>
        <v>100 Barclay</v>
      </c>
      <c r="C348" s="1" t="s">
        <v>40</v>
      </c>
      <c r="D348" s="1" t="s">
        <v>41</v>
      </c>
      <c r="E348" s="3">
        <v>3250000</v>
      </c>
      <c r="F348" s="1">
        <v>1826.8690275435599</v>
      </c>
      <c r="G348" s="1">
        <v>5</v>
      </c>
      <c r="H348" s="1">
        <v>2</v>
      </c>
      <c r="I348" s="1">
        <v>3</v>
      </c>
      <c r="J348" s="1">
        <v>3</v>
      </c>
      <c r="K348" s="1">
        <v>3</v>
      </c>
      <c r="M348" s="4">
        <v>1779</v>
      </c>
      <c r="N348" s="1">
        <v>2564</v>
      </c>
      <c r="O348" s="1">
        <v>4738</v>
      </c>
      <c r="P348" s="1">
        <v>2174</v>
      </c>
      <c r="Q348" s="1" t="s">
        <v>42</v>
      </c>
      <c r="S348" s="1" t="s">
        <v>42</v>
      </c>
      <c r="T348" s="1" t="s">
        <v>170</v>
      </c>
      <c r="U348" s="1">
        <v>171</v>
      </c>
      <c r="V348" s="5">
        <v>44056</v>
      </c>
      <c r="W348" s="5">
        <v>43715</v>
      </c>
      <c r="X348" s="1">
        <v>3330000</v>
      </c>
      <c r="Y348" s="1">
        <v>3330000</v>
      </c>
      <c r="Z348" s="5">
        <v>43887</v>
      </c>
      <c r="AA348" s="1">
        <v>3250000</v>
      </c>
      <c r="AB348" s="1" t="s">
        <v>179</v>
      </c>
      <c r="AC348" s="5">
        <v>44029</v>
      </c>
      <c r="AF348" s="1">
        <v>10007</v>
      </c>
      <c r="AI348" s="1" t="s">
        <v>45</v>
      </c>
      <c r="AJ348" s="1">
        <v>1930</v>
      </c>
      <c r="AK348" s="1" t="s">
        <v>73</v>
      </c>
      <c r="AL348" s="1">
        <v>156</v>
      </c>
    </row>
    <row r="349" spans="1:39" x14ac:dyDescent="0.2">
      <c r="A349" s="2" t="str">
        <f>HYPERLINK("https://www.compass.com/listing/100-barclay-street-unit-17r-manhattan-ny-10007/731177623625947633/","100 Barclay St, Unit 17R")</f>
        <v>100 Barclay St, Unit 17R</v>
      </c>
      <c r="B349" s="2" t="str">
        <f t="shared" si="61"/>
        <v>100 Barclay</v>
      </c>
      <c r="C349" s="1" t="s">
        <v>40</v>
      </c>
      <c r="D349" s="1" t="s">
        <v>41</v>
      </c>
      <c r="E349" s="3">
        <v>3900000</v>
      </c>
      <c r="F349" s="1">
        <v>1846.5909090908999</v>
      </c>
      <c r="G349" s="1">
        <v>5</v>
      </c>
      <c r="H349" s="1">
        <v>3</v>
      </c>
      <c r="I349" s="1">
        <v>3</v>
      </c>
      <c r="J349" s="1">
        <v>3</v>
      </c>
      <c r="K349" s="1">
        <v>3</v>
      </c>
      <c r="M349" s="4">
        <v>2112</v>
      </c>
      <c r="N349" s="1">
        <v>3095</v>
      </c>
      <c r="O349" s="1">
        <v>6439</v>
      </c>
      <c r="P349" s="1">
        <v>3344</v>
      </c>
      <c r="Q349" s="1" t="s">
        <v>42</v>
      </c>
      <c r="S349" s="1" t="s">
        <v>42</v>
      </c>
      <c r="T349" s="1" t="s">
        <v>170</v>
      </c>
      <c r="U349" s="1">
        <v>48</v>
      </c>
      <c r="V349" s="5">
        <v>44356</v>
      </c>
      <c r="W349" s="5">
        <v>44261</v>
      </c>
      <c r="X349" s="1">
        <v>3995000</v>
      </c>
      <c r="Y349" s="1">
        <v>3995000</v>
      </c>
      <c r="Z349" s="5">
        <v>44309</v>
      </c>
      <c r="AA349" s="1">
        <v>3900000</v>
      </c>
      <c r="AB349" s="1" t="s">
        <v>180</v>
      </c>
      <c r="AC349" s="5">
        <v>44349</v>
      </c>
      <c r="AF349" s="1">
        <v>10007</v>
      </c>
      <c r="AI349" s="1" t="s">
        <v>53</v>
      </c>
      <c r="AJ349" s="1">
        <v>1930</v>
      </c>
      <c r="AK349" s="1" t="s">
        <v>46</v>
      </c>
      <c r="AL349" s="1">
        <v>156</v>
      </c>
    </row>
    <row r="350" spans="1:39" x14ac:dyDescent="0.2">
      <c r="A350" s="2" t="str">
        <f>HYPERLINK("https://www.compass.com/listing/100-barclay-street-unit-14a-manhattan-ny-10007/86694173138240273/","100 Barclay St, Unit 14A")</f>
        <v>100 Barclay St, Unit 14A</v>
      </c>
      <c r="B350" s="2" t="str">
        <f t="shared" si="61"/>
        <v>100 Barclay</v>
      </c>
      <c r="C350" s="1" t="s">
        <v>40</v>
      </c>
      <c r="D350" s="1" t="s">
        <v>41</v>
      </c>
      <c r="E350" s="3">
        <v>9995000</v>
      </c>
      <c r="F350" s="1">
        <v>1890.48609797616</v>
      </c>
      <c r="G350" s="1">
        <v>7</v>
      </c>
      <c r="H350" s="1">
        <v>5</v>
      </c>
      <c r="I350" s="1">
        <v>7</v>
      </c>
      <c r="J350" s="1">
        <v>7</v>
      </c>
      <c r="K350" s="1">
        <v>5</v>
      </c>
      <c r="L350" s="1">
        <v>2</v>
      </c>
      <c r="M350" s="4">
        <v>5287</v>
      </c>
      <c r="N350" s="1">
        <v>6632</v>
      </c>
      <c r="O350" s="1">
        <v>12498</v>
      </c>
      <c r="P350" s="1">
        <v>5866</v>
      </c>
      <c r="Q350" s="1" t="s">
        <v>42</v>
      </c>
      <c r="S350" s="1" t="s">
        <v>42</v>
      </c>
      <c r="T350" s="1" t="s">
        <v>170</v>
      </c>
      <c r="U350" s="1">
        <v>12</v>
      </c>
      <c r="V350" s="5">
        <v>43447</v>
      </c>
      <c r="W350" s="5">
        <v>43371</v>
      </c>
      <c r="X350" s="1">
        <v>9995000</v>
      </c>
      <c r="Y350" s="1">
        <v>9995000</v>
      </c>
      <c r="Z350" s="5">
        <v>43384</v>
      </c>
      <c r="AA350" s="1">
        <v>9995000</v>
      </c>
      <c r="AB350" s="1" t="s">
        <v>181</v>
      </c>
      <c r="AC350" s="5">
        <v>43447</v>
      </c>
      <c r="AF350" s="1">
        <v>10007</v>
      </c>
      <c r="AI350" s="1" t="s">
        <v>45</v>
      </c>
      <c r="AJ350" s="1">
        <v>1930</v>
      </c>
      <c r="AK350" s="1" t="s">
        <v>73</v>
      </c>
      <c r="AL350" s="1">
        <v>156</v>
      </c>
    </row>
    <row r="351" spans="1:39" x14ac:dyDescent="0.2">
      <c r="A351" s="2" t="str">
        <f>HYPERLINK("https://www.compass.com/listing/100-barclay-street-unit-23b-manhattan-ny-10007/117437223086861121/","100 Barclay St, Unit 23B")</f>
        <v>100 Barclay St, Unit 23B</v>
      </c>
      <c r="B351" s="2" t="str">
        <f t="shared" si="61"/>
        <v>100 Barclay</v>
      </c>
      <c r="C351" s="1" t="s">
        <v>40</v>
      </c>
      <c r="D351" s="1" t="s">
        <v>41</v>
      </c>
      <c r="E351" s="3">
        <v>5200000</v>
      </c>
      <c r="F351" s="1">
        <v>1811.84668989547</v>
      </c>
      <c r="G351" s="1">
        <v>10</v>
      </c>
      <c r="H351" s="1">
        <v>4</v>
      </c>
      <c r="I351" s="1">
        <v>4</v>
      </c>
      <c r="J351" s="1">
        <v>4</v>
      </c>
      <c r="K351" s="1">
        <v>4</v>
      </c>
      <c r="M351" s="4">
        <v>2870</v>
      </c>
      <c r="N351" s="1">
        <v>3722</v>
      </c>
      <c r="O351" s="1">
        <v>7670</v>
      </c>
      <c r="P351" s="1">
        <v>3948</v>
      </c>
      <c r="Q351" s="1" t="s">
        <v>42</v>
      </c>
      <c r="S351" s="1" t="s">
        <v>42</v>
      </c>
      <c r="T351" s="1" t="s">
        <v>170</v>
      </c>
      <c r="U351" s="1">
        <v>125</v>
      </c>
      <c r="V351" s="5">
        <v>43639</v>
      </c>
      <c r="W351" s="5">
        <v>43417</v>
      </c>
      <c r="X351" s="1">
        <v>5995000</v>
      </c>
      <c r="Y351" s="1">
        <v>5995000</v>
      </c>
      <c r="Z351" s="5">
        <v>43588</v>
      </c>
      <c r="AA351" s="1">
        <v>5200000</v>
      </c>
      <c r="AB351" s="1" t="s">
        <v>182</v>
      </c>
      <c r="AC351" s="5">
        <v>43637</v>
      </c>
      <c r="AF351" s="1">
        <v>10007</v>
      </c>
      <c r="AI351" s="1" t="s">
        <v>45</v>
      </c>
      <c r="AJ351" s="1">
        <v>1930</v>
      </c>
      <c r="AK351" s="1" t="s">
        <v>73</v>
      </c>
      <c r="AL351" s="1">
        <v>156</v>
      </c>
    </row>
    <row r="352" spans="1:39" x14ac:dyDescent="0.2">
      <c r="A352" s="2" t="str">
        <f>HYPERLINK("https://www.compass.com/listing/10-madison-square-west-unit-8f-manhattan-ny-10010/253611727415937441/","10 Madison Sq W, Unit 8F")</f>
        <v>10 Madison Sq W, Unit 8F</v>
      </c>
      <c r="B352" s="2" t="str">
        <f t="shared" ref="B352:B355" si="62">HYPERLINK("https://www.compass.com/building/10-madison-square-west-manhattan-ny/294838725091521285/","10 Madison Square West")</f>
        <v>10 Madison Square West</v>
      </c>
      <c r="C352" s="1" t="s">
        <v>154</v>
      </c>
      <c r="D352" s="1" t="s">
        <v>41</v>
      </c>
      <c r="E352" s="3">
        <v>7650000</v>
      </c>
      <c r="F352" s="1">
        <v>3199.4981179422798</v>
      </c>
      <c r="G352" s="1">
        <v>5</v>
      </c>
      <c r="H352" s="1">
        <v>3</v>
      </c>
      <c r="I352" s="1">
        <v>4</v>
      </c>
      <c r="J352" s="1">
        <v>3.5</v>
      </c>
      <c r="K352" s="1">
        <v>3</v>
      </c>
      <c r="L352" s="1">
        <v>1</v>
      </c>
      <c r="M352" s="4">
        <v>2391</v>
      </c>
      <c r="N352" s="1">
        <v>3003.43</v>
      </c>
      <c r="O352" s="1">
        <v>7983.3699999999899</v>
      </c>
      <c r="P352" s="1">
        <v>4979.9166666666597</v>
      </c>
      <c r="Q352" s="1" t="s">
        <v>42</v>
      </c>
      <c r="S352" s="1" t="s">
        <v>42</v>
      </c>
      <c r="T352" s="1" t="s">
        <v>170</v>
      </c>
      <c r="U352" s="1">
        <v>49</v>
      </c>
      <c r="V352" s="5">
        <v>43725</v>
      </c>
      <c r="W352" s="5">
        <v>43602</v>
      </c>
      <c r="X352" s="1">
        <v>7650000</v>
      </c>
      <c r="Y352" s="1">
        <v>7650000</v>
      </c>
      <c r="Z352" s="5">
        <v>43652</v>
      </c>
      <c r="AA352" s="1">
        <v>7650000</v>
      </c>
      <c r="AB352" s="1" t="s">
        <v>183</v>
      </c>
      <c r="AC352" s="5">
        <v>43724</v>
      </c>
      <c r="AF352" s="1">
        <v>10010</v>
      </c>
      <c r="AI352" s="1" t="s">
        <v>59</v>
      </c>
      <c r="AJ352" s="1">
        <v>1915</v>
      </c>
      <c r="AK352" s="1" t="s">
        <v>46</v>
      </c>
      <c r="AL352" s="1">
        <v>125</v>
      </c>
    </row>
    <row r="353" spans="1:38" x14ac:dyDescent="0.2">
      <c r="A353" s="2" t="str">
        <f>HYPERLINK("https://www.compass.com/listing/10-madison-square-west-unit-5e-manhattan-ny-10010/29374721468525057/","10 Madison Sq W, Unit 5E")</f>
        <v>10 Madison Sq W, Unit 5E</v>
      </c>
      <c r="B353" s="2" t="str">
        <f t="shared" si="62"/>
        <v>10 Madison Square West</v>
      </c>
      <c r="C353" s="1" t="s">
        <v>154</v>
      </c>
      <c r="D353" s="1" t="s">
        <v>41</v>
      </c>
      <c r="E353" s="3">
        <v>10100000</v>
      </c>
      <c r="F353" s="1">
        <v>3517.9380006966198</v>
      </c>
      <c r="G353" s="1">
        <v>6</v>
      </c>
      <c r="H353" s="1">
        <v>3</v>
      </c>
      <c r="J353" s="1">
        <v>3.5</v>
      </c>
      <c r="M353" s="4">
        <v>2871</v>
      </c>
      <c r="N353" s="1">
        <v>3611</v>
      </c>
      <c r="O353" s="1">
        <v>9174</v>
      </c>
      <c r="P353" s="1">
        <v>5563</v>
      </c>
      <c r="Q353" s="1" t="s">
        <v>42</v>
      </c>
      <c r="S353" s="1" t="s">
        <v>42</v>
      </c>
      <c r="T353" s="1" t="s">
        <v>170</v>
      </c>
      <c r="U353" s="1">
        <v>155</v>
      </c>
      <c r="V353" s="5">
        <v>43161</v>
      </c>
      <c r="W353" s="5">
        <v>42948</v>
      </c>
      <c r="X353" s="1">
        <v>11500000</v>
      </c>
      <c r="Y353" s="1">
        <v>10500000</v>
      </c>
      <c r="Z353" s="5">
        <v>43104</v>
      </c>
      <c r="AA353" s="1">
        <v>10100000</v>
      </c>
      <c r="AB353" s="1" t="s">
        <v>184</v>
      </c>
      <c r="AC353" s="5">
        <v>43154</v>
      </c>
      <c r="AF353" s="1">
        <v>10010</v>
      </c>
      <c r="AI353" s="1" t="s">
        <v>59</v>
      </c>
      <c r="AJ353" s="1">
        <v>1915</v>
      </c>
      <c r="AK353" s="1" t="s">
        <v>73</v>
      </c>
      <c r="AL353" s="1">
        <v>125</v>
      </c>
    </row>
    <row r="354" spans="1:38" x14ac:dyDescent="0.2">
      <c r="A354" s="2" t="str">
        <f>HYPERLINK("https://www.compass.com/listing/10-madison-square-west-unit-15e-manhattan-ny-10010/29374746021925969/","10 Madison Sq W, Unit 15E")</f>
        <v>10 Madison Sq W, Unit 15E</v>
      </c>
      <c r="B354" s="2" t="str">
        <f t="shared" si="62"/>
        <v>10 Madison Square West</v>
      </c>
      <c r="C354" s="1" t="s">
        <v>154</v>
      </c>
      <c r="D354" s="1" t="s">
        <v>41</v>
      </c>
      <c r="E354" s="3">
        <v>7935000</v>
      </c>
      <c r="F354" s="1">
        <v>3380.9118023008</v>
      </c>
      <c r="G354" s="1">
        <v>5</v>
      </c>
      <c r="H354" s="1">
        <v>3</v>
      </c>
      <c r="J354" s="1">
        <v>3.5</v>
      </c>
      <c r="M354" s="4">
        <v>2347</v>
      </c>
      <c r="N354" s="1">
        <v>2948.16</v>
      </c>
      <c r="O354" s="1">
        <v>6989.91</v>
      </c>
      <c r="P354" s="1">
        <v>4041.75</v>
      </c>
      <c r="Q354" s="1" t="s">
        <v>42</v>
      </c>
      <c r="S354" s="1" t="s">
        <v>42</v>
      </c>
      <c r="T354" s="1" t="s">
        <v>170</v>
      </c>
      <c r="U354" s="1">
        <v>222</v>
      </c>
      <c r="V354" s="5">
        <v>42861</v>
      </c>
      <c r="W354" s="5">
        <v>42593</v>
      </c>
      <c r="X354" s="1">
        <v>10995000</v>
      </c>
      <c r="Y354" s="1">
        <v>7995000</v>
      </c>
      <c r="Z354" s="5">
        <v>42858</v>
      </c>
      <c r="AA354" s="1">
        <v>7935000</v>
      </c>
      <c r="AB354" s="1" t="s">
        <v>185</v>
      </c>
      <c r="AC354" s="5">
        <v>42859</v>
      </c>
      <c r="AF354" s="1">
        <v>10010</v>
      </c>
      <c r="AI354" s="1" t="s">
        <v>59</v>
      </c>
      <c r="AJ354" s="1">
        <v>1915</v>
      </c>
      <c r="AK354" s="1" t="s">
        <v>73</v>
      </c>
      <c r="AL354" s="1">
        <v>125</v>
      </c>
    </row>
    <row r="355" spans="1:38" x14ac:dyDescent="0.2">
      <c r="A355" s="2" t="str">
        <f>HYPERLINK("https://www.compass.com/listing/10-madison-square-west-unit-15a-manhattan-ny-10010/617919576979729417/","10 Madison Sq W, Unit 15A")</f>
        <v>10 Madison Sq W, Unit 15A</v>
      </c>
      <c r="B355" s="2" t="str">
        <f t="shared" si="62"/>
        <v>10 Madison Square West</v>
      </c>
      <c r="C355" s="1" t="s">
        <v>154</v>
      </c>
      <c r="D355" s="1" t="s">
        <v>41</v>
      </c>
      <c r="E355" s="3">
        <v>5225000</v>
      </c>
      <c r="F355" s="1">
        <v>2369.61451247165</v>
      </c>
      <c r="G355" s="1">
        <v>6</v>
      </c>
      <c r="H355" s="1">
        <v>3</v>
      </c>
      <c r="I355" s="1">
        <v>4</v>
      </c>
      <c r="J355" s="1">
        <v>3.5</v>
      </c>
      <c r="K355" s="1">
        <v>3</v>
      </c>
      <c r="L355" s="1">
        <v>1</v>
      </c>
      <c r="M355" s="4">
        <v>2205</v>
      </c>
      <c r="N355" s="1">
        <v>2962</v>
      </c>
      <c r="O355" s="1">
        <v>7656</v>
      </c>
      <c r="P355" s="1">
        <v>4694</v>
      </c>
      <c r="S355" s="1" t="s">
        <v>42</v>
      </c>
      <c r="T355" s="1" t="s">
        <v>170</v>
      </c>
      <c r="U355" s="1">
        <v>177</v>
      </c>
      <c r="V355" s="5">
        <v>44340</v>
      </c>
      <c r="W355" s="5">
        <v>44104</v>
      </c>
      <c r="X355" s="1">
        <v>5795000</v>
      </c>
      <c r="Y355" s="1">
        <v>5795000</v>
      </c>
      <c r="Z355" s="5">
        <v>44282</v>
      </c>
      <c r="AA355" s="1">
        <v>5225000</v>
      </c>
      <c r="AB355" s="1" t="s">
        <v>173</v>
      </c>
      <c r="AC355" s="5">
        <v>44337</v>
      </c>
      <c r="AF355" s="1">
        <v>10010</v>
      </c>
      <c r="AI355" s="1" t="s">
        <v>59</v>
      </c>
      <c r="AJ355" s="1">
        <v>1915</v>
      </c>
      <c r="AK355" s="1" t="s">
        <v>46</v>
      </c>
      <c r="AL355" s="1">
        <v>125</v>
      </c>
    </row>
    <row r="356" spans="1:38" x14ac:dyDescent="0.2">
      <c r="A356" s="2" t="str">
        <f>HYPERLINK("https://www.compass.com/listing/100-barclay-street-unit-19d-manhattan-ny-10007/674622890921777185/","100 Barclay St, Unit 19D")</f>
        <v>100 Barclay St, Unit 19D</v>
      </c>
      <c r="B356" s="2" t="str">
        <f>HYPERLINK("https://www.compass.com/building/100-barclay-manhattan-ny/281896670466155525/","100 Barclay")</f>
        <v>100 Barclay</v>
      </c>
      <c r="C356" s="1" t="s">
        <v>40</v>
      </c>
      <c r="D356" s="1" t="s">
        <v>41</v>
      </c>
      <c r="E356" s="3">
        <v>7900000</v>
      </c>
      <c r="F356" s="1">
        <v>2304.5507584597399</v>
      </c>
      <c r="G356" s="1">
        <v>8</v>
      </c>
      <c r="H356" s="1">
        <v>3</v>
      </c>
      <c r="I356" s="1">
        <v>5</v>
      </c>
      <c r="J356" s="1">
        <v>4.5</v>
      </c>
      <c r="K356" s="1">
        <v>4</v>
      </c>
      <c r="L356" s="1">
        <v>1</v>
      </c>
      <c r="M356" s="4">
        <v>3428</v>
      </c>
      <c r="N356" s="1">
        <v>5778</v>
      </c>
      <c r="O356" s="1">
        <v>11733</v>
      </c>
      <c r="P356" s="1">
        <v>5955</v>
      </c>
      <c r="Q356" s="1" t="s">
        <v>42</v>
      </c>
      <c r="S356" s="1" t="s">
        <v>42</v>
      </c>
      <c r="T356" s="1" t="s">
        <v>170</v>
      </c>
      <c r="U356" s="1">
        <v>45</v>
      </c>
      <c r="V356" s="5">
        <v>44291</v>
      </c>
      <c r="W356" s="5">
        <v>44183</v>
      </c>
      <c r="X356" s="1">
        <v>8495000</v>
      </c>
      <c r="Y356" s="1">
        <v>8495000</v>
      </c>
      <c r="Z356" s="5">
        <v>44229</v>
      </c>
      <c r="AA356" s="1">
        <v>7900000</v>
      </c>
      <c r="AB356" s="1" t="s">
        <v>186</v>
      </c>
      <c r="AC356" s="5">
        <v>44287</v>
      </c>
      <c r="AF356" s="1">
        <v>10007</v>
      </c>
      <c r="AI356" s="1" t="s">
        <v>45</v>
      </c>
      <c r="AJ356" s="1">
        <v>1930</v>
      </c>
      <c r="AK356" s="1" t="s">
        <v>46</v>
      </c>
      <c r="AL356" s="1">
        <v>156</v>
      </c>
    </row>
    <row r="357" spans="1:38" x14ac:dyDescent="0.2">
      <c r="A357" s="2" t="str">
        <f>HYPERLINK("https://www.compass.com/listing/225-east-19th-street-unit-404-manhattan-ny-10003/622363866959302889/","225 E 19th St, Unit 404")</f>
        <v>225 E 19th St, Unit 404</v>
      </c>
      <c r="B357" s="2" t="str">
        <f>HYPERLINK("https://www.compass.com/building/the-prewar-at-gramercy-square-manhattan-ny/282059248584654437/","The Prewar at Gramercy Square")</f>
        <v>The Prewar at Gramercy Square</v>
      </c>
      <c r="C357" s="1" t="s">
        <v>54</v>
      </c>
      <c r="D357" s="1" t="s">
        <v>41</v>
      </c>
      <c r="E357" s="3">
        <v>1515000</v>
      </c>
      <c r="F357" s="1">
        <v>2176.7241379310299</v>
      </c>
      <c r="G357" s="1">
        <v>4</v>
      </c>
      <c r="H357" s="1">
        <v>1</v>
      </c>
      <c r="I357" s="1">
        <v>1</v>
      </c>
      <c r="J357" s="1">
        <v>1</v>
      </c>
      <c r="K357" s="1">
        <v>1</v>
      </c>
      <c r="M357" s="1">
        <v>696</v>
      </c>
      <c r="N357" s="1">
        <v>790.11</v>
      </c>
      <c r="O357" s="1">
        <v>2018.73</v>
      </c>
      <c r="P357" s="1">
        <v>1228.5833333333301</v>
      </c>
      <c r="Q357" s="1" t="s">
        <v>42</v>
      </c>
      <c r="S357" s="1" t="s">
        <v>42</v>
      </c>
      <c r="T357" s="1" t="s">
        <v>170</v>
      </c>
      <c r="V357" s="5">
        <v>44407</v>
      </c>
      <c r="Y357" s="1">
        <v>1549000</v>
      </c>
      <c r="Z357" s="5">
        <v>44315</v>
      </c>
      <c r="AA357" s="1">
        <v>1515000</v>
      </c>
      <c r="AB357" s="1" t="s">
        <v>187</v>
      </c>
      <c r="AC357" s="5">
        <v>44396</v>
      </c>
      <c r="AF357" s="1">
        <v>10003</v>
      </c>
      <c r="AI357" s="1" t="s">
        <v>76</v>
      </c>
      <c r="AJ357" s="1">
        <v>1920</v>
      </c>
      <c r="AK357" s="1" t="s">
        <v>46</v>
      </c>
      <c r="AL357" s="1">
        <v>48</v>
      </c>
    </row>
    <row r="358" spans="1:38" x14ac:dyDescent="0.2">
      <c r="A358" s="2" t="str">
        <f>HYPERLINK("https://www.compass.com/listing/570-broome-street-unit-3a-manhattan-ny-10013/296952546866408545/","570 Broome St, Unit 3A")</f>
        <v>570 Broome St, Unit 3A</v>
      </c>
      <c r="B358" s="2" t="str">
        <f t="shared" ref="B358:B391" si="63">HYPERLINK("https://www.compass.com/building/570-broome-manhattan-ny/292818583757562981/","570 Broome")</f>
        <v>570 Broome</v>
      </c>
      <c r="C358" s="1" t="s">
        <v>104</v>
      </c>
      <c r="D358" s="1" t="s">
        <v>41</v>
      </c>
      <c r="E358" s="3">
        <v>1925000</v>
      </c>
      <c r="F358" s="1">
        <v>1691.56414762741</v>
      </c>
      <c r="G358" s="1">
        <v>4</v>
      </c>
      <c r="H358" s="1">
        <v>2</v>
      </c>
      <c r="I358" s="1">
        <v>2</v>
      </c>
      <c r="J358" s="1">
        <v>2</v>
      </c>
      <c r="K358" s="1">
        <v>2</v>
      </c>
      <c r="M358" s="4">
        <v>1138</v>
      </c>
      <c r="N358" s="1">
        <v>1213</v>
      </c>
      <c r="O358" s="1">
        <v>3080</v>
      </c>
      <c r="P358" s="1">
        <v>1867</v>
      </c>
      <c r="Q358" s="1" t="s">
        <v>42</v>
      </c>
      <c r="S358" s="1" t="s">
        <v>42</v>
      </c>
      <c r="T358" s="1" t="s">
        <v>170</v>
      </c>
      <c r="V358" s="5">
        <v>43813</v>
      </c>
      <c r="W358" s="5">
        <v>43662</v>
      </c>
      <c r="X358" s="1">
        <v>2250000</v>
      </c>
      <c r="Y358" s="1">
        <v>2250000</v>
      </c>
      <c r="Z358" s="5">
        <v>43662</v>
      </c>
      <c r="AA358" s="1">
        <v>1925000</v>
      </c>
      <c r="AB358" s="1" t="s">
        <v>188</v>
      </c>
      <c r="AC358" s="5">
        <v>43812</v>
      </c>
      <c r="AF358" s="1">
        <v>10013</v>
      </c>
      <c r="AI358" s="1" t="s">
        <v>189</v>
      </c>
      <c r="AJ358" s="1">
        <v>2019</v>
      </c>
      <c r="AK358" s="1" t="s">
        <v>49</v>
      </c>
      <c r="AL358" s="1">
        <v>54</v>
      </c>
    </row>
    <row r="359" spans="1:38" x14ac:dyDescent="0.2">
      <c r="A359" s="2" t="str">
        <f>HYPERLINK("https://www.compass.com/listing/570-broome-street-unit-4a-manhattan-ny-10013/296954335904836785/","570 Broome St, Unit 4A")</f>
        <v>570 Broome St, Unit 4A</v>
      </c>
      <c r="B359" s="2" t="str">
        <f t="shared" si="63"/>
        <v>570 Broome</v>
      </c>
      <c r="C359" s="1" t="s">
        <v>104</v>
      </c>
      <c r="D359" s="1" t="s">
        <v>41</v>
      </c>
      <c r="E359" s="3">
        <v>1950000</v>
      </c>
      <c r="F359" s="1">
        <v>1713.53251318101</v>
      </c>
      <c r="G359" s="1">
        <v>4</v>
      </c>
      <c r="H359" s="1">
        <v>2</v>
      </c>
      <c r="I359" s="1">
        <v>2</v>
      </c>
      <c r="J359" s="1">
        <v>2</v>
      </c>
      <c r="K359" s="1">
        <v>2</v>
      </c>
      <c r="M359" s="4">
        <v>1138</v>
      </c>
      <c r="N359" s="1">
        <v>1213</v>
      </c>
      <c r="O359" s="1">
        <v>3080</v>
      </c>
      <c r="P359" s="1">
        <v>1867</v>
      </c>
      <c r="Q359" s="1" t="s">
        <v>42</v>
      </c>
      <c r="S359" s="1" t="s">
        <v>42</v>
      </c>
      <c r="T359" s="1" t="s">
        <v>170</v>
      </c>
      <c r="V359" s="5">
        <v>43805</v>
      </c>
      <c r="W359" s="5">
        <v>43662</v>
      </c>
      <c r="X359" s="1">
        <v>1995000</v>
      </c>
      <c r="Y359" s="1">
        <v>1995000</v>
      </c>
      <c r="Z359" s="5">
        <v>43662</v>
      </c>
      <c r="AA359" s="1">
        <v>1950000</v>
      </c>
      <c r="AB359" s="1" t="s">
        <v>190</v>
      </c>
      <c r="AC359" s="5">
        <v>43804</v>
      </c>
      <c r="AF359" s="1">
        <v>10013</v>
      </c>
      <c r="AI359" s="1" t="s">
        <v>59</v>
      </c>
      <c r="AJ359" s="1">
        <v>2019</v>
      </c>
      <c r="AK359" s="1" t="s">
        <v>49</v>
      </c>
      <c r="AL359" s="1">
        <v>54</v>
      </c>
    </row>
    <row r="360" spans="1:38" x14ac:dyDescent="0.2">
      <c r="A360" s="2" t="str">
        <f>HYPERLINK("https://www.compass.com/listing/570-broome-street-unit-4c-manhattan-ny-10013/296955598616949857/","570 Broome St, Unit 4C")</f>
        <v>570 Broome St, Unit 4C</v>
      </c>
      <c r="B360" s="2" t="str">
        <f t="shared" si="63"/>
        <v>570 Broome</v>
      </c>
      <c r="C360" s="1" t="s">
        <v>104</v>
      </c>
      <c r="D360" s="1" t="s">
        <v>41</v>
      </c>
      <c r="E360" s="3">
        <v>2050000</v>
      </c>
      <c r="F360" s="1">
        <v>1718.3570829840701</v>
      </c>
      <c r="G360" s="1">
        <v>4</v>
      </c>
      <c r="H360" s="1">
        <v>2</v>
      </c>
      <c r="I360" s="1">
        <v>2</v>
      </c>
      <c r="J360" s="1">
        <v>2</v>
      </c>
      <c r="K360" s="1">
        <v>2</v>
      </c>
      <c r="M360" s="4">
        <v>1193</v>
      </c>
      <c r="N360" s="1">
        <v>1273</v>
      </c>
      <c r="O360" s="1">
        <v>3232</v>
      </c>
      <c r="P360" s="1">
        <v>1959</v>
      </c>
      <c r="Q360" s="1" t="s">
        <v>42</v>
      </c>
      <c r="S360" s="1" t="s">
        <v>42</v>
      </c>
      <c r="T360" s="1" t="s">
        <v>170</v>
      </c>
      <c r="U360" s="1">
        <v>35</v>
      </c>
      <c r="V360" s="5">
        <v>43930</v>
      </c>
      <c r="W360" s="5">
        <v>43662</v>
      </c>
      <c r="X360" s="1">
        <v>2380000</v>
      </c>
      <c r="Y360" s="1">
        <v>2380000</v>
      </c>
      <c r="Z360" s="5">
        <v>43775</v>
      </c>
      <c r="AA360" s="1">
        <v>2050000</v>
      </c>
      <c r="AB360" s="1" t="s">
        <v>191</v>
      </c>
      <c r="AC360" s="5">
        <v>43929</v>
      </c>
      <c r="AF360" s="1">
        <v>10013</v>
      </c>
      <c r="AI360" s="1" t="s">
        <v>59</v>
      </c>
      <c r="AJ360" s="1">
        <v>2019</v>
      </c>
      <c r="AK360" s="1" t="s">
        <v>49</v>
      </c>
      <c r="AL360" s="1">
        <v>54</v>
      </c>
    </row>
    <row r="361" spans="1:38" x14ac:dyDescent="0.2">
      <c r="A361" s="2" t="str">
        <f>HYPERLINK("https://www.compass.com/listing/570-broome-street-unit-5a-manhattan-ny-10013/296956650925764129/","570 Broome St, Unit 5A")</f>
        <v>570 Broome St, Unit 5A</v>
      </c>
      <c r="B361" s="2" t="str">
        <f t="shared" si="63"/>
        <v>570 Broome</v>
      </c>
      <c r="C361" s="1" t="s">
        <v>104</v>
      </c>
      <c r="D361" s="1" t="s">
        <v>41</v>
      </c>
      <c r="E361" s="3">
        <v>2000000</v>
      </c>
      <c r="F361" s="1">
        <v>1757.4692442882199</v>
      </c>
      <c r="G361" s="1">
        <v>4</v>
      </c>
      <c r="H361" s="1">
        <v>2</v>
      </c>
      <c r="I361" s="1">
        <v>2</v>
      </c>
      <c r="J361" s="1">
        <v>2</v>
      </c>
      <c r="K361" s="1">
        <v>2</v>
      </c>
      <c r="M361" s="4">
        <v>1138</v>
      </c>
      <c r="N361" s="1">
        <v>1213</v>
      </c>
      <c r="O361" s="1">
        <v>3080</v>
      </c>
      <c r="P361" s="1">
        <v>1867</v>
      </c>
      <c r="Q361" s="1" t="s">
        <v>42</v>
      </c>
      <c r="S361" s="1" t="s">
        <v>42</v>
      </c>
      <c r="T361" s="1" t="s">
        <v>170</v>
      </c>
      <c r="V361" s="5">
        <v>43840</v>
      </c>
      <c r="W361" s="5">
        <v>43662</v>
      </c>
      <c r="X361" s="1">
        <v>2310000</v>
      </c>
      <c r="Y361" s="1">
        <v>2310000</v>
      </c>
      <c r="Z361" s="5">
        <v>43662</v>
      </c>
      <c r="AA361" s="1">
        <v>2000000</v>
      </c>
      <c r="AB361" s="1" t="s">
        <v>192</v>
      </c>
      <c r="AC361" s="5">
        <v>43838</v>
      </c>
      <c r="AF361" s="1">
        <v>10013</v>
      </c>
      <c r="AI361" s="1" t="s">
        <v>59</v>
      </c>
      <c r="AJ361" s="1">
        <v>2019</v>
      </c>
      <c r="AK361" s="1" t="s">
        <v>49</v>
      </c>
      <c r="AL361" s="1">
        <v>54</v>
      </c>
    </row>
    <row r="362" spans="1:38" x14ac:dyDescent="0.2">
      <c r="A362" s="2" t="str">
        <f>HYPERLINK("https://www.compass.com/listing/570-broome-street-unit-6a-manhattan-ny-10013/296960098450968945/","570 Broome St, Unit 6A")</f>
        <v>570 Broome St, Unit 6A</v>
      </c>
      <c r="B362" s="2" t="str">
        <f t="shared" si="63"/>
        <v>570 Broome</v>
      </c>
      <c r="C362" s="1" t="s">
        <v>104</v>
      </c>
      <c r="D362" s="1" t="s">
        <v>41</v>
      </c>
      <c r="E362" s="3">
        <v>2082321</v>
      </c>
      <c r="F362" s="1">
        <v>1829.8075571177501</v>
      </c>
      <c r="G362" s="1">
        <v>4</v>
      </c>
      <c r="H362" s="1">
        <v>2</v>
      </c>
      <c r="I362" s="1">
        <v>2</v>
      </c>
      <c r="J362" s="1">
        <v>2</v>
      </c>
      <c r="K362" s="1">
        <v>2</v>
      </c>
      <c r="M362" s="4">
        <v>1138</v>
      </c>
      <c r="N362" s="1">
        <v>1213</v>
      </c>
      <c r="O362" s="1">
        <v>3079</v>
      </c>
      <c r="P362" s="1">
        <v>1866</v>
      </c>
      <c r="Q362" s="1" t="s">
        <v>42</v>
      </c>
      <c r="S362" s="1" t="s">
        <v>42</v>
      </c>
      <c r="T362" s="1" t="s">
        <v>170</v>
      </c>
      <c r="V362" s="5">
        <v>43803</v>
      </c>
      <c r="W362" s="5">
        <v>43662</v>
      </c>
      <c r="X362" s="1">
        <v>2340000</v>
      </c>
      <c r="Y362" s="1">
        <v>2340000</v>
      </c>
      <c r="Z362" s="5">
        <v>43662</v>
      </c>
      <c r="AA362" s="1">
        <v>2082321</v>
      </c>
      <c r="AB362" s="1" t="s">
        <v>193</v>
      </c>
      <c r="AC362" s="5">
        <v>43802</v>
      </c>
      <c r="AF362" s="1">
        <v>10013</v>
      </c>
      <c r="AI362" s="1" t="s">
        <v>59</v>
      </c>
      <c r="AJ362" s="1">
        <v>2019</v>
      </c>
      <c r="AK362" s="1" t="s">
        <v>49</v>
      </c>
      <c r="AL362" s="1">
        <v>54</v>
      </c>
    </row>
    <row r="363" spans="1:38" x14ac:dyDescent="0.2">
      <c r="A363" s="2" t="str">
        <f>HYPERLINK("https://www.compass.com/listing/570-broome-street-unit-6c-manhattan-ny-10013/296961486765593153/","570 Broome St, Unit 6C")</f>
        <v>570 Broome St, Unit 6C</v>
      </c>
      <c r="B363" s="2" t="str">
        <f t="shared" si="63"/>
        <v>570 Broome</v>
      </c>
      <c r="C363" s="1" t="s">
        <v>104</v>
      </c>
      <c r="D363" s="1" t="s">
        <v>41</v>
      </c>
      <c r="E363" s="3">
        <v>2111851</v>
      </c>
      <c r="F363" s="1">
        <v>1770.2015926236299</v>
      </c>
      <c r="G363" s="1">
        <v>4</v>
      </c>
      <c r="H363" s="1">
        <v>2</v>
      </c>
      <c r="I363" s="1">
        <v>2</v>
      </c>
      <c r="J363" s="1">
        <v>2</v>
      </c>
      <c r="K363" s="1">
        <v>2</v>
      </c>
      <c r="M363" s="4">
        <v>1193</v>
      </c>
      <c r="N363" s="1">
        <v>1273</v>
      </c>
      <c r="O363" s="1">
        <v>3233</v>
      </c>
      <c r="P363" s="1">
        <v>1960</v>
      </c>
      <c r="Q363" s="1" t="s">
        <v>42</v>
      </c>
      <c r="S363" s="1" t="s">
        <v>42</v>
      </c>
      <c r="T363" s="1" t="s">
        <v>170</v>
      </c>
      <c r="V363" s="5">
        <v>43853</v>
      </c>
      <c r="W363" s="5">
        <v>43662</v>
      </c>
      <c r="X363" s="1">
        <v>2440000</v>
      </c>
      <c r="Y363" s="1">
        <v>2440000</v>
      </c>
      <c r="Z363" s="5">
        <v>43662</v>
      </c>
      <c r="AA363" s="1">
        <v>2111850.5</v>
      </c>
      <c r="AB363" s="1" t="s">
        <v>194</v>
      </c>
      <c r="AC363" s="5">
        <v>43917</v>
      </c>
      <c r="AF363" s="1">
        <v>10013</v>
      </c>
      <c r="AI363" s="1" t="s">
        <v>59</v>
      </c>
      <c r="AJ363" s="1">
        <v>2019</v>
      </c>
      <c r="AK363" s="1" t="s">
        <v>49</v>
      </c>
      <c r="AL363" s="1">
        <v>54</v>
      </c>
    </row>
    <row r="364" spans="1:38" x14ac:dyDescent="0.2">
      <c r="A364" s="2" t="str">
        <f>HYPERLINK("https://www.compass.com/listing/570-broome-street-unit-5c-manhattan-ny-10013/323077096033397873/","570 Broome St, Unit 5C")</f>
        <v>570 Broome St, Unit 5C</v>
      </c>
      <c r="B364" s="2" t="str">
        <f t="shared" si="63"/>
        <v>570 Broome</v>
      </c>
      <c r="C364" s="1" t="s">
        <v>104</v>
      </c>
      <c r="D364" s="1" t="s">
        <v>41</v>
      </c>
      <c r="E364" s="3">
        <v>2135000</v>
      </c>
      <c r="F364" s="1">
        <v>1789.6060352053601</v>
      </c>
      <c r="G364" s="1">
        <v>4</v>
      </c>
      <c r="H364" s="1">
        <v>2</v>
      </c>
      <c r="I364" s="1">
        <v>2</v>
      </c>
      <c r="J364" s="1">
        <v>2</v>
      </c>
      <c r="K364" s="1">
        <v>2</v>
      </c>
      <c r="M364" s="4">
        <v>1193</v>
      </c>
      <c r="N364" s="1">
        <v>1273</v>
      </c>
      <c r="O364" s="1">
        <v>3233</v>
      </c>
      <c r="P364" s="1">
        <v>1960</v>
      </c>
      <c r="Q364" s="1" t="s">
        <v>42</v>
      </c>
      <c r="S364" s="1" t="s">
        <v>42</v>
      </c>
      <c r="T364" s="1" t="s">
        <v>170</v>
      </c>
      <c r="U364" s="1">
        <v>6</v>
      </c>
      <c r="V364" s="5">
        <v>43847</v>
      </c>
      <c r="W364" s="5">
        <v>43698</v>
      </c>
      <c r="X364" s="1">
        <v>2195000</v>
      </c>
      <c r="Y364" s="1">
        <v>2195000</v>
      </c>
      <c r="Z364" s="5">
        <v>43704</v>
      </c>
      <c r="AA364" s="1">
        <v>2135000</v>
      </c>
      <c r="AB364" s="1" t="s">
        <v>195</v>
      </c>
      <c r="AC364" s="5">
        <v>43846</v>
      </c>
      <c r="AF364" s="1">
        <v>10013</v>
      </c>
      <c r="AI364" s="1" t="s">
        <v>59</v>
      </c>
      <c r="AJ364" s="1">
        <v>2019</v>
      </c>
      <c r="AK364" s="1" t="s">
        <v>49</v>
      </c>
      <c r="AL364" s="1">
        <v>54</v>
      </c>
    </row>
    <row r="365" spans="1:38" x14ac:dyDescent="0.2">
      <c r="A365" s="2" t="str">
        <f>HYPERLINK("https://www.compass.com/listing/570-broome-street-unit-3c-manhattan-ny-10013/327544975340406833/","570 Broome St, Unit 3C")</f>
        <v>570 Broome St, Unit 3C</v>
      </c>
      <c r="B365" s="2" t="str">
        <f t="shared" si="63"/>
        <v>570 Broome</v>
      </c>
      <c r="C365" s="1" t="s">
        <v>104</v>
      </c>
      <c r="D365" s="1" t="s">
        <v>41</v>
      </c>
      <c r="E365" s="3">
        <v>2100000</v>
      </c>
      <c r="F365" s="1">
        <v>1760.26823134953</v>
      </c>
      <c r="G365" s="1">
        <v>4</v>
      </c>
      <c r="H365" s="1">
        <v>2</v>
      </c>
      <c r="I365" s="1">
        <v>2</v>
      </c>
      <c r="J365" s="1">
        <v>2</v>
      </c>
      <c r="K365" s="1">
        <v>2</v>
      </c>
      <c r="M365" s="4">
        <v>1193</v>
      </c>
      <c r="N365" s="1">
        <v>1273</v>
      </c>
      <c r="O365" s="1">
        <v>3233</v>
      </c>
      <c r="P365" s="1">
        <v>1960</v>
      </c>
      <c r="Q365" s="1" t="s">
        <v>42</v>
      </c>
      <c r="S365" s="1" t="s">
        <v>42</v>
      </c>
      <c r="T365" s="1" t="s">
        <v>170</v>
      </c>
      <c r="U365" s="1">
        <v>132</v>
      </c>
      <c r="V365" s="5">
        <v>43991</v>
      </c>
      <c r="W365" s="5">
        <v>43704</v>
      </c>
      <c r="X365" s="1">
        <v>2350000</v>
      </c>
      <c r="Y365" s="1">
        <v>2100000</v>
      </c>
      <c r="Z365" s="5">
        <v>43889</v>
      </c>
      <c r="AA365" s="1">
        <v>2100000</v>
      </c>
      <c r="AB365" s="1" t="s">
        <v>196</v>
      </c>
      <c r="AC365" s="5">
        <v>43990</v>
      </c>
      <c r="AF365" s="1">
        <v>10013</v>
      </c>
      <c r="AI365" s="1" t="s">
        <v>59</v>
      </c>
      <c r="AJ365" s="1">
        <v>2019</v>
      </c>
      <c r="AK365" s="1" t="s">
        <v>49</v>
      </c>
      <c r="AL365" s="1">
        <v>54</v>
      </c>
    </row>
    <row r="366" spans="1:38" x14ac:dyDescent="0.2">
      <c r="A366" s="2" t="str">
        <f>HYPERLINK("https://www.compass.com/listing/570-broome-street-unit-19a-manhattan-ny-10013/296946274108614865/","570 Broome St, Unit 19A")</f>
        <v>570 Broome St, Unit 19A</v>
      </c>
      <c r="B366" s="2" t="str">
        <f t="shared" si="63"/>
        <v>570 Broome</v>
      </c>
      <c r="C366" s="1" t="s">
        <v>104</v>
      </c>
      <c r="D366" s="1" t="s">
        <v>41</v>
      </c>
      <c r="E366" s="3">
        <v>3227853</v>
      </c>
      <c r="F366" s="1">
        <v>2586.4206730769201</v>
      </c>
      <c r="G366" s="1">
        <v>4</v>
      </c>
      <c r="H366" s="1">
        <v>2</v>
      </c>
      <c r="I366" s="1">
        <v>3</v>
      </c>
      <c r="J366" s="1">
        <v>2.5</v>
      </c>
      <c r="K366" s="1">
        <v>2</v>
      </c>
      <c r="L366" s="1">
        <v>1</v>
      </c>
      <c r="M366" s="4">
        <v>1248</v>
      </c>
      <c r="N366" s="1">
        <v>1326</v>
      </c>
      <c r="O366" s="1">
        <v>3368</v>
      </c>
      <c r="P366" s="1">
        <v>2042</v>
      </c>
      <c r="Q366" s="1" t="s">
        <v>42</v>
      </c>
      <c r="S366" s="1" t="s">
        <v>42</v>
      </c>
      <c r="T366" s="1" t="s">
        <v>170</v>
      </c>
      <c r="V366" s="5">
        <v>43818</v>
      </c>
      <c r="W366" s="5">
        <v>43662</v>
      </c>
      <c r="X366" s="1">
        <v>3345000</v>
      </c>
      <c r="Y366" s="1">
        <v>3345000</v>
      </c>
      <c r="Z366" s="5">
        <v>43662</v>
      </c>
      <c r="AA366" s="1">
        <v>3227853</v>
      </c>
      <c r="AB366" s="1" t="s">
        <v>197</v>
      </c>
      <c r="AC366" s="5">
        <v>43817</v>
      </c>
      <c r="AF366" s="1">
        <v>10013</v>
      </c>
      <c r="AI366" s="1" t="s">
        <v>59</v>
      </c>
      <c r="AJ366" s="1">
        <v>2019</v>
      </c>
      <c r="AK366" s="1" t="s">
        <v>49</v>
      </c>
      <c r="AL366" s="1">
        <v>54</v>
      </c>
    </row>
    <row r="367" spans="1:38" x14ac:dyDescent="0.2">
      <c r="A367" s="2" t="str">
        <f>HYPERLINK("https://www.compass.com/listing/570-broome-street-unit-20b-manhattan-ny-10013/296949657922087249/","570 Broome St, Unit 20B")</f>
        <v>570 Broome St, Unit 20B</v>
      </c>
      <c r="B367" s="2" t="str">
        <f t="shared" si="63"/>
        <v>570 Broome</v>
      </c>
      <c r="C367" s="1" t="s">
        <v>104</v>
      </c>
      <c r="D367" s="1" t="s">
        <v>41</v>
      </c>
      <c r="E367" s="3">
        <v>3110000</v>
      </c>
      <c r="F367" s="1">
        <v>2628.90955198647</v>
      </c>
      <c r="G367" s="1">
        <v>4</v>
      </c>
      <c r="H367" s="1">
        <v>2</v>
      </c>
      <c r="I367" s="1">
        <v>3</v>
      </c>
      <c r="J367" s="1">
        <v>2.5</v>
      </c>
      <c r="K367" s="1">
        <v>2</v>
      </c>
      <c r="L367" s="1">
        <v>1</v>
      </c>
      <c r="M367" s="4">
        <v>1183</v>
      </c>
      <c r="N367" s="1">
        <v>1379</v>
      </c>
      <c r="O367" s="1">
        <v>3750</v>
      </c>
      <c r="P367" s="1">
        <v>2371</v>
      </c>
      <c r="S367" s="1" t="s">
        <v>42</v>
      </c>
      <c r="T367" s="1" t="s">
        <v>170</v>
      </c>
      <c r="U367" s="1">
        <v>600</v>
      </c>
      <c r="V367" s="5">
        <v>44426</v>
      </c>
      <c r="W367" s="5">
        <v>43662</v>
      </c>
      <c r="X367" s="1">
        <v>3110000</v>
      </c>
      <c r="Y367" s="1">
        <v>3110000</v>
      </c>
      <c r="Z367" s="5">
        <v>44356</v>
      </c>
      <c r="AA367" s="1">
        <v>3110000</v>
      </c>
      <c r="AB367" s="1" t="s">
        <v>181</v>
      </c>
      <c r="AC367" s="5">
        <v>44426</v>
      </c>
      <c r="AF367" s="1">
        <v>10013</v>
      </c>
      <c r="AI367" s="1" t="s">
        <v>59</v>
      </c>
      <c r="AJ367" s="1">
        <v>2019</v>
      </c>
      <c r="AK367" s="1" t="s">
        <v>49</v>
      </c>
      <c r="AL367" s="1">
        <v>54</v>
      </c>
    </row>
    <row r="368" spans="1:38" x14ac:dyDescent="0.2">
      <c r="A368" s="2" t="str">
        <f>HYPERLINK("https://www.compass.com/listing/570-broome-street-unit-22b-manhattan-ny-10013/384068706506071441/","570 Broome St, Unit 22B")</f>
        <v>570 Broome St, Unit 22B</v>
      </c>
      <c r="B368" s="2" t="str">
        <f t="shared" si="63"/>
        <v>570 Broome</v>
      </c>
      <c r="C368" s="1" t="s">
        <v>104</v>
      </c>
      <c r="D368" s="1" t="s">
        <v>41</v>
      </c>
      <c r="E368" s="3">
        <v>2875000</v>
      </c>
      <c r="F368" s="1">
        <v>2430.2620456466602</v>
      </c>
      <c r="G368" s="1">
        <v>4</v>
      </c>
      <c r="H368" s="1">
        <v>2</v>
      </c>
      <c r="I368" s="1">
        <v>3</v>
      </c>
      <c r="J368" s="1">
        <v>2.5</v>
      </c>
      <c r="K368" s="1">
        <v>2</v>
      </c>
      <c r="L368" s="1">
        <v>1</v>
      </c>
      <c r="M368" s="4">
        <v>1183</v>
      </c>
      <c r="N368" s="1">
        <v>1260</v>
      </c>
      <c r="O368" s="1">
        <v>3199</v>
      </c>
      <c r="P368" s="1">
        <v>1939</v>
      </c>
      <c r="Q368" s="1" t="s">
        <v>42</v>
      </c>
      <c r="S368" s="1" t="s">
        <v>42</v>
      </c>
      <c r="T368" s="1" t="s">
        <v>170</v>
      </c>
      <c r="U368" s="1">
        <v>2</v>
      </c>
      <c r="V368" s="5">
        <v>43845</v>
      </c>
      <c r="W368" s="5">
        <v>43782</v>
      </c>
      <c r="X368" s="1">
        <v>3190000</v>
      </c>
      <c r="Y368" s="1">
        <v>3190000</v>
      </c>
      <c r="Z368" s="5">
        <v>43784</v>
      </c>
      <c r="AA368" s="1">
        <v>2875000</v>
      </c>
      <c r="AB368" s="1" t="s">
        <v>198</v>
      </c>
      <c r="AC368" s="5">
        <v>43840</v>
      </c>
      <c r="AF368" s="1">
        <v>10013</v>
      </c>
      <c r="AI368" s="1" t="s">
        <v>59</v>
      </c>
      <c r="AJ368" s="1">
        <v>2019</v>
      </c>
      <c r="AK368" s="1" t="s">
        <v>49</v>
      </c>
      <c r="AL368" s="1">
        <v>54</v>
      </c>
    </row>
    <row r="369" spans="1:38" x14ac:dyDescent="0.2">
      <c r="A369" s="2" t="str">
        <f>HYPERLINK("https://www.compass.com/listing/570-broome-street-unit-15a-manhattan-ny-10013/296940965453655681/","570 Broome St, Unit 15A")</f>
        <v>570 Broome St, Unit 15A</v>
      </c>
      <c r="B369" s="2" t="str">
        <f t="shared" si="63"/>
        <v>570 Broome</v>
      </c>
      <c r="C369" s="1" t="s">
        <v>104</v>
      </c>
      <c r="D369" s="1" t="s">
        <v>41</v>
      </c>
      <c r="E369" s="3">
        <v>3150000</v>
      </c>
      <c r="F369" s="1">
        <v>2524.0384615384601</v>
      </c>
      <c r="G369" s="1">
        <v>4</v>
      </c>
      <c r="H369" s="1">
        <v>2</v>
      </c>
      <c r="I369" s="1">
        <v>3</v>
      </c>
      <c r="J369" s="1">
        <v>2.5</v>
      </c>
      <c r="K369" s="1">
        <v>2</v>
      </c>
      <c r="L369" s="1">
        <v>1</v>
      </c>
      <c r="M369" s="4">
        <v>1248</v>
      </c>
      <c r="N369" s="1">
        <v>1453</v>
      </c>
      <c r="O369" s="1">
        <v>3936</v>
      </c>
      <c r="P369" s="1">
        <v>2483</v>
      </c>
      <c r="S369" s="1" t="s">
        <v>42</v>
      </c>
      <c r="T369" s="1" t="s">
        <v>170</v>
      </c>
      <c r="U369" s="1">
        <v>524</v>
      </c>
      <c r="V369" s="5">
        <v>44426</v>
      </c>
      <c r="W369" s="5">
        <v>43662</v>
      </c>
      <c r="X369" s="1">
        <v>3150000</v>
      </c>
      <c r="Y369" s="1">
        <v>3150000</v>
      </c>
      <c r="Z369" s="5">
        <v>44352</v>
      </c>
      <c r="AA369" s="1">
        <v>3150000</v>
      </c>
      <c r="AB369" s="1" t="s">
        <v>181</v>
      </c>
      <c r="AC369" s="5">
        <v>44426</v>
      </c>
      <c r="AF369" s="1">
        <v>10013</v>
      </c>
      <c r="AI369" s="1" t="s">
        <v>59</v>
      </c>
      <c r="AJ369" s="1">
        <v>2019</v>
      </c>
      <c r="AK369" s="1" t="s">
        <v>49</v>
      </c>
      <c r="AL369" s="1">
        <v>54</v>
      </c>
    </row>
    <row r="370" spans="1:38" x14ac:dyDescent="0.2">
      <c r="A370" s="2" t="str">
        <f>HYPERLINK("https://www.compass.com/listing/570-broome-street-unit-15b-manhattan-ny-10013/296942620668503905/","570 Broome St, Unit 15B")</f>
        <v>570 Broome St, Unit 15B</v>
      </c>
      <c r="B370" s="2" t="str">
        <f t="shared" si="63"/>
        <v>570 Broome</v>
      </c>
      <c r="C370" s="1" t="s">
        <v>104</v>
      </c>
      <c r="D370" s="1" t="s">
        <v>41</v>
      </c>
      <c r="E370" s="3">
        <v>3153750</v>
      </c>
      <c r="F370" s="1">
        <v>2665.8918005071801</v>
      </c>
      <c r="G370" s="1">
        <v>4</v>
      </c>
      <c r="H370" s="1">
        <v>2</v>
      </c>
      <c r="I370" s="1">
        <v>3</v>
      </c>
      <c r="J370" s="1">
        <v>2.5</v>
      </c>
      <c r="K370" s="1">
        <v>2</v>
      </c>
      <c r="L370" s="1">
        <v>1</v>
      </c>
      <c r="M370" s="4">
        <v>1183</v>
      </c>
      <c r="N370" s="1">
        <v>1386</v>
      </c>
      <c r="O370" s="1">
        <v>3521</v>
      </c>
      <c r="P370" s="1">
        <v>2135</v>
      </c>
      <c r="Q370" s="1" t="s">
        <v>42</v>
      </c>
      <c r="S370" s="1" t="s">
        <v>42</v>
      </c>
      <c r="T370" s="1" t="s">
        <v>170</v>
      </c>
      <c r="V370" s="5">
        <v>43862</v>
      </c>
      <c r="W370" s="5">
        <v>43662</v>
      </c>
      <c r="X370" s="1">
        <v>3295000</v>
      </c>
      <c r="Y370" s="1">
        <v>3295000</v>
      </c>
      <c r="Z370" s="5">
        <v>43662</v>
      </c>
      <c r="AA370" s="1">
        <v>3153750</v>
      </c>
      <c r="AB370" s="1" t="s">
        <v>199</v>
      </c>
      <c r="AC370" s="5">
        <v>43861</v>
      </c>
      <c r="AF370" s="1">
        <v>10013</v>
      </c>
      <c r="AI370" s="1" t="s">
        <v>200</v>
      </c>
      <c r="AJ370" s="1">
        <v>2019</v>
      </c>
      <c r="AK370" s="1" t="s">
        <v>49</v>
      </c>
      <c r="AL370" s="1">
        <v>54</v>
      </c>
    </row>
    <row r="371" spans="1:38" x14ac:dyDescent="0.2">
      <c r="A371" s="2" t="str">
        <f>HYPERLINK("https://www.compass.com/listing/570-broome-street-unit-21a-manhattan-ny-10013/296950196278037697/","570 Broome St, Unit 21A")</f>
        <v>570 Broome St, Unit 21A</v>
      </c>
      <c r="B371" s="2" t="str">
        <f t="shared" si="63"/>
        <v>570 Broome</v>
      </c>
      <c r="C371" s="1" t="s">
        <v>104</v>
      </c>
      <c r="D371" s="1" t="s">
        <v>41</v>
      </c>
      <c r="E371" s="3">
        <v>3140000</v>
      </c>
      <c r="F371" s="1">
        <v>2516.0256410256402</v>
      </c>
      <c r="G371" s="1">
        <v>4</v>
      </c>
      <c r="H371" s="1">
        <v>2</v>
      </c>
      <c r="I371" s="1">
        <v>3</v>
      </c>
      <c r="J371" s="1">
        <v>2.5</v>
      </c>
      <c r="K371" s="1">
        <v>2</v>
      </c>
      <c r="L371" s="1">
        <v>1</v>
      </c>
      <c r="M371" s="4">
        <v>1248</v>
      </c>
      <c r="N371" s="1">
        <v>1326</v>
      </c>
      <c r="O371" s="1">
        <v>3368</v>
      </c>
      <c r="P371" s="1">
        <v>2042</v>
      </c>
      <c r="Q371" s="1" t="s">
        <v>42</v>
      </c>
      <c r="S371" s="1" t="s">
        <v>42</v>
      </c>
      <c r="T371" s="1" t="s">
        <v>170</v>
      </c>
      <c r="V371" s="5">
        <v>43852</v>
      </c>
      <c r="W371" s="5">
        <v>43662</v>
      </c>
      <c r="X371" s="1">
        <v>3425000</v>
      </c>
      <c r="Y371" s="1">
        <v>3425000</v>
      </c>
      <c r="Z371" s="5">
        <v>43662</v>
      </c>
      <c r="AA371" s="1">
        <v>3140000</v>
      </c>
      <c r="AB371" s="1" t="s">
        <v>201</v>
      </c>
      <c r="AC371" s="5">
        <v>43818</v>
      </c>
      <c r="AF371" s="1">
        <v>10013</v>
      </c>
      <c r="AI371" s="1" t="s">
        <v>59</v>
      </c>
      <c r="AJ371" s="1">
        <v>2019</v>
      </c>
      <c r="AK371" s="1" t="s">
        <v>49</v>
      </c>
      <c r="AL371" s="1">
        <v>54</v>
      </c>
    </row>
    <row r="372" spans="1:38" x14ac:dyDescent="0.2">
      <c r="A372" s="2" t="str">
        <f>HYPERLINK("https://www.compass.com/listing/570-broome-street-unit-22a-manhattan-ny-10013/296950910987301585/","570 Broome St, Unit 22A")</f>
        <v>570 Broome St, Unit 22A</v>
      </c>
      <c r="B372" s="2" t="str">
        <f t="shared" si="63"/>
        <v>570 Broome</v>
      </c>
      <c r="C372" s="1" t="s">
        <v>104</v>
      </c>
      <c r="D372" s="1" t="s">
        <v>41</v>
      </c>
      <c r="E372" s="3">
        <v>3180000</v>
      </c>
      <c r="F372" s="1">
        <v>2548.0769230769201</v>
      </c>
      <c r="G372" s="1">
        <v>4</v>
      </c>
      <c r="H372" s="1">
        <v>2</v>
      </c>
      <c r="I372" s="1">
        <v>3</v>
      </c>
      <c r="J372" s="1">
        <v>2.5</v>
      </c>
      <c r="K372" s="1">
        <v>2</v>
      </c>
      <c r="L372" s="1">
        <v>1</v>
      </c>
      <c r="M372" s="4">
        <v>1248</v>
      </c>
      <c r="N372" s="1">
        <v>1326</v>
      </c>
      <c r="O372" s="1">
        <v>3368</v>
      </c>
      <c r="P372" s="1">
        <v>2042</v>
      </c>
      <c r="Q372" s="1" t="s">
        <v>42</v>
      </c>
      <c r="S372" s="1" t="s">
        <v>42</v>
      </c>
      <c r="T372" s="1" t="s">
        <v>170</v>
      </c>
      <c r="V372" s="5">
        <v>43851</v>
      </c>
      <c r="W372" s="5">
        <v>43662</v>
      </c>
      <c r="X372" s="1">
        <v>3465000</v>
      </c>
      <c r="Y372" s="1">
        <v>3465000</v>
      </c>
      <c r="Z372" s="5">
        <v>43662</v>
      </c>
      <c r="AA372" s="1">
        <v>3180000</v>
      </c>
      <c r="AB372" s="1" t="s">
        <v>202</v>
      </c>
      <c r="AC372" s="5">
        <v>43846</v>
      </c>
      <c r="AF372" s="1">
        <v>10013</v>
      </c>
      <c r="AI372" s="1" t="s">
        <v>59</v>
      </c>
      <c r="AJ372" s="1">
        <v>2019</v>
      </c>
      <c r="AK372" s="1" t="s">
        <v>49</v>
      </c>
      <c r="AL372" s="1">
        <v>54</v>
      </c>
    </row>
    <row r="373" spans="1:38" x14ac:dyDescent="0.2">
      <c r="A373" s="2" t="str">
        <f>HYPERLINK("https://www.compass.com/listing/570-broome-street-unit-23a-manhattan-ny-10013/344918347262877617/","570 Broome St, Unit 23A")</f>
        <v>570 Broome St, Unit 23A</v>
      </c>
      <c r="B373" s="2" t="str">
        <f t="shared" si="63"/>
        <v>570 Broome</v>
      </c>
      <c r="C373" s="1" t="s">
        <v>104</v>
      </c>
      <c r="D373" s="1" t="s">
        <v>41</v>
      </c>
      <c r="E373" s="3">
        <v>3225000</v>
      </c>
      <c r="F373" s="1">
        <v>2584.1346153846098</v>
      </c>
      <c r="G373" s="1">
        <v>4</v>
      </c>
      <c r="H373" s="1">
        <v>2</v>
      </c>
      <c r="I373" s="1">
        <v>3</v>
      </c>
      <c r="J373" s="1">
        <v>2.5</v>
      </c>
      <c r="K373" s="1">
        <v>2</v>
      </c>
      <c r="L373" s="1">
        <v>1</v>
      </c>
      <c r="M373" s="4">
        <v>1248</v>
      </c>
      <c r="N373" s="1">
        <v>1327</v>
      </c>
      <c r="O373" s="1">
        <v>3369</v>
      </c>
      <c r="P373" s="1">
        <v>2042</v>
      </c>
      <c r="Q373" s="1" t="s">
        <v>42</v>
      </c>
      <c r="S373" s="1" t="s">
        <v>42</v>
      </c>
      <c r="T373" s="1" t="s">
        <v>170</v>
      </c>
      <c r="U373" s="1">
        <v>4</v>
      </c>
      <c r="V373" s="5">
        <v>43845</v>
      </c>
      <c r="W373" s="5">
        <v>43728</v>
      </c>
      <c r="X373" s="1">
        <v>3505000</v>
      </c>
      <c r="Y373" s="1">
        <v>3505000</v>
      </c>
      <c r="Z373" s="5">
        <v>43733</v>
      </c>
      <c r="AA373" s="1">
        <v>3225000</v>
      </c>
      <c r="AB373" s="1" t="s">
        <v>203</v>
      </c>
      <c r="AC373" s="5">
        <v>43844</v>
      </c>
      <c r="AF373" s="1">
        <v>10013</v>
      </c>
      <c r="AI373" s="1" t="s">
        <v>48</v>
      </c>
      <c r="AJ373" s="1">
        <v>2019</v>
      </c>
      <c r="AK373" s="1" t="s">
        <v>49</v>
      </c>
      <c r="AL373" s="1">
        <v>54</v>
      </c>
    </row>
    <row r="374" spans="1:38" x14ac:dyDescent="0.2">
      <c r="A374" s="2" t="str">
        <f>HYPERLINK("https://www.compass.com/listing/570-broome-street-unit-14b-manhattan-ny-10013/296940262999893409/","570 Broome St, Unit 14B")</f>
        <v>570 Broome St, Unit 14B</v>
      </c>
      <c r="B374" s="2" t="str">
        <f t="shared" si="63"/>
        <v>570 Broome</v>
      </c>
      <c r="C374" s="1" t="s">
        <v>104</v>
      </c>
      <c r="D374" s="1" t="s">
        <v>41</v>
      </c>
      <c r="E374" s="3">
        <v>2568536</v>
      </c>
      <c r="F374" s="1">
        <v>1984.95826893353</v>
      </c>
      <c r="G374" s="1">
        <v>4</v>
      </c>
      <c r="H374" s="1">
        <v>2</v>
      </c>
      <c r="I374" s="1">
        <v>3</v>
      </c>
      <c r="J374" s="1">
        <v>2.5</v>
      </c>
      <c r="K374" s="1">
        <v>2</v>
      </c>
      <c r="L374" s="1">
        <v>1</v>
      </c>
      <c r="M374" s="4">
        <v>1294</v>
      </c>
      <c r="N374" s="1">
        <v>1380</v>
      </c>
      <c r="O374" s="1">
        <v>3505</v>
      </c>
      <c r="P374" s="1">
        <v>2125</v>
      </c>
      <c r="Q374" s="1" t="s">
        <v>42</v>
      </c>
      <c r="S374" s="1" t="s">
        <v>42</v>
      </c>
      <c r="T374" s="1" t="s">
        <v>170</v>
      </c>
      <c r="V374" s="5">
        <v>43837</v>
      </c>
      <c r="W374" s="5">
        <v>43662</v>
      </c>
      <c r="X374" s="1">
        <v>2750000</v>
      </c>
      <c r="Y374" s="1">
        <v>2750000</v>
      </c>
      <c r="Z374" s="5">
        <v>43662</v>
      </c>
      <c r="AA374" s="1">
        <v>2568536</v>
      </c>
      <c r="AB374" s="1" t="s">
        <v>204</v>
      </c>
      <c r="AC374" s="5">
        <v>43815</v>
      </c>
      <c r="AF374" s="1">
        <v>10013</v>
      </c>
      <c r="AI374" s="1" t="s">
        <v>59</v>
      </c>
      <c r="AJ374" s="1">
        <v>2019</v>
      </c>
      <c r="AK374" s="1" t="s">
        <v>49</v>
      </c>
      <c r="AL374" s="1">
        <v>54</v>
      </c>
    </row>
    <row r="375" spans="1:38" x14ac:dyDescent="0.2">
      <c r="A375" s="2" t="str">
        <f>HYPERLINK("https://www.compass.com/listing/570-broome-street-unit-16a-manhattan-ny-10013/296943137717252081/","570 Broome St, Unit 16A")</f>
        <v>570 Broome St, Unit 16A</v>
      </c>
      <c r="B375" s="2" t="str">
        <f t="shared" si="63"/>
        <v>570 Broome</v>
      </c>
      <c r="C375" s="1" t="s">
        <v>104</v>
      </c>
      <c r="D375" s="1" t="s">
        <v>41</v>
      </c>
      <c r="E375" s="3">
        <v>2800000</v>
      </c>
      <c r="F375" s="1">
        <v>2243.58974358974</v>
      </c>
      <c r="G375" s="1">
        <v>4</v>
      </c>
      <c r="H375" s="1">
        <v>2</v>
      </c>
      <c r="I375" s="1">
        <v>3</v>
      </c>
      <c r="J375" s="1">
        <v>2.5</v>
      </c>
      <c r="K375" s="1">
        <v>2</v>
      </c>
      <c r="L375" s="1">
        <v>1</v>
      </c>
      <c r="M375" s="4">
        <v>1248</v>
      </c>
      <c r="N375" s="1">
        <v>1327</v>
      </c>
      <c r="O375" s="1">
        <v>3369</v>
      </c>
      <c r="P375" s="1">
        <v>2042</v>
      </c>
      <c r="Q375" s="1" t="s">
        <v>42</v>
      </c>
      <c r="S375" s="1" t="s">
        <v>42</v>
      </c>
      <c r="T375" s="1" t="s">
        <v>170</v>
      </c>
      <c r="V375" s="5">
        <v>43792</v>
      </c>
      <c r="W375" s="5">
        <v>43662</v>
      </c>
      <c r="X375" s="1">
        <v>2995000</v>
      </c>
      <c r="Y375" s="1">
        <v>2995000</v>
      </c>
      <c r="Z375" s="5">
        <v>43662</v>
      </c>
      <c r="AA375" s="1">
        <v>2800000</v>
      </c>
      <c r="AB375" s="1" t="s">
        <v>205</v>
      </c>
      <c r="AC375" s="5">
        <v>43791</v>
      </c>
      <c r="AF375" s="1">
        <v>10013</v>
      </c>
      <c r="AI375" s="1" t="s">
        <v>59</v>
      </c>
      <c r="AJ375" s="1">
        <v>2019</v>
      </c>
      <c r="AK375" s="1" t="s">
        <v>49</v>
      </c>
      <c r="AL375" s="1">
        <v>54</v>
      </c>
    </row>
    <row r="376" spans="1:38" x14ac:dyDescent="0.2">
      <c r="A376" s="2" t="str">
        <f>HYPERLINK("https://www.compass.com/listing/570-broome-street-unit-11b-manhattan-ny-10013/365781629238536593/","570 Broome St, Unit 11B")</f>
        <v>570 Broome St, Unit 11B</v>
      </c>
      <c r="B376" s="2" t="str">
        <f t="shared" si="63"/>
        <v>570 Broome</v>
      </c>
      <c r="C376" s="1" t="s">
        <v>104</v>
      </c>
      <c r="D376" s="1" t="s">
        <v>41</v>
      </c>
      <c r="E376" s="3">
        <v>3050000</v>
      </c>
      <c r="F376" s="1">
        <v>1981.8063677712801</v>
      </c>
      <c r="G376" s="1">
        <v>5</v>
      </c>
      <c r="H376" s="1">
        <v>3</v>
      </c>
      <c r="I376" s="1">
        <v>3</v>
      </c>
      <c r="J376" s="1">
        <v>3</v>
      </c>
      <c r="K376" s="1">
        <v>3</v>
      </c>
      <c r="M376" s="4">
        <v>1539</v>
      </c>
      <c r="N376" s="1">
        <v>1641</v>
      </c>
      <c r="O376" s="1">
        <v>4168</v>
      </c>
      <c r="P376" s="1">
        <v>2527</v>
      </c>
      <c r="Q376" s="1" t="s">
        <v>42</v>
      </c>
      <c r="S376" s="1" t="s">
        <v>42</v>
      </c>
      <c r="T376" s="1" t="s">
        <v>170</v>
      </c>
      <c r="U376" s="1">
        <v>3</v>
      </c>
      <c r="V376" s="5">
        <v>43820</v>
      </c>
      <c r="W376" s="5">
        <v>43757</v>
      </c>
      <c r="X376" s="1">
        <v>3575000</v>
      </c>
      <c r="Y376" s="1">
        <v>3575000</v>
      </c>
      <c r="Z376" s="5">
        <v>43760</v>
      </c>
      <c r="AA376" s="1">
        <v>3050000</v>
      </c>
      <c r="AB376" s="1" t="s">
        <v>206</v>
      </c>
      <c r="AC376" s="5">
        <v>43819</v>
      </c>
      <c r="AF376" s="1">
        <v>10013</v>
      </c>
      <c r="AI376" s="1" t="s">
        <v>48</v>
      </c>
      <c r="AJ376" s="1">
        <v>2019</v>
      </c>
      <c r="AK376" s="1" t="s">
        <v>49</v>
      </c>
      <c r="AL376" s="1">
        <v>54</v>
      </c>
    </row>
    <row r="377" spans="1:38" x14ac:dyDescent="0.2">
      <c r="A377" s="2" t="str">
        <f>HYPERLINK("https://www.compass.com/listing/570-broome-street-unit-13a-manhattan-ny-10013/296938938589801825/","570 Broome St, Unit 13A")</f>
        <v>570 Broome St, Unit 13A</v>
      </c>
      <c r="B377" s="2" t="str">
        <f t="shared" si="63"/>
        <v>570 Broome</v>
      </c>
      <c r="C377" s="1" t="s">
        <v>104</v>
      </c>
      <c r="D377" s="1" t="s">
        <v>41</v>
      </c>
      <c r="E377" s="3">
        <v>3675000</v>
      </c>
      <c r="F377" s="1">
        <v>2500</v>
      </c>
      <c r="G377" s="1">
        <v>4</v>
      </c>
      <c r="H377" s="1">
        <v>2</v>
      </c>
      <c r="I377" s="1">
        <v>3</v>
      </c>
      <c r="J377" s="1">
        <v>2.5</v>
      </c>
      <c r="K377" s="1">
        <v>2</v>
      </c>
      <c r="L377" s="1">
        <v>1</v>
      </c>
      <c r="M377" s="4">
        <v>1470</v>
      </c>
      <c r="N377" s="1">
        <v>1682</v>
      </c>
      <c r="O377" s="1">
        <v>4271</v>
      </c>
      <c r="P377" s="1">
        <v>2589</v>
      </c>
      <c r="Q377" s="1" t="s">
        <v>42</v>
      </c>
      <c r="S377" s="1" t="s">
        <v>42</v>
      </c>
      <c r="T377" s="1" t="s">
        <v>170</v>
      </c>
      <c r="V377" s="5">
        <v>43803</v>
      </c>
      <c r="W377" s="5">
        <v>43662</v>
      </c>
      <c r="X377" s="1">
        <v>4075000</v>
      </c>
      <c r="Y377" s="1">
        <v>4075000</v>
      </c>
      <c r="Z377" s="5">
        <v>43662</v>
      </c>
      <c r="AA377" s="1">
        <v>3675000</v>
      </c>
      <c r="AB377" s="1" t="s">
        <v>207</v>
      </c>
      <c r="AC377" s="5">
        <v>43801</v>
      </c>
      <c r="AF377" s="1">
        <v>10013</v>
      </c>
      <c r="AI377" s="1" t="s">
        <v>59</v>
      </c>
      <c r="AJ377" s="1">
        <v>2019</v>
      </c>
      <c r="AK377" s="1" t="s">
        <v>49</v>
      </c>
      <c r="AL377" s="1">
        <v>54</v>
      </c>
    </row>
    <row r="378" spans="1:38" x14ac:dyDescent="0.2">
      <c r="A378" s="2" t="str">
        <f>HYPERLINK("https://www.compass.com/listing/570-broome-street-unit-20a-manhattan-ny-10013/296948935243625009/","570 Broome St, Unit 20A")</f>
        <v>570 Broome St, Unit 20A</v>
      </c>
      <c r="B378" s="2" t="str">
        <f t="shared" si="63"/>
        <v>570 Broome</v>
      </c>
      <c r="C378" s="1" t="s">
        <v>104</v>
      </c>
      <c r="D378" s="1" t="s">
        <v>41</v>
      </c>
      <c r="E378" s="3">
        <v>3035000</v>
      </c>
      <c r="F378" s="1">
        <v>2431.89102564102</v>
      </c>
      <c r="G378" s="1">
        <v>4</v>
      </c>
      <c r="H378" s="1">
        <v>2</v>
      </c>
      <c r="I378" s="1">
        <v>3</v>
      </c>
      <c r="J378" s="1">
        <v>2.5</v>
      </c>
      <c r="K378" s="1">
        <v>2</v>
      </c>
      <c r="L378" s="1">
        <v>1</v>
      </c>
      <c r="M378" s="4">
        <v>1248</v>
      </c>
      <c r="N378" s="1">
        <v>1327</v>
      </c>
      <c r="O378" s="1">
        <v>3369</v>
      </c>
      <c r="P378" s="1">
        <v>2042</v>
      </c>
      <c r="Q378" s="1" t="s">
        <v>42</v>
      </c>
      <c r="S378" s="1" t="s">
        <v>42</v>
      </c>
      <c r="T378" s="1" t="s">
        <v>170</v>
      </c>
      <c r="V378" s="5">
        <v>43796</v>
      </c>
      <c r="W378" s="5">
        <v>43662</v>
      </c>
      <c r="X378" s="1">
        <v>3385000</v>
      </c>
      <c r="Y378" s="1">
        <v>3385000</v>
      </c>
      <c r="Z378" s="5">
        <v>43662</v>
      </c>
      <c r="AA378" s="1">
        <v>3035000</v>
      </c>
      <c r="AB378" s="1" t="s">
        <v>208</v>
      </c>
      <c r="AC378" s="5">
        <v>43795</v>
      </c>
      <c r="AF378" s="1">
        <v>10013</v>
      </c>
      <c r="AI378" s="1" t="s">
        <v>59</v>
      </c>
      <c r="AJ378" s="1">
        <v>2019</v>
      </c>
      <c r="AK378" s="1" t="s">
        <v>49</v>
      </c>
      <c r="AL378" s="1">
        <v>54</v>
      </c>
    </row>
    <row r="379" spans="1:38" x14ac:dyDescent="0.2">
      <c r="A379" s="2" t="str">
        <f>HYPERLINK("https://www.compass.com/listing/570-broome-street-unit-8a-manhattan-ny-10013/296914153751090913/","570 Broome St, Unit 8A")</f>
        <v>570 Broome St, Unit 8A</v>
      </c>
      <c r="B379" s="2" t="str">
        <f t="shared" si="63"/>
        <v>570 Broome</v>
      </c>
      <c r="C379" s="1" t="s">
        <v>104</v>
      </c>
      <c r="D379" s="1" t="s">
        <v>41</v>
      </c>
      <c r="E379" s="3">
        <v>1654656</v>
      </c>
      <c r="F379" s="1">
        <v>2063.16209476309</v>
      </c>
      <c r="G379" s="1">
        <v>3</v>
      </c>
      <c r="H379" s="1">
        <v>1</v>
      </c>
      <c r="I379" s="1">
        <v>1</v>
      </c>
      <c r="J379" s="1">
        <v>1</v>
      </c>
      <c r="K379" s="1">
        <v>1</v>
      </c>
      <c r="M379" s="1">
        <v>802</v>
      </c>
      <c r="N379" s="1">
        <v>858</v>
      </c>
      <c r="O379" s="1">
        <v>2178</v>
      </c>
      <c r="P379" s="1">
        <v>1320</v>
      </c>
      <c r="Q379" s="1" t="s">
        <v>42</v>
      </c>
      <c r="S379" s="1" t="s">
        <v>42</v>
      </c>
      <c r="T379" s="1" t="s">
        <v>170</v>
      </c>
      <c r="V379" s="5">
        <v>43796</v>
      </c>
      <c r="W379" s="5">
        <v>43661</v>
      </c>
      <c r="X379" s="1">
        <v>1750000</v>
      </c>
      <c r="Y379" s="1">
        <v>1750000</v>
      </c>
      <c r="Z379" s="5">
        <v>43661</v>
      </c>
      <c r="AA379" s="1">
        <v>1654656</v>
      </c>
      <c r="AB379" s="1" t="s">
        <v>209</v>
      </c>
      <c r="AC379" s="5">
        <v>43794</v>
      </c>
      <c r="AF379" s="1">
        <v>10013</v>
      </c>
      <c r="AI379" s="1" t="s">
        <v>59</v>
      </c>
      <c r="AJ379" s="1">
        <v>2019</v>
      </c>
      <c r="AK379" s="1" t="s">
        <v>49</v>
      </c>
      <c r="AL379" s="1">
        <v>54</v>
      </c>
    </row>
    <row r="380" spans="1:38" x14ac:dyDescent="0.2">
      <c r="A380" s="2" t="str">
        <f>HYPERLINK("https://www.compass.com/listing/570-broome-street-unit-7a-manhattan-ny-10013/296962034482837425/","570 Broome St, Unit 7A")</f>
        <v>570 Broome St, Unit 7A</v>
      </c>
      <c r="B380" s="2" t="str">
        <f t="shared" si="63"/>
        <v>570 Broome</v>
      </c>
      <c r="C380" s="1" t="s">
        <v>104</v>
      </c>
      <c r="D380" s="1" t="s">
        <v>41</v>
      </c>
      <c r="E380" s="3">
        <v>1612500</v>
      </c>
      <c r="F380" s="1">
        <v>2010.5985037406399</v>
      </c>
      <c r="G380" s="1">
        <v>3</v>
      </c>
      <c r="H380" s="1">
        <v>1</v>
      </c>
      <c r="I380" s="1">
        <v>1</v>
      </c>
      <c r="J380" s="1">
        <v>1</v>
      </c>
      <c r="K380" s="1">
        <v>1</v>
      </c>
      <c r="M380" s="1">
        <v>802</v>
      </c>
      <c r="N380" s="1">
        <v>857</v>
      </c>
      <c r="O380" s="1">
        <v>2177</v>
      </c>
      <c r="P380" s="1">
        <v>1320</v>
      </c>
      <c r="Q380" s="1" t="s">
        <v>42</v>
      </c>
      <c r="S380" s="1" t="s">
        <v>42</v>
      </c>
      <c r="T380" s="1" t="s">
        <v>170</v>
      </c>
      <c r="V380" s="5">
        <v>44019</v>
      </c>
      <c r="W380" s="5">
        <v>43662</v>
      </c>
      <c r="X380" s="1">
        <v>1595000</v>
      </c>
      <c r="Y380" s="1">
        <v>1595000</v>
      </c>
      <c r="Z380" s="5">
        <v>43662</v>
      </c>
      <c r="AA380" s="1">
        <v>1612500</v>
      </c>
      <c r="AB380" s="1" t="s">
        <v>210</v>
      </c>
      <c r="AC380" s="5">
        <v>44018</v>
      </c>
      <c r="AF380" s="1">
        <v>10013</v>
      </c>
      <c r="AI380" s="1" t="s">
        <v>59</v>
      </c>
      <c r="AJ380" s="1">
        <v>2019</v>
      </c>
      <c r="AK380" s="1" t="s">
        <v>49</v>
      </c>
      <c r="AL380" s="1">
        <v>54</v>
      </c>
    </row>
    <row r="381" spans="1:38" x14ac:dyDescent="0.2">
      <c r="A381" s="2" t="str">
        <f>HYPERLINK("https://www.compass.com/listing/570-broome-street-unit-pha-manhattan-ny-10013/296910594297062305/","570 Broome St, Unit PHA")</f>
        <v>570 Broome St, Unit PHA</v>
      </c>
      <c r="B381" s="2" t="str">
        <f t="shared" si="63"/>
        <v>570 Broome</v>
      </c>
      <c r="C381" s="1" t="s">
        <v>104</v>
      </c>
      <c r="D381" s="1" t="s">
        <v>41</v>
      </c>
      <c r="E381" s="3">
        <v>5815000</v>
      </c>
      <c r="F381" s="1">
        <v>2992.7946474523901</v>
      </c>
      <c r="G381" s="1">
        <v>6</v>
      </c>
      <c r="H381" s="1">
        <v>3</v>
      </c>
      <c r="I381" s="1">
        <v>3</v>
      </c>
      <c r="J381" s="1">
        <v>3</v>
      </c>
      <c r="K381" s="1">
        <v>3</v>
      </c>
      <c r="M381" s="4">
        <v>1943</v>
      </c>
      <c r="N381" s="1">
        <v>2278</v>
      </c>
      <c r="O381" s="1">
        <v>5784</v>
      </c>
      <c r="P381" s="1">
        <v>3506</v>
      </c>
      <c r="Q381" s="1" t="s">
        <v>42</v>
      </c>
      <c r="S381" s="1" t="s">
        <v>42</v>
      </c>
      <c r="T381" s="1" t="s">
        <v>170</v>
      </c>
      <c r="V381" s="5">
        <v>43819</v>
      </c>
      <c r="W381" s="5">
        <v>43661</v>
      </c>
      <c r="X381" s="1">
        <v>6250000</v>
      </c>
      <c r="Y381" s="1">
        <v>6250000</v>
      </c>
      <c r="Z381" s="5">
        <v>43661</v>
      </c>
      <c r="AA381" s="1">
        <v>5815000</v>
      </c>
      <c r="AB381" s="1" t="s">
        <v>211</v>
      </c>
      <c r="AC381" s="5">
        <v>43818</v>
      </c>
      <c r="AF381" s="1">
        <v>10013</v>
      </c>
      <c r="AI381" s="1" t="s">
        <v>59</v>
      </c>
      <c r="AJ381" s="1">
        <v>2019</v>
      </c>
      <c r="AK381" s="1" t="s">
        <v>49</v>
      </c>
      <c r="AL381" s="1">
        <v>54</v>
      </c>
    </row>
    <row r="382" spans="1:38" x14ac:dyDescent="0.2">
      <c r="A382" s="2" t="str">
        <f>HYPERLINK("https://www.compass.com/listing/570-broome-street-unit-9a-manhattan-ny-10013/296912588596339793/","570 Broome St, Unit 9A")</f>
        <v>570 Broome St, Unit 9A</v>
      </c>
      <c r="B382" s="2" t="str">
        <f t="shared" si="63"/>
        <v>570 Broome</v>
      </c>
      <c r="C382" s="1" t="s">
        <v>104</v>
      </c>
      <c r="D382" s="1" t="s">
        <v>41</v>
      </c>
      <c r="E382" s="3">
        <v>1536286</v>
      </c>
      <c r="F382" s="1">
        <v>1915.5681920199499</v>
      </c>
      <c r="G382" s="1">
        <v>3</v>
      </c>
      <c r="H382" s="1">
        <v>1</v>
      </c>
      <c r="I382" s="1">
        <v>1</v>
      </c>
      <c r="J382" s="1">
        <v>1</v>
      </c>
      <c r="K382" s="1">
        <v>1</v>
      </c>
      <c r="M382" s="1">
        <v>802</v>
      </c>
      <c r="N382" s="1">
        <v>857</v>
      </c>
      <c r="O382" s="1">
        <v>2177</v>
      </c>
      <c r="P382" s="1">
        <v>1320</v>
      </c>
      <c r="Q382" s="1" t="s">
        <v>42</v>
      </c>
      <c r="S382" s="1" t="s">
        <v>42</v>
      </c>
      <c r="T382" s="1" t="s">
        <v>170</v>
      </c>
      <c r="V382" s="5">
        <v>43853</v>
      </c>
      <c r="W382" s="5">
        <v>43661</v>
      </c>
      <c r="X382" s="1">
        <v>1775000</v>
      </c>
      <c r="Y382" s="1">
        <v>1775000</v>
      </c>
      <c r="Z382" s="5">
        <v>43661</v>
      </c>
      <c r="AA382" s="1">
        <v>1536285.69</v>
      </c>
      <c r="AB382" s="1" t="s">
        <v>212</v>
      </c>
      <c r="AC382" s="5">
        <v>43916</v>
      </c>
      <c r="AF382" s="1">
        <v>10013</v>
      </c>
      <c r="AI382" s="1" t="s">
        <v>59</v>
      </c>
      <c r="AJ382" s="1">
        <v>2019</v>
      </c>
      <c r="AK382" s="1" t="s">
        <v>49</v>
      </c>
      <c r="AL382" s="1">
        <v>54</v>
      </c>
    </row>
    <row r="383" spans="1:38" x14ac:dyDescent="0.2">
      <c r="A383" s="2" t="str">
        <f>HYPERLINK("https://www.compass.com/listing/570-broome-street-unit-8c-manhattan-ny-10013/296913416585385569/","570 Broome St, Unit 8C")</f>
        <v>570 Broome St, Unit 8C</v>
      </c>
      <c r="B383" s="2" t="str">
        <f t="shared" si="63"/>
        <v>570 Broome</v>
      </c>
      <c r="C383" s="1" t="s">
        <v>104</v>
      </c>
      <c r="D383" s="1" t="s">
        <v>41</v>
      </c>
      <c r="E383" s="3">
        <v>1309191</v>
      </c>
      <c r="F383" s="1">
        <v>1783.63922343324</v>
      </c>
      <c r="G383" s="1">
        <v>3</v>
      </c>
      <c r="H383" s="1">
        <v>1</v>
      </c>
      <c r="I383" s="1">
        <v>1</v>
      </c>
      <c r="J383" s="1">
        <v>1</v>
      </c>
      <c r="K383" s="1">
        <v>1</v>
      </c>
      <c r="M383" s="1">
        <v>734</v>
      </c>
      <c r="N383" s="1">
        <v>784</v>
      </c>
      <c r="O383" s="1">
        <v>1991</v>
      </c>
      <c r="P383" s="1">
        <v>1207</v>
      </c>
      <c r="Q383" s="1" t="s">
        <v>213</v>
      </c>
      <c r="S383" s="1" t="s">
        <v>155</v>
      </c>
      <c r="T383" s="1" t="s">
        <v>170</v>
      </c>
      <c r="V383" s="5">
        <v>43792</v>
      </c>
      <c r="W383" s="5">
        <v>43661</v>
      </c>
      <c r="X383" s="1">
        <v>1495000</v>
      </c>
      <c r="Y383" s="1">
        <v>1495000</v>
      </c>
      <c r="Z383" s="5">
        <v>43661</v>
      </c>
      <c r="AA383" s="1">
        <v>1309191.19</v>
      </c>
      <c r="AB383" s="1" t="s">
        <v>214</v>
      </c>
      <c r="AC383" s="5">
        <v>43822</v>
      </c>
      <c r="AF383" s="1">
        <v>10013</v>
      </c>
      <c r="AI383" s="1" t="s">
        <v>59</v>
      </c>
      <c r="AJ383" s="1">
        <v>2019</v>
      </c>
      <c r="AK383" s="1" t="s">
        <v>49</v>
      </c>
      <c r="AL383" s="1">
        <v>54</v>
      </c>
    </row>
    <row r="384" spans="1:38" x14ac:dyDescent="0.2">
      <c r="A384" s="2" t="str">
        <f>HYPERLINK("https://www.compass.com/listing/570-broome-street-unit-10a-manhattan-ny-10013/296934810144900945/","570 Broome St, Unit 10A")</f>
        <v>570 Broome St, Unit 10A</v>
      </c>
      <c r="B384" s="2" t="str">
        <f t="shared" si="63"/>
        <v>570 Broome</v>
      </c>
      <c r="C384" s="1" t="s">
        <v>104</v>
      </c>
      <c r="D384" s="1" t="s">
        <v>41</v>
      </c>
      <c r="E384" s="3">
        <v>1617500</v>
      </c>
      <c r="F384" s="1">
        <v>2016.8329177057301</v>
      </c>
      <c r="G384" s="1">
        <v>3</v>
      </c>
      <c r="H384" s="1">
        <v>1</v>
      </c>
      <c r="I384" s="1">
        <v>1</v>
      </c>
      <c r="J384" s="1">
        <v>1</v>
      </c>
      <c r="K384" s="1">
        <v>1</v>
      </c>
      <c r="M384" s="1">
        <v>802</v>
      </c>
      <c r="N384" s="1">
        <v>858</v>
      </c>
      <c r="O384" s="1">
        <v>2178</v>
      </c>
      <c r="P384" s="1">
        <v>1320</v>
      </c>
      <c r="Q384" s="1" t="s">
        <v>42</v>
      </c>
      <c r="S384" s="1" t="s">
        <v>42</v>
      </c>
      <c r="T384" s="1" t="s">
        <v>170</v>
      </c>
      <c r="U384" s="1">
        <v>24</v>
      </c>
      <c r="V384" s="5">
        <v>43792</v>
      </c>
      <c r="W384" s="5">
        <v>43767</v>
      </c>
      <c r="X384" s="1">
        <v>1800000</v>
      </c>
      <c r="Y384" s="1">
        <v>1800000</v>
      </c>
      <c r="Z384" s="5">
        <v>43662</v>
      </c>
      <c r="AA384" s="1">
        <v>1617500</v>
      </c>
      <c r="AB384" s="1" t="s">
        <v>215</v>
      </c>
      <c r="AC384" s="5">
        <v>43791</v>
      </c>
      <c r="AF384" s="1">
        <v>10013</v>
      </c>
      <c r="AI384" s="1" t="s">
        <v>59</v>
      </c>
      <c r="AJ384" s="1">
        <v>2019</v>
      </c>
      <c r="AK384" s="1" t="s">
        <v>49</v>
      </c>
      <c r="AL384" s="1">
        <v>54</v>
      </c>
    </row>
    <row r="385" spans="1:38" x14ac:dyDescent="0.2">
      <c r="A385" s="2" t="str">
        <f>HYPERLINK("https://www.compass.com/listing/570-broome-street-unit-11a-manhattan-ny-10013/296935770028010673/","570 Broome St, Unit 11A")</f>
        <v>570 Broome St, Unit 11A</v>
      </c>
      <c r="B385" s="2" t="str">
        <f t="shared" si="63"/>
        <v>570 Broome</v>
      </c>
      <c r="C385" s="1" t="s">
        <v>104</v>
      </c>
      <c r="D385" s="1" t="s">
        <v>41</v>
      </c>
      <c r="E385" s="3">
        <v>1576250</v>
      </c>
      <c r="F385" s="1">
        <v>1965.39900249376</v>
      </c>
      <c r="G385" s="1">
        <v>3</v>
      </c>
      <c r="H385" s="1">
        <v>1</v>
      </c>
      <c r="I385" s="1">
        <v>1</v>
      </c>
      <c r="J385" s="1">
        <v>1</v>
      </c>
      <c r="K385" s="1">
        <v>1</v>
      </c>
      <c r="M385" s="1">
        <v>802</v>
      </c>
      <c r="N385" s="1">
        <v>858</v>
      </c>
      <c r="O385" s="1">
        <v>2178</v>
      </c>
      <c r="P385" s="1">
        <v>1320</v>
      </c>
      <c r="Q385" s="1" t="s">
        <v>42</v>
      </c>
      <c r="S385" s="1" t="s">
        <v>42</v>
      </c>
      <c r="T385" s="1" t="s">
        <v>170</v>
      </c>
      <c r="V385" s="5">
        <v>43853</v>
      </c>
      <c r="W385" s="5">
        <v>43662</v>
      </c>
      <c r="X385" s="1">
        <v>1825000</v>
      </c>
      <c r="Y385" s="1">
        <v>1825000</v>
      </c>
      <c r="Z385" s="5">
        <v>43662</v>
      </c>
      <c r="AA385" s="1">
        <v>1576250</v>
      </c>
      <c r="AB385" s="1" t="s">
        <v>216</v>
      </c>
      <c r="AC385" s="5">
        <v>43921</v>
      </c>
      <c r="AF385" s="1">
        <v>10013</v>
      </c>
      <c r="AI385" s="1" t="s">
        <v>59</v>
      </c>
      <c r="AJ385" s="1">
        <v>2019</v>
      </c>
      <c r="AK385" s="1" t="s">
        <v>49</v>
      </c>
      <c r="AL385" s="1">
        <v>54</v>
      </c>
    </row>
    <row r="386" spans="1:38" x14ac:dyDescent="0.2">
      <c r="A386" s="2" t="str">
        <f>HYPERLINK("https://www.compass.com/listing/570-broome-street-unit-11c-manhattan-ny-10013/296936427501939937/","570 Broome St, Unit 11C")</f>
        <v>570 Broome St, Unit 11C</v>
      </c>
      <c r="B386" s="2" t="str">
        <f t="shared" si="63"/>
        <v>570 Broome</v>
      </c>
      <c r="C386" s="1" t="s">
        <v>104</v>
      </c>
      <c r="D386" s="1" t="s">
        <v>41</v>
      </c>
      <c r="E386" s="3">
        <v>1388000</v>
      </c>
      <c r="F386" s="1">
        <v>1896.1748633879699</v>
      </c>
      <c r="G386" s="1">
        <v>3</v>
      </c>
      <c r="H386" s="1">
        <v>1</v>
      </c>
      <c r="I386" s="1">
        <v>1</v>
      </c>
      <c r="J386" s="1">
        <v>1</v>
      </c>
      <c r="K386" s="1">
        <v>1</v>
      </c>
      <c r="M386" s="1">
        <v>732</v>
      </c>
      <c r="N386" s="1">
        <v>777</v>
      </c>
      <c r="O386" s="1">
        <v>1973</v>
      </c>
      <c r="P386" s="1">
        <v>1196</v>
      </c>
      <c r="Q386" s="1" t="s">
        <v>42</v>
      </c>
      <c r="S386" s="1" t="s">
        <v>42</v>
      </c>
      <c r="T386" s="1" t="s">
        <v>170</v>
      </c>
      <c r="V386" s="5">
        <v>43861</v>
      </c>
      <c r="W386" s="5">
        <v>43662</v>
      </c>
      <c r="X386" s="1">
        <v>1425000</v>
      </c>
      <c r="Y386" s="1">
        <v>1425000</v>
      </c>
      <c r="Z386" s="5">
        <v>43662</v>
      </c>
      <c r="AA386" s="1">
        <v>1388000</v>
      </c>
      <c r="AB386" s="1" t="s">
        <v>217</v>
      </c>
      <c r="AC386" s="5">
        <v>43859</v>
      </c>
      <c r="AF386" s="1">
        <v>10013</v>
      </c>
      <c r="AI386" s="1" t="s">
        <v>59</v>
      </c>
      <c r="AJ386" s="1">
        <v>2019</v>
      </c>
      <c r="AK386" s="1" t="s">
        <v>49</v>
      </c>
      <c r="AL386" s="1">
        <v>54</v>
      </c>
    </row>
    <row r="387" spans="1:38" x14ac:dyDescent="0.2">
      <c r="A387" s="2" t="str">
        <f>HYPERLINK("https://www.compass.com/listing/570-broome-street-unit-12a-manhattan-ny-10013/296938307372353489/","570 Broome St, Unit 12A")</f>
        <v>570 Broome St, Unit 12A</v>
      </c>
      <c r="B387" s="2" t="str">
        <f t="shared" si="63"/>
        <v>570 Broome</v>
      </c>
      <c r="C387" s="1" t="s">
        <v>104</v>
      </c>
      <c r="D387" s="1" t="s">
        <v>41</v>
      </c>
      <c r="E387" s="3">
        <v>1690284</v>
      </c>
      <c r="F387" s="1">
        <v>2107.58650872817</v>
      </c>
      <c r="G387" s="1">
        <v>3</v>
      </c>
      <c r="H387" s="1">
        <v>1</v>
      </c>
      <c r="I387" s="1">
        <v>1</v>
      </c>
      <c r="J387" s="1">
        <v>1</v>
      </c>
      <c r="K387" s="1">
        <v>1</v>
      </c>
      <c r="M387" s="1">
        <v>802</v>
      </c>
      <c r="N387" s="1">
        <v>858</v>
      </c>
      <c r="O387" s="1">
        <v>2178</v>
      </c>
      <c r="P387" s="1">
        <v>1320</v>
      </c>
      <c r="Q387" s="1" t="s">
        <v>42</v>
      </c>
      <c r="S387" s="1" t="s">
        <v>42</v>
      </c>
      <c r="T387" s="1" t="s">
        <v>170</v>
      </c>
      <c r="V387" s="5">
        <v>43838</v>
      </c>
      <c r="W387" s="5">
        <v>43662</v>
      </c>
      <c r="X387" s="1">
        <v>1850000</v>
      </c>
      <c r="Y387" s="1">
        <v>1850000</v>
      </c>
      <c r="Z387" s="5">
        <v>43662</v>
      </c>
      <c r="AA387" s="1">
        <v>1690284.38</v>
      </c>
      <c r="AB387" s="1" t="s">
        <v>218</v>
      </c>
      <c r="AC387" s="5">
        <v>43837</v>
      </c>
      <c r="AF387" s="1">
        <v>10013</v>
      </c>
      <c r="AI387" s="1" t="s">
        <v>59</v>
      </c>
      <c r="AJ387" s="1">
        <v>2019</v>
      </c>
      <c r="AK387" s="1" t="s">
        <v>49</v>
      </c>
      <c r="AL387" s="1">
        <v>54</v>
      </c>
    </row>
    <row r="388" spans="1:38" x14ac:dyDescent="0.2">
      <c r="A388" s="2" t="str">
        <f>HYPERLINK("https://www.compass.com/listing/570-broome-street-unit-3b-manhattan-ny-10013/296953683313193905/","570 Broome St, Unit 3B")</f>
        <v>570 Broome St, Unit 3B</v>
      </c>
      <c r="B388" s="2" t="str">
        <f t="shared" si="63"/>
        <v>570 Broome</v>
      </c>
      <c r="C388" s="1" t="s">
        <v>104</v>
      </c>
      <c r="D388" s="1" t="s">
        <v>41</v>
      </c>
      <c r="E388" s="3">
        <v>1250000</v>
      </c>
      <c r="F388" s="1">
        <v>1846.3810930576001</v>
      </c>
      <c r="G388" s="1">
        <v>3</v>
      </c>
      <c r="H388" s="1">
        <v>1</v>
      </c>
      <c r="I388" s="1">
        <v>1</v>
      </c>
      <c r="J388" s="1">
        <v>1</v>
      </c>
      <c r="K388" s="1">
        <v>1</v>
      </c>
      <c r="M388" s="1">
        <v>677</v>
      </c>
      <c r="N388" s="1">
        <v>724</v>
      </c>
      <c r="O388" s="1">
        <v>1838</v>
      </c>
      <c r="P388" s="1">
        <v>1114</v>
      </c>
      <c r="Q388" s="1" t="s">
        <v>42</v>
      </c>
      <c r="S388" s="1" t="s">
        <v>42</v>
      </c>
      <c r="T388" s="1" t="s">
        <v>170</v>
      </c>
      <c r="V388" s="5">
        <v>43839</v>
      </c>
      <c r="W388" s="5">
        <v>43662</v>
      </c>
      <c r="X388" s="1">
        <v>1350000</v>
      </c>
      <c r="Y388" s="1">
        <v>1350000</v>
      </c>
      <c r="Z388" s="5">
        <v>43662</v>
      </c>
      <c r="AA388" s="1">
        <v>1250000</v>
      </c>
      <c r="AB388" s="1" t="s">
        <v>219</v>
      </c>
      <c r="AC388" s="5">
        <v>43837</v>
      </c>
      <c r="AF388" s="1">
        <v>10013</v>
      </c>
      <c r="AI388" s="1" t="s">
        <v>59</v>
      </c>
      <c r="AJ388" s="1">
        <v>2019</v>
      </c>
      <c r="AK388" s="1" t="s">
        <v>49</v>
      </c>
      <c r="AL388" s="1">
        <v>54</v>
      </c>
    </row>
    <row r="389" spans="1:38" x14ac:dyDescent="0.2">
      <c r="A389" s="2" t="str">
        <f>HYPERLINK("https://www.compass.com/listing/570-broome-street-unit-4b-manhattan-ny-10013/296955105861865089/","570 Broome St, Unit 4B")</f>
        <v>570 Broome St, Unit 4B</v>
      </c>
      <c r="B389" s="2" t="str">
        <f t="shared" si="63"/>
        <v>570 Broome</v>
      </c>
      <c r="C389" s="1" t="s">
        <v>104</v>
      </c>
      <c r="D389" s="1" t="s">
        <v>41</v>
      </c>
      <c r="E389" s="3">
        <v>1272813</v>
      </c>
      <c r="F389" s="1">
        <v>1880.0782865583401</v>
      </c>
      <c r="G389" s="1">
        <v>3</v>
      </c>
      <c r="H389" s="1">
        <v>1</v>
      </c>
      <c r="I389" s="1">
        <v>1</v>
      </c>
      <c r="J389" s="1">
        <v>1</v>
      </c>
      <c r="K389" s="1">
        <v>1</v>
      </c>
      <c r="M389" s="1">
        <v>677</v>
      </c>
      <c r="N389" s="1">
        <v>723</v>
      </c>
      <c r="O389" s="1">
        <v>1836</v>
      </c>
      <c r="P389" s="1">
        <v>1113</v>
      </c>
      <c r="Q389" s="1" t="s">
        <v>42</v>
      </c>
      <c r="S389" s="1" t="s">
        <v>42</v>
      </c>
      <c r="T389" s="1" t="s">
        <v>170</v>
      </c>
      <c r="V389" s="5">
        <v>43803</v>
      </c>
      <c r="W389" s="5">
        <v>43662</v>
      </c>
      <c r="X389" s="1">
        <v>1275000</v>
      </c>
      <c r="Y389" s="1">
        <v>1275000</v>
      </c>
      <c r="Z389" s="5">
        <v>43662</v>
      </c>
      <c r="AA389" s="1">
        <v>1272813</v>
      </c>
      <c r="AB389" s="1" t="s">
        <v>220</v>
      </c>
      <c r="AC389" s="5">
        <v>43801</v>
      </c>
      <c r="AF389" s="1">
        <v>10013</v>
      </c>
      <c r="AI389" s="1" t="s">
        <v>59</v>
      </c>
      <c r="AJ389" s="1">
        <v>2019</v>
      </c>
      <c r="AK389" s="1" t="s">
        <v>49</v>
      </c>
      <c r="AL389" s="1">
        <v>54</v>
      </c>
    </row>
    <row r="390" spans="1:38" x14ac:dyDescent="0.2">
      <c r="A390" s="2" t="str">
        <f>HYPERLINK("https://www.compass.com/listing/570-broome-street-unit-5b-manhattan-ny-10013/296959588146523937/","570 Broome St, Unit 5B")</f>
        <v>570 Broome St, Unit 5B</v>
      </c>
      <c r="B390" s="2" t="str">
        <f t="shared" si="63"/>
        <v>570 Broome</v>
      </c>
      <c r="C390" s="1" t="s">
        <v>104</v>
      </c>
      <c r="D390" s="1" t="s">
        <v>41</v>
      </c>
      <c r="E390" s="3">
        <v>1221361</v>
      </c>
      <c r="F390" s="1">
        <v>1804.0788478581901</v>
      </c>
      <c r="G390" s="1">
        <v>3</v>
      </c>
      <c r="H390" s="1">
        <v>1</v>
      </c>
      <c r="I390" s="1">
        <v>1</v>
      </c>
      <c r="J390" s="1">
        <v>1</v>
      </c>
      <c r="K390" s="1">
        <v>1</v>
      </c>
      <c r="M390" s="1">
        <v>677</v>
      </c>
      <c r="N390" s="1">
        <v>723</v>
      </c>
      <c r="O390" s="1">
        <v>1836</v>
      </c>
      <c r="P390" s="1">
        <v>1113</v>
      </c>
      <c r="Q390" s="1" t="s">
        <v>213</v>
      </c>
      <c r="S390" s="1" t="s">
        <v>155</v>
      </c>
      <c r="T390" s="1" t="s">
        <v>170</v>
      </c>
      <c r="V390" s="5">
        <v>43792</v>
      </c>
      <c r="W390" s="5">
        <v>43662</v>
      </c>
      <c r="X390" s="1">
        <v>1390000</v>
      </c>
      <c r="Y390" s="1">
        <v>1390000</v>
      </c>
      <c r="Z390" s="5">
        <v>43662</v>
      </c>
      <c r="AA390" s="1">
        <v>1221361.3799999999</v>
      </c>
      <c r="AB390" s="1" t="s">
        <v>221</v>
      </c>
      <c r="AC390" s="5">
        <v>43822</v>
      </c>
      <c r="AF390" s="1">
        <v>10013</v>
      </c>
      <c r="AI390" s="1" t="s">
        <v>59</v>
      </c>
      <c r="AJ390" s="1">
        <v>2019</v>
      </c>
      <c r="AK390" s="1" t="s">
        <v>49</v>
      </c>
      <c r="AL390" s="1">
        <v>54</v>
      </c>
    </row>
    <row r="391" spans="1:38" x14ac:dyDescent="0.2">
      <c r="A391" s="2" t="str">
        <f>HYPERLINK("https://www.compass.com/listing/570-broome-street-unit-6b-manhattan-ny-10013/296960675578672881/","570 Broome St, Unit 6B")</f>
        <v>570 Broome St, Unit 6B</v>
      </c>
      <c r="B391" s="2" t="str">
        <f t="shared" si="63"/>
        <v>570 Broome</v>
      </c>
      <c r="C391" s="1" t="s">
        <v>104</v>
      </c>
      <c r="D391" s="1" t="s">
        <v>41</v>
      </c>
      <c r="E391" s="3">
        <v>1234755</v>
      </c>
      <c r="F391" s="1">
        <v>1823.86208271787</v>
      </c>
      <c r="G391" s="1">
        <v>3</v>
      </c>
      <c r="H391" s="1">
        <v>1</v>
      </c>
      <c r="I391" s="1">
        <v>1</v>
      </c>
      <c r="J391" s="1">
        <v>1</v>
      </c>
      <c r="K391" s="1">
        <v>1</v>
      </c>
      <c r="M391" s="1">
        <v>677</v>
      </c>
      <c r="N391" s="1">
        <v>724</v>
      </c>
      <c r="O391" s="1">
        <v>1838</v>
      </c>
      <c r="P391" s="1">
        <v>1114</v>
      </c>
      <c r="Q391" s="1" t="s">
        <v>213</v>
      </c>
      <c r="S391" s="1" t="s">
        <v>155</v>
      </c>
      <c r="T391" s="1" t="s">
        <v>170</v>
      </c>
      <c r="V391" s="5">
        <v>43792</v>
      </c>
      <c r="W391" s="5">
        <v>43662</v>
      </c>
      <c r="X391" s="1">
        <v>1410000</v>
      </c>
      <c r="Y391" s="1">
        <v>1410000</v>
      </c>
      <c r="Z391" s="5">
        <v>43662</v>
      </c>
      <c r="AA391" s="1">
        <v>1234754.6299999999</v>
      </c>
      <c r="AB391" s="1" t="s">
        <v>222</v>
      </c>
      <c r="AC391" s="5">
        <v>43822</v>
      </c>
      <c r="AF391" s="1">
        <v>10013</v>
      </c>
      <c r="AI391" s="1" t="s">
        <v>59</v>
      </c>
      <c r="AJ391" s="1">
        <v>2019</v>
      </c>
      <c r="AK391" s="1" t="s">
        <v>49</v>
      </c>
      <c r="AL391" s="1">
        <v>54</v>
      </c>
    </row>
    <row r="392" spans="1:38" x14ac:dyDescent="0.2">
      <c r="A392" s="2" t="str">
        <f>HYPERLINK("https://www.compass.com/listing/221-west-77th-street-unit-4w-manhattan-ny-10024/333826107564559889/","221 W 77th St, Unit 4W")</f>
        <v>221 W 77th St, Unit 4W</v>
      </c>
      <c r="B392" s="2" t="str">
        <f>HYPERLINK("https://www.compass.com/building/221-west-77th-street-manhattan-ny/292869344491294229/","221 West 77th Street")</f>
        <v>221 West 77th Street</v>
      </c>
      <c r="C392" s="1" t="s">
        <v>50</v>
      </c>
      <c r="D392" s="1" t="s">
        <v>41</v>
      </c>
      <c r="E392" s="3">
        <v>5650000</v>
      </c>
      <c r="F392" s="1">
        <v>2071.8738540520699</v>
      </c>
      <c r="G392" s="1">
        <v>6</v>
      </c>
      <c r="H392" s="1">
        <v>4</v>
      </c>
      <c r="I392" s="1">
        <v>5</v>
      </c>
      <c r="J392" s="1">
        <v>4.5</v>
      </c>
      <c r="K392" s="1">
        <v>4</v>
      </c>
      <c r="L392" s="1">
        <v>1</v>
      </c>
      <c r="M392" s="4">
        <v>2727</v>
      </c>
      <c r="N392" s="1">
        <v>2848</v>
      </c>
      <c r="O392" s="1">
        <v>7642</v>
      </c>
      <c r="P392" s="1">
        <v>4794</v>
      </c>
      <c r="Q392" s="1" t="s">
        <v>42</v>
      </c>
      <c r="S392" s="1" t="s">
        <v>42</v>
      </c>
      <c r="T392" s="1" t="s">
        <v>170</v>
      </c>
      <c r="U392" s="1">
        <v>96</v>
      </c>
      <c r="V392" s="5">
        <v>43876</v>
      </c>
      <c r="W392" s="5">
        <v>43712</v>
      </c>
      <c r="X392" s="1">
        <v>6250000</v>
      </c>
      <c r="Y392" s="1">
        <v>6250000</v>
      </c>
      <c r="Z392" s="5">
        <v>43809</v>
      </c>
      <c r="AA392" s="1">
        <v>5650000</v>
      </c>
      <c r="AB392" s="1" t="s">
        <v>223</v>
      </c>
      <c r="AC392" s="5">
        <v>43874</v>
      </c>
      <c r="AF392" s="1">
        <v>10024</v>
      </c>
      <c r="AI392" s="1" t="s">
        <v>53</v>
      </c>
      <c r="AJ392" s="1">
        <v>2017</v>
      </c>
      <c r="AK392" s="1" t="s">
        <v>49</v>
      </c>
      <c r="AL392" s="1">
        <v>26</v>
      </c>
    </row>
    <row r="393" spans="1:38" x14ac:dyDescent="0.2">
      <c r="A393" s="2" t="str">
        <f>HYPERLINK("https://www.compass.com/listing/555-west-end-avenue-unit-4e-manhattan-ny-10024/296995080154153937/","555 W End Ave, Unit 4E")</f>
        <v>555 W End Ave, Unit 4E</v>
      </c>
      <c r="B393" s="2" t="str">
        <f t="shared" ref="B393:B397" si="64">HYPERLINK("https://www.compass.com/building/555-west-end-avenue-manhattan-ny/292874438096018885/","555 West End Avenue")</f>
        <v>555 West End Avenue</v>
      </c>
      <c r="C393" s="1" t="s">
        <v>50</v>
      </c>
      <c r="D393" s="1" t="s">
        <v>41</v>
      </c>
      <c r="E393" s="3">
        <v>9900000</v>
      </c>
      <c r="F393" s="1">
        <v>2849.7409326424799</v>
      </c>
      <c r="G393" s="1">
        <v>7</v>
      </c>
      <c r="H393" s="1">
        <v>5</v>
      </c>
      <c r="I393" s="1">
        <v>5</v>
      </c>
      <c r="J393" s="1">
        <v>4.5</v>
      </c>
      <c r="K393" s="1">
        <v>4</v>
      </c>
      <c r="L393" s="1">
        <v>1</v>
      </c>
      <c r="M393" s="4">
        <v>3474</v>
      </c>
      <c r="N393" s="1">
        <v>4778.54</v>
      </c>
      <c r="O393" s="1">
        <v>9081.07</v>
      </c>
      <c r="P393" s="1">
        <v>4302.5</v>
      </c>
      <c r="Q393" s="1" t="s">
        <v>42</v>
      </c>
      <c r="S393" s="1" t="s">
        <v>42</v>
      </c>
      <c r="T393" s="1" t="s">
        <v>170</v>
      </c>
      <c r="U393" s="1">
        <v>116</v>
      </c>
      <c r="V393" s="5">
        <v>43817</v>
      </c>
      <c r="W393" s="5">
        <v>43662</v>
      </c>
      <c r="X393" s="1">
        <v>10300000</v>
      </c>
      <c r="Y393" s="1">
        <v>10300000</v>
      </c>
      <c r="Z393" s="5">
        <v>43778</v>
      </c>
      <c r="AA393" s="1">
        <v>9900000</v>
      </c>
      <c r="AB393" s="1" t="s">
        <v>224</v>
      </c>
      <c r="AC393" s="5">
        <v>43815</v>
      </c>
      <c r="AF393" s="1">
        <v>10024</v>
      </c>
      <c r="AJ393" s="1">
        <v>2019</v>
      </c>
      <c r="AK393" s="1" t="s">
        <v>49</v>
      </c>
      <c r="AL393" s="1">
        <v>13</v>
      </c>
    </row>
    <row r="394" spans="1:38" x14ac:dyDescent="0.2">
      <c r="A394" s="2" t="str">
        <f>HYPERLINK("https://www.compass.com/listing/555-west-end-avenue-unit-5e-manhattan-ny-10024/404215015514741313/","555 W End Ave, Unit 5E")</f>
        <v>555 W End Ave, Unit 5E</v>
      </c>
      <c r="B394" s="2" t="str">
        <f t="shared" si="64"/>
        <v>555 West End Avenue</v>
      </c>
      <c r="C394" s="1" t="s">
        <v>50</v>
      </c>
      <c r="D394" s="1" t="s">
        <v>41</v>
      </c>
      <c r="E394" s="3">
        <v>9999999</v>
      </c>
      <c r="F394" s="1">
        <v>2878.5259067357501</v>
      </c>
      <c r="G394" s="1">
        <v>7</v>
      </c>
      <c r="H394" s="1">
        <v>5</v>
      </c>
      <c r="I394" s="1">
        <v>5</v>
      </c>
      <c r="J394" s="1">
        <v>4.5</v>
      </c>
      <c r="K394" s="1">
        <v>4</v>
      </c>
      <c r="L394" s="1">
        <v>1</v>
      </c>
      <c r="M394" s="4">
        <v>3474</v>
      </c>
      <c r="N394" s="1">
        <v>4778.54</v>
      </c>
      <c r="O394" s="1">
        <v>9081.07</v>
      </c>
      <c r="P394" s="1">
        <v>4302.5</v>
      </c>
      <c r="Q394" s="1" t="s">
        <v>42</v>
      </c>
      <c r="S394" s="1" t="s">
        <v>42</v>
      </c>
      <c r="T394" s="1" t="s">
        <v>170</v>
      </c>
      <c r="V394" s="5">
        <v>43881</v>
      </c>
      <c r="Y394" s="1">
        <v>10600000</v>
      </c>
      <c r="Z394" s="5">
        <v>43810</v>
      </c>
      <c r="AA394" s="1">
        <v>9999999</v>
      </c>
      <c r="AB394" s="1" t="s">
        <v>225</v>
      </c>
      <c r="AC394" s="5">
        <v>43879</v>
      </c>
      <c r="AF394" s="1">
        <v>10024</v>
      </c>
      <c r="AJ394" s="1">
        <v>2019</v>
      </c>
      <c r="AK394" s="1" t="s">
        <v>49</v>
      </c>
      <c r="AL394" s="1">
        <v>13</v>
      </c>
    </row>
    <row r="395" spans="1:38" x14ac:dyDescent="0.2">
      <c r="A395" s="2" t="str">
        <f>HYPERLINK("https://www.compass.com/listing/555-west-end-avenue-unit-6e-manhattan-ny-10024/455132617193971105/","555 W End Ave, Unit 6E")</f>
        <v>555 W End Ave, Unit 6E</v>
      </c>
      <c r="B395" s="2" t="str">
        <f t="shared" si="64"/>
        <v>555 West End Avenue</v>
      </c>
      <c r="C395" s="1" t="s">
        <v>50</v>
      </c>
      <c r="D395" s="1" t="s">
        <v>41</v>
      </c>
      <c r="E395" s="3">
        <v>10750000</v>
      </c>
      <c r="F395" s="1">
        <v>3081.1120664946902</v>
      </c>
      <c r="G395" s="1">
        <v>7</v>
      </c>
      <c r="H395" s="1">
        <v>5</v>
      </c>
      <c r="I395" s="1">
        <v>5</v>
      </c>
      <c r="J395" s="1">
        <v>4.5</v>
      </c>
      <c r="K395" s="1">
        <v>4</v>
      </c>
      <c r="L395" s="1">
        <v>1</v>
      </c>
      <c r="M395" s="4">
        <v>3489</v>
      </c>
      <c r="N395" s="1">
        <v>4799</v>
      </c>
      <c r="O395" s="1">
        <v>9120</v>
      </c>
      <c r="P395" s="1">
        <v>4321</v>
      </c>
      <c r="Q395" s="1" t="s">
        <v>42</v>
      </c>
      <c r="S395" s="1" t="s">
        <v>42</v>
      </c>
      <c r="T395" s="1" t="s">
        <v>170</v>
      </c>
      <c r="V395" s="5">
        <v>43902</v>
      </c>
      <c r="W395" s="5">
        <v>43880</v>
      </c>
      <c r="X395" s="1">
        <v>10900000</v>
      </c>
      <c r="Y395" s="1">
        <v>10900000</v>
      </c>
      <c r="Z395" s="5">
        <v>43881</v>
      </c>
      <c r="AA395" s="1">
        <v>10750000</v>
      </c>
      <c r="AB395" s="1" t="s">
        <v>226</v>
      </c>
      <c r="AC395" s="5">
        <v>43901</v>
      </c>
      <c r="AF395" s="1">
        <v>10024</v>
      </c>
      <c r="AJ395" s="1">
        <v>2019</v>
      </c>
      <c r="AK395" s="1" t="s">
        <v>49</v>
      </c>
      <c r="AL395" s="1">
        <v>13</v>
      </c>
    </row>
    <row r="396" spans="1:38" x14ac:dyDescent="0.2">
      <c r="A396" s="2" t="str">
        <f>HYPERLINK("https://www.compass.com/listing/555-west-end-avenue-unit-3e-manhattan-ny-10024/383954659102115377/","555 W End Ave, Unit 3E")</f>
        <v>555 W End Ave, Unit 3E</v>
      </c>
      <c r="B396" s="2" t="str">
        <f t="shared" si="64"/>
        <v>555 West End Avenue</v>
      </c>
      <c r="C396" s="1" t="s">
        <v>50</v>
      </c>
      <c r="D396" s="1" t="s">
        <v>41</v>
      </c>
      <c r="E396" s="3">
        <v>9750000</v>
      </c>
      <c r="F396" s="1">
        <v>2806.56303972366</v>
      </c>
      <c r="G396" s="1">
        <v>7</v>
      </c>
      <c r="H396" s="1">
        <v>5</v>
      </c>
      <c r="I396" s="1">
        <v>5</v>
      </c>
      <c r="J396" s="1">
        <v>4.5</v>
      </c>
      <c r="K396" s="1">
        <v>4</v>
      </c>
      <c r="L396" s="1">
        <v>1</v>
      </c>
      <c r="M396" s="4">
        <v>3474</v>
      </c>
      <c r="N396" s="1">
        <v>4778.54</v>
      </c>
      <c r="O396" s="1">
        <v>9081.07</v>
      </c>
      <c r="P396" s="1">
        <v>4302.5</v>
      </c>
      <c r="Q396" s="1" t="s">
        <v>42</v>
      </c>
      <c r="S396" s="1" t="s">
        <v>42</v>
      </c>
      <c r="T396" s="1" t="s">
        <v>170</v>
      </c>
      <c r="U396" s="1">
        <v>30</v>
      </c>
      <c r="V396" s="5">
        <v>43832</v>
      </c>
      <c r="W396" s="5">
        <v>43782</v>
      </c>
      <c r="X396" s="1">
        <v>9900000</v>
      </c>
      <c r="Y396" s="1">
        <v>9900000</v>
      </c>
      <c r="Z396" s="5">
        <v>43812</v>
      </c>
      <c r="AA396" s="1">
        <v>9750000</v>
      </c>
      <c r="AB396" s="1" t="s">
        <v>227</v>
      </c>
      <c r="AC396" s="5">
        <v>43825</v>
      </c>
      <c r="AF396" s="1">
        <v>10024</v>
      </c>
      <c r="AJ396" s="1">
        <v>2019</v>
      </c>
      <c r="AK396" s="1" t="s">
        <v>49</v>
      </c>
      <c r="AL396" s="1">
        <v>13</v>
      </c>
    </row>
    <row r="397" spans="1:38" x14ac:dyDescent="0.2">
      <c r="A397" s="2" t="str">
        <f>HYPERLINK("https://www.compass.com/listing/555-west-end-avenue-unit-5w-manhattan-ny-10024/297174766989789665/","555 W End Ave, Unit 5W")</f>
        <v>555 W End Ave, Unit 5W</v>
      </c>
      <c r="B397" s="2" t="str">
        <f t="shared" si="64"/>
        <v>555 West End Avenue</v>
      </c>
      <c r="C397" s="1" t="s">
        <v>50</v>
      </c>
      <c r="D397" s="1" t="s">
        <v>41</v>
      </c>
      <c r="E397" s="3">
        <v>8300000</v>
      </c>
      <c r="F397" s="1">
        <v>3055.9646539027899</v>
      </c>
      <c r="G397" s="1">
        <v>6</v>
      </c>
      <c r="H397" s="1">
        <v>4</v>
      </c>
      <c r="I397" s="1">
        <v>5</v>
      </c>
      <c r="J397" s="1">
        <v>4.5</v>
      </c>
      <c r="K397" s="1">
        <v>4</v>
      </c>
      <c r="L397" s="1">
        <v>1</v>
      </c>
      <c r="M397" s="4">
        <v>2716</v>
      </c>
      <c r="N397" s="1">
        <v>3735.9</v>
      </c>
      <c r="O397" s="1">
        <v>7099.6399999999903</v>
      </c>
      <c r="P397" s="1">
        <v>3363.75</v>
      </c>
      <c r="Q397" s="1" t="s">
        <v>42</v>
      </c>
      <c r="S397" s="1" t="s">
        <v>42</v>
      </c>
      <c r="T397" s="1" t="s">
        <v>170</v>
      </c>
      <c r="V397" s="5">
        <v>43880</v>
      </c>
      <c r="Y397" s="1">
        <v>8600000</v>
      </c>
      <c r="Z397" s="5">
        <v>43662</v>
      </c>
      <c r="AA397" s="1">
        <v>8300000</v>
      </c>
      <c r="AB397" s="1" t="s">
        <v>228</v>
      </c>
      <c r="AC397" s="5">
        <v>43867</v>
      </c>
      <c r="AF397" s="1">
        <v>10024</v>
      </c>
      <c r="AJ397" s="1">
        <v>2019</v>
      </c>
      <c r="AK397" s="1" t="s">
        <v>49</v>
      </c>
      <c r="AL397" s="1">
        <v>13</v>
      </c>
    </row>
    <row r="398" spans="1:38" x14ac:dyDescent="0.2">
      <c r="A398" s="2" t="str">
        <f>HYPERLINK("https://www.compass.com/listing/570-broome-street-unit-19b-manhattan-ny-10013/801433460483949049/","570 Broome St, Unit 19B")</f>
        <v>570 Broome St, Unit 19B</v>
      </c>
      <c r="B398" s="2" t="str">
        <f>HYPERLINK("https://www.compass.com/building/570-broome-manhattan-ny/292818583757562981/","570 Broome")</f>
        <v>570 Broome</v>
      </c>
      <c r="C398" s="1" t="s">
        <v>47</v>
      </c>
      <c r="D398" s="1" t="s">
        <v>41</v>
      </c>
      <c r="E398" s="3">
        <v>3070000</v>
      </c>
      <c r="F398" s="1">
        <v>2595.0972104818202</v>
      </c>
      <c r="G398" s="1">
        <v>4</v>
      </c>
      <c r="H398" s="1">
        <v>2</v>
      </c>
      <c r="I398" s="1">
        <v>3</v>
      </c>
      <c r="J398" s="1">
        <v>2.5</v>
      </c>
      <c r="K398" s="1">
        <v>2</v>
      </c>
      <c r="L398" s="1">
        <v>1</v>
      </c>
      <c r="M398" s="4">
        <v>1183</v>
      </c>
      <c r="N398" s="1">
        <v>1379</v>
      </c>
      <c r="O398" s="1">
        <v>3750</v>
      </c>
      <c r="P398" s="1">
        <v>2371</v>
      </c>
      <c r="S398" s="1" t="s">
        <v>42</v>
      </c>
      <c r="T398" s="1" t="s">
        <v>170</v>
      </c>
      <c r="V398" s="5">
        <v>44426</v>
      </c>
      <c r="W398" s="5">
        <v>44358</v>
      </c>
      <c r="X398" s="1">
        <v>3070000</v>
      </c>
      <c r="Y398" s="1">
        <v>3070000</v>
      </c>
      <c r="Z398" s="5">
        <v>44358</v>
      </c>
      <c r="AA398" s="1">
        <v>3070000</v>
      </c>
      <c r="AB398" s="1" t="s">
        <v>181</v>
      </c>
      <c r="AC398" s="5">
        <v>44426</v>
      </c>
      <c r="AF398" s="1">
        <v>10013</v>
      </c>
      <c r="AI398" s="1" t="s">
        <v>48</v>
      </c>
      <c r="AJ398" s="1">
        <v>2019</v>
      </c>
      <c r="AK398" s="1" t="s">
        <v>49</v>
      </c>
      <c r="AL398" s="1">
        <v>54</v>
      </c>
    </row>
    <row r="399" spans="1:38" x14ac:dyDescent="0.2">
      <c r="A399" s="2" t="str">
        <f>HYPERLINK("https://www.compass.com/listing/10-madison-square-west-unit-7d-manhattan-ny-10010/246295452406841905/","10 Madison Sq W, Unit 7D")</f>
        <v>10 Madison Sq W, Unit 7D</v>
      </c>
      <c r="B399" s="2" t="str">
        <f>HYPERLINK("https://www.compass.com/building/10-madison-square-west-manhattan-ny/294838725091521285/","10 Madison Square West")</f>
        <v>10 Madison Square West</v>
      </c>
      <c r="D399" s="1" t="s">
        <v>41</v>
      </c>
      <c r="E399" s="3">
        <v>4250000</v>
      </c>
      <c r="F399" s="1">
        <v>2514.7928994082799</v>
      </c>
      <c r="G399" s="1">
        <v>5</v>
      </c>
      <c r="H399" s="1">
        <v>2</v>
      </c>
      <c r="I399" s="1">
        <v>3</v>
      </c>
      <c r="J399" s="1">
        <v>2.5</v>
      </c>
      <c r="K399" s="1">
        <v>2</v>
      </c>
      <c r="L399" s="1">
        <v>1</v>
      </c>
      <c r="M399" s="4">
        <v>1690</v>
      </c>
      <c r="N399" s="1">
        <v>2122</v>
      </c>
      <c r="O399" s="1">
        <v>5467</v>
      </c>
      <c r="P399" s="1">
        <v>3345</v>
      </c>
      <c r="S399" s="1" t="s">
        <v>42</v>
      </c>
      <c r="T399" s="1" t="s">
        <v>170</v>
      </c>
      <c r="U399" s="1">
        <v>78</v>
      </c>
      <c r="V399" s="5">
        <v>43726</v>
      </c>
      <c r="W399" s="5">
        <v>43592</v>
      </c>
      <c r="X399" s="1">
        <v>4425000</v>
      </c>
      <c r="Y399" s="1">
        <v>4425000</v>
      </c>
      <c r="Z399" s="5">
        <v>43670</v>
      </c>
      <c r="AA399" s="1">
        <v>4250000</v>
      </c>
      <c r="AB399" s="1" t="s">
        <v>181</v>
      </c>
      <c r="AC399" s="5">
        <v>43726</v>
      </c>
      <c r="AF399" s="1">
        <v>10010</v>
      </c>
      <c r="AI399" s="1" t="s">
        <v>59</v>
      </c>
      <c r="AJ399" s="1">
        <v>1915</v>
      </c>
      <c r="AK399" s="1" t="s">
        <v>73</v>
      </c>
      <c r="AL399" s="1">
        <v>125</v>
      </c>
    </row>
    <row r="400" spans="1:38" x14ac:dyDescent="0.2">
      <c r="A400" s="2" t="str">
        <f>HYPERLINK("https://www.compass.com/listing/570-broome-street-unit-23b-manhattan-ny-10013/756526612501723857/","570 Broome St, Unit 23B")</f>
        <v>570 Broome St, Unit 23B</v>
      </c>
      <c r="B400" s="2" t="str">
        <f t="shared" ref="B400:B408" si="65">HYPERLINK("https://www.compass.com/building/570-broome-manhattan-ny/292818583757562981/","570 Broome")</f>
        <v>570 Broome</v>
      </c>
      <c r="C400" s="1" t="s">
        <v>47</v>
      </c>
      <c r="D400" s="1" t="s">
        <v>41</v>
      </c>
      <c r="E400" s="3">
        <v>2830000</v>
      </c>
      <c r="F400" s="1">
        <v>2392.2231614539301</v>
      </c>
      <c r="G400" s="1">
        <v>4</v>
      </c>
      <c r="H400" s="1">
        <v>2</v>
      </c>
      <c r="I400" s="1">
        <v>3</v>
      </c>
      <c r="J400" s="1">
        <v>2.5</v>
      </c>
      <c r="K400" s="1">
        <v>2</v>
      </c>
      <c r="L400" s="1">
        <v>1</v>
      </c>
      <c r="M400" s="4">
        <v>1183</v>
      </c>
      <c r="N400" s="1">
        <v>1379</v>
      </c>
      <c r="O400" s="1">
        <v>3750</v>
      </c>
      <c r="P400" s="1">
        <v>2371</v>
      </c>
      <c r="Q400" s="1" t="s">
        <v>42</v>
      </c>
      <c r="S400" s="1" t="s">
        <v>42</v>
      </c>
      <c r="T400" s="1" t="s">
        <v>170</v>
      </c>
      <c r="U400" s="1">
        <v>2</v>
      </c>
      <c r="V400" s="5">
        <v>44350</v>
      </c>
      <c r="W400" s="5">
        <v>44296</v>
      </c>
      <c r="X400" s="1">
        <v>3230000</v>
      </c>
      <c r="Y400" s="1">
        <v>3230000</v>
      </c>
      <c r="Z400" s="5">
        <v>44298</v>
      </c>
      <c r="AA400" s="1">
        <v>2830000</v>
      </c>
      <c r="AB400" s="1" t="s">
        <v>229</v>
      </c>
      <c r="AC400" s="5">
        <v>44349</v>
      </c>
      <c r="AF400" s="1">
        <v>10013</v>
      </c>
      <c r="AI400" s="1" t="s">
        <v>48</v>
      </c>
      <c r="AJ400" s="1">
        <v>2019</v>
      </c>
      <c r="AK400" s="1" t="s">
        <v>49</v>
      </c>
      <c r="AL400" s="1">
        <v>54</v>
      </c>
    </row>
    <row r="401" spans="1:38" x14ac:dyDescent="0.2">
      <c r="A401" s="2" t="str">
        <f>HYPERLINK("https://www.compass.com/listing/570-broome-street-unit-18b-manhattan-ny-10013/523183497824378545/","570 Broome St, Unit 18B")</f>
        <v>570 Broome St, Unit 18B</v>
      </c>
      <c r="B401" s="2" t="str">
        <f t="shared" si="65"/>
        <v>570 Broome</v>
      </c>
      <c r="C401" s="1" t="s">
        <v>47</v>
      </c>
      <c r="D401" s="1" t="s">
        <v>41</v>
      </c>
      <c r="E401" s="3">
        <v>2685000</v>
      </c>
      <c r="F401" s="1">
        <v>2269.6534234995702</v>
      </c>
      <c r="G401" s="1">
        <v>4</v>
      </c>
      <c r="H401" s="1">
        <v>2</v>
      </c>
      <c r="I401" s="1">
        <v>3</v>
      </c>
      <c r="J401" s="1">
        <v>2.5</v>
      </c>
      <c r="K401" s="1">
        <v>2</v>
      </c>
      <c r="L401" s="1">
        <v>1</v>
      </c>
      <c r="M401" s="4">
        <v>1183</v>
      </c>
      <c r="N401" s="1">
        <v>1260</v>
      </c>
      <c r="O401" s="1">
        <v>3631</v>
      </c>
      <c r="P401" s="1">
        <v>2371</v>
      </c>
      <c r="Q401" s="1" t="s">
        <v>42</v>
      </c>
      <c r="S401" s="1" t="s">
        <v>42</v>
      </c>
      <c r="T401" s="1" t="s">
        <v>170</v>
      </c>
      <c r="V401" s="5">
        <v>44041</v>
      </c>
      <c r="W401" s="5">
        <v>43974</v>
      </c>
      <c r="X401" s="1">
        <v>3030000</v>
      </c>
      <c r="Y401" s="1">
        <v>3030000</v>
      </c>
      <c r="Z401" s="5">
        <v>43978</v>
      </c>
      <c r="AA401" s="1">
        <v>2685000</v>
      </c>
      <c r="AB401" s="1" t="s">
        <v>230</v>
      </c>
      <c r="AC401" s="5">
        <v>44040</v>
      </c>
      <c r="AF401" s="1">
        <v>10013</v>
      </c>
      <c r="AI401" s="1" t="s">
        <v>59</v>
      </c>
      <c r="AJ401" s="1">
        <v>2019</v>
      </c>
      <c r="AK401" s="1" t="s">
        <v>49</v>
      </c>
      <c r="AL401" s="1">
        <v>54</v>
      </c>
    </row>
    <row r="402" spans="1:38" x14ac:dyDescent="0.2">
      <c r="A402" s="2" t="str">
        <f>HYPERLINK("https://www.compass.com/listing/570-broome-street-unit-phb-manhattan-ny-10013/296909698335007537/","570 Broome St, Unit PHB")</f>
        <v>570 Broome St, Unit PHB</v>
      </c>
      <c r="B402" s="2" t="str">
        <f t="shared" si="65"/>
        <v>570 Broome</v>
      </c>
      <c r="C402" s="1" t="s">
        <v>47</v>
      </c>
      <c r="D402" s="1" t="s">
        <v>41</v>
      </c>
      <c r="E402" s="3">
        <v>4999900</v>
      </c>
      <c r="F402" s="1">
        <v>2573.28872876994</v>
      </c>
      <c r="G402" s="1">
        <v>6</v>
      </c>
      <c r="H402" s="1">
        <v>3</v>
      </c>
      <c r="I402" s="1">
        <v>3</v>
      </c>
      <c r="J402" s="1">
        <v>3</v>
      </c>
      <c r="K402" s="1">
        <v>3</v>
      </c>
      <c r="M402" s="4">
        <v>1943</v>
      </c>
      <c r="N402" s="1">
        <v>2070</v>
      </c>
      <c r="O402" s="1">
        <v>5876</v>
      </c>
      <c r="P402" s="1">
        <v>3806</v>
      </c>
      <c r="Q402" s="1" t="s">
        <v>42</v>
      </c>
      <c r="S402" s="1" t="s">
        <v>42</v>
      </c>
      <c r="T402" s="1" t="s">
        <v>170</v>
      </c>
      <c r="U402" s="1">
        <v>475</v>
      </c>
      <c r="V402" s="5">
        <v>44285</v>
      </c>
      <c r="W402" s="5">
        <v>43661</v>
      </c>
      <c r="X402" s="1">
        <v>5995000</v>
      </c>
      <c r="Y402" s="1">
        <v>5995000</v>
      </c>
      <c r="Z402" s="5">
        <v>44231</v>
      </c>
      <c r="AA402" s="1">
        <v>4999900</v>
      </c>
      <c r="AB402" s="1" t="s">
        <v>231</v>
      </c>
      <c r="AC402" s="5">
        <v>44281</v>
      </c>
      <c r="AF402" s="1">
        <v>10013</v>
      </c>
      <c r="AI402" s="1" t="s">
        <v>59</v>
      </c>
      <c r="AJ402" s="1">
        <v>2019</v>
      </c>
      <c r="AK402" s="1" t="s">
        <v>49</v>
      </c>
      <c r="AL402" s="1">
        <v>54</v>
      </c>
    </row>
    <row r="403" spans="1:38" x14ac:dyDescent="0.2">
      <c r="A403" s="2" t="str">
        <f>HYPERLINK("https://www.compass.com/listing/570-broome-street-unit-21b-manhattan-ny-10013/556308600706984153/","570 Broome St, Unit 21B")</f>
        <v>570 Broome St, Unit 21B</v>
      </c>
      <c r="B403" s="2" t="str">
        <f t="shared" si="65"/>
        <v>570 Broome</v>
      </c>
      <c r="C403" s="1" t="s">
        <v>47</v>
      </c>
      <c r="D403" s="1" t="s">
        <v>41</v>
      </c>
      <c r="E403" s="3">
        <v>2800000</v>
      </c>
      <c r="F403" s="1">
        <v>2366.8639053254401</v>
      </c>
      <c r="G403" s="1">
        <v>4</v>
      </c>
      <c r="H403" s="1">
        <v>2</v>
      </c>
      <c r="I403" s="1">
        <v>3</v>
      </c>
      <c r="J403" s="1">
        <v>2.5</v>
      </c>
      <c r="K403" s="1">
        <v>2</v>
      </c>
      <c r="L403" s="1">
        <v>1</v>
      </c>
      <c r="M403" s="4">
        <v>1183</v>
      </c>
      <c r="N403" s="1">
        <v>1260</v>
      </c>
      <c r="O403" s="1">
        <v>3631</v>
      </c>
      <c r="P403" s="1">
        <v>2371</v>
      </c>
      <c r="Q403" s="1" t="s">
        <v>42</v>
      </c>
      <c r="S403" s="1" t="s">
        <v>42</v>
      </c>
      <c r="T403" s="1" t="s">
        <v>170</v>
      </c>
      <c r="U403" s="1">
        <v>1</v>
      </c>
      <c r="V403" s="5">
        <v>44058</v>
      </c>
      <c r="W403" s="5">
        <v>44019</v>
      </c>
      <c r="X403" s="1">
        <v>3150000</v>
      </c>
      <c r="Y403" s="1">
        <v>3150000</v>
      </c>
      <c r="Z403" s="5">
        <v>44020</v>
      </c>
      <c r="AA403" s="1">
        <v>2800000</v>
      </c>
      <c r="AB403" s="1" t="s">
        <v>232</v>
      </c>
      <c r="AC403" s="5">
        <v>44057</v>
      </c>
      <c r="AF403" s="1">
        <v>10013</v>
      </c>
      <c r="AI403" s="1" t="s">
        <v>59</v>
      </c>
      <c r="AJ403" s="1">
        <v>2019</v>
      </c>
      <c r="AK403" s="1" t="s">
        <v>49</v>
      </c>
      <c r="AL403" s="1">
        <v>54</v>
      </c>
    </row>
    <row r="404" spans="1:38" x14ac:dyDescent="0.2">
      <c r="A404" s="2" t="str">
        <f>HYPERLINK("https://www.compass.com/listing/570-broome-street-unit-13b-manhattan-ny-10013/431694160807596177/","570 Broome St, Unit 13B")</f>
        <v>570 Broome St, Unit 13B</v>
      </c>
      <c r="B404" s="2" t="str">
        <f t="shared" si="65"/>
        <v>570 Broome</v>
      </c>
      <c r="C404" s="1" t="s">
        <v>47</v>
      </c>
      <c r="D404" s="1" t="s">
        <v>41</v>
      </c>
      <c r="E404" s="3">
        <v>2459181</v>
      </c>
      <c r="F404" s="1">
        <v>1900.44873261205</v>
      </c>
      <c r="G404" s="1">
        <v>4</v>
      </c>
      <c r="H404" s="1">
        <v>2</v>
      </c>
      <c r="I404" s="1">
        <v>3</v>
      </c>
      <c r="J404" s="1">
        <v>2.5</v>
      </c>
      <c r="K404" s="1">
        <v>2</v>
      </c>
      <c r="L404" s="1">
        <v>1</v>
      </c>
      <c r="M404" s="4">
        <v>1294</v>
      </c>
      <c r="N404" s="1">
        <v>1380</v>
      </c>
      <c r="O404" s="1">
        <v>3505</v>
      </c>
      <c r="P404" s="1">
        <v>2125</v>
      </c>
      <c r="Q404" s="1" t="s">
        <v>42</v>
      </c>
      <c r="S404" s="1" t="s">
        <v>42</v>
      </c>
      <c r="T404" s="1" t="s">
        <v>170</v>
      </c>
      <c r="V404" s="5">
        <v>43911</v>
      </c>
      <c r="W404" s="5">
        <v>43847</v>
      </c>
      <c r="X404" s="1">
        <v>2675000</v>
      </c>
      <c r="Y404" s="1">
        <v>2675000</v>
      </c>
      <c r="Z404" s="5">
        <v>43848</v>
      </c>
      <c r="AA404" s="1">
        <v>2459180.66</v>
      </c>
      <c r="AB404" s="1" t="s">
        <v>233</v>
      </c>
      <c r="AC404" s="5">
        <v>43909</v>
      </c>
      <c r="AF404" s="1">
        <v>10013</v>
      </c>
      <c r="AI404" s="1" t="s">
        <v>59</v>
      </c>
      <c r="AJ404" s="1">
        <v>2019</v>
      </c>
      <c r="AK404" s="1" t="s">
        <v>49</v>
      </c>
      <c r="AL404" s="1">
        <v>54</v>
      </c>
    </row>
    <row r="405" spans="1:38" x14ac:dyDescent="0.2">
      <c r="A405" s="2" t="str">
        <f>HYPERLINK("https://www.compass.com/listing/570-broome-street-unit-17a-manhattan-ny-10013/678161530231135897/","570 Broome St, Unit 17A")</f>
        <v>570 Broome St, Unit 17A</v>
      </c>
      <c r="B405" s="2" t="str">
        <f t="shared" si="65"/>
        <v>570 Broome</v>
      </c>
      <c r="C405" s="1" t="s">
        <v>47</v>
      </c>
      <c r="D405" s="1" t="s">
        <v>41</v>
      </c>
      <c r="E405" s="3">
        <v>2880000</v>
      </c>
      <c r="F405" s="1">
        <v>2307.6923076922999</v>
      </c>
      <c r="G405" s="1">
        <v>4</v>
      </c>
      <c r="H405" s="1">
        <v>2</v>
      </c>
      <c r="I405" s="1">
        <v>3</v>
      </c>
      <c r="J405" s="1">
        <v>2.5</v>
      </c>
      <c r="K405" s="1">
        <v>2</v>
      </c>
      <c r="L405" s="1">
        <v>1</v>
      </c>
      <c r="M405" s="4">
        <v>1248</v>
      </c>
      <c r="N405" s="1">
        <v>1453</v>
      </c>
      <c r="O405" s="1">
        <v>3936.02</v>
      </c>
      <c r="P405" s="1">
        <v>2483</v>
      </c>
      <c r="Q405" s="1" t="s">
        <v>42</v>
      </c>
      <c r="S405" s="1" t="s">
        <v>42</v>
      </c>
      <c r="T405" s="1" t="s">
        <v>170</v>
      </c>
      <c r="U405" s="1">
        <v>71</v>
      </c>
      <c r="V405" s="5">
        <v>44338</v>
      </c>
      <c r="W405" s="5">
        <v>44188</v>
      </c>
      <c r="X405" s="1">
        <v>3265000</v>
      </c>
      <c r="Y405" s="1">
        <v>3265000</v>
      </c>
      <c r="Z405" s="5">
        <v>44259</v>
      </c>
      <c r="AA405" s="1">
        <v>2880000</v>
      </c>
      <c r="AB405" s="1" t="s">
        <v>234</v>
      </c>
      <c r="AC405" s="5">
        <v>44336</v>
      </c>
      <c r="AF405" s="1">
        <v>10013</v>
      </c>
      <c r="AI405" s="1" t="s">
        <v>59</v>
      </c>
      <c r="AJ405" s="1">
        <v>2019</v>
      </c>
      <c r="AK405" s="1" t="s">
        <v>49</v>
      </c>
      <c r="AL405" s="1">
        <v>54</v>
      </c>
    </row>
    <row r="406" spans="1:38" x14ac:dyDescent="0.2">
      <c r="A406" s="2" t="str">
        <f>HYPERLINK("https://www.compass.com/listing/570-broome-street-unit-18a-manhattan-ny-10013/390492044014994945/","570 Broome St, Unit 18A")</f>
        <v>570 Broome St, Unit 18A</v>
      </c>
      <c r="B406" s="2" t="str">
        <f t="shared" si="65"/>
        <v>570 Broome</v>
      </c>
      <c r="C406" s="1" t="s">
        <v>47</v>
      </c>
      <c r="D406" s="1" t="s">
        <v>41</v>
      </c>
      <c r="E406" s="3">
        <v>2853250</v>
      </c>
      <c r="F406" s="1">
        <v>2286.25801282051</v>
      </c>
      <c r="G406" s="1">
        <v>4</v>
      </c>
      <c r="H406" s="1">
        <v>2</v>
      </c>
      <c r="I406" s="1">
        <v>3</v>
      </c>
      <c r="J406" s="1">
        <v>2.5</v>
      </c>
      <c r="K406" s="1">
        <v>2</v>
      </c>
      <c r="L406" s="1">
        <v>1</v>
      </c>
      <c r="M406" s="4">
        <v>1248</v>
      </c>
      <c r="N406" s="1">
        <v>1327</v>
      </c>
      <c r="O406" s="1">
        <v>3369</v>
      </c>
      <c r="P406" s="1">
        <v>2042</v>
      </c>
      <c r="Q406" s="1" t="s">
        <v>42</v>
      </c>
      <c r="S406" s="1" t="s">
        <v>42</v>
      </c>
      <c r="T406" s="1" t="s">
        <v>170</v>
      </c>
      <c r="U406" s="1">
        <v>4</v>
      </c>
      <c r="V406" s="5">
        <v>43795</v>
      </c>
      <c r="W406" s="5">
        <v>43791</v>
      </c>
      <c r="X406" s="1">
        <v>3305000</v>
      </c>
      <c r="Y406" s="1">
        <v>3305000</v>
      </c>
      <c r="Z406" s="5">
        <v>43795</v>
      </c>
      <c r="AA406" s="1">
        <v>2853250</v>
      </c>
      <c r="AB406" s="1" t="s">
        <v>235</v>
      </c>
      <c r="AC406" s="5">
        <v>43803</v>
      </c>
      <c r="AF406" s="1">
        <v>10013</v>
      </c>
      <c r="AI406" s="1" t="s">
        <v>59</v>
      </c>
      <c r="AJ406" s="1">
        <v>2019</v>
      </c>
      <c r="AK406" s="1" t="s">
        <v>49</v>
      </c>
      <c r="AL406" s="1">
        <v>54</v>
      </c>
    </row>
    <row r="407" spans="1:38" x14ac:dyDescent="0.2">
      <c r="A407" s="2" t="str">
        <f>HYPERLINK("https://www.compass.com/listing/570-broome-street-unit-10c-manhattan-ny-10013/406534079104811281/","570 Broome St, Unit 10C")</f>
        <v>570 Broome St, Unit 10C</v>
      </c>
      <c r="B407" s="2" t="str">
        <f t="shared" si="65"/>
        <v>570 Broome</v>
      </c>
      <c r="C407" s="1" t="s">
        <v>47</v>
      </c>
      <c r="D407" s="1" t="s">
        <v>41</v>
      </c>
      <c r="E407" s="3">
        <v>1300000</v>
      </c>
      <c r="F407" s="1">
        <v>1771.11716621253</v>
      </c>
      <c r="G407" s="1">
        <v>3</v>
      </c>
      <c r="H407" s="1">
        <v>1</v>
      </c>
      <c r="I407" s="1">
        <v>1</v>
      </c>
      <c r="J407" s="1">
        <v>1</v>
      </c>
      <c r="K407" s="1">
        <v>1</v>
      </c>
      <c r="M407" s="1">
        <v>734</v>
      </c>
      <c r="N407" s="1">
        <v>784</v>
      </c>
      <c r="O407" s="1">
        <v>1991</v>
      </c>
      <c r="P407" s="1">
        <v>1207</v>
      </c>
      <c r="Q407" s="1" t="s">
        <v>42</v>
      </c>
      <c r="S407" s="1" t="s">
        <v>42</v>
      </c>
      <c r="T407" s="1" t="s">
        <v>170</v>
      </c>
      <c r="U407" s="1">
        <v>51</v>
      </c>
      <c r="V407" s="5">
        <v>44019</v>
      </c>
      <c r="W407" s="5">
        <v>43813</v>
      </c>
      <c r="X407" s="1">
        <v>1535000</v>
      </c>
      <c r="Y407" s="1">
        <v>1535000</v>
      </c>
      <c r="Z407" s="5">
        <v>43865</v>
      </c>
      <c r="AA407" s="1">
        <v>1300000</v>
      </c>
      <c r="AB407" s="1" t="s">
        <v>236</v>
      </c>
      <c r="AC407" s="5">
        <v>43917</v>
      </c>
      <c r="AF407" s="1">
        <v>10013</v>
      </c>
      <c r="AI407" s="1" t="s">
        <v>59</v>
      </c>
      <c r="AJ407" s="1">
        <v>2019</v>
      </c>
      <c r="AK407" s="1" t="s">
        <v>49</v>
      </c>
      <c r="AL407" s="1">
        <v>54</v>
      </c>
    </row>
    <row r="408" spans="1:38" x14ac:dyDescent="0.2">
      <c r="A408" s="2" t="str">
        <f>HYPERLINK("https://www.compass.com/listing/570-broome-street-unit-12c-manhattan-ny-10013/431693271606628785/","570 Broome St, Unit 12C")</f>
        <v>570 Broome St, Unit 12C</v>
      </c>
      <c r="B408" s="2" t="str">
        <f t="shared" si="65"/>
        <v>570 Broome</v>
      </c>
      <c r="C408" s="1" t="s">
        <v>47</v>
      </c>
      <c r="D408" s="1" t="s">
        <v>41</v>
      </c>
      <c r="E408" s="3">
        <v>1430000</v>
      </c>
      <c r="F408" s="1">
        <v>1948.2288828337801</v>
      </c>
      <c r="G408" s="1">
        <v>3</v>
      </c>
      <c r="H408" s="1">
        <v>1</v>
      </c>
      <c r="I408" s="1">
        <v>1</v>
      </c>
      <c r="J408" s="1">
        <v>1</v>
      </c>
      <c r="K408" s="1">
        <v>1</v>
      </c>
      <c r="M408" s="1">
        <v>734</v>
      </c>
      <c r="N408" s="1">
        <v>777</v>
      </c>
      <c r="O408" s="1">
        <v>1973</v>
      </c>
      <c r="P408" s="1">
        <v>1196</v>
      </c>
      <c r="Q408" s="1" t="s">
        <v>42</v>
      </c>
      <c r="S408" s="1" t="s">
        <v>42</v>
      </c>
      <c r="T408" s="1" t="s">
        <v>170</v>
      </c>
      <c r="V408" s="5">
        <v>43904</v>
      </c>
      <c r="W408" s="5">
        <v>43847</v>
      </c>
      <c r="X408" s="1">
        <v>1595000</v>
      </c>
      <c r="Y408" s="1">
        <v>1595000</v>
      </c>
      <c r="Z408" s="5">
        <v>43848</v>
      </c>
      <c r="AA408" s="1">
        <v>1430000</v>
      </c>
      <c r="AB408" s="1" t="s">
        <v>237</v>
      </c>
      <c r="AC408" s="5">
        <v>43903</v>
      </c>
      <c r="AF408" s="1">
        <v>10013</v>
      </c>
      <c r="AI408" s="1" t="s">
        <v>59</v>
      </c>
      <c r="AJ408" s="1">
        <v>2019</v>
      </c>
      <c r="AK408" s="1" t="s">
        <v>49</v>
      </c>
      <c r="AL408" s="1">
        <v>54</v>
      </c>
    </row>
    <row r="409" spans="1:38" x14ac:dyDescent="0.2">
      <c r="A409" s="2" t="str">
        <f>HYPERLINK("https://www.compass.com/listing/50-riverside-boulevard-unit-6e-manhattan-ny-10069/626986570727546081/","50 Riverside Blvd, Unit 6E")</f>
        <v>50 Riverside Blvd, Unit 6E</v>
      </c>
      <c r="B409" s="2" t="str">
        <f t="shared" ref="B409:B410" si="66">HYPERLINK("https://www.compass.com/building/one-riverside-park-manhattan-ny/282041440266113253/","One Riverside Park")</f>
        <v>One Riverside Park</v>
      </c>
      <c r="C409" s="1" t="s">
        <v>50</v>
      </c>
      <c r="D409" s="1" t="s">
        <v>41</v>
      </c>
      <c r="E409" s="3">
        <v>1950000</v>
      </c>
      <c r="F409" s="1">
        <v>1420.2476329206099</v>
      </c>
      <c r="G409" s="1">
        <v>5</v>
      </c>
      <c r="H409" s="1">
        <v>2</v>
      </c>
      <c r="I409" s="1">
        <v>3</v>
      </c>
      <c r="J409" s="1">
        <v>2.5</v>
      </c>
      <c r="K409" s="1">
        <v>2</v>
      </c>
      <c r="L409" s="1">
        <v>1</v>
      </c>
      <c r="M409" s="4">
        <v>1373</v>
      </c>
      <c r="N409" s="1">
        <v>1521</v>
      </c>
      <c r="O409" s="1">
        <v>1607</v>
      </c>
      <c r="P409" s="1">
        <v>86</v>
      </c>
      <c r="Q409" s="1" t="s">
        <v>42</v>
      </c>
      <c r="S409" s="1" t="s">
        <v>42</v>
      </c>
      <c r="T409" s="1" t="s">
        <v>170</v>
      </c>
      <c r="U409" s="1">
        <v>81</v>
      </c>
      <c r="V409" s="5">
        <v>44238</v>
      </c>
      <c r="W409" s="5">
        <v>44118</v>
      </c>
      <c r="X409" s="1">
        <v>2299000</v>
      </c>
      <c r="Y409" s="1">
        <v>2299000</v>
      </c>
      <c r="Z409" s="5">
        <v>44200</v>
      </c>
      <c r="AA409" s="1">
        <v>1950000</v>
      </c>
      <c r="AB409" s="1" t="s">
        <v>238</v>
      </c>
      <c r="AC409" s="5">
        <v>44231</v>
      </c>
      <c r="AF409" s="1">
        <v>10069</v>
      </c>
      <c r="AI409" s="1" t="s">
        <v>45</v>
      </c>
      <c r="AJ409" s="1">
        <v>2016</v>
      </c>
      <c r="AK409" s="1" t="s">
        <v>46</v>
      </c>
      <c r="AL409" s="1">
        <v>657</v>
      </c>
    </row>
    <row r="410" spans="1:38" x14ac:dyDescent="0.2">
      <c r="A410" s="2" t="str">
        <f>HYPERLINK("https://www.compass.com/listing/50-riverside-boulevard-unit-7j-manhattan-ny-10069/758566732965471281/","50 Riverside Blvd, Unit 7J")</f>
        <v>50 Riverside Blvd, Unit 7J</v>
      </c>
      <c r="B410" s="2" t="str">
        <f t="shared" si="66"/>
        <v>One Riverside Park</v>
      </c>
      <c r="C410" s="1" t="s">
        <v>50</v>
      </c>
      <c r="D410" s="1" t="s">
        <v>41</v>
      </c>
      <c r="E410" s="3">
        <v>2000000</v>
      </c>
      <c r="F410" s="1">
        <v>1418.43971631205</v>
      </c>
      <c r="G410" s="1">
        <v>4</v>
      </c>
      <c r="H410" s="1">
        <v>2</v>
      </c>
      <c r="I410" s="1">
        <v>2</v>
      </c>
      <c r="J410" s="1">
        <v>2</v>
      </c>
      <c r="K410" s="1">
        <v>2</v>
      </c>
      <c r="M410" s="4">
        <v>1410</v>
      </c>
      <c r="N410" s="1">
        <v>1595</v>
      </c>
      <c r="O410" s="1">
        <v>1682</v>
      </c>
      <c r="P410" s="1">
        <v>87</v>
      </c>
      <c r="Q410" s="1" t="s">
        <v>42</v>
      </c>
      <c r="S410" s="1" t="s">
        <v>42</v>
      </c>
      <c r="T410" s="1" t="s">
        <v>170</v>
      </c>
      <c r="U410" s="1">
        <v>13</v>
      </c>
      <c r="V410" s="5">
        <v>44376</v>
      </c>
      <c r="W410" s="5">
        <v>44299</v>
      </c>
      <c r="X410" s="1">
        <v>2000000</v>
      </c>
      <c r="Y410" s="1">
        <v>2000000</v>
      </c>
      <c r="Z410" s="5">
        <v>44313</v>
      </c>
      <c r="AA410" s="1">
        <v>2000000</v>
      </c>
      <c r="AB410" s="1" t="s">
        <v>239</v>
      </c>
      <c r="AC410" s="5">
        <v>44372</v>
      </c>
      <c r="AF410" s="1">
        <v>10069</v>
      </c>
      <c r="AI410" s="1" t="s">
        <v>53</v>
      </c>
      <c r="AJ410" s="1">
        <v>2016</v>
      </c>
      <c r="AK410" s="1" t="s">
        <v>46</v>
      </c>
      <c r="AL410" s="1">
        <v>657</v>
      </c>
    </row>
    <row r="411" spans="1:38" x14ac:dyDescent="0.2">
      <c r="A411" s="2" t="str">
        <f>HYPERLINK("https://www.compass.com/listing/313-west-121st-street-unit-ph-manhattan-ny-10027/538875974256435785/","313 W 121st St, Unit PH")</f>
        <v>313 W 121st St, Unit PH</v>
      </c>
      <c r="B411" s="2" t="str">
        <f>HYPERLINK("https://www.compass.com/building/the-vidro-manhattan-ny/282056937623814149/","The Vidro")</f>
        <v>The Vidro</v>
      </c>
      <c r="C411" s="1" t="s">
        <v>106</v>
      </c>
      <c r="D411" s="1" t="s">
        <v>41</v>
      </c>
      <c r="E411" s="3">
        <v>1700000</v>
      </c>
      <c r="F411" s="1">
        <v>1048.7353485502699</v>
      </c>
      <c r="G411" s="1">
        <v>5</v>
      </c>
      <c r="H411" s="1">
        <v>3</v>
      </c>
      <c r="I411" s="1">
        <v>3</v>
      </c>
      <c r="J411" s="1">
        <v>2.5</v>
      </c>
      <c r="K411" s="1">
        <v>2</v>
      </c>
      <c r="L411" s="1">
        <v>1</v>
      </c>
      <c r="M411" s="4">
        <v>1621</v>
      </c>
      <c r="N411" s="1">
        <v>709</v>
      </c>
      <c r="O411" s="1">
        <v>2446</v>
      </c>
      <c r="P411" s="1">
        <v>1737</v>
      </c>
      <c r="Q411" s="1" t="s">
        <v>42</v>
      </c>
      <c r="S411" s="1" t="s">
        <v>42</v>
      </c>
      <c r="T411" s="1" t="s">
        <v>170</v>
      </c>
      <c r="U411" s="1">
        <v>92</v>
      </c>
      <c r="V411" s="5">
        <v>44135</v>
      </c>
      <c r="W411" s="5">
        <v>43998</v>
      </c>
      <c r="X411" s="1">
        <v>1995000</v>
      </c>
      <c r="Y411" s="1">
        <v>1995000</v>
      </c>
      <c r="Z411" s="5">
        <v>44096</v>
      </c>
      <c r="AA411" s="1">
        <v>1700000</v>
      </c>
      <c r="AB411" s="1" t="s">
        <v>240</v>
      </c>
      <c r="AC411" s="5">
        <v>44134</v>
      </c>
      <c r="AF411" s="1">
        <v>10027</v>
      </c>
      <c r="AI411" s="1" t="s">
        <v>45</v>
      </c>
      <c r="AJ411" s="1">
        <v>2016</v>
      </c>
      <c r="AL411" s="1">
        <v>6</v>
      </c>
    </row>
    <row r="412" spans="1:38" x14ac:dyDescent="0.2">
      <c r="A412" s="2" t="str">
        <f>HYPERLINK("https://www.compass.com/listing/321-west-110th-street-unit-4a-manhattan-ny-10026/29430020774567089/","321 W 110th St, Unit 4A")</f>
        <v>321 W 110th St, Unit 4A</v>
      </c>
      <c r="B412" s="2" t="str">
        <f t="shared" ref="B412:B413" si="67">HYPERLINK("https://www.compass.com/building/one-morningside-park-manhattan-ny/294836904016796069/","One Morningside Park")</f>
        <v>One Morningside Park</v>
      </c>
      <c r="C412" s="1" t="s">
        <v>106</v>
      </c>
      <c r="D412" s="1" t="s">
        <v>41</v>
      </c>
      <c r="E412" s="3">
        <v>1550000</v>
      </c>
      <c r="F412" s="1">
        <v>1589.7435897435801</v>
      </c>
      <c r="G412" s="1">
        <v>3</v>
      </c>
      <c r="H412" s="1">
        <v>2</v>
      </c>
      <c r="J412" s="1">
        <v>2</v>
      </c>
      <c r="M412" s="1">
        <v>975</v>
      </c>
      <c r="N412" s="1">
        <v>1031</v>
      </c>
      <c r="O412" s="1">
        <v>1081</v>
      </c>
      <c r="P412" s="1">
        <v>50</v>
      </c>
      <c r="Q412" s="1" t="s">
        <v>42</v>
      </c>
      <c r="S412" s="1" t="s">
        <v>42</v>
      </c>
      <c r="T412" s="1" t="s">
        <v>170</v>
      </c>
      <c r="U412" s="1">
        <v>42</v>
      </c>
      <c r="V412" s="5">
        <v>42841</v>
      </c>
      <c r="W412" s="5">
        <v>42761</v>
      </c>
      <c r="X412" s="1">
        <v>1700000</v>
      </c>
      <c r="Y412" s="1">
        <v>1650000</v>
      </c>
      <c r="Z412" s="5">
        <v>42804</v>
      </c>
      <c r="AA412" s="1">
        <v>1550000</v>
      </c>
      <c r="AB412" s="1" t="s">
        <v>241</v>
      </c>
      <c r="AC412" s="5">
        <v>42838</v>
      </c>
      <c r="AF412" s="1">
        <v>10026</v>
      </c>
      <c r="AI412" s="1" t="s">
        <v>242</v>
      </c>
      <c r="AJ412" s="1">
        <v>2012</v>
      </c>
      <c r="AK412" s="1" t="s">
        <v>49</v>
      </c>
      <c r="AL412" s="1">
        <v>88</v>
      </c>
    </row>
    <row r="413" spans="1:38" x14ac:dyDescent="0.2">
      <c r="A413" s="2" t="str">
        <f>HYPERLINK("https://www.compass.com/listing/321-west-110th-street-unit-20b-manhattan-ny-10026/231125256830500001/","321 W 110th St, Unit 20B")</f>
        <v>321 W 110th St, Unit 20B</v>
      </c>
      <c r="B413" s="2" t="str">
        <f t="shared" si="67"/>
        <v>One Morningside Park</v>
      </c>
      <c r="C413" s="1" t="s">
        <v>106</v>
      </c>
      <c r="D413" s="1" t="s">
        <v>41</v>
      </c>
      <c r="E413" s="3">
        <v>985000</v>
      </c>
      <c r="G413" s="1">
        <v>3</v>
      </c>
      <c r="H413" s="1">
        <v>1</v>
      </c>
      <c r="I413" s="1">
        <v>1</v>
      </c>
      <c r="J413" s="1">
        <v>1</v>
      </c>
      <c r="K413" s="1">
        <v>1</v>
      </c>
      <c r="N413" s="1">
        <v>914.65</v>
      </c>
      <c r="O413" s="1">
        <v>951.94999999999902</v>
      </c>
      <c r="P413" s="1">
        <v>37.3333333333333</v>
      </c>
      <c r="Q413" s="1" t="s">
        <v>42</v>
      </c>
      <c r="S413" s="1" t="s">
        <v>42</v>
      </c>
      <c r="T413" s="1" t="s">
        <v>170</v>
      </c>
      <c r="U413" s="1">
        <v>217</v>
      </c>
      <c r="V413" s="5">
        <v>43848</v>
      </c>
      <c r="W413" s="5">
        <v>43571</v>
      </c>
      <c r="X413" s="1">
        <v>1250000</v>
      </c>
      <c r="Y413" s="1">
        <v>998000</v>
      </c>
      <c r="Z413" s="5">
        <v>43846</v>
      </c>
      <c r="AA413" s="1">
        <v>985000</v>
      </c>
      <c r="AB413" s="1" t="s">
        <v>243</v>
      </c>
      <c r="AC413" s="5">
        <v>43881</v>
      </c>
      <c r="AF413" s="1">
        <v>10026</v>
      </c>
      <c r="AI413" s="1" t="s">
        <v>244</v>
      </c>
      <c r="AJ413" s="1">
        <v>2012</v>
      </c>
      <c r="AK413" s="1" t="s">
        <v>49</v>
      </c>
      <c r="AL413" s="1">
        <v>88</v>
      </c>
    </row>
    <row r="414" spans="1:38" x14ac:dyDescent="0.2">
      <c r="A414" s="2" t="str">
        <f>HYPERLINK("https://www.compass.com/listing/50-riverside-boulevard-unit-26a-manhattan-ny-10069/219264585843149841/","50 Riverside Blvd, Unit 26A")</f>
        <v>50 Riverside Blvd, Unit 26A</v>
      </c>
      <c r="B414" s="2" t="str">
        <f>HYPERLINK("https://www.compass.com/building/one-riverside-park-manhattan-ny/282041440266113253/","One Riverside Park")</f>
        <v>One Riverside Park</v>
      </c>
      <c r="C414" s="1" t="s">
        <v>50</v>
      </c>
      <c r="D414" s="1" t="s">
        <v>41</v>
      </c>
      <c r="E414" s="3">
        <v>6600000</v>
      </c>
      <c r="F414" s="1">
        <v>2068.96551724137</v>
      </c>
      <c r="G414" s="1">
        <v>7</v>
      </c>
      <c r="H414" s="1">
        <v>4</v>
      </c>
      <c r="I414" s="1">
        <v>5</v>
      </c>
      <c r="J414" s="1">
        <v>4.5</v>
      </c>
      <c r="K414" s="1">
        <v>4</v>
      </c>
      <c r="L414" s="1">
        <v>1</v>
      </c>
      <c r="M414" s="4">
        <v>3190</v>
      </c>
      <c r="N414" s="1">
        <v>3565</v>
      </c>
      <c r="O414" s="1">
        <v>3566</v>
      </c>
      <c r="P414" s="1">
        <v>1</v>
      </c>
      <c r="Q414" s="1" t="s">
        <v>42</v>
      </c>
      <c r="S414" s="1" t="s">
        <v>42</v>
      </c>
      <c r="T414" s="1" t="s">
        <v>170</v>
      </c>
      <c r="U414" s="1">
        <v>108</v>
      </c>
      <c r="V414" s="5">
        <v>43699</v>
      </c>
      <c r="W414" s="5">
        <v>43556</v>
      </c>
      <c r="X414" s="1">
        <v>7500000</v>
      </c>
      <c r="Y414" s="1">
        <v>7500000</v>
      </c>
      <c r="Z414" s="5">
        <v>43664</v>
      </c>
      <c r="AA414" s="1">
        <v>6600000</v>
      </c>
      <c r="AB414" s="1" t="s">
        <v>245</v>
      </c>
      <c r="AC414" s="5">
        <v>43698</v>
      </c>
      <c r="AF414" s="1">
        <v>10069</v>
      </c>
      <c r="AI414" s="1" t="s">
        <v>246</v>
      </c>
      <c r="AJ414" s="1">
        <v>2016</v>
      </c>
      <c r="AK414" s="1" t="s">
        <v>73</v>
      </c>
      <c r="AL414" s="1">
        <v>657</v>
      </c>
    </row>
    <row r="415" spans="1:38" x14ac:dyDescent="0.2">
      <c r="A415" s="2" t="str">
        <f>HYPERLINK("https://www.compass.com/listing/101-wall-street-unit-10c-manhattan-ny-10005/754309859829573961/","101 Wall St, Unit 10C")</f>
        <v>101 Wall St, Unit 10C</v>
      </c>
      <c r="B415" s="2" t="str">
        <f t="shared" ref="B415:B416" si="68">HYPERLINK("https://www.compass.com/building/101-wall-st-manhattan-ny-10005/292788767809355381/","101 Wall St")</f>
        <v>101 Wall St</v>
      </c>
      <c r="C415" s="1" t="s">
        <v>117</v>
      </c>
      <c r="D415" s="1" t="s">
        <v>41</v>
      </c>
      <c r="E415" s="3">
        <v>1475000</v>
      </c>
      <c r="F415" s="1">
        <v>1167.85431512272</v>
      </c>
      <c r="G415" s="1">
        <v>4</v>
      </c>
      <c r="H415" s="1">
        <v>2</v>
      </c>
      <c r="I415" s="1">
        <v>2</v>
      </c>
      <c r="J415" s="1">
        <v>2</v>
      </c>
      <c r="K415" s="1">
        <v>2</v>
      </c>
      <c r="M415" s="4">
        <v>1263</v>
      </c>
      <c r="N415" s="1">
        <v>1616</v>
      </c>
      <c r="O415" s="1">
        <v>3681</v>
      </c>
      <c r="P415" s="1">
        <v>2065</v>
      </c>
      <c r="S415" s="1" t="s">
        <v>42</v>
      </c>
      <c r="T415" s="1" t="s">
        <v>170</v>
      </c>
      <c r="U415" s="1">
        <v>42</v>
      </c>
      <c r="V415" s="5">
        <v>44421</v>
      </c>
      <c r="W415" s="5">
        <v>44302</v>
      </c>
      <c r="X415" s="1">
        <v>1595000</v>
      </c>
      <c r="Y415" s="1">
        <v>1595000</v>
      </c>
      <c r="Z415" s="5">
        <v>44344</v>
      </c>
      <c r="AA415" s="1">
        <v>1475000</v>
      </c>
      <c r="AB415" s="1" t="s">
        <v>173</v>
      </c>
      <c r="AC415" s="5">
        <v>44414</v>
      </c>
      <c r="AF415" s="1">
        <v>10005</v>
      </c>
      <c r="AI415" s="1" t="s">
        <v>45</v>
      </c>
      <c r="AJ415" s="1">
        <v>2016</v>
      </c>
      <c r="AK415" s="1" t="s">
        <v>49</v>
      </c>
      <c r="AL415" s="1">
        <v>51</v>
      </c>
    </row>
    <row r="416" spans="1:38" x14ac:dyDescent="0.2">
      <c r="A416" s="2" t="str">
        <f>HYPERLINK("https://www.compass.com/listing/101-wall-street-unit-20a-manhattan-ny-10005/561587267070750881/","101 Wall St, Unit 20A")</f>
        <v>101 Wall St, Unit 20A</v>
      </c>
      <c r="B416" s="2" t="str">
        <f t="shared" si="68"/>
        <v>101 Wall St</v>
      </c>
      <c r="C416" s="1" t="s">
        <v>117</v>
      </c>
      <c r="D416" s="1" t="s">
        <v>41</v>
      </c>
      <c r="E416" s="3">
        <v>1250000</v>
      </c>
      <c r="F416" s="1">
        <v>1298.0269989615699</v>
      </c>
      <c r="G416" s="1">
        <v>4</v>
      </c>
      <c r="H416" s="1">
        <v>2</v>
      </c>
      <c r="I416" s="1">
        <v>2</v>
      </c>
      <c r="J416" s="1">
        <v>2</v>
      </c>
      <c r="K416" s="1">
        <v>2</v>
      </c>
      <c r="M416" s="1">
        <v>963</v>
      </c>
      <c r="N416" s="1">
        <v>1139</v>
      </c>
      <c r="O416" s="1">
        <v>3144</v>
      </c>
      <c r="P416" s="1">
        <v>2005</v>
      </c>
      <c r="Q416" s="1" t="s">
        <v>42</v>
      </c>
      <c r="S416" s="1" t="s">
        <v>42</v>
      </c>
      <c r="T416" s="1" t="s">
        <v>170</v>
      </c>
      <c r="U416" s="1">
        <v>214</v>
      </c>
      <c r="V416" s="5">
        <v>44312</v>
      </c>
      <c r="W416" s="5">
        <v>44029</v>
      </c>
      <c r="X416" s="1">
        <v>1385000</v>
      </c>
      <c r="Y416" s="1">
        <v>1325000</v>
      </c>
      <c r="Z416" s="5">
        <v>44244</v>
      </c>
      <c r="AA416" s="1">
        <v>1250000</v>
      </c>
      <c r="AB416" s="1" t="s">
        <v>247</v>
      </c>
      <c r="AC416" s="5">
        <v>44309</v>
      </c>
      <c r="AF416" s="1">
        <v>10005</v>
      </c>
      <c r="AI416" s="1" t="s">
        <v>248</v>
      </c>
      <c r="AJ416" s="1">
        <v>2016</v>
      </c>
      <c r="AK416" s="1" t="s">
        <v>49</v>
      </c>
      <c r="AL416" s="1">
        <v>51</v>
      </c>
    </row>
    <row r="417" spans="1:38" x14ac:dyDescent="0.2">
      <c r="A417" s="2" t="str">
        <f>HYPERLINK("https://www.compass.com/listing/252-east-57th-street-unit-36b-manhattan-ny-10022/708707618947069993/","252 E 57th St, Unit 36B")</f>
        <v>252 E 57th St, Unit 36B</v>
      </c>
      <c r="B417" s="2" t="str">
        <f t="shared" ref="B417:B419" si="69">HYPERLINK("https://www.compass.com/building/252-e-57th-st-manhattan-ny-10022/281924023602945813/","252 E 57th St")</f>
        <v>252 E 57th St</v>
      </c>
      <c r="C417" s="1" t="s">
        <v>64</v>
      </c>
      <c r="D417" s="1" t="s">
        <v>41</v>
      </c>
      <c r="E417" s="3">
        <v>3800000</v>
      </c>
      <c r="F417" s="1">
        <v>1968.91191709844</v>
      </c>
      <c r="G417" s="1">
        <v>5</v>
      </c>
      <c r="H417" s="1">
        <v>3</v>
      </c>
      <c r="I417" s="1">
        <v>3</v>
      </c>
      <c r="J417" s="1">
        <v>3</v>
      </c>
      <c r="K417" s="1">
        <v>3</v>
      </c>
      <c r="M417" s="4">
        <v>1930</v>
      </c>
      <c r="N417" s="1">
        <v>3681</v>
      </c>
      <c r="O417" s="1">
        <v>6297</v>
      </c>
      <c r="P417" s="1">
        <v>2616</v>
      </c>
      <c r="Q417" s="1" t="s">
        <v>42</v>
      </c>
      <c r="S417" s="1" t="s">
        <v>42</v>
      </c>
      <c r="T417" s="1" t="s">
        <v>170</v>
      </c>
      <c r="U417" s="1">
        <v>87</v>
      </c>
      <c r="V417" s="5">
        <v>44389</v>
      </c>
      <c r="W417" s="5">
        <v>44234</v>
      </c>
      <c r="X417" s="1">
        <v>4150000</v>
      </c>
      <c r="Y417" s="1">
        <v>3995000</v>
      </c>
      <c r="Z417" s="5">
        <v>44322</v>
      </c>
      <c r="AA417" s="1">
        <v>3800000</v>
      </c>
      <c r="AB417" s="1" t="s">
        <v>249</v>
      </c>
      <c r="AC417" s="5">
        <v>44385</v>
      </c>
      <c r="AF417" s="1">
        <v>10022</v>
      </c>
      <c r="AI417" s="1" t="s">
        <v>84</v>
      </c>
      <c r="AJ417" s="1">
        <v>2016</v>
      </c>
      <c r="AK417" s="1" t="s">
        <v>46</v>
      </c>
      <c r="AL417" s="1">
        <v>95</v>
      </c>
    </row>
    <row r="418" spans="1:38" x14ac:dyDescent="0.2">
      <c r="A418" s="2" t="str">
        <f>HYPERLINK("https://www.compass.com/listing/252-east-57th-street-unit-41d-manhattan-ny-10022/296977928655378881/","252 E 57th St, Unit 41D")</f>
        <v>252 E 57th St, Unit 41D</v>
      </c>
      <c r="B418" s="2" t="str">
        <f t="shared" si="69"/>
        <v>252 E 57th St</v>
      </c>
      <c r="C418" s="1" t="s">
        <v>64</v>
      </c>
      <c r="D418" s="1" t="s">
        <v>41</v>
      </c>
      <c r="E418" s="3">
        <v>4150000</v>
      </c>
      <c r="F418" s="1">
        <v>2155.84415584415</v>
      </c>
      <c r="G418" s="1">
        <v>5</v>
      </c>
      <c r="H418" s="1">
        <v>3</v>
      </c>
      <c r="I418" s="1">
        <v>3</v>
      </c>
      <c r="J418" s="1">
        <v>3</v>
      </c>
      <c r="K418" s="1">
        <v>3</v>
      </c>
      <c r="M418" s="4">
        <v>1925</v>
      </c>
      <c r="N418" s="1">
        <v>3615</v>
      </c>
      <c r="O418" s="1">
        <v>5665</v>
      </c>
      <c r="P418" s="1">
        <v>2050</v>
      </c>
      <c r="Q418" s="1" t="s">
        <v>42</v>
      </c>
      <c r="S418" s="1" t="s">
        <v>42</v>
      </c>
      <c r="T418" s="1" t="s">
        <v>170</v>
      </c>
      <c r="U418" s="1">
        <v>51</v>
      </c>
      <c r="V418" s="5">
        <v>43714</v>
      </c>
      <c r="W418" s="5">
        <v>43662</v>
      </c>
      <c r="X418" s="1">
        <v>4495000</v>
      </c>
      <c r="Y418" s="1">
        <v>4495000</v>
      </c>
      <c r="Z418" s="5">
        <v>43714</v>
      </c>
      <c r="AA418" s="1">
        <v>4150000</v>
      </c>
      <c r="AB418" s="1" t="s">
        <v>250</v>
      </c>
      <c r="AC418" s="5">
        <v>43836</v>
      </c>
      <c r="AF418" s="1">
        <v>10022</v>
      </c>
      <c r="AI418" s="1" t="s">
        <v>84</v>
      </c>
      <c r="AJ418" s="1">
        <v>2016</v>
      </c>
      <c r="AK418" s="1" t="s">
        <v>73</v>
      </c>
      <c r="AL418" s="1">
        <v>95</v>
      </c>
    </row>
    <row r="419" spans="1:38" x14ac:dyDescent="0.2">
      <c r="A419" s="2" t="str">
        <f>HYPERLINK("https://www.compass.com/listing/252-east-57th-street-unit-40a-manhattan-ny-10022/360093590533084193/","252 E 57th St, Unit 40A")</f>
        <v>252 E 57th St, Unit 40A</v>
      </c>
      <c r="B419" s="2" t="str">
        <f t="shared" si="69"/>
        <v>252 E 57th St</v>
      </c>
      <c r="C419" s="1" t="s">
        <v>64</v>
      </c>
      <c r="D419" s="1" t="s">
        <v>41</v>
      </c>
      <c r="E419" s="3">
        <v>4350000</v>
      </c>
      <c r="F419" s="1">
        <v>2160.9538002980598</v>
      </c>
      <c r="G419" s="1">
        <v>5</v>
      </c>
      <c r="H419" s="1">
        <v>3</v>
      </c>
      <c r="I419" s="1">
        <v>3</v>
      </c>
      <c r="J419" s="1">
        <v>3</v>
      </c>
      <c r="K419" s="1">
        <v>3</v>
      </c>
      <c r="M419" s="4">
        <v>2013</v>
      </c>
      <c r="N419" s="1">
        <v>3808</v>
      </c>
      <c r="O419" s="1">
        <v>5967</v>
      </c>
      <c r="P419" s="1">
        <v>2159</v>
      </c>
      <c r="Q419" s="1" t="s">
        <v>42</v>
      </c>
      <c r="S419" s="1" t="s">
        <v>42</v>
      </c>
      <c r="T419" s="1" t="s">
        <v>170</v>
      </c>
      <c r="U419" s="1">
        <v>144</v>
      </c>
      <c r="V419" s="5">
        <v>44020</v>
      </c>
      <c r="W419" s="5">
        <v>43754</v>
      </c>
      <c r="X419" s="1">
        <v>4650000</v>
      </c>
      <c r="Y419" s="1">
        <v>4650000</v>
      </c>
      <c r="Z419" s="5">
        <v>43899</v>
      </c>
      <c r="AA419" s="1">
        <v>4350000</v>
      </c>
      <c r="AB419" s="1" t="s">
        <v>251</v>
      </c>
      <c r="AC419" s="5">
        <v>44029</v>
      </c>
      <c r="AF419" s="1">
        <v>10022</v>
      </c>
      <c r="AI419" s="1" t="s">
        <v>65</v>
      </c>
      <c r="AJ419" s="1">
        <v>2016</v>
      </c>
      <c r="AK419" s="1" t="s">
        <v>73</v>
      </c>
      <c r="AL419" s="1">
        <v>95</v>
      </c>
    </row>
    <row r="420" spans="1:38" x14ac:dyDescent="0.2">
      <c r="A420" s="2" t="str">
        <f>HYPERLINK("https://www.compass.com/listing/555-main-street-unit-1411-manhattan-ny-10044/440499903792355505/","555 Main St, Unit 1411")</f>
        <v>555 Main St, Unit 1411</v>
      </c>
      <c r="B420" s="2" t="str">
        <f t="shared" ref="B420:B421" si="70">HYPERLINK("https://www.compass.com/building/island-house-manhattan-ny/282034908468103317/","Island House")</f>
        <v>Island House</v>
      </c>
      <c r="C420" s="1" t="s">
        <v>128</v>
      </c>
      <c r="D420" s="1" t="s">
        <v>41</v>
      </c>
      <c r="E420" s="3">
        <v>425000</v>
      </c>
      <c r="F420" s="1">
        <v>713.08724832214705</v>
      </c>
      <c r="G420" s="1">
        <v>2</v>
      </c>
      <c r="H420" s="1" t="s">
        <v>97</v>
      </c>
      <c r="I420" s="1">
        <v>1</v>
      </c>
      <c r="J420" s="1">
        <v>1</v>
      </c>
      <c r="K420" s="1">
        <v>1</v>
      </c>
      <c r="M420" s="1">
        <v>596</v>
      </c>
      <c r="N420" s="1">
        <v>803.25</v>
      </c>
      <c r="O420" s="1">
        <v>803.25</v>
      </c>
      <c r="Q420" s="1" t="s">
        <v>129</v>
      </c>
      <c r="S420" s="1" t="s">
        <v>129</v>
      </c>
      <c r="T420" s="1" t="s">
        <v>170</v>
      </c>
      <c r="U420" s="1">
        <v>194</v>
      </c>
      <c r="V420" s="5">
        <v>44319</v>
      </c>
      <c r="W420" s="5">
        <v>44013</v>
      </c>
      <c r="X420" s="1">
        <v>474000</v>
      </c>
      <c r="Y420" s="1">
        <v>449000</v>
      </c>
      <c r="Z420" s="5">
        <v>44208</v>
      </c>
      <c r="AA420" s="1">
        <v>425000</v>
      </c>
      <c r="AB420" s="1" t="s">
        <v>252</v>
      </c>
      <c r="AC420" s="5">
        <v>44313</v>
      </c>
      <c r="AF420" s="1">
        <v>10044</v>
      </c>
      <c r="AJ420" s="1">
        <v>1975</v>
      </c>
      <c r="AK420" s="1" t="s">
        <v>253</v>
      </c>
      <c r="AL420" s="1">
        <v>400</v>
      </c>
    </row>
    <row r="421" spans="1:38" x14ac:dyDescent="0.2">
      <c r="A421" s="2" t="str">
        <f>HYPERLINK("https://www.compass.com/listing/555-main-street-unit-411-manhattan-ny-10044/197045340455579809/","555 Main St, Unit 411")</f>
        <v>555 Main St, Unit 411</v>
      </c>
      <c r="B421" s="2" t="str">
        <f t="shared" si="70"/>
        <v>Island House</v>
      </c>
      <c r="C421" s="1" t="s">
        <v>128</v>
      </c>
      <c r="D421" s="1" t="s">
        <v>41</v>
      </c>
      <c r="E421" s="3">
        <v>430000</v>
      </c>
      <c r="G421" s="1">
        <v>3</v>
      </c>
      <c r="H421" s="1" t="s">
        <v>79</v>
      </c>
      <c r="I421" s="1">
        <v>1</v>
      </c>
      <c r="J421" s="1">
        <v>1</v>
      </c>
      <c r="K421" s="1">
        <v>1</v>
      </c>
      <c r="N421" s="1">
        <v>462</v>
      </c>
      <c r="O421" s="1">
        <v>500</v>
      </c>
      <c r="S421" s="1" t="s">
        <v>129</v>
      </c>
      <c r="T421" s="1" t="s">
        <v>170</v>
      </c>
      <c r="U421" s="1">
        <v>97</v>
      </c>
      <c r="V421" s="5">
        <v>43639</v>
      </c>
      <c r="W421" s="5">
        <v>43524</v>
      </c>
      <c r="X421" s="1">
        <v>430000</v>
      </c>
      <c r="Y421" s="1">
        <v>430000</v>
      </c>
      <c r="Z421" s="5">
        <v>43621</v>
      </c>
      <c r="AA421" s="1">
        <v>430000</v>
      </c>
      <c r="AB421" s="1" t="s">
        <v>181</v>
      </c>
      <c r="AC421" s="5">
        <v>43633</v>
      </c>
      <c r="AF421" s="1">
        <v>10044</v>
      </c>
      <c r="AI421" s="1" t="s">
        <v>84</v>
      </c>
      <c r="AJ421" s="1">
        <v>1975</v>
      </c>
      <c r="AK421" s="1" t="s">
        <v>77</v>
      </c>
      <c r="AL421" s="1">
        <v>400</v>
      </c>
    </row>
    <row r="422" spans="1:38" x14ac:dyDescent="0.2">
      <c r="A422" s="2" t="str">
        <f>HYPERLINK("https://www.compass.com/listing/551-main-street-unit-203-manhattan-ny-10044/210617883636549105/","551 Main St, Unit 203")</f>
        <v>551 Main St, Unit 203</v>
      </c>
      <c r="B422" s="2" t="str">
        <f>HYPERLINK("https://www.compass.com/building/island-house-manhattan-ny/282059863998105557/","Island House")</f>
        <v>Island House</v>
      </c>
      <c r="C422" s="1" t="s">
        <v>128</v>
      </c>
      <c r="D422" s="1" t="s">
        <v>41</v>
      </c>
      <c r="E422" s="3">
        <v>1700000</v>
      </c>
      <c r="G422" s="1">
        <v>7</v>
      </c>
      <c r="H422" s="1">
        <v>4</v>
      </c>
      <c r="I422" s="1">
        <v>3</v>
      </c>
      <c r="J422" s="1">
        <v>2.5</v>
      </c>
      <c r="K422" s="1">
        <v>2</v>
      </c>
      <c r="L422" s="1">
        <v>1</v>
      </c>
      <c r="N422" s="1">
        <v>1953</v>
      </c>
      <c r="O422" s="1">
        <v>2113</v>
      </c>
      <c r="S422" s="1" t="s">
        <v>129</v>
      </c>
      <c r="T422" s="1" t="s">
        <v>170</v>
      </c>
      <c r="U422" s="1">
        <v>153</v>
      </c>
      <c r="V422" s="5">
        <v>43779</v>
      </c>
      <c r="W422" s="5">
        <v>43544</v>
      </c>
      <c r="X422" s="1">
        <v>1700000</v>
      </c>
      <c r="Y422" s="1">
        <v>1700000</v>
      </c>
      <c r="Z422" s="5">
        <v>43698</v>
      </c>
      <c r="AA422" s="1">
        <v>1700000</v>
      </c>
      <c r="AB422" s="1" t="s">
        <v>181</v>
      </c>
      <c r="AC422" s="5">
        <v>43779</v>
      </c>
      <c r="AF422" s="1">
        <v>10044</v>
      </c>
      <c r="AJ422" s="1">
        <v>1975</v>
      </c>
      <c r="AK422" s="1" t="s">
        <v>49</v>
      </c>
      <c r="AL422" s="1">
        <v>400</v>
      </c>
    </row>
    <row r="423" spans="1:38" x14ac:dyDescent="0.2">
      <c r="A423" s="2" t="str">
        <f>HYPERLINK("https://www.compass.com/listing/555-main-street-unit-912-manhattan-ny-10044/292499058398862561/","555 Main St, Unit 912")</f>
        <v>555 Main St, Unit 912</v>
      </c>
      <c r="B423" s="2" t="str">
        <f t="shared" ref="B423:B424" si="71">HYPERLINK("https://www.compass.com/building/island-house-manhattan-ny/282034908468103317/","Island House")</f>
        <v>Island House</v>
      </c>
      <c r="C423" s="1" t="s">
        <v>128</v>
      </c>
      <c r="D423" s="1" t="s">
        <v>41</v>
      </c>
      <c r="E423" s="3">
        <v>1199000</v>
      </c>
      <c r="G423" s="1">
        <v>5</v>
      </c>
      <c r="H423" s="1">
        <v>3</v>
      </c>
      <c r="I423" s="1">
        <v>3</v>
      </c>
      <c r="J423" s="1">
        <v>2.5</v>
      </c>
      <c r="K423" s="1">
        <v>2</v>
      </c>
      <c r="L423" s="1">
        <v>1</v>
      </c>
      <c r="N423" s="1">
        <v>1517</v>
      </c>
      <c r="O423" s="1">
        <v>1660</v>
      </c>
      <c r="S423" s="1" t="s">
        <v>129</v>
      </c>
      <c r="T423" s="1" t="s">
        <v>170</v>
      </c>
      <c r="U423" s="1">
        <v>114</v>
      </c>
      <c r="V423" s="5">
        <v>43914</v>
      </c>
      <c r="W423" s="5">
        <v>43655</v>
      </c>
      <c r="X423" s="1">
        <v>1199000</v>
      </c>
      <c r="Y423" s="1">
        <v>1199000</v>
      </c>
      <c r="Z423" s="5">
        <v>43770</v>
      </c>
      <c r="AA423" s="1">
        <v>1199000</v>
      </c>
      <c r="AB423" s="1" t="s">
        <v>181</v>
      </c>
      <c r="AC423" s="5">
        <v>43914</v>
      </c>
      <c r="AF423" s="1">
        <v>10044</v>
      </c>
      <c r="AJ423" s="1">
        <v>1975</v>
      </c>
      <c r="AK423" s="1" t="s">
        <v>49</v>
      </c>
      <c r="AL423" s="1">
        <v>400</v>
      </c>
    </row>
    <row r="424" spans="1:38" x14ac:dyDescent="0.2">
      <c r="A424" s="2" t="str">
        <f>HYPERLINK("https://www.compass.com/listing/555-main-street-unit-1313-manhattan-ny-10044/369447659299160545/","555 Main St, Unit 1313")</f>
        <v>555 Main St, Unit 1313</v>
      </c>
      <c r="B424" s="2" t="str">
        <f t="shared" si="71"/>
        <v>Island House</v>
      </c>
      <c r="C424" s="1" t="s">
        <v>128</v>
      </c>
      <c r="D424" s="1" t="s">
        <v>41</v>
      </c>
      <c r="E424" s="3">
        <v>1285000</v>
      </c>
      <c r="F424" s="1">
        <v>805.64263322884005</v>
      </c>
      <c r="G424" s="1">
        <v>5</v>
      </c>
      <c r="H424" s="1">
        <v>3</v>
      </c>
      <c r="I424" s="1">
        <v>3</v>
      </c>
      <c r="J424" s="1">
        <v>2.5</v>
      </c>
      <c r="K424" s="1">
        <v>2</v>
      </c>
      <c r="L424" s="1">
        <v>1</v>
      </c>
      <c r="M424" s="4">
        <v>1595</v>
      </c>
      <c r="N424" s="1">
        <v>1566</v>
      </c>
      <c r="O424" s="1">
        <v>1709</v>
      </c>
      <c r="S424" s="1" t="s">
        <v>129</v>
      </c>
      <c r="T424" s="1" t="s">
        <v>170</v>
      </c>
      <c r="U424" s="1">
        <v>162</v>
      </c>
      <c r="V424" s="5">
        <v>44145</v>
      </c>
      <c r="W424" s="5">
        <v>43762</v>
      </c>
      <c r="X424" s="1">
        <v>1285000</v>
      </c>
      <c r="Y424" s="1">
        <v>1285000</v>
      </c>
      <c r="Z424" s="5">
        <v>44047</v>
      </c>
      <c r="AA424" s="1">
        <v>1285000</v>
      </c>
      <c r="AB424" s="1" t="s">
        <v>181</v>
      </c>
      <c r="AC424" s="5">
        <v>44145</v>
      </c>
      <c r="AF424" s="1">
        <v>10044</v>
      </c>
      <c r="AJ424" s="1">
        <v>1975</v>
      </c>
      <c r="AK424" s="1" t="s">
        <v>49</v>
      </c>
      <c r="AL424" s="1">
        <v>400</v>
      </c>
    </row>
    <row r="425" spans="1:38" x14ac:dyDescent="0.2">
      <c r="A425" s="2" t="str">
        <f>HYPERLINK("https://www.compass.com/listing/570-broome-street-unit-7c-manhattan-ny-10013/296914655524067185/","570 Broome St, Unit 7C")</f>
        <v>570 Broome St, Unit 7C</v>
      </c>
      <c r="B425" s="2" t="str">
        <f>HYPERLINK("https://www.compass.com/building/570-broome-manhattan-ny/292818583757562981/","570 Broome")</f>
        <v>570 Broome</v>
      </c>
      <c r="C425" s="1" t="s">
        <v>104</v>
      </c>
      <c r="D425" s="1" t="s">
        <v>41</v>
      </c>
      <c r="E425" s="3">
        <v>1291677</v>
      </c>
      <c r="F425" s="1">
        <v>1759.77784741144</v>
      </c>
      <c r="G425" s="1">
        <v>3</v>
      </c>
      <c r="H425" s="1">
        <v>1</v>
      </c>
      <c r="I425" s="1">
        <v>1</v>
      </c>
      <c r="J425" s="1">
        <v>1</v>
      </c>
      <c r="K425" s="1">
        <v>1</v>
      </c>
      <c r="M425" s="1">
        <v>734</v>
      </c>
      <c r="N425" s="1">
        <v>784</v>
      </c>
      <c r="O425" s="1">
        <v>1991</v>
      </c>
      <c r="P425" s="1">
        <v>1207</v>
      </c>
      <c r="Q425" s="1" t="s">
        <v>213</v>
      </c>
      <c r="S425" s="1" t="s">
        <v>155</v>
      </c>
      <c r="T425" s="1" t="s">
        <v>170</v>
      </c>
      <c r="V425" s="5">
        <v>43792</v>
      </c>
      <c r="W425" s="5">
        <v>43661</v>
      </c>
      <c r="X425" s="1">
        <v>1475000</v>
      </c>
      <c r="Y425" s="1">
        <v>1475000</v>
      </c>
      <c r="Z425" s="5">
        <v>43661</v>
      </c>
      <c r="AA425" s="1">
        <v>1291676.94</v>
      </c>
      <c r="AB425" s="1" t="s">
        <v>254</v>
      </c>
      <c r="AC425" s="5">
        <v>43822</v>
      </c>
      <c r="AF425" s="1">
        <v>10013</v>
      </c>
      <c r="AI425" s="1" t="s">
        <v>59</v>
      </c>
      <c r="AJ425" s="1">
        <v>2019</v>
      </c>
      <c r="AK425" s="1" t="s">
        <v>49</v>
      </c>
      <c r="AL425" s="1">
        <v>54</v>
      </c>
    </row>
    <row r="426" spans="1:38" x14ac:dyDescent="0.2">
      <c r="A426" s="2" t="str">
        <f>HYPERLINK("https://www.compass.com/listing/200-east-95th-street-unit-24c-manhattan-ny-10128/846287733529089329/","200 E 95th St, Unit 24C")</f>
        <v>200 E 95th St, Unit 24C</v>
      </c>
      <c r="B426" s="2" t="str">
        <f>HYPERLINK("https://www.compass.com/building/the-kent-manhattan-ny/282049801384650021/","The Kent")</f>
        <v>The Kent</v>
      </c>
      <c r="C426" s="1" t="s">
        <v>115</v>
      </c>
      <c r="D426" s="1" t="s">
        <v>41</v>
      </c>
      <c r="E426" s="3">
        <v>4200000</v>
      </c>
      <c r="G426" s="1">
        <v>4</v>
      </c>
      <c r="H426" s="1">
        <v>3</v>
      </c>
      <c r="I426" s="1">
        <v>3</v>
      </c>
      <c r="J426" s="1">
        <v>3</v>
      </c>
      <c r="K426" s="1">
        <v>3</v>
      </c>
      <c r="N426" s="1">
        <v>2513</v>
      </c>
      <c r="O426" s="1">
        <v>2768</v>
      </c>
      <c r="P426" s="1">
        <v>255</v>
      </c>
      <c r="Q426" s="1" t="s">
        <v>42</v>
      </c>
      <c r="S426" s="1" t="s">
        <v>42</v>
      </c>
      <c r="T426" s="1" t="s">
        <v>170</v>
      </c>
      <c r="V426" s="5">
        <v>44420</v>
      </c>
      <c r="W426" s="5">
        <v>44419</v>
      </c>
      <c r="X426" s="1">
        <v>4200000</v>
      </c>
      <c r="Y426" s="1">
        <v>4200000</v>
      </c>
      <c r="AA426" s="1">
        <v>4200000</v>
      </c>
      <c r="AB426" s="1" t="s">
        <v>181</v>
      </c>
      <c r="AC426" s="5">
        <v>44419</v>
      </c>
      <c r="AF426" s="1">
        <v>10128</v>
      </c>
      <c r="AJ426" s="1">
        <v>2017</v>
      </c>
      <c r="AK426" s="1" t="s">
        <v>73</v>
      </c>
      <c r="AL426" s="1">
        <v>83</v>
      </c>
    </row>
    <row r="427" spans="1:38" x14ac:dyDescent="0.2">
      <c r="A427" s="2" t="str">
        <f>HYPERLINK("https://www.compass.com/listing/90-morton-street-unit-ph10a-manhattan-ny-10014/836591649969485617/","90 Morton St, Unit PH10A")</f>
        <v>90 Morton St, Unit PH10A</v>
      </c>
      <c r="B427" s="2" t="str">
        <f t="shared" ref="B427:B428" si="72">HYPERLINK("https://www.compass.com/building/90-morton-street-manhattan-ny/292834843018978005/","90 Morton Street")</f>
        <v>90 Morton Street</v>
      </c>
      <c r="C427" s="1" t="s">
        <v>71</v>
      </c>
      <c r="D427" s="1" t="s">
        <v>41</v>
      </c>
      <c r="E427" s="3">
        <v>18000000</v>
      </c>
      <c r="F427" s="1">
        <v>4893.96411092985</v>
      </c>
      <c r="G427" s="1">
        <v>6</v>
      </c>
      <c r="H427" s="1">
        <v>3</v>
      </c>
      <c r="I427" s="1">
        <v>4</v>
      </c>
      <c r="J427" s="1">
        <v>3.5</v>
      </c>
      <c r="K427" s="1">
        <v>3</v>
      </c>
      <c r="L427" s="1">
        <v>1</v>
      </c>
      <c r="M427" s="4">
        <v>3678</v>
      </c>
      <c r="N427" s="1">
        <v>6083</v>
      </c>
      <c r="O427" s="1">
        <v>11471</v>
      </c>
      <c r="P427" s="1">
        <v>5388</v>
      </c>
      <c r="Q427" s="1" t="s">
        <v>42</v>
      </c>
      <c r="S427" s="1" t="s">
        <v>42</v>
      </c>
      <c r="T427" s="1" t="s">
        <v>170</v>
      </c>
      <c r="V427" s="5">
        <v>44426</v>
      </c>
      <c r="W427" s="5">
        <v>44405</v>
      </c>
      <c r="X427" s="1">
        <v>18000000</v>
      </c>
      <c r="Y427" s="1">
        <v>18000000</v>
      </c>
      <c r="Z427" s="5">
        <v>44405</v>
      </c>
      <c r="AA427" s="1">
        <v>18000000</v>
      </c>
      <c r="AB427" s="1" t="s">
        <v>181</v>
      </c>
      <c r="AC427" s="5">
        <v>44420</v>
      </c>
      <c r="AF427" s="1">
        <v>10014</v>
      </c>
      <c r="AI427" s="1" t="s">
        <v>95</v>
      </c>
      <c r="AJ427" s="1">
        <v>2018</v>
      </c>
      <c r="AK427" s="1" t="s">
        <v>46</v>
      </c>
      <c r="AL427" s="1">
        <v>35</v>
      </c>
    </row>
    <row r="428" spans="1:38" x14ac:dyDescent="0.2">
      <c r="A428" s="2" t="str">
        <f>HYPERLINK("https://www.compass.com/listing/90-morton-street-unit-4b-manhattan-ny-10014/820299562805138449/","90 Morton St, Unit 4B")</f>
        <v>90 Morton St, Unit 4B</v>
      </c>
      <c r="B428" s="2" t="str">
        <f t="shared" si="72"/>
        <v>90 Morton Street</v>
      </c>
      <c r="C428" s="1" t="s">
        <v>71</v>
      </c>
      <c r="D428" s="1" t="s">
        <v>41</v>
      </c>
      <c r="E428" s="3">
        <v>7850000</v>
      </c>
      <c r="F428" s="1">
        <v>2693.8915579958798</v>
      </c>
      <c r="G428" s="1">
        <v>6</v>
      </c>
      <c r="H428" s="1">
        <v>4</v>
      </c>
      <c r="I428" s="1">
        <v>4</v>
      </c>
      <c r="J428" s="1">
        <v>4</v>
      </c>
      <c r="K428" s="1">
        <v>4</v>
      </c>
      <c r="M428" s="4">
        <v>2914</v>
      </c>
      <c r="N428" s="1">
        <v>3850</v>
      </c>
      <c r="O428" s="1">
        <v>6942</v>
      </c>
      <c r="P428" s="1">
        <v>3092</v>
      </c>
      <c r="Q428" s="1" t="s">
        <v>42</v>
      </c>
      <c r="S428" s="1" t="s">
        <v>42</v>
      </c>
      <c r="T428" s="1" t="s">
        <v>170</v>
      </c>
      <c r="V428" s="5">
        <v>44418</v>
      </c>
      <c r="W428" s="5">
        <v>44383</v>
      </c>
      <c r="X428" s="1">
        <v>8720000</v>
      </c>
      <c r="Y428" s="1">
        <v>8720000</v>
      </c>
      <c r="Z428" s="5">
        <v>44383</v>
      </c>
      <c r="AA428" s="1">
        <v>7850000</v>
      </c>
      <c r="AB428" s="1" t="s">
        <v>255</v>
      </c>
      <c r="AC428" s="5">
        <v>44405</v>
      </c>
      <c r="AF428" s="1">
        <v>10014</v>
      </c>
      <c r="AI428" s="1" t="s">
        <v>80</v>
      </c>
      <c r="AJ428" s="1">
        <v>2018</v>
      </c>
      <c r="AK428" s="1" t="s">
        <v>46</v>
      </c>
      <c r="AL428" s="1">
        <v>35</v>
      </c>
    </row>
    <row r="429" spans="1:38" x14ac:dyDescent="0.2">
      <c r="A429" s="2" t="str">
        <f>HYPERLINK("https://www.compass.com/listing/150-west-12th-street-unit-4west-manhattan-ny-10011/269721537525848401/","150 W 12th St, Unit 4WEST")</f>
        <v>150 W 12th St, Unit 4WEST</v>
      </c>
      <c r="B429" s="2" t="str">
        <f>HYPERLINK("https://www.compass.com/building/the-greenwich-lane-manhattan-ny/567553885067785157/","The Greenwich Lane")</f>
        <v>The Greenwich Lane</v>
      </c>
      <c r="C429" s="1" t="s">
        <v>71</v>
      </c>
      <c r="D429" s="1" t="s">
        <v>41</v>
      </c>
      <c r="E429" s="3">
        <v>4125000</v>
      </c>
      <c r="F429" s="1">
        <v>2815.6996587030699</v>
      </c>
      <c r="G429" s="1">
        <v>3</v>
      </c>
      <c r="H429" s="1">
        <v>1</v>
      </c>
      <c r="I429" s="1">
        <v>2</v>
      </c>
      <c r="J429" s="1">
        <v>1.5</v>
      </c>
      <c r="K429" s="1">
        <v>1</v>
      </c>
      <c r="L429" s="1">
        <v>1</v>
      </c>
      <c r="M429" s="4">
        <v>1465</v>
      </c>
      <c r="N429" s="1">
        <v>2613</v>
      </c>
      <c r="O429" s="1">
        <v>5833</v>
      </c>
      <c r="P429" s="1">
        <v>3220</v>
      </c>
      <c r="Q429" s="1" t="s">
        <v>42</v>
      </c>
      <c r="S429" s="1" t="s">
        <v>42</v>
      </c>
      <c r="T429" s="1" t="s">
        <v>170</v>
      </c>
      <c r="U429" s="1">
        <v>21</v>
      </c>
      <c r="V429" s="5">
        <v>43642</v>
      </c>
      <c r="W429" s="5">
        <v>43563</v>
      </c>
      <c r="X429" s="1">
        <v>3995000</v>
      </c>
      <c r="Y429" s="1">
        <v>3995000</v>
      </c>
      <c r="Z429" s="5">
        <v>43585</v>
      </c>
      <c r="AA429" s="1">
        <v>4125000</v>
      </c>
      <c r="AB429" s="1" t="s">
        <v>181</v>
      </c>
      <c r="AC429" s="5">
        <v>43641</v>
      </c>
      <c r="AF429" s="1">
        <v>10011</v>
      </c>
      <c r="AI429" s="1" t="s">
        <v>256</v>
      </c>
      <c r="AK429" s="1" t="s">
        <v>49</v>
      </c>
      <c r="AL429" s="1">
        <v>24</v>
      </c>
    </row>
    <row r="430" spans="1:38" x14ac:dyDescent="0.2">
      <c r="A430" s="2" t="str">
        <f>HYPERLINK("https://www.compass.com/listing/100-barrow-street-unit-6d-manhattan-ny-10014/756436587202326777/","100 Barrow St, Unit 6D")</f>
        <v>100 Barrow St, Unit 6D</v>
      </c>
      <c r="B430" s="2" t="str">
        <f t="shared" ref="B430:B445" si="73">HYPERLINK("https://www.compass.com/building/100-barrow-manhattan-ny/292834978184618837/","100 Barrow")</f>
        <v>100 Barrow</v>
      </c>
      <c r="C430" s="1" t="s">
        <v>71</v>
      </c>
      <c r="D430" s="1" t="s">
        <v>41</v>
      </c>
      <c r="E430" s="3">
        <v>3750000</v>
      </c>
      <c r="F430" s="1">
        <v>2321.9814241486001</v>
      </c>
      <c r="G430" s="1">
        <v>5.5</v>
      </c>
      <c r="H430" s="1">
        <v>2</v>
      </c>
      <c r="I430" s="1">
        <v>3</v>
      </c>
      <c r="J430" s="1">
        <v>2.5</v>
      </c>
      <c r="K430" s="1">
        <v>2</v>
      </c>
      <c r="L430" s="1">
        <v>1</v>
      </c>
      <c r="M430" s="4">
        <v>1615</v>
      </c>
      <c r="N430" s="1">
        <v>4832</v>
      </c>
      <c r="O430" s="1">
        <v>4832</v>
      </c>
      <c r="Q430" s="1" t="s">
        <v>169</v>
      </c>
      <c r="S430" s="1" t="s">
        <v>169</v>
      </c>
      <c r="T430" s="1" t="s">
        <v>170</v>
      </c>
      <c r="U430" s="1">
        <v>80</v>
      </c>
      <c r="V430" s="5">
        <v>44400</v>
      </c>
      <c r="W430" s="5">
        <v>44295</v>
      </c>
      <c r="X430" s="1">
        <v>8888888</v>
      </c>
      <c r="Y430" s="1">
        <v>8888888</v>
      </c>
      <c r="Z430" s="5">
        <v>44308</v>
      </c>
      <c r="AA430" s="1">
        <v>3750000</v>
      </c>
      <c r="AB430" s="1" t="s">
        <v>257</v>
      </c>
      <c r="AC430" s="5">
        <v>44390</v>
      </c>
      <c r="AF430" s="1">
        <v>10014</v>
      </c>
      <c r="AI430" s="1" t="s">
        <v>258</v>
      </c>
      <c r="AJ430" s="1">
        <v>2015</v>
      </c>
      <c r="AK430" s="1" t="s">
        <v>46</v>
      </c>
      <c r="AL430" s="1">
        <v>33</v>
      </c>
    </row>
    <row r="431" spans="1:38" x14ac:dyDescent="0.2">
      <c r="A431" s="2" t="str">
        <f>HYPERLINK("https://www.compass.com/listing/100-barrow-street-unit-4d-manhattan-ny-10014/29367157796237281/","100 Barrow St, Unit 4D")</f>
        <v>100 Barrow St, Unit 4D</v>
      </c>
      <c r="B431" s="2" t="str">
        <f t="shared" si="73"/>
        <v>100 Barrow</v>
      </c>
      <c r="C431" s="1" t="s">
        <v>71</v>
      </c>
      <c r="D431" s="1" t="s">
        <v>41</v>
      </c>
      <c r="E431" s="3">
        <v>3372000</v>
      </c>
      <c r="F431" s="1">
        <v>1892.2558922558901</v>
      </c>
      <c r="G431" s="1">
        <v>3</v>
      </c>
      <c r="H431" s="1">
        <v>2</v>
      </c>
      <c r="I431" s="1">
        <v>3</v>
      </c>
      <c r="J431" s="1">
        <v>2.5</v>
      </c>
      <c r="M431" s="4">
        <v>1782</v>
      </c>
      <c r="N431" s="1">
        <v>4796</v>
      </c>
      <c r="O431" s="1">
        <v>4796</v>
      </c>
      <c r="Q431" s="1" t="s">
        <v>169</v>
      </c>
      <c r="S431" s="1" t="s">
        <v>169</v>
      </c>
      <c r="T431" s="1" t="s">
        <v>170</v>
      </c>
      <c r="U431" s="1">
        <v>22</v>
      </c>
      <c r="V431" s="5">
        <v>43623</v>
      </c>
      <c r="W431" s="5">
        <v>42888</v>
      </c>
      <c r="X431" s="1">
        <v>3372000</v>
      </c>
      <c r="Y431" s="1">
        <v>3372000</v>
      </c>
      <c r="Z431" s="5">
        <v>42910</v>
      </c>
      <c r="AA431" s="1">
        <v>3372000</v>
      </c>
      <c r="AB431" s="1" t="s">
        <v>259</v>
      </c>
      <c r="AC431" s="5">
        <v>43031</v>
      </c>
      <c r="AF431" s="1">
        <v>10014</v>
      </c>
      <c r="AJ431" s="1">
        <v>2015</v>
      </c>
      <c r="AK431" s="1" t="s">
        <v>73</v>
      </c>
      <c r="AL431" s="1">
        <v>33</v>
      </c>
    </row>
    <row r="432" spans="1:38" x14ac:dyDescent="0.2">
      <c r="A432" s="2" t="str">
        <f>HYPERLINK("https://www.compass.com/listing/100-barrow-street-unit-3a-manhattan-ny-10014/29367159490691185/","100 Barrow St, Unit 3A")</f>
        <v>100 Barrow St, Unit 3A</v>
      </c>
      <c r="B432" s="2" t="str">
        <f t="shared" si="73"/>
        <v>100 Barrow</v>
      </c>
      <c r="C432" s="1" t="s">
        <v>71</v>
      </c>
      <c r="D432" s="1" t="s">
        <v>41</v>
      </c>
      <c r="E432" s="3">
        <v>3253000</v>
      </c>
      <c r="F432" s="1">
        <v>1832.6760563380201</v>
      </c>
      <c r="G432" s="1">
        <v>4</v>
      </c>
      <c r="H432" s="1">
        <v>2</v>
      </c>
      <c r="I432" s="1">
        <v>3</v>
      </c>
      <c r="J432" s="1">
        <v>2.5</v>
      </c>
      <c r="M432" s="4">
        <v>1775</v>
      </c>
      <c r="N432" s="1">
        <v>4720</v>
      </c>
      <c r="O432" s="1">
        <v>4720</v>
      </c>
      <c r="Q432" s="1" t="s">
        <v>169</v>
      </c>
      <c r="S432" s="1" t="s">
        <v>169</v>
      </c>
      <c r="T432" s="1" t="s">
        <v>170</v>
      </c>
      <c r="U432" s="1">
        <v>57</v>
      </c>
      <c r="V432" s="5">
        <v>43630</v>
      </c>
      <c r="W432" s="5">
        <v>43053</v>
      </c>
      <c r="X432" s="1">
        <v>3253000</v>
      </c>
      <c r="Y432" s="1">
        <v>3253000</v>
      </c>
      <c r="Z432" s="5">
        <v>43110</v>
      </c>
      <c r="AA432" s="1">
        <v>3253000</v>
      </c>
      <c r="AB432" s="1" t="s">
        <v>260</v>
      </c>
      <c r="AC432" s="5">
        <v>43186</v>
      </c>
      <c r="AF432" s="1">
        <v>10014</v>
      </c>
      <c r="AJ432" s="1">
        <v>2015</v>
      </c>
      <c r="AK432" s="1" t="s">
        <v>73</v>
      </c>
      <c r="AL432" s="1">
        <v>33</v>
      </c>
    </row>
    <row r="433" spans="1:38" x14ac:dyDescent="0.2">
      <c r="A433" s="2" t="str">
        <f>HYPERLINK("https://www.compass.com/listing/100-barrow-street-unit-5a-manhattan-ny-10014/29367163047461025/","100 Barrow St, Unit 5A")</f>
        <v>100 Barrow St, Unit 5A</v>
      </c>
      <c r="B433" s="2" t="str">
        <f t="shared" si="73"/>
        <v>100 Barrow</v>
      </c>
      <c r="C433" s="1" t="s">
        <v>71</v>
      </c>
      <c r="D433" s="1" t="s">
        <v>41</v>
      </c>
      <c r="E433" s="3">
        <v>3200000</v>
      </c>
      <c r="F433" s="1">
        <v>1770.89097952407</v>
      </c>
      <c r="G433" s="1">
        <v>4</v>
      </c>
      <c r="H433" s="1">
        <v>2</v>
      </c>
      <c r="I433" s="1">
        <v>3</v>
      </c>
      <c r="J433" s="1">
        <v>2.5</v>
      </c>
      <c r="M433" s="4">
        <v>1807</v>
      </c>
      <c r="N433" s="1">
        <v>4918</v>
      </c>
      <c r="O433" s="1">
        <v>4918</v>
      </c>
      <c r="Q433" s="1" t="s">
        <v>169</v>
      </c>
      <c r="S433" s="1" t="s">
        <v>169</v>
      </c>
      <c r="T433" s="1" t="s">
        <v>170</v>
      </c>
      <c r="U433" s="1">
        <v>270</v>
      </c>
      <c r="V433" s="5">
        <v>43623</v>
      </c>
      <c r="W433" s="5">
        <v>42888</v>
      </c>
      <c r="X433" s="1">
        <v>3350000</v>
      </c>
      <c r="Y433" s="1">
        <v>3350000</v>
      </c>
      <c r="Z433" s="5">
        <v>43158</v>
      </c>
      <c r="AA433" s="1">
        <v>3200000</v>
      </c>
      <c r="AB433" s="1" t="s">
        <v>261</v>
      </c>
      <c r="AC433" s="5">
        <v>43214</v>
      </c>
      <c r="AF433" s="1">
        <v>10014</v>
      </c>
      <c r="AJ433" s="1">
        <v>2015</v>
      </c>
      <c r="AK433" s="1" t="s">
        <v>73</v>
      </c>
      <c r="AL433" s="1">
        <v>33</v>
      </c>
    </row>
    <row r="434" spans="1:38" x14ac:dyDescent="0.2">
      <c r="A434" s="2" t="str">
        <f>HYPERLINK("https://www.compass.com/listing/100-barrow-street-unit-4a-manhattan-ny-10014/34689535166133265/","100 Barrow St, Unit 4A")</f>
        <v>100 Barrow St, Unit 4A</v>
      </c>
      <c r="B434" s="2" t="str">
        <f t="shared" si="73"/>
        <v>100 Barrow</v>
      </c>
      <c r="C434" s="1" t="s">
        <v>71</v>
      </c>
      <c r="D434" s="1" t="s">
        <v>41</v>
      </c>
      <c r="E434" s="3">
        <v>3100000</v>
      </c>
      <c r="F434" s="1">
        <v>1715.5506364139401</v>
      </c>
      <c r="G434" s="1">
        <v>4</v>
      </c>
      <c r="H434" s="1">
        <v>2</v>
      </c>
      <c r="I434" s="1">
        <v>3</v>
      </c>
      <c r="J434" s="1">
        <v>2.5</v>
      </c>
      <c r="K434" s="1">
        <v>2</v>
      </c>
      <c r="L434" s="1">
        <v>1</v>
      </c>
      <c r="M434" s="4">
        <v>1807</v>
      </c>
      <c r="N434" s="1">
        <v>4860</v>
      </c>
      <c r="O434" s="1">
        <v>4860</v>
      </c>
      <c r="Q434" s="1" t="s">
        <v>169</v>
      </c>
      <c r="S434" s="1" t="s">
        <v>169</v>
      </c>
      <c r="T434" s="1" t="s">
        <v>170</v>
      </c>
      <c r="U434" s="1">
        <v>301</v>
      </c>
      <c r="V434" s="5">
        <v>43641</v>
      </c>
      <c r="W434" s="5">
        <v>43138</v>
      </c>
      <c r="X434" s="1">
        <v>3320000</v>
      </c>
      <c r="Y434" s="1">
        <v>3320000</v>
      </c>
      <c r="Z434" s="5">
        <v>43439</v>
      </c>
      <c r="AA434" s="1">
        <v>3100000</v>
      </c>
      <c r="AB434" s="1" t="s">
        <v>262</v>
      </c>
      <c r="AC434" s="5">
        <v>43454</v>
      </c>
      <c r="AF434" s="1">
        <v>10014</v>
      </c>
      <c r="AJ434" s="1">
        <v>2015</v>
      </c>
      <c r="AK434" s="1" t="s">
        <v>73</v>
      </c>
      <c r="AL434" s="1">
        <v>33</v>
      </c>
    </row>
    <row r="435" spans="1:38" x14ac:dyDescent="0.2">
      <c r="A435" s="2" t="str">
        <f>HYPERLINK("https://www.compass.com/listing/100-barrow-street-unit-5d-manhattan-ny-10014/4852288138606820609/","100 Barrow St, Unit 5D")</f>
        <v>100 Barrow St, Unit 5D</v>
      </c>
      <c r="B435" s="2" t="str">
        <f t="shared" si="73"/>
        <v>100 Barrow</v>
      </c>
      <c r="C435" s="1" t="s">
        <v>71</v>
      </c>
      <c r="D435" s="1" t="s">
        <v>41</v>
      </c>
      <c r="E435" s="3">
        <v>3372000</v>
      </c>
      <c r="F435" s="1">
        <v>1926.8571428571399</v>
      </c>
      <c r="G435" s="1">
        <v>4</v>
      </c>
      <c r="H435" s="1">
        <v>2</v>
      </c>
      <c r="I435" s="1">
        <v>3</v>
      </c>
      <c r="J435" s="1">
        <v>2.5</v>
      </c>
      <c r="M435" s="4">
        <v>1750</v>
      </c>
      <c r="N435" s="1">
        <v>4779</v>
      </c>
      <c r="O435" s="1">
        <v>4779</v>
      </c>
      <c r="Q435" s="1" t="s">
        <v>169</v>
      </c>
      <c r="S435" s="1" t="s">
        <v>169</v>
      </c>
      <c r="T435" s="1" t="s">
        <v>170</v>
      </c>
      <c r="U435" s="1">
        <v>16</v>
      </c>
      <c r="V435" s="5">
        <v>43641</v>
      </c>
      <c r="W435" s="5">
        <v>42872</v>
      </c>
      <c r="X435" s="1">
        <v>3372000</v>
      </c>
      <c r="Y435" s="1">
        <v>3372000</v>
      </c>
      <c r="Z435" s="5">
        <v>42888</v>
      </c>
      <c r="AA435" s="1">
        <v>3372000</v>
      </c>
      <c r="AB435" s="1" t="s">
        <v>263</v>
      </c>
      <c r="AC435" s="5">
        <v>43070</v>
      </c>
      <c r="AF435" s="1">
        <v>10014</v>
      </c>
      <c r="AJ435" s="1">
        <v>2015</v>
      </c>
      <c r="AK435" s="1" t="s">
        <v>73</v>
      </c>
      <c r="AL435" s="1">
        <v>33</v>
      </c>
    </row>
    <row r="436" spans="1:38" x14ac:dyDescent="0.2">
      <c r="A436" s="2" t="str">
        <f>HYPERLINK("https://www.compass.com/listing/100-barrow-street-unit-2a-manhattan-ny-10014/29367160707039361/","100 Barrow St, Unit 2A")</f>
        <v>100 Barrow St, Unit 2A</v>
      </c>
      <c r="B436" s="2" t="str">
        <f t="shared" si="73"/>
        <v>100 Barrow</v>
      </c>
      <c r="C436" s="1" t="s">
        <v>71</v>
      </c>
      <c r="D436" s="1" t="s">
        <v>41</v>
      </c>
      <c r="E436" s="3">
        <v>2900000</v>
      </c>
      <c r="F436" s="1">
        <v>1576.0869565217299</v>
      </c>
      <c r="G436" s="1">
        <v>3</v>
      </c>
      <c r="H436" s="1">
        <v>2</v>
      </c>
      <c r="I436" s="1">
        <v>3</v>
      </c>
      <c r="J436" s="1">
        <v>2.5</v>
      </c>
      <c r="M436" s="4">
        <v>1840</v>
      </c>
      <c r="N436" s="1">
        <v>4829</v>
      </c>
      <c r="O436" s="1">
        <v>4829</v>
      </c>
      <c r="Q436" s="1" t="s">
        <v>169</v>
      </c>
      <c r="S436" s="1" t="s">
        <v>169</v>
      </c>
      <c r="T436" s="1" t="s">
        <v>170</v>
      </c>
      <c r="U436" s="1">
        <v>324</v>
      </c>
      <c r="V436" s="5">
        <v>43623</v>
      </c>
      <c r="W436" s="5">
        <v>42872</v>
      </c>
      <c r="X436" s="1">
        <v>2978000</v>
      </c>
      <c r="Y436" s="1">
        <v>2978000</v>
      </c>
      <c r="Z436" s="5">
        <v>43196</v>
      </c>
      <c r="AA436" s="1">
        <v>2900000</v>
      </c>
      <c r="AB436" s="1" t="s">
        <v>264</v>
      </c>
      <c r="AC436" s="5">
        <v>43234</v>
      </c>
      <c r="AF436" s="1">
        <v>10014</v>
      </c>
      <c r="AJ436" s="1">
        <v>2015</v>
      </c>
      <c r="AK436" s="1" t="s">
        <v>73</v>
      </c>
      <c r="AL436" s="1">
        <v>33</v>
      </c>
    </row>
    <row r="437" spans="1:38" x14ac:dyDescent="0.2">
      <c r="A437" s="2" t="str">
        <f>HYPERLINK("https://www.compass.com/listing/100-barrow-street-unit-4c-manhattan-ny-10014/29367156898611281/","100 Barrow St, Unit 4C")</f>
        <v>100 Barrow St, Unit 4C</v>
      </c>
      <c r="B437" s="2" t="str">
        <f t="shared" si="73"/>
        <v>100 Barrow</v>
      </c>
      <c r="C437" s="1" t="s">
        <v>71</v>
      </c>
      <c r="D437" s="1" t="s">
        <v>41</v>
      </c>
      <c r="E437" s="3">
        <v>3598886</v>
      </c>
      <c r="F437" s="1">
        <v>1840.8624040920699</v>
      </c>
      <c r="G437" s="1">
        <v>4</v>
      </c>
      <c r="H437" s="1">
        <v>2</v>
      </c>
      <c r="I437" s="1">
        <v>3</v>
      </c>
      <c r="J437" s="1">
        <v>2.5</v>
      </c>
      <c r="M437" s="4">
        <v>1955</v>
      </c>
      <c r="N437" s="1">
        <v>5239</v>
      </c>
      <c r="O437" s="1">
        <v>5239</v>
      </c>
      <c r="Q437" s="1" t="s">
        <v>169</v>
      </c>
      <c r="S437" s="1" t="s">
        <v>169</v>
      </c>
      <c r="T437" s="1" t="s">
        <v>170</v>
      </c>
      <c r="U437" s="1">
        <v>60</v>
      </c>
      <c r="V437" s="5">
        <v>43623</v>
      </c>
      <c r="W437" s="5">
        <v>42915</v>
      </c>
      <c r="X437" s="1">
        <v>3588000</v>
      </c>
      <c r="Y437" s="1">
        <v>3588000</v>
      </c>
      <c r="Z437" s="5">
        <v>42975</v>
      </c>
      <c r="AA437" s="1">
        <v>3598886</v>
      </c>
      <c r="AB437" s="1" t="s">
        <v>265</v>
      </c>
      <c r="AC437" s="5">
        <v>43053</v>
      </c>
      <c r="AF437" s="1">
        <v>10014</v>
      </c>
      <c r="AJ437" s="1">
        <v>2015</v>
      </c>
      <c r="AK437" s="1" t="s">
        <v>73</v>
      </c>
      <c r="AL437" s="1">
        <v>33</v>
      </c>
    </row>
    <row r="438" spans="1:38" x14ac:dyDescent="0.2">
      <c r="A438" s="2" t="str">
        <f>HYPERLINK("https://www.compass.com/listing/100-barrow-street-unit-5c-manhattan-ny-10014/29367157301306385/","100 Barrow St, Unit 5C")</f>
        <v>100 Barrow St, Unit 5C</v>
      </c>
      <c r="B438" s="2" t="str">
        <f t="shared" si="73"/>
        <v>100 Barrow</v>
      </c>
      <c r="C438" s="1" t="s">
        <v>71</v>
      </c>
      <c r="D438" s="1" t="s">
        <v>41</v>
      </c>
      <c r="E438" s="3">
        <v>3575000</v>
      </c>
      <c r="F438" s="1">
        <v>1819.3384223918499</v>
      </c>
      <c r="G438" s="1">
        <v>4</v>
      </c>
      <c r="H438" s="1">
        <v>2</v>
      </c>
      <c r="I438" s="1">
        <v>3</v>
      </c>
      <c r="J438" s="1">
        <v>2.5</v>
      </c>
      <c r="M438" s="4">
        <v>1965</v>
      </c>
      <c r="N438" s="1">
        <v>5323</v>
      </c>
      <c r="O438" s="1">
        <v>5323</v>
      </c>
      <c r="Q438" s="1" t="s">
        <v>169</v>
      </c>
      <c r="S438" s="1" t="s">
        <v>169</v>
      </c>
      <c r="T438" s="1" t="s">
        <v>170</v>
      </c>
      <c r="U438" s="1">
        <v>45</v>
      </c>
      <c r="V438" s="5">
        <v>43623</v>
      </c>
      <c r="W438" s="5">
        <v>42975</v>
      </c>
      <c r="X438" s="1">
        <v>3649000</v>
      </c>
      <c r="Y438" s="1">
        <v>3649000</v>
      </c>
      <c r="Z438" s="5">
        <v>43020</v>
      </c>
      <c r="AA438" s="1">
        <v>3575000</v>
      </c>
      <c r="AB438" s="1" t="s">
        <v>266</v>
      </c>
      <c r="AC438" s="5">
        <v>43039</v>
      </c>
      <c r="AF438" s="1">
        <v>10014</v>
      </c>
      <c r="AJ438" s="1">
        <v>2015</v>
      </c>
      <c r="AK438" s="1" t="s">
        <v>73</v>
      </c>
      <c r="AL438" s="1">
        <v>33</v>
      </c>
    </row>
    <row r="439" spans="1:38" x14ac:dyDescent="0.2">
      <c r="A439" s="2" t="str">
        <f>HYPERLINK("https://www.compass.com/listing/100-barrow-street-unit-6c-manhattan-ny-10014/29367158215622753/","100 Barrow St, Unit 6C")</f>
        <v>100 Barrow St, Unit 6C</v>
      </c>
      <c r="B439" s="2" t="str">
        <f t="shared" si="73"/>
        <v>100 Barrow</v>
      </c>
      <c r="C439" s="1" t="s">
        <v>71</v>
      </c>
      <c r="D439" s="1" t="s">
        <v>41</v>
      </c>
      <c r="E439" s="3">
        <v>3693000</v>
      </c>
      <c r="F439" s="1">
        <v>1879.38931297709</v>
      </c>
      <c r="G439" s="1">
        <v>4</v>
      </c>
      <c r="H439" s="1">
        <v>2</v>
      </c>
      <c r="I439" s="1">
        <v>3</v>
      </c>
      <c r="J439" s="1">
        <v>2.5</v>
      </c>
      <c r="M439" s="4">
        <v>1965</v>
      </c>
      <c r="N439" s="1">
        <v>5381</v>
      </c>
      <c r="O439" s="1">
        <v>5381</v>
      </c>
      <c r="Q439" s="1" t="s">
        <v>169</v>
      </c>
      <c r="S439" s="1" t="s">
        <v>169</v>
      </c>
      <c r="T439" s="1" t="s">
        <v>170</v>
      </c>
      <c r="U439" s="1">
        <v>44</v>
      </c>
      <c r="V439" s="5">
        <v>43623</v>
      </c>
      <c r="W439" s="5">
        <v>42872</v>
      </c>
      <c r="X439" s="1">
        <v>3693000</v>
      </c>
      <c r="Y439" s="1">
        <v>3693000</v>
      </c>
      <c r="Z439" s="5">
        <v>42916</v>
      </c>
      <c r="AA439" s="1">
        <v>3693000</v>
      </c>
      <c r="AB439" s="1" t="s">
        <v>267</v>
      </c>
      <c r="AC439" s="5">
        <v>43053</v>
      </c>
      <c r="AF439" s="1">
        <v>10014</v>
      </c>
      <c r="AJ439" s="1">
        <v>2015</v>
      </c>
      <c r="AK439" s="1" t="s">
        <v>73</v>
      </c>
      <c r="AL439" s="1">
        <v>33</v>
      </c>
    </row>
    <row r="440" spans="1:38" x14ac:dyDescent="0.2">
      <c r="A440" s="2" t="str">
        <f>HYPERLINK("https://www.compass.com/listing/100-barrow-street-unit-3c-manhattan-ny-10014/29367159037751281/","100 Barrow St, Unit 3C")</f>
        <v>100 Barrow St, Unit 3C</v>
      </c>
      <c r="B440" s="2" t="str">
        <f t="shared" si="73"/>
        <v>100 Barrow</v>
      </c>
      <c r="C440" s="1" t="s">
        <v>71</v>
      </c>
      <c r="D440" s="1" t="s">
        <v>41</v>
      </c>
      <c r="E440" s="3">
        <v>3577000</v>
      </c>
      <c r="F440" s="1">
        <v>1829.66751918158</v>
      </c>
      <c r="G440" s="1">
        <v>4</v>
      </c>
      <c r="H440" s="1">
        <v>2</v>
      </c>
      <c r="I440" s="1">
        <v>3</v>
      </c>
      <c r="J440" s="1">
        <v>2.5</v>
      </c>
      <c r="M440" s="4">
        <v>1955</v>
      </c>
      <c r="N440" s="1">
        <v>5181</v>
      </c>
      <c r="O440" s="1">
        <v>5181</v>
      </c>
      <c r="Q440" s="1" t="s">
        <v>169</v>
      </c>
      <c r="S440" s="1" t="s">
        <v>169</v>
      </c>
      <c r="T440" s="1" t="s">
        <v>170</v>
      </c>
      <c r="U440" s="1">
        <v>23</v>
      </c>
      <c r="V440" s="5">
        <v>43694</v>
      </c>
      <c r="W440" s="5">
        <v>42962</v>
      </c>
      <c r="X440" s="1">
        <v>3577000</v>
      </c>
      <c r="Y440" s="1">
        <v>3577000</v>
      </c>
      <c r="Z440" s="5">
        <v>42985</v>
      </c>
      <c r="AA440" s="1">
        <v>3577000</v>
      </c>
      <c r="AB440" s="1" t="s">
        <v>268</v>
      </c>
      <c r="AC440" s="5">
        <v>43089</v>
      </c>
      <c r="AF440" s="1">
        <v>10014</v>
      </c>
      <c r="AJ440" s="1">
        <v>2015</v>
      </c>
      <c r="AK440" s="1" t="s">
        <v>73</v>
      </c>
      <c r="AL440" s="1">
        <v>33</v>
      </c>
    </row>
    <row r="441" spans="1:38" x14ac:dyDescent="0.2">
      <c r="A441" s="2" t="str">
        <f>HYPERLINK("https://www.compass.com/listing/100-barrow-street-unit-9a-manhattan-ny-10014/34689469718296129/","100 Barrow St, Unit 9A")</f>
        <v>100 Barrow St, Unit 9A</v>
      </c>
      <c r="B441" s="2" t="str">
        <f t="shared" si="73"/>
        <v>100 Barrow</v>
      </c>
      <c r="C441" s="1" t="s">
        <v>71</v>
      </c>
      <c r="D441" s="1" t="s">
        <v>41</v>
      </c>
      <c r="E441" s="3">
        <v>4100000</v>
      </c>
      <c r="F441" s="1">
        <v>2293.06487695749</v>
      </c>
      <c r="G441" s="1">
        <v>4</v>
      </c>
      <c r="H441" s="1">
        <v>2</v>
      </c>
      <c r="I441" s="1">
        <v>3</v>
      </c>
      <c r="J441" s="1">
        <v>2.5</v>
      </c>
      <c r="K441" s="1">
        <v>2</v>
      </c>
      <c r="L441" s="1">
        <v>1</v>
      </c>
      <c r="M441" s="4">
        <v>1788</v>
      </c>
      <c r="N441" s="1">
        <v>5102</v>
      </c>
      <c r="O441" s="1">
        <v>5102</v>
      </c>
      <c r="Q441" s="1" t="s">
        <v>169</v>
      </c>
      <c r="S441" s="1" t="s">
        <v>169</v>
      </c>
      <c r="T441" s="1" t="s">
        <v>170</v>
      </c>
      <c r="U441" s="1">
        <v>88</v>
      </c>
      <c r="V441" s="5">
        <v>43866</v>
      </c>
      <c r="W441" s="5">
        <v>43279</v>
      </c>
      <c r="X441" s="1">
        <v>4223990</v>
      </c>
      <c r="Y441" s="1">
        <v>4223990</v>
      </c>
      <c r="Z441" s="5">
        <v>43367</v>
      </c>
      <c r="AA441" s="1">
        <v>4100000</v>
      </c>
      <c r="AB441" s="1" t="s">
        <v>269</v>
      </c>
      <c r="AC441" s="5">
        <v>43403</v>
      </c>
      <c r="AF441" s="1">
        <v>10014</v>
      </c>
      <c r="AJ441" s="1">
        <v>2015</v>
      </c>
      <c r="AK441" s="1" t="s">
        <v>73</v>
      </c>
      <c r="AL441" s="1">
        <v>33</v>
      </c>
    </row>
    <row r="442" spans="1:38" x14ac:dyDescent="0.2">
      <c r="A442" s="2" t="str">
        <f>HYPERLINK("https://www.compass.com/listing/100-barrow-street-unit-10a-manhattan-ny-10014/34689503222426241/","100 Barrow St, Unit 10A")</f>
        <v>100 Barrow St, Unit 10A</v>
      </c>
      <c r="B442" s="2" t="str">
        <f t="shared" si="73"/>
        <v>100 Barrow</v>
      </c>
      <c r="C442" s="1" t="s">
        <v>71</v>
      </c>
      <c r="D442" s="1" t="s">
        <v>41</v>
      </c>
      <c r="E442" s="3">
        <v>4150000</v>
      </c>
      <c r="F442" s="1">
        <v>2332.7712197863898</v>
      </c>
      <c r="G442" s="1">
        <v>4</v>
      </c>
      <c r="H442" s="1">
        <v>2</v>
      </c>
      <c r="I442" s="1">
        <v>3</v>
      </c>
      <c r="J442" s="1">
        <v>2.5</v>
      </c>
      <c r="K442" s="1">
        <v>2</v>
      </c>
      <c r="L442" s="1">
        <v>1</v>
      </c>
      <c r="M442" s="4">
        <v>1779</v>
      </c>
      <c r="N442" s="1">
        <v>5137</v>
      </c>
      <c r="O442" s="1">
        <v>5137</v>
      </c>
      <c r="Q442" s="1" t="s">
        <v>169</v>
      </c>
      <c r="S442" s="1" t="s">
        <v>169</v>
      </c>
      <c r="T442" s="1" t="s">
        <v>170</v>
      </c>
      <c r="U442" s="1">
        <v>41</v>
      </c>
      <c r="V442" s="5">
        <v>43866</v>
      </c>
      <c r="W442" s="5">
        <v>43238</v>
      </c>
      <c r="X442" s="1">
        <v>4259190</v>
      </c>
      <c r="Y442" s="1">
        <v>4259190</v>
      </c>
      <c r="Z442" s="5">
        <v>43279</v>
      </c>
      <c r="AA442" s="1">
        <v>4150000</v>
      </c>
      <c r="AB442" s="1" t="s">
        <v>270</v>
      </c>
      <c r="AC442" s="5">
        <v>43312</v>
      </c>
      <c r="AF442" s="1">
        <v>10014</v>
      </c>
      <c r="AJ442" s="1">
        <v>2015</v>
      </c>
      <c r="AK442" s="1" t="s">
        <v>73</v>
      </c>
      <c r="AL442" s="1">
        <v>33</v>
      </c>
    </row>
    <row r="443" spans="1:38" x14ac:dyDescent="0.2">
      <c r="A443" s="2" t="str">
        <f>HYPERLINK("https://www.compass.com/listing/100-barrow-street-unit-10a-manhattan-ny-10014/783387878359823217/","100 Barrow St, Unit 10A")</f>
        <v>100 Barrow St, Unit 10A</v>
      </c>
      <c r="B443" s="2" t="str">
        <f t="shared" si="73"/>
        <v>100 Barrow</v>
      </c>
      <c r="C443" s="1" t="s">
        <v>71</v>
      </c>
      <c r="D443" s="1" t="s">
        <v>41</v>
      </c>
      <c r="E443" s="3">
        <v>4150000</v>
      </c>
      <c r="F443" s="1">
        <v>2332.7712197863898</v>
      </c>
      <c r="G443" s="1">
        <v>4</v>
      </c>
      <c r="H443" s="1">
        <v>2</v>
      </c>
      <c r="I443" s="1">
        <v>3</v>
      </c>
      <c r="J443" s="1">
        <v>2.5</v>
      </c>
      <c r="M443" s="4">
        <v>1779</v>
      </c>
      <c r="N443" s="1">
        <v>5137</v>
      </c>
      <c r="O443" s="1">
        <v>5137</v>
      </c>
      <c r="Q443" s="1" t="s">
        <v>169</v>
      </c>
      <c r="S443" s="1" t="s">
        <v>169</v>
      </c>
      <c r="T443" s="1" t="s">
        <v>170</v>
      </c>
      <c r="U443" s="1">
        <v>41</v>
      </c>
      <c r="V443" s="5">
        <v>43300</v>
      </c>
      <c r="W443" s="5">
        <v>43237</v>
      </c>
      <c r="X443" s="1">
        <v>4259190</v>
      </c>
      <c r="Y443" s="1">
        <v>4259190</v>
      </c>
      <c r="Z443" s="5">
        <v>43279</v>
      </c>
      <c r="AA443" s="1">
        <v>4150000</v>
      </c>
      <c r="AB443" s="1" t="s">
        <v>270</v>
      </c>
      <c r="AC443" s="5">
        <v>43312</v>
      </c>
      <c r="AF443" s="1">
        <v>10014</v>
      </c>
      <c r="AJ443" s="1">
        <v>2015</v>
      </c>
      <c r="AK443" s="1" t="s">
        <v>73</v>
      </c>
      <c r="AL443" s="1">
        <v>33</v>
      </c>
    </row>
    <row r="444" spans="1:38" x14ac:dyDescent="0.2">
      <c r="A444" s="2" t="str">
        <f>HYPERLINK("https://www.compass.com/listing/100-barrow-street-unit-9a-manhattan-ny-10014/803314613067778313/","100 Barrow St, Unit 9A")</f>
        <v>100 Barrow St, Unit 9A</v>
      </c>
      <c r="B444" s="2" t="str">
        <f t="shared" si="73"/>
        <v>100 Barrow</v>
      </c>
      <c r="C444" s="1" t="s">
        <v>71</v>
      </c>
      <c r="D444" s="1" t="s">
        <v>41</v>
      </c>
      <c r="E444" s="3">
        <v>4100000</v>
      </c>
      <c r="F444" s="1">
        <v>2293.06487695749</v>
      </c>
      <c r="G444" s="1">
        <v>3</v>
      </c>
      <c r="H444" s="1">
        <v>2</v>
      </c>
      <c r="I444" s="1">
        <v>3</v>
      </c>
      <c r="J444" s="1">
        <v>2.5</v>
      </c>
      <c r="M444" s="4">
        <v>1788</v>
      </c>
      <c r="N444" s="1">
        <v>5102</v>
      </c>
      <c r="O444" s="1">
        <v>5102</v>
      </c>
      <c r="Q444" s="1" t="s">
        <v>169</v>
      </c>
      <c r="S444" s="1" t="s">
        <v>169</v>
      </c>
      <c r="T444" s="1" t="s">
        <v>170</v>
      </c>
      <c r="U444" s="1">
        <v>470</v>
      </c>
      <c r="V444" s="5">
        <v>43300</v>
      </c>
      <c r="W444" s="5">
        <v>42789</v>
      </c>
      <c r="X444" s="1">
        <v>4799990</v>
      </c>
      <c r="Y444" s="1">
        <v>4799990</v>
      </c>
      <c r="AA444" s="1">
        <v>4100000</v>
      </c>
      <c r="AB444" s="1" t="s">
        <v>269</v>
      </c>
      <c r="AC444" s="5">
        <v>43403</v>
      </c>
      <c r="AF444" s="1">
        <v>10014</v>
      </c>
      <c r="AJ444" s="1">
        <v>2015</v>
      </c>
      <c r="AK444" s="1" t="s">
        <v>73</v>
      </c>
      <c r="AL444" s="1">
        <v>33</v>
      </c>
    </row>
    <row r="445" spans="1:38" x14ac:dyDescent="0.2">
      <c r="A445" s="2" t="str">
        <f>HYPERLINK("https://www.compass.com/listing/100-barrow-street-unit-3d-manhattan-ny-10014/29367156017849345/","100 Barrow St, Unit 3D")</f>
        <v>100 Barrow St, Unit 3D</v>
      </c>
      <c r="B445" s="2" t="str">
        <f t="shared" si="73"/>
        <v>100 Barrow</v>
      </c>
      <c r="C445" s="1" t="s">
        <v>71</v>
      </c>
      <c r="D445" s="1" t="s">
        <v>41</v>
      </c>
      <c r="E445" s="3">
        <v>3050000</v>
      </c>
      <c r="F445" s="1">
        <v>1863.16432498472</v>
      </c>
      <c r="G445" s="1">
        <v>4</v>
      </c>
      <c r="H445" s="1">
        <v>2</v>
      </c>
      <c r="I445" s="1">
        <v>3</v>
      </c>
      <c r="J445" s="1">
        <v>3</v>
      </c>
      <c r="M445" s="4">
        <v>1637</v>
      </c>
      <c r="N445" s="1">
        <v>4397</v>
      </c>
      <c r="O445" s="1">
        <v>4397</v>
      </c>
      <c r="Q445" s="1" t="s">
        <v>169</v>
      </c>
      <c r="S445" s="1" t="s">
        <v>169</v>
      </c>
      <c r="T445" s="1" t="s">
        <v>170</v>
      </c>
      <c r="U445" s="1">
        <v>228</v>
      </c>
      <c r="V445" s="5">
        <v>43623</v>
      </c>
      <c r="W445" s="5">
        <v>42910</v>
      </c>
      <c r="X445" s="1">
        <v>3140000</v>
      </c>
      <c r="Y445" s="1">
        <v>3140000</v>
      </c>
      <c r="Z445" s="5">
        <v>43138</v>
      </c>
      <c r="AA445" s="1">
        <v>3050000</v>
      </c>
      <c r="AB445" s="1" t="s">
        <v>271</v>
      </c>
      <c r="AC445" s="5">
        <v>43237</v>
      </c>
      <c r="AF445" s="1">
        <v>10014</v>
      </c>
      <c r="AI445" s="1" t="s">
        <v>57</v>
      </c>
      <c r="AJ445" s="1">
        <v>2015</v>
      </c>
      <c r="AK445" s="1" t="s">
        <v>73</v>
      </c>
      <c r="AL445" s="1">
        <v>33</v>
      </c>
    </row>
    <row r="446" spans="1:38" x14ac:dyDescent="0.2">
      <c r="A446" s="2" t="str">
        <f>HYPERLINK("https://www.compass.com/listing/30-park-place-unit-39j-manhattan-ny-10007/775551705452595081/","30 Park Pl, Unit 39J")</f>
        <v>30 Park Pl, Unit 39J</v>
      </c>
      <c r="B446" s="2" t="str">
        <f>HYPERLINK("https://www.compass.com/building/30-park-pl-manhattan-ny-10007/281896912905317605/","30 Park Pl")</f>
        <v>30 Park Pl</v>
      </c>
      <c r="C446" s="1" t="s">
        <v>40</v>
      </c>
      <c r="D446" s="1" t="s">
        <v>41</v>
      </c>
      <c r="E446" s="3">
        <v>2875000</v>
      </c>
      <c r="F446" s="1">
        <v>2213.2409545804398</v>
      </c>
      <c r="G446" s="1">
        <v>4</v>
      </c>
      <c r="H446" s="1">
        <v>2</v>
      </c>
      <c r="I446" s="1">
        <v>2</v>
      </c>
      <c r="J446" s="1">
        <v>2</v>
      </c>
      <c r="K446" s="1">
        <v>2</v>
      </c>
      <c r="M446" s="4">
        <v>1299</v>
      </c>
      <c r="N446" s="1">
        <v>1102</v>
      </c>
      <c r="O446" s="1">
        <v>3804</v>
      </c>
      <c r="P446" s="1">
        <v>2702</v>
      </c>
      <c r="Q446" s="1" t="s">
        <v>42</v>
      </c>
      <c r="S446" s="1" t="s">
        <v>42</v>
      </c>
      <c r="T446" s="1" t="s">
        <v>170</v>
      </c>
      <c r="U446" s="1">
        <v>50</v>
      </c>
      <c r="V446" s="5">
        <v>44406</v>
      </c>
      <c r="W446" s="5">
        <v>44321</v>
      </c>
      <c r="X446" s="1">
        <v>2900000</v>
      </c>
      <c r="Y446" s="1">
        <v>2900000</v>
      </c>
      <c r="Z446" s="5">
        <v>44372</v>
      </c>
      <c r="AA446" s="1">
        <v>2875000</v>
      </c>
      <c r="AB446" s="1" t="s">
        <v>181</v>
      </c>
      <c r="AC446" s="5">
        <v>44404</v>
      </c>
      <c r="AF446" s="1">
        <v>10007</v>
      </c>
      <c r="AI446" s="1" t="s">
        <v>84</v>
      </c>
      <c r="AJ446" s="1">
        <v>2016</v>
      </c>
      <c r="AK446" s="1" t="s">
        <v>73</v>
      </c>
      <c r="AL446" s="1">
        <v>157</v>
      </c>
    </row>
    <row r="447" spans="1:38" x14ac:dyDescent="0.2">
      <c r="A447" s="2" t="str">
        <f>HYPERLINK("https://www.compass.com/listing/100-barrow-street-unit-4b-manhattan-ny-10014/29367158618317857/","100 Barrow St, Unit 4B")</f>
        <v>100 Barrow St, Unit 4B</v>
      </c>
      <c r="B447" s="2" t="str">
        <f t="shared" ref="B447:B449" si="74">HYPERLINK("https://www.compass.com/building/100-barrow-manhattan-ny/292834978184618837/","100 Barrow")</f>
        <v>100 Barrow</v>
      </c>
      <c r="C447" s="1" t="s">
        <v>71</v>
      </c>
      <c r="D447" s="1" t="s">
        <v>41</v>
      </c>
      <c r="E447" s="3">
        <v>4382625</v>
      </c>
      <c r="F447" s="1">
        <v>1814.75155279503</v>
      </c>
      <c r="G447" s="1">
        <v>5</v>
      </c>
      <c r="H447" s="1">
        <v>3</v>
      </c>
      <c r="I447" s="1">
        <v>4</v>
      </c>
      <c r="J447" s="1">
        <v>3.5</v>
      </c>
      <c r="M447" s="4">
        <v>2415</v>
      </c>
      <c r="N447" s="1">
        <v>6417</v>
      </c>
      <c r="O447" s="1">
        <v>6417</v>
      </c>
      <c r="Q447" s="1" t="s">
        <v>169</v>
      </c>
      <c r="S447" s="1" t="s">
        <v>169</v>
      </c>
      <c r="T447" s="1" t="s">
        <v>170</v>
      </c>
      <c r="U447" s="1">
        <v>24</v>
      </c>
      <c r="V447" s="5">
        <v>43649</v>
      </c>
      <c r="W447" s="5">
        <v>43119</v>
      </c>
      <c r="X447" s="1">
        <v>5700990</v>
      </c>
      <c r="Y447" s="1">
        <v>4495000</v>
      </c>
      <c r="Z447" s="5">
        <v>43143</v>
      </c>
      <c r="AA447" s="1">
        <v>4382625</v>
      </c>
      <c r="AB447" s="1" t="s">
        <v>272</v>
      </c>
      <c r="AC447" s="5">
        <v>43179</v>
      </c>
      <c r="AF447" s="1">
        <v>10014</v>
      </c>
      <c r="AJ447" s="1">
        <v>2015</v>
      </c>
      <c r="AK447" s="1" t="s">
        <v>73</v>
      </c>
      <c r="AL447" s="1">
        <v>33</v>
      </c>
    </row>
    <row r="448" spans="1:38" x14ac:dyDescent="0.2">
      <c r="A448" s="2" t="str">
        <f>HYPERLINK("https://www.compass.com/listing/100-barrow-street-unit-3b-manhattan-ny-10014/29367160228933633/","100 Barrow St, Unit 3B")</f>
        <v>100 Barrow St, Unit 3B</v>
      </c>
      <c r="B448" s="2" t="str">
        <f t="shared" si="74"/>
        <v>100 Barrow</v>
      </c>
      <c r="C448" s="1" t="s">
        <v>71</v>
      </c>
      <c r="D448" s="1" t="s">
        <v>41</v>
      </c>
      <c r="E448" s="3">
        <v>4367000</v>
      </c>
      <c r="F448" s="1">
        <v>1808.2815734989599</v>
      </c>
      <c r="G448" s="1">
        <v>5</v>
      </c>
      <c r="H448" s="1">
        <v>3</v>
      </c>
      <c r="I448" s="1">
        <v>4</v>
      </c>
      <c r="J448" s="1">
        <v>3.5</v>
      </c>
      <c r="M448" s="4">
        <v>2415</v>
      </c>
      <c r="N448" s="1">
        <v>6359</v>
      </c>
      <c r="O448" s="1">
        <v>6359</v>
      </c>
      <c r="Q448" s="1" t="s">
        <v>169</v>
      </c>
      <c r="S448" s="1" t="s">
        <v>169</v>
      </c>
      <c r="T448" s="1" t="s">
        <v>170</v>
      </c>
      <c r="U448" s="1">
        <v>155</v>
      </c>
      <c r="V448" s="5">
        <v>43638</v>
      </c>
      <c r="W448" s="5">
        <v>42990</v>
      </c>
      <c r="X448" s="1">
        <v>4467000</v>
      </c>
      <c r="Y448" s="1">
        <v>4467000</v>
      </c>
      <c r="Z448" s="5">
        <v>43145</v>
      </c>
      <c r="AA448" s="1">
        <v>4367000</v>
      </c>
      <c r="AB448" s="1" t="s">
        <v>273</v>
      </c>
      <c r="AC448" s="5">
        <v>43187</v>
      </c>
      <c r="AF448" s="1">
        <v>10014</v>
      </c>
      <c r="AJ448" s="1">
        <v>2015</v>
      </c>
      <c r="AK448" s="1" t="s">
        <v>73</v>
      </c>
      <c r="AL448" s="1">
        <v>33</v>
      </c>
    </row>
    <row r="449" spans="1:38" x14ac:dyDescent="0.2">
      <c r="A449" s="2" t="str">
        <f>HYPERLINK("https://www.compass.com/listing/100-barrow-street-unit-5b-manhattan-ny-10014/29367162535800865/","100 Barrow St, Unit 5B")</f>
        <v>100 Barrow St, Unit 5B</v>
      </c>
      <c r="B449" s="2" t="str">
        <f t="shared" si="74"/>
        <v>100 Barrow</v>
      </c>
      <c r="C449" s="1" t="s">
        <v>71</v>
      </c>
      <c r="D449" s="1" t="s">
        <v>41</v>
      </c>
      <c r="E449" s="3">
        <v>4400000</v>
      </c>
      <c r="F449" s="1">
        <v>1821.94616977225</v>
      </c>
      <c r="G449" s="1">
        <v>5</v>
      </c>
      <c r="H449" s="1">
        <v>3</v>
      </c>
      <c r="I449" s="1">
        <v>4</v>
      </c>
      <c r="J449" s="1">
        <v>3.5</v>
      </c>
      <c r="M449" s="4">
        <v>2415</v>
      </c>
      <c r="N449" s="1">
        <v>6475</v>
      </c>
      <c r="O449" s="1">
        <v>6475</v>
      </c>
      <c r="Q449" s="1" t="s">
        <v>169</v>
      </c>
      <c r="S449" s="1" t="s">
        <v>169</v>
      </c>
      <c r="T449" s="1" t="s">
        <v>170</v>
      </c>
      <c r="U449" s="1">
        <v>244</v>
      </c>
      <c r="V449" s="5">
        <v>43626</v>
      </c>
      <c r="W449" s="5">
        <v>42873</v>
      </c>
      <c r="X449" s="1">
        <v>4521000</v>
      </c>
      <c r="Y449" s="1">
        <v>4521000</v>
      </c>
      <c r="Z449" s="5">
        <v>43117</v>
      </c>
      <c r="AA449" s="1">
        <v>4400000</v>
      </c>
      <c r="AB449" s="1" t="s">
        <v>274</v>
      </c>
      <c r="AC449" s="5">
        <v>43167</v>
      </c>
      <c r="AF449" s="1">
        <v>10014</v>
      </c>
      <c r="AJ449" s="1">
        <v>2015</v>
      </c>
      <c r="AK449" s="1" t="s">
        <v>73</v>
      </c>
      <c r="AL449" s="1">
        <v>33</v>
      </c>
    </row>
    <row r="450" spans="1:38" x14ac:dyDescent="0.2">
      <c r="A450" s="2" t="str">
        <f>HYPERLINK("https://www.compass.com/listing/211-west-14th-street-unit-4c-manhattan-ny-10011/29514440353253745/","211 W 14th St, Unit 4C")</f>
        <v>211 W 14th St, Unit 4C</v>
      </c>
      <c r="B450" s="2" t="str">
        <f t="shared" ref="B450:B454" si="75">HYPERLINK("https://www.compass.com/building/dorsay-manhattan-ny/292801633543285477/","d'Orsay")</f>
        <v>d'Orsay</v>
      </c>
      <c r="C450" s="1" t="s">
        <v>99</v>
      </c>
      <c r="D450" s="1" t="s">
        <v>41</v>
      </c>
      <c r="E450" s="3">
        <v>1723593</v>
      </c>
      <c r="F450" s="1">
        <v>2417.3814866760099</v>
      </c>
      <c r="G450" s="1">
        <v>3</v>
      </c>
      <c r="H450" s="1">
        <v>1</v>
      </c>
      <c r="I450" s="1">
        <v>1</v>
      </c>
      <c r="J450" s="1">
        <v>1</v>
      </c>
      <c r="K450" s="1">
        <v>1</v>
      </c>
      <c r="M450" s="1">
        <v>713</v>
      </c>
      <c r="N450" s="1">
        <v>1420</v>
      </c>
      <c r="O450" s="1">
        <v>2066</v>
      </c>
      <c r="P450" s="1">
        <v>646</v>
      </c>
      <c r="Q450" s="1" t="s">
        <v>42</v>
      </c>
      <c r="S450" s="1" t="s">
        <v>42</v>
      </c>
      <c r="T450" s="1" t="s">
        <v>170</v>
      </c>
      <c r="V450" s="5">
        <v>43678</v>
      </c>
      <c r="W450" s="5">
        <v>43004</v>
      </c>
      <c r="X450" s="1">
        <v>1695000</v>
      </c>
      <c r="Y450" s="1">
        <v>1695000</v>
      </c>
      <c r="Z450" s="5">
        <v>43004</v>
      </c>
      <c r="AA450" s="1">
        <v>1723593</v>
      </c>
      <c r="AB450" s="1" t="s">
        <v>275</v>
      </c>
      <c r="AC450" s="5">
        <v>43281</v>
      </c>
      <c r="AF450" s="1">
        <v>10011</v>
      </c>
      <c r="AI450" s="1" t="s">
        <v>52</v>
      </c>
      <c r="AJ450" s="1">
        <v>2018</v>
      </c>
      <c r="AK450" s="1" t="s">
        <v>73</v>
      </c>
      <c r="AL450" s="1">
        <v>21</v>
      </c>
    </row>
    <row r="451" spans="1:38" x14ac:dyDescent="0.2">
      <c r="A451" s="2" t="str">
        <f>HYPERLINK("https://www.compass.com/listing/211-west-14th-street-unit-3c-manhattan-ny-10011/29514444329454065/","211 W 14th St, Unit 3C")</f>
        <v>211 W 14th St, Unit 3C</v>
      </c>
      <c r="B451" s="2" t="str">
        <f t="shared" si="75"/>
        <v>d'Orsay</v>
      </c>
      <c r="C451" s="1" t="s">
        <v>99</v>
      </c>
      <c r="D451" s="1" t="s">
        <v>41</v>
      </c>
      <c r="E451" s="3">
        <v>1705568</v>
      </c>
      <c r="F451" s="1">
        <v>2392.1009817671802</v>
      </c>
      <c r="G451" s="1">
        <v>3</v>
      </c>
      <c r="H451" s="1">
        <v>1</v>
      </c>
      <c r="I451" s="1">
        <v>1</v>
      </c>
      <c r="J451" s="1">
        <v>1</v>
      </c>
      <c r="K451" s="1">
        <v>1</v>
      </c>
      <c r="M451" s="1">
        <v>713</v>
      </c>
      <c r="N451" s="1">
        <v>1413</v>
      </c>
      <c r="O451" s="1">
        <v>2055</v>
      </c>
      <c r="P451" s="1">
        <v>642</v>
      </c>
      <c r="Q451" s="1" t="s">
        <v>42</v>
      </c>
      <c r="S451" s="1" t="s">
        <v>42</v>
      </c>
      <c r="T451" s="1" t="s">
        <v>170</v>
      </c>
      <c r="U451" s="1">
        <v>363</v>
      </c>
      <c r="V451" s="5">
        <v>43678</v>
      </c>
      <c r="W451" s="5">
        <v>42679</v>
      </c>
      <c r="X451" s="1">
        <v>1675000</v>
      </c>
      <c r="Y451" s="1">
        <v>1695000</v>
      </c>
      <c r="Z451" s="5">
        <v>43042</v>
      </c>
      <c r="AA451" s="1">
        <v>1705568</v>
      </c>
      <c r="AB451" s="1" t="s">
        <v>276</v>
      </c>
      <c r="AC451" s="5">
        <v>43300</v>
      </c>
      <c r="AF451" s="1">
        <v>10011</v>
      </c>
      <c r="AI451" s="1" t="s">
        <v>95</v>
      </c>
      <c r="AJ451" s="1">
        <v>2018</v>
      </c>
      <c r="AK451" s="1" t="s">
        <v>73</v>
      </c>
      <c r="AL451" s="1">
        <v>21</v>
      </c>
    </row>
    <row r="452" spans="1:38" x14ac:dyDescent="0.2">
      <c r="A452" s="2" t="str">
        <f>HYPERLINK("https://www.compass.com/listing/211-west-14th-street-unit-4c-manhattan-ny-10011/803359848066552897/","211 W 14th St, Unit 4C")</f>
        <v>211 W 14th St, Unit 4C</v>
      </c>
      <c r="B452" s="2" t="str">
        <f t="shared" si="75"/>
        <v>d'Orsay</v>
      </c>
      <c r="C452" s="1" t="s">
        <v>99</v>
      </c>
      <c r="D452" s="1" t="s">
        <v>41</v>
      </c>
      <c r="E452" s="3">
        <v>1723593</v>
      </c>
      <c r="F452" s="1">
        <v>2417.3807854137399</v>
      </c>
      <c r="G452" s="1">
        <v>3</v>
      </c>
      <c r="H452" s="1">
        <v>1</v>
      </c>
      <c r="I452" s="1">
        <v>1</v>
      </c>
      <c r="J452" s="1">
        <v>1</v>
      </c>
      <c r="M452" s="1">
        <v>713</v>
      </c>
      <c r="N452" s="1">
        <v>1420</v>
      </c>
      <c r="O452" s="1">
        <v>1972</v>
      </c>
      <c r="P452" s="1">
        <v>552</v>
      </c>
      <c r="Q452" s="1" t="s">
        <v>42</v>
      </c>
      <c r="S452" s="1" t="s">
        <v>42</v>
      </c>
      <c r="T452" s="1" t="s">
        <v>170</v>
      </c>
      <c r="V452" s="5">
        <v>43173</v>
      </c>
      <c r="W452" s="5">
        <v>43005</v>
      </c>
      <c r="X452" s="1">
        <v>1690000</v>
      </c>
      <c r="Y452" s="1">
        <v>1695000</v>
      </c>
      <c r="Z452" s="5">
        <v>43005</v>
      </c>
      <c r="AA452" s="1">
        <v>1723592.5</v>
      </c>
      <c r="AB452" s="1" t="s">
        <v>275</v>
      </c>
      <c r="AC452" s="5">
        <v>43280</v>
      </c>
      <c r="AF452" s="1">
        <v>10011</v>
      </c>
      <c r="AI452" s="1" t="s">
        <v>53</v>
      </c>
      <c r="AJ452" s="1">
        <v>2018</v>
      </c>
      <c r="AK452" s="1" t="s">
        <v>73</v>
      </c>
      <c r="AL452" s="1">
        <v>21</v>
      </c>
    </row>
    <row r="453" spans="1:38" x14ac:dyDescent="0.2">
      <c r="A453" s="2" t="str">
        <f>HYPERLINK("https://www.compass.com/listing/211-west-14th-street-unit-4a-manhattan-ny-10011/29514442962187361/","211 W 14th St, Unit 4A")</f>
        <v>211 W 14th St, Unit 4A</v>
      </c>
      <c r="B453" s="2" t="str">
        <f t="shared" si="75"/>
        <v>d'Orsay</v>
      </c>
      <c r="C453" s="1" t="s">
        <v>99</v>
      </c>
      <c r="D453" s="1" t="s">
        <v>41</v>
      </c>
      <c r="E453" s="3">
        <v>1937425</v>
      </c>
      <c r="F453" s="1">
        <v>2069.8985042734998</v>
      </c>
      <c r="G453" s="1">
        <v>3</v>
      </c>
      <c r="H453" s="1">
        <v>1</v>
      </c>
      <c r="I453" s="1">
        <v>1</v>
      </c>
      <c r="J453" s="1">
        <v>1</v>
      </c>
      <c r="K453" s="1">
        <v>1</v>
      </c>
      <c r="M453" s="1">
        <v>936</v>
      </c>
      <c r="N453" s="1">
        <v>1857</v>
      </c>
      <c r="O453" s="1">
        <v>2701</v>
      </c>
      <c r="P453" s="1">
        <v>844</v>
      </c>
      <c r="Q453" s="1" t="s">
        <v>42</v>
      </c>
      <c r="S453" s="1" t="s">
        <v>42</v>
      </c>
      <c r="T453" s="1" t="s">
        <v>170</v>
      </c>
      <c r="V453" s="5">
        <v>43678</v>
      </c>
      <c r="W453" s="5">
        <v>42696</v>
      </c>
      <c r="X453" s="1">
        <v>2000000</v>
      </c>
      <c r="Y453" s="1">
        <v>2000000</v>
      </c>
      <c r="Z453" s="5">
        <v>42696</v>
      </c>
      <c r="AA453" s="1">
        <v>1937425</v>
      </c>
      <c r="AB453" s="1" t="s">
        <v>277</v>
      </c>
      <c r="AC453" s="5">
        <v>43278</v>
      </c>
      <c r="AF453" s="1">
        <v>10011</v>
      </c>
      <c r="AI453" s="1" t="s">
        <v>95</v>
      </c>
      <c r="AJ453" s="1">
        <v>2018</v>
      </c>
      <c r="AK453" s="1" t="s">
        <v>73</v>
      </c>
      <c r="AL453" s="1">
        <v>21</v>
      </c>
    </row>
    <row r="454" spans="1:38" x14ac:dyDescent="0.2">
      <c r="A454" s="2" t="str">
        <f>HYPERLINK("https://www.compass.com/listing/211-west-14th-street-unit-4a-manhattan-ny-10011/803369227318659529/","211 W 14th St, Unit 4A")</f>
        <v>211 W 14th St, Unit 4A</v>
      </c>
      <c r="B454" s="2" t="str">
        <f t="shared" si="75"/>
        <v>d'Orsay</v>
      </c>
      <c r="C454" s="1" t="s">
        <v>99</v>
      </c>
      <c r="D454" s="1" t="s">
        <v>41</v>
      </c>
      <c r="E454" s="3">
        <v>1937425</v>
      </c>
      <c r="F454" s="1">
        <v>2069.8985042734998</v>
      </c>
      <c r="G454" s="1">
        <v>3</v>
      </c>
      <c r="H454" s="1">
        <v>1</v>
      </c>
      <c r="I454" s="1">
        <v>1</v>
      </c>
      <c r="J454" s="1">
        <v>1</v>
      </c>
      <c r="M454" s="1">
        <v>936</v>
      </c>
      <c r="N454" s="1">
        <v>1856</v>
      </c>
      <c r="O454" s="1">
        <v>2577</v>
      </c>
      <c r="P454" s="1">
        <v>721</v>
      </c>
      <c r="Q454" s="1" t="s">
        <v>42</v>
      </c>
      <c r="S454" s="1" t="s">
        <v>42</v>
      </c>
      <c r="T454" s="1" t="s">
        <v>170</v>
      </c>
      <c r="V454" s="5">
        <v>43173</v>
      </c>
      <c r="W454" s="5">
        <v>42695</v>
      </c>
      <c r="X454" s="1">
        <v>2000000</v>
      </c>
      <c r="Y454" s="1">
        <v>2000000</v>
      </c>
      <c r="Z454" s="5">
        <v>42696</v>
      </c>
      <c r="AA454" s="1">
        <v>1937425</v>
      </c>
      <c r="AB454" s="1" t="s">
        <v>277</v>
      </c>
      <c r="AC454" s="5">
        <v>43278</v>
      </c>
      <c r="AF454" s="1">
        <v>10011</v>
      </c>
      <c r="AI454" s="1" t="s">
        <v>53</v>
      </c>
      <c r="AJ454" s="1">
        <v>2018</v>
      </c>
      <c r="AK454" s="1" t="s">
        <v>73</v>
      </c>
      <c r="AL454" s="1">
        <v>21</v>
      </c>
    </row>
    <row r="455" spans="1:38" x14ac:dyDescent="0.2">
      <c r="A455" s="2" t="str">
        <f>HYPERLINK("https://www.compass.com/listing/100-barrow-street-unit-4c-manhattan-ny-10014/334755141337193921/","100 Barrow St, Unit 4C")</f>
        <v>100 Barrow St, Unit 4C</v>
      </c>
      <c r="B455" s="2" t="str">
        <f>HYPERLINK("https://www.compass.com/building/100-barrow-manhattan-ny/292834978184618837/","100 Barrow")</f>
        <v>100 Barrow</v>
      </c>
      <c r="C455" s="1" t="s">
        <v>71</v>
      </c>
      <c r="D455" s="1" t="s">
        <v>41</v>
      </c>
      <c r="E455" s="3">
        <v>3362500</v>
      </c>
      <c r="F455" s="1">
        <v>1719.9488491048501</v>
      </c>
      <c r="G455" s="1">
        <v>6</v>
      </c>
      <c r="H455" s="1">
        <v>2</v>
      </c>
      <c r="I455" s="1">
        <v>3</v>
      </c>
      <c r="J455" s="1">
        <v>2.5</v>
      </c>
      <c r="K455" s="1">
        <v>2</v>
      </c>
      <c r="L455" s="1">
        <v>1</v>
      </c>
      <c r="M455" s="4">
        <v>1955</v>
      </c>
      <c r="N455" s="1">
        <v>5344</v>
      </c>
      <c r="O455" s="1">
        <v>5344</v>
      </c>
      <c r="Q455" s="1" t="s">
        <v>169</v>
      </c>
      <c r="S455" s="1" t="s">
        <v>278</v>
      </c>
      <c r="T455" s="1" t="s">
        <v>170</v>
      </c>
      <c r="U455" s="1">
        <v>167</v>
      </c>
      <c r="V455" s="5">
        <v>43954</v>
      </c>
      <c r="W455" s="5">
        <v>43712</v>
      </c>
      <c r="X455" s="1">
        <v>3700000</v>
      </c>
      <c r="Y455" s="1">
        <v>3495000</v>
      </c>
      <c r="Z455" s="5">
        <v>43880</v>
      </c>
      <c r="AA455" s="1">
        <v>3362500</v>
      </c>
      <c r="AB455" s="1" t="s">
        <v>279</v>
      </c>
      <c r="AC455" s="5">
        <v>43949</v>
      </c>
      <c r="AF455" s="1">
        <v>10014</v>
      </c>
      <c r="AJ455" s="1">
        <v>2015</v>
      </c>
      <c r="AK455" s="1" t="s">
        <v>73</v>
      </c>
      <c r="AL455" s="1">
        <v>33</v>
      </c>
    </row>
    <row r="456" spans="1:38" x14ac:dyDescent="0.2">
      <c r="A456" s="2" t="str">
        <f>HYPERLINK("https://www.compass.com/listing/211-west-14th-street-unit-2c-manhattan-ny-10011/29514442400074161/","211 W 14th St, Unit 2C")</f>
        <v>211 W 14th St, Unit 2C</v>
      </c>
      <c r="B456" s="2" t="str">
        <f t="shared" ref="B456:B458" si="76">HYPERLINK("https://www.compass.com/building/dorsay-manhattan-ny/292801633543285477/","d'Orsay")</f>
        <v>d'Orsay</v>
      </c>
      <c r="C456" s="1" t="s">
        <v>99</v>
      </c>
      <c r="D456" s="1" t="s">
        <v>41</v>
      </c>
      <c r="E456" s="3">
        <v>1682863</v>
      </c>
      <c r="F456" s="1">
        <v>2093.1131840796002</v>
      </c>
      <c r="G456" s="1">
        <v>3</v>
      </c>
      <c r="H456" s="1">
        <v>1</v>
      </c>
      <c r="I456" s="1">
        <v>1</v>
      </c>
      <c r="J456" s="1">
        <v>1</v>
      </c>
      <c r="K456" s="1">
        <v>1</v>
      </c>
      <c r="M456" s="1">
        <v>804</v>
      </c>
      <c r="N456" s="1">
        <v>1559</v>
      </c>
      <c r="O456" s="1">
        <v>2267</v>
      </c>
      <c r="P456" s="1">
        <v>708</v>
      </c>
      <c r="Q456" s="1" t="s">
        <v>42</v>
      </c>
      <c r="S456" s="1" t="s">
        <v>42</v>
      </c>
      <c r="T456" s="1" t="s">
        <v>170</v>
      </c>
      <c r="V456" s="5">
        <v>43678</v>
      </c>
      <c r="W456" s="5">
        <v>42721</v>
      </c>
      <c r="X456" s="1">
        <v>1695000</v>
      </c>
      <c r="Y456" s="1">
        <v>1695000</v>
      </c>
      <c r="Z456" s="5">
        <v>42721</v>
      </c>
      <c r="AA456" s="1">
        <v>1682863</v>
      </c>
      <c r="AB456" s="1" t="s">
        <v>280</v>
      </c>
      <c r="AC456" s="5">
        <v>43267</v>
      </c>
      <c r="AF456" s="1">
        <v>10011</v>
      </c>
      <c r="AI456" s="1" t="s">
        <v>281</v>
      </c>
      <c r="AJ456" s="1">
        <v>2018</v>
      </c>
      <c r="AK456" s="1" t="s">
        <v>73</v>
      </c>
      <c r="AL456" s="1">
        <v>21</v>
      </c>
    </row>
    <row r="457" spans="1:38" x14ac:dyDescent="0.2">
      <c r="A457" s="2" t="str">
        <f>HYPERLINK("https://www.compass.com/listing/211-west-14th-street-unit-2c-manhattan-ny-10011/801632348374115153/","211 W 14th St, Unit 2C")</f>
        <v>211 W 14th St, Unit 2C</v>
      </c>
      <c r="B457" s="2" t="str">
        <f t="shared" si="76"/>
        <v>d'Orsay</v>
      </c>
      <c r="C457" s="1" t="s">
        <v>99</v>
      </c>
      <c r="D457" s="1" t="s">
        <v>41</v>
      </c>
      <c r="E457" s="3">
        <v>1682863</v>
      </c>
      <c r="F457" s="1">
        <v>2093.1125621890501</v>
      </c>
      <c r="G457" s="1">
        <v>3</v>
      </c>
      <c r="H457" s="1">
        <v>1</v>
      </c>
      <c r="I457" s="1">
        <v>1</v>
      </c>
      <c r="J457" s="1">
        <v>1</v>
      </c>
      <c r="M457" s="1">
        <v>804</v>
      </c>
      <c r="N457" s="1">
        <v>1558</v>
      </c>
      <c r="O457" s="1">
        <v>2164</v>
      </c>
      <c r="P457" s="1">
        <v>606</v>
      </c>
      <c r="Q457" s="1" t="s">
        <v>42</v>
      </c>
      <c r="S457" s="1" t="s">
        <v>42</v>
      </c>
      <c r="T457" s="1" t="s">
        <v>170</v>
      </c>
      <c r="V457" s="5">
        <v>43173</v>
      </c>
      <c r="W457" s="5">
        <v>42717</v>
      </c>
      <c r="X457" s="1">
        <v>1695000</v>
      </c>
      <c r="Y457" s="1">
        <v>1695000</v>
      </c>
      <c r="Z457" s="5">
        <v>42718</v>
      </c>
      <c r="AA457" s="1">
        <v>1682862.5</v>
      </c>
      <c r="AB457" s="1" t="s">
        <v>280</v>
      </c>
      <c r="AC457" s="5">
        <v>43266</v>
      </c>
      <c r="AF457" s="1">
        <v>10011</v>
      </c>
      <c r="AI457" s="1" t="s">
        <v>53</v>
      </c>
      <c r="AJ457" s="1">
        <v>2018</v>
      </c>
      <c r="AK457" s="1" t="s">
        <v>73</v>
      </c>
      <c r="AL457" s="1">
        <v>21</v>
      </c>
    </row>
    <row r="458" spans="1:38" x14ac:dyDescent="0.2">
      <c r="A458" s="2" t="str">
        <f>HYPERLINK("https://www.compass.com/listing/211-west-14th-street-unit-3a-manhattan-ny-10011/29514443650011345/","211 W 14th St, Unit 3A")</f>
        <v>211 W 14th St, Unit 3A</v>
      </c>
      <c r="B458" s="2" t="str">
        <f t="shared" si="76"/>
        <v>d'Orsay</v>
      </c>
      <c r="C458" s="1" t="s">
        <v>99</v>
      </c>
      <c r="D458" s="1" t="s">
        <v>41</v>
      </c>
      <c r="E458" s="3">
        <v>2013793</v>
      </c>
      <c r="F458" s="1">
        <v>2151.4882478632398</v>
      </c>
      <c r="G458" s="1">
        <v>3</v>
      </c>
      <c r="H458" s="1">
        <v>1</v>
      </c>
      <c r="I458" s="1">
        <v>1</v>
      </c>
      <c r="J458" s="1">
        <v>1</v>
      </c>
      <c r="K458" s="1">
        <v>1</v>
      </c>
      <c r="M458" s="1">
        <v>936</v>
      </c>
      <c r="N458" s="1">
        <v>1848</v>
      </c>
      <c r="O458" s="1">
        <v>2688</v>
      </c>
      <c r="P458" s="1">
        <v>840</v>
      </c>
      <c r="Q458" s="1" t="s">
        <v>42</v>
      </c>
      <c r="S458" s="1" t="s">
        <v>42</v>
      </c>
      <c r="T458" s="1" t="s">
        <v>170</v>
      </c>
      <c r="U458" s="1">
        <v>25</v>
      </c>
      <c r="V458" s="5">
        <v>43700</v>
      </c>
      <c r="W458" s="5">
        <v>42679</v>
      </c>
      <c r="X458" s="1">
        <v>1975000</v>
      </c>
      <c r="Y458" s="1">
        <v>1975000</v>
      </c>
      <c r="Z458" s="5">
        <v>42704</v>
      </c>
      <c r="AA458" s="1">
        <v>2013793.75</v>
      </c>
      <c r="AB458" s="1" t="s">
        <v>282</v>
      </c>
      <c r="AC458" s="5">
        <v>43279</v>
      </c>
      <c r="AF458" s="1">
        <v>10011</v>
      </c>
      <c r="AI458" s="1" t="s">
        <v>95</v>
      </c>
      <c r="AJ458" s="1">
        <v>2018</v>
      </c>
      <c r="AK458" s="1" t="s">
        <v>73</v>
      </c>
      <c r="AL458" s="1">
        <v>21</v>
      </c>
    </row>
    <row r="459" spans="1:38" x14ac:dyDescent="0.2">
      <c r="A459" s="2" t="str">
        <f>HYPERLINK("https://www.compass.com/listing/100-barrow-street-unit-10b-manhattan-ny-10014/29367152108760769/","100 Barrow St, Unit 10B")</f>
        <v>100 Barrow St, Unit 10B</v>
      </c>
      <c r="B459" s="2" t="str">
        <f t="shared" ref="B459:B460" si="77">HYPERLINK("https://www.compass.com/building/100-barrow-manhattan-ny/292834978184618837/","100 Barrow")</f>
        <v>100 Barrow</v>
      </c>
      <c r="C459" s="1" t="s">
        <v>71</v>
      </c>
      <c r="D459" s="1" t="s">
        <v>41</v>
      </c>
      <c r="E459" s="3">
        <v>6539990</v>
      </c>
      <c r="F459" s="1">
        <v>2812.8989247311802</v>
      </c>
      <c r="G459" s="1">
        <v>4</v>
      </c>
      <c r="H459" s="1">
        <v>3</v>
      </c>
      <c r="I459" s="1">
        <v>4</v>
      </c>
      <c r="J459" s="1">
        <v>3.5</v>
      </c>
      <c r="M459" s="4">
        <v>2325</v>
      </c>
      <c r="N459" s="1">
        <v>6535</v>
      </c>
      <c r="O459" s="1">
        <v>6535</v>
      </c>
      <c r="Q459" s="1" t="s">
        <v>169</v>
      </c>
      <c r="S459" s="1" t="s">
        <v>169</v>
      </c>
      <c r="T459" s="1" t="s">
        <v>170</v>
      </c>
      <c r="V459" s="5">
        <v>43623</v>
      </c>
      <c r="W459" s="5">
        <v>42511</v>
      </c>
      <c r="X459" s="1">
        <v>6539990</v>
      </c>
      <c r="Y459" s="1">
        <v>6539990</v>
      </c>
      <c r="Z459" s="5">
        <v>42511</v>
      </c>
      <c r="AA459" s="1">
        <v>6539990</v>
      </c>
      <c r="AB459" s="1" t="s">
        <v>283</v>
      </c>
      <c r="AC459" s="5">
        <v>43026</v>
      </c>
      <c r="AF459" s="1">
        <v>10014</v>
      </c>
      <c r="AJ459" s="1">
        <v>2015</v>
      </c>
      <c r="AK459" s="1" t="s">
        <v>73</v>
      </c>
      <c r="AL459" s="1">
        <v>33</v>
      </c>
    </row>
    <row r="460" spans="1:38" x14ac:dyDescent="0.2">
      <c r="A460" s="2" t="str">
        <f>HYPERLINK("https://www.compass.com/listing/100-barrow-street-unit-9b-manhattan-ny-10014/29367161344618513/","100 Barrow St, Unit 9B")</f>
        <v>100 Barrow St, Unit 9B</v>
      </c>
      <c r="B460" s="2" t="str">
        <f t="shared" si="77"/>
        <v>100 Barrow</v>
      </c>
      <c r="C460" s="1" t="s">
        <v>71</v>
      </c>
      <c r="D460" s="1" t="s">
        <v>41</v>
      </c>
      <c r="E460" s="3">
        <v>6499990</v>
      </c>
      <c r="F460" s="1">
        <v>2775.4013663535402</v>
      </c>
      <c r="G460" s="1">
        <v>4</v>
      </c>
      <c r="H460" s="1">
        <v>3</v>
      </c>
      <c r="I460" s="1">
        <v>4</v>
      </c>
      <c r="J460" s="1">
        <v>3.5</v>
      </c>
      <c r="M460" s="4">
        <v>2342</v>
      </c>
      <c r="N460" s="1">
        <v>6520</v>
      </c>
      <c r="O460" s="1">
        <v>6520</v>
      </c>
      <c r="Q460" s="1" t="s">
        <v>169</v>
      </c>
      <c r="S460" s="1" t="s">
        <v>169</v>
      </c>
      <c r="T460" s="1" t="s">
        <v>170</v>
      </c>
      <c r="U460" s="1">
        <v>70</v>
      </c>
      <c r="V460" s="5">
        <v>43673</v>
      </c>
      <c r="W460" s="5">
        <v>42531</v>
      </c>
      <c r="X460" s="1">
        <v>6499990</v>
      </c>
      <c r="Y460" s="1">
        <v>6499990</v>
      </c>
      <c r="Z460" s="5">
        <v>42601</v>
      </c>
      <c r="AA460" s="1">
        <v>6499990</v>
      </c>
      <c r="AB460" s="1" t="s">
        <v>284</v>
      </c>
      <c r="AC460" s="5">
        <v>43033</v>
      </c>
      <c r="AF460" s="1">
        <v>10014</v>
      </c>
      <c r="AJ460" s="1">
        <v>2015</v>
      </c>
      <c r="AK460" s="1" t="s">
        <v>73</v>
      </c>
      <c r="AL460" s="1">
        <v>33</v>
      </c>
    </row>
    <row r="461" spans="1:38" x14ac:dyDescent="0.2">
      <c r="A461" s="2" t="str">
        <f>HYPERLINK("https://www.compass.com/listing/211-west-14th-street-unit-3a-manhattan-ny-10011/803344185864397073/","211 W 14th St, Unit 3A")</f>
        <v>211 W 14th St, Unit 3A</v>
      </c>
      <c r="B461" s="2" t="str">
        <f>HYPERLINK("https://www.compass.com/building/dorsay-manhattan-ny/292801633543285477/","d'Orsay")</f>
        <v>d'Orsay</v>
      </c>
      <c r="C461" s="1" t="s">
        <v>99</v>
      </c>
      <c r="D461" s="1" t="s">
        <v>41</v>
      </c>
      <c r="E461" s="3">
        <v>2013794</v>
      </c>
      <c r="F461" s="1">
        <v>2151.4890491452902</v>
      </c>
      <c r="G461" s="1">
        <v>3</v>
      </c>
      <c r="H461" s="1">
        <v>1</v>
      </c>
      <c r="I461" s="1">
        <v>1</v>
      </c>
      <c r="J461" s="1">
        <v>1</v>
      </c>
      <c r="M461" s="1">
        <v>936</v>
      </c>
      <c r="N461" s="1">
        <v>1847</v>
      </c>
      <c r="O461" s="1">
        <v>2565</v>
      </c>
      <c r="P461" s="1">
        <v>718</v>
      </c>
      <c r="Q461" s="1" t="s">
        <v>42</v>
      </c>
      <c r="S461" s="1" t="s">
        <v>42</v>
      </c>
      <c r="T461" s="1" t="s">
        <v>170</v>
      </c>
      <c r="U461" s="1">
        <v>237</v>
      </c>
      <c r="V461" s="5">
        <v>43173</v>
      </c>
      <c r="W461" s="5">
        <v>42466</v>
      </c>
      <c r="X461" s="1">
        <v>1975000</v>
      </c>
      <c r="Y461" s="1">
        <v>1975000</v>
      </c>
      <c r="Z461" s="5">
        <v>42704</v>
      </c>
      <c r="AA461" s="1">
        <v>2013793.75</v>
      </c>
      <c r="AB461" s="1" t="s">
        <v>282</v>
      </c>
      <c r="AC461" s="5">
        <v>43279</v>
      </c>
      <c r="AF461" s="1">
        <v>10011</v>
      </c>
      <c r="AI461" s="1" t="s">
        <v>53</v>
      </c>
      <c r="AJ461" s="1">
        <v>2018</v>
      </c>
      <c r="AK461" s="1" t="s">
        <v>73</v>
      </c>
      <c r="AL461" s="1">
        <v>21</v>
      </c>
    </row>
    <row r="462" spans="1:38" x14ac:dyDescent="0.2">
      <c r="A462" s="2" t="str">
        <f>HYPERLINK("https://www.compass.com/listing/30-park-place-unit-53d-manhattan-ny-10007/4848422383389771793/","30 Park Pl, Unit 53D")</f>
        <v>30 Park Pl, Unit 53D</v>
      </c>
      <c r="B462" s="2" t="str">
        <f t="shared" ref="B462:B463" si="78">HYPERLINK("https://www.compass.com/building/30-park-pl-manhattan-ny-10007/281896912905317605/","30 Park Pl")</f>
        <v>30 Park Pl</v>
      </c>
      <c r="C462" s="1" t="s">
        <v>40</v>
      </c>
      <c r="D462" s="1" t="s">
        <v>41</v>
      </c>
      <c r="E462" s="3">
        <v>4075000</v>
      </c>
      <c r="F462" s="1">
        <v>2649.5448634590298</v>
      </c>
      <c r="G462" s="1">
        <v>5</v>
      </c>
      <c r="H462" s="1">
        <v>2</v>
      </c>
      <c r="J462" s="1">
        <v>2.5</v>
      </c>
      <c r="M462" s="4">
        <v>1538</v>
      </c>
      <c r="N462" s="1">
        <v>1260</v>
      </c>
      <c r="O462" s="1">
        <v>4479</v>
      </c>
      <c r="P462" s="1">
        <v>3219</v>
      </c>
      <c r="Q462" s="1" t="s">
        <v>42</v>
      </c>
      <c r="S462" s="1" t="s">
        <v>42</v>
      </c>
      <c r="T462" s="1" t="s">
        <v>170</v>
      </c>
      <c r="U462" s="1">
        <v>85</v>
      </c>
      <c r="V462" s="5">
        <v>44248</v>
      </c>
      <c r="W462" s="5">
        <v>43189</v>
      </c>
      <c r="X462" s="1">
        <v>4425000</v>
      </c>
      <c r="Y462" s="1">
        <v>4425000</v>
      </c>
      <c r="Z462" s="5">
        <v>43274</v>
      </c>
      <c r="AA462" s="1">
        <v>4075000</v>
      </c>
      <c r="AB462" s="1" t="s">
        <v>285</v>
      </c>
      <c r="AC462" s="5">
        <v>43318</v>
      </c>
      <c r="AF462" s="1">
        <v>10007</v>
      </c>
      <c r="AJ462" s="1">
        <v>2016</v>
      </c>
      <c r="AK462" s="1" t="s">
        <v>46</v>
      </c>
      <c r="AL462" s="1">
        <v>157</v>
      </c>
    </row>
    <row r="463" spans="1:38" x14ac:dyDescent="0.2">
      <c r="A463" s="2" t="str">
        <f>HYPERLINK("https://www.compass.com/listing/30-park-place-unit-40e-manhattan-ny-10007/353581928398921393/","30 Park Pl, Unit 40E")</f>
        <v>30 Park Pl, Unit 40E</v>
      </c>
      <c r="B463" s="2" t="str">
        <f t="shared" si="78"/>
        <v>30 Park Pl</v>
      </c>
      <c r="C463" s="1" t="s">
        <v>40</v>
      </c>
      <c r="D463" s="1" t="s">
        <v>41</v>
      </c>
      <c r="E463" s="3">
        <v>3800000</v>
      </c>
      <c r="F463" s="1">
        <v>2118.17168338907</v>
      </c>
      <c r="G463" s="1">
        <v>5</v>
      </c>
      <c r="H463" s="1">
        <v>3</v>
      </c>
      <c r="I463" s="1">
        <v>3</v>
      </c>
      <c r="J463" s="1">
        <v>2.5</v>
      </c>
      <c r="K463" s="1">
        <v>2</v>
      </c>
      <c r="L463" s="1">
        <v>1</v>
      </c>
      <c r="M463" s="4">
        <v>1794</v>
      </c>
      <c r="N463" s="1">
        <v>1549.82</v>
      </c>
      <c r="O463" s="1">
        <v>5440.82</v>
      </c>
      <c r="P463" s="1">
        <v>3891</v>
      </c>
      <c r="Q463" s="1" t="s">
        <v>42</v>
      </c>
      <c r="S463" s="1" t="s">
        <v>42</v>
      </c>
      <c r="T463" s="1" t="s">
        <v>170</v>
      </c>
      <c r="U463" s="1">
        <v>171</v>
      </c>
      <c r="V463" s="5">
        <v>44072</v>
      </c>
      <c r="W463" s="5">
        <v>43739</v>
      </c>
      <c r="X463" s="1">
        <v>4985000</v>
      </c>
      <c r="Y463" s="1">
        <v>4395000</v>
      </c>
      <c r="Z463" s="5">
        <v>43946</v>
      </c>
      <c r="AA463" s="1">
        <v>3800000</v>
      </c>
      <c r="AB463" s="1" t="s">
        <v>286</v>
      </c>
      <c r="AC463" s="5">
        <v>44011</v>
      </c>
      <c r="AF463" s="1">
        <v>10007</v>
      </c>
      <c r="AI463" s="1" t="s">
        <v>84</v>
      </c>
      <c r="AJ463" s="1">
        <v>2016</v>
      </c>
      <c r="AK463" s="1" t="s">
        <v>73</v>
      </c>
      <c r="AL463" s="1">
        <v>157</v>
      </c>
    </row>
    <row r="464" spans="1:38" x14ac:dyDescent="0.2">
      <c r="A464" s="2" t="str">
        <f>HYPERLINK("https://www.compass.com/listing/100-barrow-street-unit-7a-manhattan-ny-10014/4852287219769021633/","100 Barrow St, Unit 7A")</f>
        <v>100 Barrow St, Unit 7A</v>
      </c>
      <c r="B464" s="2" t="str">
        <f t="shared" ref="B464:B466" si="79">HYPERLINK("https://www.compass.com/building/100-barrow-manhattan-ny/292834978184618837/","100 Barrow")</f>
        <v>100 Barrow</v>
      </c>
      <c r="C464" s="1" t="s">
        <v>71</v>
      </c>
      <c r="D464" s="1" t="s">
        <v>41</v>
      </c>
      <c r="E464" s="3">
        <v>10519675</v>
      </c>
      <c r="F464" s="1">
        <v>2758.8971938106401</v>
      </c>
      <c r="G464" s="1">
        <v>9</v>
      </c>
      <c r="H464" s="1">
        <v>4</v>
      </c>
      <c r="I464" s="1">
        <v>5</v>
      </c>
      <c r="J464" s="1">
        <v>4.5</v>
      </c>
      <c r="M464" s="4">
        <v>3813</v>
      </c>
      <c r="N464" s="1">
        <v>10926</v>
      </c>
      <c r="O464" s="1">
        <v>10926</v>
      </c>
      <c r="Q464" s="1" t="s">
        <v>169</v>
      </c>
      <c r="S464" s="1" t="s">
        <v>169</v>
      </c>
      <c r="T464" s="1" t="s">
        <v>170</v>
      </c>
      <c r="U464" s="1">
        <v>155</v>
      </c>
      <c r="V464" s="5">
        <v>43623</v>
      </c>
      <c r="W464" s="5">
        <v>42529</v>
      </c>
      <c r="X464" s="1">
        <v>11809990</v>
      </c>
      <c r="Y464" s="1">
        <v>11809990</v>
      </c>
      <c r="Z464" s="5">
        <v>42684</v>
      </c>
      <c r="AA464" s="1">
        <v>10519675</v>
      </c>
      <c r="AB464" s="1" t="s">
        <v>287</v>
      </c>
      <c r="AC464" s="5">
        <v>43077</v>
      </c>
      <c r="AF464" s="1">
        <v>10014</v>
      </c>
      <c r="AI464" s="1" t="s">
        <v>288</v>
      </c>
      <c r="AJ464" s="1">
        <v>2015</v>
      </c>
      <c r="AK464" s="1" t="s">
        <v>73</v>
      </c>
      <c r="AL464" s="1">
        <v>33</v>
      </c>
    </row>
    <row r="465" spans="1:38" x14ac:dyDescent="0.2">
      <c r="A465" s="2" t="str">
        <f>HYPERLINK("https://www.compass.com/listing/100-barrow-street-unit-7b-manhattan-ny-10014/34698002719429393/","100 Barrow St, Unit 7B")</f>
        <v>100 Barrow St, Unit 7B</v>
      </c>
      <c r="B465" s="2" t="str">
        <f t="shared" si="79"/>
        <v>100 Barrow</v>
      </c>
      <c r="C465" s="1" t="s">
        <v>71</v>
      </c>
      <c r="D465" s="1" t="s">
        <v>41</v>
      </c>
      <c r="E465" s="3">
        <v>10750000</v>
      </c>
      <c r="F465" s="1">
        <v>2417.3600179896498</v>
      </c>
      <c r="G465" s="1">
        <v>8</v>
      </c>
      <c r="H465" s="1">
        <v>4</v>
      </c>
      <c r="I465" s="1">
        <v>5</v>
      </c>
      <c r="J465" s="1">
        <v>4.5</v>
      </c>
      <c r="K465" s="1">
        <v>4</v>
      </c>
      <c r="L465" s="1">
        <v>1</v>
      </c>
      <c r="M465" s="4">
        <v>4447</v>
      </c>
      <c r="N465" s="1">
        <v>12059</v>
      </c>
      <c r="O465" s="1">
        <v>12059</v>
      </c>
      <c r="Q465" s="1" t="s">
        <v>169</v>
      </c>
      <c r="S465" s="1" t="s">
        <v>169</v>
      </c>
      <c r="T465" s="1" t="s">
        <v>170</v>
      </c>
      <c r="V465" s="5">
        <v>43866</v>
      </c>
      <c r="W465" s="5">
        <v>43315</v>
      </c>
      <c r="X465" s="1">
        <v>11756790</v>
      </c>
      <c r="Y465" s="1">
        <v>11756790</v>
      </c>
      <c r="Z465" s="5">
        <v>43315</v>
      </c>
      <c r="AA465" s="1">
        <v>10750000</v>
      </c>
      <c r="AB465" s="1" t="s">
        <v>289</v>
      </c>
      <c r="AC465" s="5">
        <v>43371</v>
      </c>
      <c r="AF465" s="1">
        <v>10014</v>
      </c>
      <c r="AI465" s="1" t="s">
        <v>290</v>
      </c>
      <c r="AJ465" s="1">
        <v>2015</v>
      </c>
      <c r="AK465" s="1" t="s">
        <v>73</v>
      </c>
      <c r="AL465" s="1">
        <v>33</v>
      </c>
    </row>
    <row r="466" spans="1:38" x14ac:dyDescent="0.2">
      <c r="A466" s="2" t="str">
        <f>HYPERLINK("https://www.compass.com/listing/100-barrow-street-unit-7b-manhattan-ny-10014/803353808780260017/","100 Barrow St, Unit 7B")</f>
        <v>100 Barrow St, Unit 7B</v>
      </c>
      <c r="B466" s="2" t="str">
        <f t="shared" si="79"/>
        <v>100 Barrow</v>
      </c>
      <c r="C466" s="1" t="s">
        <v>71</v>
      </c>
      <c r="D466" s="1" t="s">
        <v>41</v>
      </c>
      <c r="E466" s="3">
        <v>10750000</v>
      </c>
      <c r="F466" s="1">
        <v>2417.3600179896498</v>
      </c>
      <c r="G466" s="1">
        <v>8</v>
      </c>
      <c r="H466" s="1">
        <v>4</v>
      </c>
      <c r="I466" s="1">
        <v>5</v>
      </c>
      <c r="J466" s="1">
        <v>4.5</v>
      </c>
      <c r="M466" s="4">
        <v>4447</v>
      </c>
      <c r="N466" s="1">
        <v>12059</v>
      </c>
      <c r="O466" s="1">
        <v>12059</v>
      </c>
      <c r="Q466" s="1" t="s">
        <v>169</v>
      </c>
      <c r="S466" s="1" t="s">
        <v>169</v>
      </c>
      <c r="T466" s="1" t="s">
        <v>170</v>
      </c>
      <c r="U466" s="1">
        <v>611</v>
      </c>
      <c r="V466" s="5">
        <v>43300</v>
      </c>
      <c r="W466" s="5">
        <v>42675</v>
      </c>
      <c r="X466" s="1">
        <v>13359990</v>
      </c>
      <c r="Y466" s="1">
        <v>11756790</v>
      </c>
      <c r="Z466" s="5">
        <v>43287</v>
      </c>
      <c r="AA466" s="1">
        <v>10750000</v>
      </c>
      <c r="AB466" s="1" t="s">
        <v>289</v>
      </c>
      <c r="AC466" s="5">
        <v>43371</v>
      </c>
      <c r="AF466" s="1">
        <v>10014</v>
      </c>
      <c r="AI466" s="1" t="s">
        <v>165</v>
      </c>
      <c r="AJ466" s="1">
        <v>2015</v>
      </c>
      <c r="AK466" s="1" t="s">
        <v>73</v>
      </c>
      <c r="AL466" s="1">
        <v>33</v>
      </c>
    </row>
    <row r="467" spans="1:38" x14ac:dyDescent="0.2">
      <c r="A467" s="2" t="str">
        <f>HYPERLINK("https://www.compass.com/listing/211-west-14th-street-unit-8b-manhattan-ny-10011/29514440982475793/","211 W 14th St, Unit 8B")</f>
        <v>211 W 14th St, Unit 8B</v>
      </c>
      <c r="B467" s="2" t="str">
        <f>HYPERLINK("https://www.compass.com/building/dorsay-manhattan-ny/292801633543285477/","d'Orsay")</f>
        <v>d'Orsay</v>
      </c>
      <c r="C467" s="1" t="s">
        <v>99</v>
      </c>
      <c r="D467" s="1" t="s">
        <v>41</v>
      </c>
      <c r="E467" s="3">
        <v>3460918</v>
      </c>
      <c r="F467" s="1">
        <v>2578.9254843517101</v>
      </c>
      <c r="G467" s="1">
        <v>4</v>
      </c>
      <c r="H467" s="1">
        <v>2</v>
      </c>
      <c r="I467" s="1">
        <v>3</v>
      </c>
      <c r="J467" s="1">
        <v>2.5</v>
      </c>
      <c r="K467" s="1">
        <v>2</v>
      </c>
      <c r="L467" s="1">
        <v>1</v>
      </c>
      <c r="M467" s="4">
        <v>1342</v>
      </c>
      <c r="N467" s="1">
        <v>2743</v>
      </c>
      <c r="O467" s="1">
        <v>3990</v>
      </c>
      <c r="P467" s="1">
        <v>1247</v>
      </c>
      <c r="Q467" s="1" t="s">
        <v>42</v>
      </c>
      <c r="S467" s="1" t="s">
        <v>42</v>
      </c>
      <c r="T467" s="1" t="s">
        <v>170</v>
      </c>
      <c r="U467" s="1">
        <v>252</v>
      </c>
      <c r="V467" s="5">
        <v>43678</v>
      </c>
      <c r="W467" s="5">
        <v>42808</v>
      </c>
      <c r="X467" s="1">
        <v>3425000</v>
      </c>
      <c r="Y467" s="1">
        <v>3450000</v>
      </c>
      <c r="Z467" s="5">
        <v>43060</v>
      </c>
      <c r="AA467" s="1">
        <v>3460918</v>
      </c>
      <c r="AB467" s="1" t="s">
        <v>291</v>
      </c>
      <c r="AC467" s="5">
        <v>43341</v>
      </c>
      <c r="AF467" s="1">
        <v>10011</v>
      </c>
      <c r="AI467" s="1" t="s">
        <v>160</v>
      </c>
      <c r="AJ467" s="1">
        <v>2018</v>
      </c>
      <c r="AK467" s="1" t="s">
        <v>73</v>
      </c>
      <c r="AL467" s="1">
        <v>21</v>
      </c>
    </row>
    <row r="468" spans="1:38" x14ac:dyDescent="0.2">
      <c r="A468" s="2" t="str">
        <f>HYPERLINK("https://www.compass.com/listing/100-barrow-street-unit-9b-manhattan-ny-10014/467438784561524497/","100 Barrow St, Unit 9B")</f>
        <v>100 Barrow St, Unit 9B</v>
      </c>
      <c r="B468" s="2" t="str">
        <f>HYPERLINK("https://www.compass.com/building/100-barrow-manhattan-ny/292834978184618837/","100 Barrow")</f>
        <v>100 Barrow</v>
      </c>
      <c r="C468" s="1" t="s">
        <v>71</v>
      </c>
      <c r="D468" s="1" t="s">
        <v>41</v>
      </c>
      <c r="E468" s="3">
        <v>6100000</v>
      </c>
      <c r="F468" s="1">
        <v>2604.6114432109298</v>
      </c>
      <c r="G468" s="1">
        <v>5</v>
      </c>
      <c r="H468" s="1">
        <v>3</v>
      </c>
      <c r="I468" s="1">
        <v>4</v>
      </c>
      <c r="J468" s="1">
        <v>3.5</v>
      </c>
      <c r="K468" s="1">
        <v>3</v>
      </c>
      <c r="L468" s="1">
        <v>1</v>
      </c>
      <c r="M468" s="4">
        <v>2342</v>
      </c>
      <c r="N468" s="1">
        <v>6983</v>
      </c>
      <c r="O468" s="1">
        <v>6983</v>
      </c>
      <c r="Q468" s="1" t="s">
        <v>169</v>
      </c>
      <c r="S468" s="1" t="s">
        <v>169</v>
      </c>
      <c r="T468" s="1" t="s">
        <v>170</v>
      </c>
      <c r="U468" s="1">
        <v>199</v>
      </c>
      <c r="V468" s="5">
        <v>44259</v>
      </c>
      <c r="W468" s="5">
        <v>43896</v>
      </c>
      <c r="X468" s="1">
        <v>7250000</v>
      </c>
      <c r="Y468" s="1">
        <v>6800000</v>
      </c>
      <c r="Z468" s="5">
        <v>44189</v>
      </c>
      <c r="AA468" s="1">
        <v>6100000</v>
      </c>
      <c r="AB468" s="1" t="s">
        <v>292</v>
      </c>
      <c r="AC468" s="5">
        <v>44258</v>
      </c>
      <c r="AF468" s="1">
        <v>10014</v>
      </c>
      <c r="AI468" s="1" t="s">
        <v>84</v>
      </c>
      <c r="AJ468" s="1">
        <v>2015</v>
      </c>
      <c r="AK468" s="1" t="s">
        <v>73</v>
      </c>
      <c r="AL468" s="1">
        <v>33</v>
      </c>
    </row>
    <row r="469" spans="1:38" x14ac:dyDescent="0.2">
      <c r="A469" s="2" t="str">
        <f>HYPERLINK("https://www.compass.com/listing/30-park-place-unit-39b-manhattan-ny-10007/313710856881538305/","30 Park Pl, Unit 39B")</f>
        <v>30 Park Pl, Unit 39B</v>
      </c>
      <c r="B469" s="2" t="str">
        <f t="shared" ref="B469:B470" si="80">HYPERLINK("https://www.compass.com/building/30-park-pl-manhattan-ny-10007/281896912905317605/","30 Park Pl")</f>
        <v>30 Park Pl</v>
      </c>
      <c r="C469" s="1" t="s">
        <v>40</v>
      </c>
      <c r="D469" s="1" t="s">
        <v>41</v>
      </c>
      <c r="E469" s="3">
        <v>2100000</v>
      </c>
      <c r="F469" s="1">
        <v>2224.57627118644</v>
      </c>
      <c r="G469" s="1">
        <v>4</v>
      </c>
      <c r="H469" s="1">
        <v>2</v>
      </c>
      <c r="I469" s="1">
        <v>1</v>
      </c>
      <c r="J469" s="1">
        <v>1</v>
      </c>
      <c r="K469" s="1">
        <v>1</v>
      </c>
      <c r="M469" s="1">
        <v>944</v>
      </c>
      <c r="N469" s="1">
        <v>783</v>
      </c>
      <c r="O469" s="1">
        <v>2788</v>
      </c>
      <c r="P469" s="1">
        <v>2005</v>
      </c>
      <c r="Q469" s="1" t="s">
        <v>42</v>
      </c>
      <c r="S469" s="1" t="s">
        <v>42</v>
      </c>
      <c r="T469" s="1" t="s">
        <v>170</v>
      </c>
      <c r="U469" s="1">
        <v>72</v>
      </c>
      <c r="V469" s="5">
        <v>43811</v>
      </c>
      <c r="W469" s="5">
        <v>43685</v>
      </c>
      <c r="X469" s="1">
        <v>2495000</v>
      </c>
      <c r="Y469" s="1">
        <v>2495000</v>
      </c>
      <c r="Z469" s="5">
        <v>43757</v>
      </c>
      <c r="AA469" s="1">
        <v>2100000</v>
      </c>
      <c r="AB469" s="1" t="s">
        <v>293</v>
      </c>
      <c r="AC469" s="5">
        <v>43790</v>
      </c>
      <c r="AF469" s="1">
        <v>10007</v>
      </c>
      <c r="AI469" s="1" t="s">
        <v>84</v>
      </c>
      <c r="AJ469" s="1">
        <v>2016</v>
      </c>
      <c r="AK469" s="1" t="s">
        <v>73</v>
      </c>
      <c r="AL469" s="1">
        <v>157</v>
      </c>
    </row>
    <row r="470" spans="1:38" x14ac:dyDescent="0.2">
      <c r="A470" s="2" t="str">
        <f>HYPERLINK("https://www.compass.com/listing/30-park-place-unit-51e-manhattan-ny-10007/18882295805044785/","30 Park Pl, Unit 51E")</f>
        <v>30 Park Pl, Unit 51E</v>
      </c>
      <c r="B470" s="2" t="str">
        <f t="shared" si="80"/>
        <v>30 Park Pl</v>
      </c>
      <c r="C470" s="1" t="s">
        <v>40</v>
      </c>
      <c r="D470" s="1" t="s">
        <v>41</v>
      </c>
      <c r="E470" s="3">
        <v>5050000</v>
      </c>
      <c r="F470" s="1">
        <v>2814.9386845038998</v>
      </c>
      <c r="G470" s="1">
        <v>5</v>
      </c>
      <c r="H470" s="1">
        <v>3</v>
      </c>
      <c r="I470" s="1">
        <v>3</v>
      </c>
      <c r="J470" s="1">
        <v>2.5</v>
      </c>
      <c r="K470" s="1">
        <v>2</v>
      </c>
      <c r="L470" s="1">
        <v>1</v>
      </c>
      <c r="M470" s="4">
        <v>1794</v>
      </c>
      <c r="N470" s="1">
        <v>1535</v>
      </c>
      <c r="O470" s="1">
        <v>5466</v>
      </c>
      <c r="P470" s="1">
        <v>3931</v>
      </c>
      <c r="Q470" s="1" t="s">
        <v>42</v>
      </c>
      <c r="S470" s="1" t="s">
        <v>42</v>
      </c>
      <c r="T470" s="1" t="s">
        <v>170</v>
      </c>
      <c r="U470" s="1">
        <v>328</v>
      </c>
      <c r="V470" s="5">
        <v>43762</v>
      </c>
      <c r="W470" s="5">
        <v>43369</v>
      </c>
      <c r="X470" s="1">
        <v>5695000</v>
      </c>
      <c r="Y470" s="1">
        <v>5150000</v>
      </c>
      <c r="Z470" s="5">
        <v>43697</v>
      </c>
      <c r="AA470" s="1">
        <v>5050000</v>
      </c>
      <c r="AB470" s="1" t="s">
        <v>294</v>
      </c>
      <c r="AC470" s="5">
        <v>43746</v>
      </c>
      <c r="AF470" s="1">
        <v>10007</v>
      </c>
      <c r="AI470" s="1" t="s">
        <v>84</v>
      </c>
      <c r="AJ470" s="1">
        <v>2016</v>
      </c>
      <c r="AK470" s="1" t="s">
        <v>73</v>
      </c>
      <c r="AL470" s="1">
        <v>157</v>
      </c>
    </row>
    <row r="471" spans="1:38" x14ac:dyDescent="0.2">
      <c r="A471" s="2" t="str">
        <f>HYPERLINK("https://www.compass.com/listing/100-barclay-street-unit-14j-manhattan-ny-10007/202193932157738801/","100 Barclay St, Unit 14J")</f>
        <v>100 Barclay St, Unit 14J</v>
      </c>
      <c r="B471" s="2" t="str">
        <f>HYPERLINK("https://www.compass.com/building/100-barclay-manhattan-ny/281896670466155525/","100 Barclay")</f>
        <v>100 Barclay</v>
      </c>
      <c r="C471" s="1" t="s">
        <v>40</v>
      </c>
      <c r="D471" s="1" t="s">
        <v>41</v>
      </c>
      <c r="E471" s="3">
        <v>2725000</v>
      </c>
      <c r="F471" s="1">
        <v>1917.6636171709999</v>
      </c>
      <c r="G471" s="1">
        <v>6.5</v>
      </c>
      <c r="H471" s="1">
        <v>2</v>
      </c>
      <c r="I471" s="1">
        <v>3</v>
      </c>
      <c r="J471" s="1">
        <v>2.5</v>
      </c>
      <c r="K471" s="1">
        <v>2</v>
      </c>
      <c r="L471" s="1">
        <v>1</v>
      </c>
      <c r="M471" s="4">
        <v>1421</v>
      </c>
      <c r="N471" s="1">
        <v>1688</v>
      </c>
      <c r="O471" s="1">
        <v>3225</v>
      </c>
      <c r="P471" s="1">
        <v>1537</v>
      </c>
      <c r="Q471" s="1" t="s">
        <v>42</v>
      </c>
      <c r="S471" s="1" t="s">
        <v>42</v>
      </c>
      <c r="T471" s="1" t="s">
        <v>170</v>
      </c>
      <c r="U471" s="1">
        <v>20</v>
      </c>
      <c r="V471" s="5">
        <v>43684</v>
      </c>
      <c r="W471" s="5">
        <v>43532</v>
      </c>
      <c r="X471" s="1">
        <v>2499000</v>
      </c>
      <c r="Y471" s="1">
        <v>2499000</v>
      </c>
      <c r="Z471" s="5">
        <v>43552</v>
      </c>
      <c r="AA471" s="1">
        <v>2725000</v>
      </c>
      <c r="AB471" s="1" t="s">
        <v>295</v>
      </c>
      <c r="AC471" s="5">
        <v>43676</v>
      </c>
      <c r="AF471" s="1">
        <v>10007</v>
      </c>
      <c r="AI471" s="1" t="s">
        <v>45</v>
      </c>
      <c r="AJ471" s="1">
        <v>1930</v>
      </c>
      <c r="AK471" s="1" t="s">
        <v>46</v>
      </c>
      <c r="AL471" s="1">
        <v>156</v>
      </c>
    </row>
    <row r="472" spans="1:38" x14ac:dyDescent="0.2">
      <c r="A472" s="2" t="str">
        <f>HYPERLINK("https://www.compass.com/listing/30-park-place-unit-70a-manhattan-ny-10007/354308740815596945/","30 Park Pl, Unit 70A")</f>
        <v>30 Park Pl, Unit 70A</v>
      </c>
      <c r="B472" s="2" t="str">
        <f t="shared" ref="B472:B476" si="81">HYPERLINK("https://www.compass.com/building/30-park-pl-manhattan-ny-10007/281896912905317605/","30 Park Pl")</f>
        <v>30 Park Pl</v>
      </c>
      <c r="C472" s="1" t="s">
        <v>40</v>
      </c>
      <c r="D472" s="1" t="s">
        <v>41</v>
      </c>
      <c r="E472" s="3">
        <v>10500000</v>
      </c>
      <c r="F472" s="1">
        <v>2838.60502838605</v>
      </c>
      <c r="G472" s="1">
        <v>8</v>
      </c>
      <c r="H472" s="1">
        <v>4</v>
      </c>
      <c r="I472" s="1">
        <v>6</v>
      </c>
      <c r="J472" s="1">
        <v>5.5</v>
      </c>
      <c r="K472" s="1">
        <v>5</v>
      </c>
      <c r="L472" s="1">
        <v>1</v>
      </c>
      <c r="M472" s="4">
        <v>3699</v>
      </c>
      <c r="N472" s="1">
        <v>3327</v>
      </c>
      <c r="O472" s="1">
        <v>11848</v>
      </c>
      <c r="P472" s="1">
        <v>8521</v>
      </c>
      <c r="Q472" s="1" t="s">
        <v>42</v>
      </c>
      <c r="S472" s="1" t="s">
        <v>42</v>
      </c>
      <c r="T472" s="1" t="s">
        <v>170</v>
      </c>
      <c r="U472" s="1">
        <v>170</v>
      </c>
      <c r="V472" s="5">
        <v>43857</v>
      </c>
      <c r="W472" s="5">
        <v>43636</v>
      </c>
      <c r="X472" s="1">
        <v>12970000</v>
      </c>
      <c r="Y472" s="1">
        <v>11500000</v>
      </c>
      <c r="Z472" s="5">
        <v>43806</v>
      </c>
      <c r="AA472" s="1">
        <v>10500000</v>
      </c>
      <c r="AB472" s="1" t="s">
        <v>296</v>
      </c>
      <c r="AC472" s="5">
        <v>43845</v>
      </c>
      <c r="AF472" s="1">
        <v>10007</v>
      </c>
      <c r="AI472" s="1" t="s">
        <v>84</v>
      </c>
      <c r="AJ472" s="1">
        <v>2016</v>
      </c>
      <c r="AK472" s="1" t="s">
        <v>73</v>
      </c>
      <c r="AL472" s="1">
        <v>157</v>
      </c>
    </row>
    <row r="473" spans="1:38" x14ac:dyDescent="0.2">
      <c r="A473" s="2" t="str">
        <f>HYPERLINK("https://www.compass.com/listing/30-park-place-unit-62a-manhattan-ny-10007/498516432335429401/","30 Park Pl, Unit 62A")</f>
        <v>30 Park Pl, Unit 62A</v>
      </c>
      <c r="B473" s="2" t="str">
        <f t="shared" si="81"/>
        <v>30 Park Pl</v>
      </c>
      <c r="C473" s="1" t="s">
        <v>40</v>
      </c>
      <c r="D473" s="1" t="s">
        <v>41</v>
      </c>
      <c r="E473" s="3">
        <v>6940000</v>
      </c>
      <c r="F473" s="1">
        <v>2475.9186585800899</v>
      </c>
      <c r="G473" s="1">
        <v>7.5</v>
      </c>
      <c r="H473" s="1">
        <v>4</v>
      </c>
      <c r="I473" s="1">
        <v>5</v>
      </c>
      <c r="J473" s="1">
        <v>4.5</v>
      </c>
      <c r="K473" s="1">
        <v>4</v>
      </c>
      <c r="L473" s="1">
        <v>1</v>
      </c>
      <c r="M473" s="4">
        <v>2803</v>
      </c>
      <c r="N473" s="1">
        <v>2556</v>
      </c>
      <c r="O473" s="1">
        <v>8903</v>
      </c>
      <c r="P473" s="1">
        <v>6347</v>
      </c>
      <c r="Q473" s="1" t="s">
        <v>42</v>
      </c>
      <c r="S473" s="1" t="s">
        <v>42</v>
      </c>
      <c r="T473" s="1" t="s">
        <v>170</v>
      </c>
      <c r="U473" s="1">
        <v>298</v>
      </c>
      <c r="V473" s="5">
        <v>44334</v>
      </c>
      <c r="W473" s="5">
        <v>43938</v>
      </c>
      <c r="X473" s="1">
        <v>8150000</v>
      </c>
      <c r="Y473" s="1">
        <v>8150000</v>
      </c>
      <c r="Z473" s="5">
        <v>44303</v>
      </c>
      <c r="AA473" s="1">
        <v>6940000</v>
      </c>
      <c r="AB473" s="1" t="s">
        <v>297</v>
      </c>
      <c r="AC473" s="5">
        <v>44328</v>
      </c>
      <c r="AF473" s="1">
        <v>10007</v>
      </c>
      <c r="AI473" s="1" t="s">
        <v>84</v>
      </c>
      <c r="AJ473" s="1">
        <v>2016</v>
      </c>
      <c r="AK473" s="1" t="s">
        <v>73</v>
      </c>
      <c r="AL473" s="1">
        <v>157</v>
      </c>
    </row>
    <row r="474" spans="1:38" x14ac:dyDescent="0.2">
      <c r="A474" s="2" t="str">
        <f>HYPERLINK("https://www.compass.com/listing/30-park-place-unit-49e-manhattan-ny-10007/4848422377408694193/","30 Park Pl, Unit 49E")</f>
        <v>30 Park Pl, Unit 49E</v>
      </c>
      <c r="B474" s="2" t="str">
        <f t="shared" si="81"/>
        <v>30 Park Pl</v>
      </c>
      <c r="C474" s="1" t="s">
        <v>40</v>
      </c>
      <c r="D474" s="1" t="s">
        <v>41</v>
      </c>
      <c r="E474" s="3">
        <v>4900000</v>
      </c>
      <c r="F474" s="1">
        <v>2731.32664437012</v>
      </c>
      <c r="G474" s="1">
        <v>5</v>
      </c>
      <c r="H474" s="1">
        <v>3</v>
      </c>
      <c r="J474" s="1">
        <v>2.5</v>
      </c>
      <c r="M474" s="4">
        <v>1794</v>
      </c>
      <c r="N474" s="1">
        <v>1460</v>
      </c>
      <c r="O474" s="1">
        <v>5181</v>
      </c>
      <c r="P474" s="1">
        <v>3721</v>
      </c>
      <c r="Q474" s="1" t="s">
        <v>42</v>
      </c>
      <c r="S474" s="1" t="s">
        <v>42</v>
      </c>
      <c r="T474" s="1" t="s">
        <v>170</v>
      </c>
      <c r="U474" s="1">
        <v>146</v>
      </c>
      <c r="V474" s="5">
        <v>44247</v>
      </c>
      <c r="W474" s="5">
        <v>42880</v>
      </c>
      <c r="X474" s="1">
        <v>5600000</v>
      </c>
      <c r="Y474" s="1">
        <v>4900000</v>
      </c>
      <c r="Z474" s="5">
        <v>43026</v>
      </c>
      <c r="AA474" s="1">
        <v>4900000</v>
      </c>
      <c r="AB474" s="1" t="s">
        <v>298</v>
      </c>
      <c r="AC474" s="5">
        <v>43059</v>
      </c>
      <c r="AF474" s="1">
        <v>10007</v>
      </c>
      <c r="AJ474" s="1">
        <v>2016</v>
      </c>
      <c r="AK474" s="1" t="s">
        <v>46</v>
      </c>
      <c r="AL474" s="1">
        <v>157</v>
      </c>
    </row>
    <row r="475" spans="1:38" x14ac:dyDescent="0.2">
      <c r="A475" s="2" t="str">
        <f>HYPERLINK("https://www.compass.com/listing/30-park-place-unit-58d-manhattan-ny-10007/29512133234426817/","30 Park Pl, Unit 58D")</f>
        <v>30 Park Pl, Unit 58D</v>
      </c>
      <c r="B475" s="2" t="str">
        <f t="shared" si="81"/>
        <v>30 Park Pl</v>
      </c>
      <c r="C475" s="1" t="s">
        <v>40</v>
      </c>
      <c r="D475" s="1" t="s">
        <v>41</v>
      </c>
      <c r="E475" s="3">
        <v>4325000</v>
      </c>
      <c r="F475" s="1">
        <v>2812.0936280884198</v>
      </c>
      <c r="G475" s="1">
        <v>4</v>
      </c>
      <c r="H475" s="1">
        <v>2</v>
      </c>
      <c r="I475" s="1">
        <v>3</v>
      </c>
      <c r="J475" s="1">
        <v>2.5</v>
      </c>
      <c r="M475" s="4">
        <v>1538</v>
      </c>
      <c r="N475" s="1">
        <v>1262</v>
      </c>
      <c r="O475" s="1">
        <v>4479</v>
      </c>
      <c r="P475" s="1">
        <v>3217</v>
      </c>
      <c r="Q475" s="1" t="s">
        <v>42</v>
      </c>
      <c r="S475" s="1" t="s">
        <v>42</v>
      </c>
      <c r="T475" s="1" t="s">
        <v>170</v>
      </c>
      <c r="U475" s="1">
        <v>147</v>
      </c>
      <c r="V475" s="5">
        <v>43637</v>
      </c>
      <c r="W475" s="5">
        <v>43117</v>
      </c>
      <c r="X475" s="1">
        <v>4500000</v>
      </c>
      <c r="Y475" s="1">
        <v>4500000</v>
      </c>
      <c r="Z475" s="5">
        <v>43264</v>
      </c>
      <c r="AA475" s="1">
        <v>4325000</v>
      </c>
      <c r="AB475" s="1" t="s">
        <v>299</v>
      </c>
      <c r="AC475" s="5">
        <v>43342</v>
      </c>
      <c r="AF475" s="1">
        <v>10007</v>
      </c>
      <c r="AJ475" s="1">
        <v>2016</v>
      </c>
      <c r="AK475" s="1" t="s">
        <v>46</v>
      </c>
      <c r="AL475" s="1">
        <v>157</v>
      </c>
    </row>
    <row r="476" spans="1:38" x14ac:dyDescent="0.2">
      <c r="A476" s="2" t="str">
        <f>HYPERLINK("https://www.compass.com/listing/30-park-place-unit-39c-manhattan-ny-10007/313710857451817329/","30 Park Pl, Unit 39C")</f>
        <v>30 Park Pl, Unit 39C</v>
      </c>
      <c r="B476" s="2" t="str">
        <f t="shared" si="81"/>
        <v>30 Park Pl</v>
      </c>
      <c r="C476" s="1" t="s">
        <v>40</v>
      </c>
      <c r="D476" s="1" t="s">
        <v>41</v>
      </c>
      <c r="E476" s="3">
        <v>1650000</v>
      </c>
      <c r="F476" s="1">
        <v>2032.01970443349</v>
      </c>
      <c r="G476" s="1">
        <v>3</v>
      </c>
      <c r="H476" s="1">
        <v>1</v>
      </c>
      <c r="I476" s="1">
        <v>1</v>
      </c>
      <c r="J476" s="1">
        <v>1</v>
      </c>
      <c r="K476" s="1">
        <v>1</v>
      </c>
      <c r="M476" s="1">
        <v>812</v>
      </c>
      <c r="N476" s="1">
        <v>665</v>
      </c>
      <c r="O476" s="1">
        <v>2369</v>
      </c>
      <c r="P476" s="1">
        <v>1704</v>
      </c>
      <c r="Q476" s="1" t="s">
        <v>42</v>
      </c>
      <c r="S476" s="1" t="s">
        <v>42</v>
      </c>
      <c r="T476" s="1" t="s">
        <v>170</v>
      </c>
      <c r="U476" s="1">
        <v>133</v>
      </c>
      <c r="V476" s="5">
        <v>43872</v>
      </c>
      <c r="W476" s="5">
        <v>43685</v>
      </c>
      <c r="X476" s="1">
        <v>1900000</v>
      </c>
      <c r="Y476" s="1">
        <v>1900000</v>
      </c>
      <c r="Z476" s="5">
        <v>43818</v>
      </c>
      <c r="AA476" s="1">
        <v>1650000</v>
      </c>
      <c r="AB476" s="1" t="s">
        <v>300</v>
      </c>
      <c r="AC476" s="5">
        <v>43859</v>
      </c>
      <c r="AF476" s="1">
        <v>10007</v>
      </c>
      <c r="AI476" s="1" t="s">
        <v>84</v>
      </c>
      <c r="AJ476" s="1">
        <v>2016</v>
      </c>
      <c r="AK476" s="1" t="s">
        <v>73</v>
      </c>
      <c r="AL476" s="1">
        <v>157</v>
      </c>
    </row>
    <row r="477" spans="1:38" x14ac:dyDescent="0.2">
      <c r="A477" s="2" t="str">
        <f>HYPERLINK("https://www.compass.com/listing/100-barclay-street-unit-15k-manhattan-ny-10007/4852287181919618385/","100 Barclay St, Unit 15K")</f>
        <v>100 Barclay St, Unit 15K</v>
      </c>
      <c r="B477" s="2" t="str">
        <f t="shared" ref="B477:B480" si="82">HYPERLINK("https://www.compass.com/building/100-barclay-manhattan-ny/281896670466155525/","100 Barclay")</f>
        <v>100 Barclay</v>
      </c>
      <c r="C477" s="1" t="s">
        <v>40</v>
      </c>
      <c r="D477" s="1" t="s">
        <v>41</v>
      </c>
      <c r="E477" s="3">
        <v>2800188</v>
      </c>
      <c r="F477" s="1">
        <v>1865.54796802131</v>
      </c>
      <c r="G477" s="1">
        <v>4</v>
      </c>
      <c r="H477" s="1">
        <v>2</v>
      </c>
      <c r="I477" s="1">
        <v>3</v>
      </c>
      <c r="J477" s="1">
        <v>2.5</v>
      </c>
      <c r="M477" s="4">
        <v>1501</v>
      </c>
      <c r="N477" s="1">
        <v>1874</v>
      </c>
      <c r="O477" s="1">
        <v>3713</v>
      </c>
      <c r="P477" s="1">
        <v>1839</v>
      </c>
      <c r="Q477" s="1" t="s">
        <v>42</v>
      </c>
      <c r="S477" s="1" t="s">
        <v>42</v>
      </c>
      <c r="T477" s="1" t="s">
        <v>170</v>
      </c>
      <c r="U477" s="1">
        <v>71</v>
      </c>
      <c r="V477" s="5">
        <v>43081</v>
      </c>
      <c r="W477" s="5">
        <v>42296</v>
      </c>
      <c r="X477" s="1">
        <v>3123000</v>
      </c>
      <c r="Y477" s="1">
        <v>3123000</v>
      </c>
      <c r="Z477" s="5">
        <v>42368</v>
      </c>
      <c r="AA477" s="1">
        <v>2800187.5</v>
      </c>
      <c r="AB477" s="1" t="s">
        <v>301</v>
      </c>
      <c r="AC477" s="5">
        <v>42702</v>
      </c>
      <c r="AF477" s="1">
        <v>10007</v>
      </c>
      <c r="AI477" s="1" t="s">
        <v>45</v>
      </c>
      <c r="AJ477" s="1">
        <v>1930</v>
      </c>
      <c r="AK477" s="1" t="s">
        <v>46</v>
      </c>
      <c r="AL477" s="1">
        <v>156</v>
      </c>
    </row>
    <row r="478" spans="1:38" x14ac:dyDescent="0.2">
      <c r="A478" s="2" t="str">
        <f>HYPERLINK("https://www.compass.com/listing/100-barclay-street-unit-14m-manhattan-ny-10007/4852308691627546769/","100 Barclay St, Unit 14M")</f>
        <v>100 Barclay St, Unit 14M</v>
      </c>
      <c r="B478" s="2" t="str">
        <f t="shared" si="82"/>
        <v>100 Barclay</v>
      </c>
      <c r="C478" s="1" t="s">
        <v>40</v>
      </c>
      <c r="D478" s="1" t="s">
        <v>41</v>
      </c>
      <c r="E478" s="3">
        <v>2902013</v>
      </c>
      <c r="F478" s="1">
        <v>2279.6641791044699</v>
      </c>
      <c r="G478" s="1">
        <v>4</v>
      </c>
      <c r="H478" s="1">
        <v>2</v>
      </c>
      <c r="I478" s="1">
        <v>3</v>
      </c>
      <c r="J478" s="1">
        <v>2.5</v>
      </c>
      <c r="K478" s="1">
        <v>2</v>
      </c>
      <c r="L478" s="1">
        <v>1</v>
      </c>
      <c r="M478" s="4">
        <v>1273</v>
      </c>
      <c r="N478" s="1">
        <v>1698</v>
      </c>
      <c r="O478" s="1">
        <v>3363</v>
      </c>
      <c r="P478" s="1">
        <v>1665</v>
      </c>
      <c r="Q478" s="1" t="s">
        <v>42</v>
      </c>
      <c r="S478" s="1" t="s">
        <v>42</v>
      </c>
      <c r="T478" s="1" t="s">
        <v>170</v>
      </c>
      <c r="V478" s="5">
        <v>44225</v>
      </c>
      <c r="W478" s="5">
        <v>42271</v>
      </c>
      <c r="X478" s="1">
        <v>2904000</v>
      </c>
      <c r="Y478" s="1">
        <v>2904000</v>
      </c>
      <c r="Z478" s="5">
        <v>42272</v>
      </c>
      <c r="AA478" s="1">
        <v>2902012.5</v>
      </c>
      <c r="AB478" s="1" t="s">
        <v>302</v>
      </c>
      <c r="AC478" s="5">
        <v>42696</v>
      </c>
      <c r="AF478" s="1">
        <v>10007</v>
      </c>
      <c r="AI478" s="1" t="s">
        <v>303</v>
      </c>
      <c r="AJ478" s="1">
        <v>1930</v>
      </c>
      <c r="AK478" s="1" t="s">
        <v>73</v>
      </c>
      <c r="AL478" s="1">
        <v>156</v>
      </c>
    </row>
    <row r="479" spans="1:38" x14ac:dyDescent="0.2">
      <c r="A479" s="2" t="str">
        <f>HYPERLINK("https://www.compass.com/listing/100-barclay-street-unit-15j-manhattan-ny-10007/50866899700956817/","100 Barclay St, Unit 15J")</f>
        <v>100 Barclay St, Unit 15J</v>
      </c>
      <c r="B479" s="2" t="str">
        <f t="shared" si="82"/>
        <v>100 Barclay</v>
      </c>
      <c r="C479" s="1" t="s">
        <v>40</v>
      </c>
      <c r="D479" s="1" t="s">
        <v>41</v>
      </c>
      <c r="E479" s="3">
        <v>2545625</v>
      </c>
      <c r="F479" s="1">
        <v>1905.4079341317299</v>
      </c>
      <c r="G479" s="1">
        <v>5</v>
      </c>
      <c r="H479" s="1">
        <v>2</v>
      </c>
      <c r="I479" s="1">
        <v>3</v>
      </c>
      <c r="J479" s="1">
        <v>2.5</v>
      </c>
      <c r="M479" s="4">
        <v>1336</v>
      </c>
      <c r="N479" s="1">
        <v>1753</v>
      </c>
      <c r="O479" s="1">
        <v>3429</v>
      </c>
      <c r="P479" s="1">
        <v>1676</v>
      </c>
      <c r="Q479" s="1" t="s">
        <v>42</v>
      </c>
      <c r="S479" s="1" t="s">
        <v>42</v>
      </c>
      <c r="T479" s="1" t="s">
        <v>170</v>
      </c>
      <c r="V479" s="5">
        <v>43672</v>
      </c>
      <c r="W479" s="5">
        <v>42477</v>
      </c>
      <c r="X479" s="1">
        <v>2549500</v>
      </c>
      <c r="Y479" s="1">
        <v>2549500</v>
      </c>
      <c r="Z479" s="5">
        <v>42477</v>
      </c>
      <c r="AA479" s="1">
        <v>2545625</v>
      </c>
      <c r="AB479" s="1" t="s">
        <v>304</v>
      </c>
      <c r="AC479" s="5">
        <v>42705</v>
      </c>
      <c r="AF479" s="1">
        <v>10007</v>
      </c>
      <c r="AI479" s="1" t="s">
        <v>45</v>
      </c>
      <c r="AJ479" s="1">
        <v>1930</v>
      </c>
      <c r="AK479" s="1" t="s">
        <v>73</v>
      </c>
      <c r="AL479" s="1">
        <v>156</v>
      </c>
    </row>
    <row r="480" spans="1:38" x14ac:dyDescent="0.2">
      <c r="A480" s="2" t="str">
        <f>HYPERLINK("https://www.compass.com/listing/100-barclay-street-unit-15k-manhattan-ny-10007/803358844134598497/","100 Barclay St, Unit 15K")</f>
        <v>100 Barclay St, Unit 15K</v>
      </c>
      <c r="B480" s="2" t="str">
        <f t="shared" si="82"/>
        <v>100 Barclay</v>
      </c>
      <c r="C480" s="1" t="s">
        <v>40</v>
      </c>
      <c r="D480" s="1" t="s">
        <v>41</v>
      </c>
      <c r="E480" s="3">
        <v>2800188</v>
      </c>
      <c r="F480" s="1">
        <v>1865.54796802131</v>
      </c>
      <c r="G480" s="1">
        <v>4</v>
      </c>
      <c r="H480" s="1">
        <v>2</v>
      </c>
      <c r="I480" s="1">
        <v>2</v>
      </c>
      <c r="J480" s="1">
        <v>2.5</v>
      </c>
      <c r="K480" s="1">
        <v>2</v>
      </c>
      <c r="L480" s="1">
        <v>1</v>
      </c>
      <c r="M480" s="4">
        <v>1501</v>
      </c>
      <c r="N480" s="1">
        <v>1926</v>
      </c>
      <c r="O480" s="1">
        <v>3768</v>
      </c>
      <c r="P480" s="1">
        <v>1842</v>
      </c>
      <c r="Q480" s="1" t="s">
        <v>42</v>
      </c>
      <c r="S480" s="1" t="s">
        <v>42</v>
      </c>
      <c r="T480" s="1" t="s">
        <v>170</v>
      </c>
      <c r="U480" s="1">
        <v>180</v>
      </c>
      <c r="V480" s="5">
        <v>43020</v>
      </c>
      <c r="W480" s="5">
        <v>42476</v>
      </c>
      <c r="X480" s="1">
        <v>3123000</v>
      </c>
      <c r="Y480" s="1">
        <v>3123000</v>
      </c>
      <c r="Z480" s="5">
        <v>42657</v>
      </c>
      <c r="AA480" s="1">
        <v>2800187.5</v>
      </c>
      <c r="AB480" s="1" t="s">
        <v>301</v>
      </c>
      <c r="AC480" s="5">
        <v>42702</v>
      </c>
      <c r="AF480" s="1">
        <v>10007</v>
      </c>
      <c r="AI480" s="1" t="s">
        <v>45</v>
      </c>
      <c r="AJ480" s="1">
        <v>1930</v>
      </c>
      <c r="AK480" s="1" t="s">
        <v>73</v>
      </c>
      <c r="AL480" s="1">
        <v>156</v>
      </c>
    </row>
    <row r="481" spans="1:38" x14ac:dyDescent="0.2">
      <c r="A481" s="2" t="str">
        <f>HYPERLINK("https://www.compass.com/listing/211-west-14th-street-unit-5b-manhattan-ny-10011/50128693741292257/","211 W 14th St, Unit 5B")</f>
        <v>211 W 14th St, Unit 5B</v>
      </c>
      <c r="B481" s="2" t="str">
        <f>HYPERLINK("https://www.compass.com/building/dorsay-manhattan-ny/292801633543285477/","d'Orsay")</f>
        <v>d'Orsay</v>
      </c>
      <c r="C481" s="1" t="s">
        <v>99</v>
      </c>
      <c r="D481" s="1" t="s">
        <v>41</v>
      </c>
      <c r="E481" s="3">
        <v>2945000</v>
      </c>
      <c r="F481" s="1">
        <v>2137.1552975326499</v>
      </c>
      <c r="G481" s="1">
        <v>4</v>
      </c>
      <c r="H481" s="1">
        <v>2</v>
      </c>
      <c r="I481" s="1">
        <v>3</v>
      </c>
      <c r="J481" s="1">
        <v>2.5</v>
      </c>
      <c r="K481" s="1">
        <v>2</v>
      </c>
      <c r="L481" s="1">
        <v>1</v>
      </c>
      <c r="M481" s="4">
        <v>1378</v>
      </c>
      <c r="N481" s="1">
        <v>2709.52</v>
      </c>
      <c r="O481" s="1">
        <v>4630.07</v>
      </c>
      <c r="P481" s="1">
        <v>1920.5833333333301</v>
      </c>
      <c r="Q481" s="1" t="s">
        <v>42</v>
      </c>
      <c r="S481" s="1" t="s">
        <v>42</v>
      </c>
      <c r="T481" s="1" t="s">
        <v>170</v>
      </c>
      <c r="U481" s="1">
        <v>393</v>
      </c>
      <c r="V481" s="5">
        <v>43757</v>
      </c>
      <c r="W481" s="5">
        <v>43322</v>
      </c>
      <c r="X481" s="1">
        <v>2995000</v>
      </c>
      <c r="Y481" s="1">
        <v>2995000</v>
      </c>
      <c r="Z481" s="5">
        <v>43715</v>
      </c>
      <c r="AA481" s="1">
        <v>2945000</v>
      </c>
      <c r="AB481" s="1" t="s">
        <v>305</v>
      </c>
      <c r="AC481" s="5">
        <v>43728</v>
      </c>
      <c r="AF481" s="1">
        <v>10011</v>
      </c>
      <c r="AI481" s="1" t="s">
        <v>53</v>
      </c>
      <c r="AJ481" s="1">
        <v>2018</v>
      </c>
      <c r="AK481" s="1" t="s">
        <v>73</v>
      </c>
      <c r="AL481" s="1">
        <v>21</v>
      </c>
    </row>
    <row r="482" spans="1:38" x14ac:dyDescent="0.2">
      <c r="A482" s="2" t="str">
        <f>HYPERLINK("https://www.compass.com/listing/30-park-place-unit-53c-manhattan-ny-10007/29357571865316625/","30 Park Pl, Unit 53C")</f>
        <v>30 Park Pl, Unit 53C</v>
      </c>
      <c r="B482" s="2" t="str">
        <f t="shared" ref="B482:B483" si="83">HYPERLINK("https://www.compass.com/building/30-park-pl-manhattan-ny-10007/281896912905317605/","30 Park Pl")</f>
        <v>30 Park Pl</v>
      </c>
      <c r="C482" s="1" t="s">
        <v>40</v>
      </c>
      <c r="D482" s="1" t="s">
        <v>41</v>
      </c>
      <c r="E482" s="3">
        <v>3808255</v>
      </c>
      <c r="F482" s="1">
        <v>2468.0848995463298</v>
      </c>
      <c r="G482" s="1">
        <v>4</v>
      </c>
      <c r="H482" s="1">
        <v>2</v>
      </c>
      <c r="I482" s="1">
        <v>2</v>
      </c>
      <c r="J482" s="1">
        <v>2</v>
      </c>
      <c r="K482" s="1">
        <v>2</v>
      </c>
      <c r="M482" s="4">
        <v>1543</v>
      </c>
      <c r="N482" s="1">
        <v>1228</v>
      </c>
      <c r="O482" s="1">
        <v>4359</v>
      </c>
      <c r="P482" s="1">
        <v>3131</v>
      </c>
      <c r="Q482" s="1" t="s">
        <v>42</v>
      </c>
      <c r="S482" s="1" t="s">
        <v>42</v>
      </c>
      <c r="T482" s="1" t="s">
        <v>170</v>
      </c>
      <c r="U482" s="1">
        <v>17</v>
      </c>
      <c r="V482" s="5">
        <v>43672</v>
      </c>
      <c r="W482" s="5">
        <v>41814</v>
      </c>
      <c r="X482" s="1">
        <v>4315000</v>
      </c>
      <c r="Y482" s="1">
        <v>3740000</v>
      </c>
      <c r="Z482" s="5">
        <v>41831</v>
      </c>
      <c r="AA482" s="1">
        <v>3808255</v>
      </c>
      <c r="AB482" s="1" t="s">
        <v>306</v>
      </c>
      <c r="AC482" s="5">
        <v>42702</v>
      </c>
      <c r="AF482" s="1">
        <v>10007</v>
      </c>
      <c r="AJ482" s="1">
        <v>2016</v>
      </c>
      <c r="AK482" s="1" t="s">
        <v>73</v>
      </c>
      <c r="AL482" s="1">
        <v>157</v>
      </c>
    </row>
    <row r="483" spans="1:38" x14ac:dyDescent="0.2">
      <c r="A483" s="2" t="str">
        <f>HYPERLINK("https://www.compass.com/listing/30-park-place-unit-57c-manhattan-ny-10007/29357577292746097/","30 Park Pl, Unit 57C")</f>
        <v>30 Park Pl, Unit 57C</v>
      </c>
      <c r="B483" s="2" t="str">
        <f t="shared" si="83"/>
        <v>30 Park Pl</v>
      </c>
      <c r="C483" s="1" t="s">
        <v>40</v>
      </c>
      <c r="D483" s="1" t="s">
        <v>41</v>
      </c>
      <c r="E483" s="3">
        <v>3716613</v>
      </c>
      <c r="F483" s="1">
        <v>2591.7803347280301</v>
      </c>
      <c r="G483" s="1">
        <v>4</v>
      </c>
      <c r="H483" s="1">
        <v>2</v>
      </c>
      <c r="I483" s="1">
        <v>2</v>
      </c>
      <c r="J483" s="1">
        <v>2</v>
      </c>
      <c r="K483" s="1">
        <v>2</v>
      </c>
      <c r="M483" s="4">
        <v>1434</v>
      </c>
      <c r="N483" s="1">
        <v>1151</v>
      </c>
      <c r="O483" s="1">
        <v>4084</v>
      </c>
      <c r="P483" s="1">
        <v>2933</v>
      </c>
      <c r="Q483" s="1" t="s">
        <v>42</v>
      </c>
      <c r="S483" s="1" t="s">
        <v>42</v>
      </c>
      <c r="T483" s="1" t="s">
        <v>170</v>
      </c>
      <c r="U483" s="1">
        <v>2</v>
      </c>
      <c r="V483" s="5">
        <v>43672</v>
      </c>
      <c r="W483" s="5">
        <v>41835</v>
      </c>
      <c r="X483" s="1">
        <v>3650000</v>
      </c>
      <c r="Y483" s="1">
        <v>3650000</v>
      </c>
      <c r="Z483" s="5">
        <v>41837</v>
      </c>
      <c r="AA483" s="1">
        <v>3716613</v>
      </c>
      <c r="AB483" s="1" t="s">
        <v>307</v>
      </c>
      <c r="AC483" s="5">
        <v>42742</v>
      </c>
      <c r="AF483" s="1">
        <v>10007</v>
      </c>
      <c r="AJ483" s="1">
        <v>2016</v>
      </c>
      <c r="AK483" s="1" t="s">
        <v>73</v>
      </c>
      <c r="AL483" s="1">
        <v>157</v>
      </c>
    </row>
    <row r="484" spans="1:38" x14ac:dyDescent="0.2">
      <c r="A484" s="2" t="str">
        <f>HYPERLINK("https://www.compass.com/listing/211-west-14th-street-unit-4b-manhattan-ny-10011/29514443968820369/","211 W 14th St, Unit 4B")</f>
        <v>211 W 14th St, Unit 4B</v>
      </c>
      <c r="B484" s="2" t="str">
        <f t="shared" ref="B484:B486" si="84">HYPERLINK("https://www.compass.com/building/dorsay-manhattan-ny/292801633543285477/","d'Orsay")</f>
        <v>d'Orsay</v>
      </c>
      <c r="C484" s="1" t="s">
        <v>99</v>
      </c>
      <c r="D484" s="1" t="s">
        <v>41</v>
      </c>
      <c r="E484" s="3">
        <v>3052408</v>
      </c>
      <c r="F484" s="1">
        <v>2177.1811697574799</v>
      </c>
      <c r="G484" s="1">
        <v>4</v>
      </c>
      <c r="H484" s="1">
        <v>2</v>
      </c>
      <c r="I484" s="1">
        <v>3</v>
      </c>
      <c r="J484" s="1">
        <v>2.5</v>
      </c>
      <c r="K484" s="1">
        <v>2</v>
      </c>
      <c r="L484" s="1">
        <v>1</v>
      </c>
      <c r="M484" s="4">
        <v>1402</v>
      </c>
      <c r="N484" s="1">
        <v>2745</v>
      </c>
      <c r="O484" s="1">
        <v>3993</v>
      </c>
      <c r="P484" s="1">
        <v>1248</v>
      </c>
      <c r="Q484" s="1" t="s">
        <v>42</v>
      </c>
      <c r="S484" s="1" t="s">
        <v>42</v>
      </c>
      <c r="T484" s="1" t="s">
        <v>170</v>
      </c>
      <c r="U484" s="1">
        <v>4</v>
      </c>
      <c r="V484" s="5">
        <v>43700</v>
      </c>
      <c r="W484" s="5">
        <v>43217</v>
      </c>
      <c r="X484" s="1">
        <v>2995000</v>
      </c>
      <c r="Y484" s="1">
        <v>2995000</v>
      </c>
      <c r="Z484" s="5">
        <v>43221</v>
      </c>
      <c r="AA484" s="1">
        <v>3052408.75</v>
      </c>
      <c r="AB484" s="1" t="s">
        <v>308</v>
      </c>
      <c r="AC484" s="5">
        <v>43272</v>
      </c>
      <c r="AF484" s="1">
        <v>10011</v>
      </c>
      <c r="AI484" s="1" t="s">
        <v>53</v>
      </c>
      <c r="AJ484" s="1">
        <v>2018</v>
      </c>
      <c r="AK484" s="1" t="s">
        <v>73</v>
      </c>
      <c r="AL484" s="1">
        <v>21</v>
      </c>
    </row>
    <row r="485" spans="1:38" x14ac:dyDescent="0.2">
      <c r="A485" s="2" t="str">
        <f>HYPERLINK("https://www.compass.com/listing/211-west-14th-street-unit-9a-manhattan-ny-10011/29514444941898929/","211 W 14th St, Unit 9A")</f>
        <v>211 W 14th St, Unit 9A</v>
      </c>
      <c r="B485" s="2" t="str">
        <f t="shared" si="84"/>
        <v>d'Orsay</v>
      </c>
      <c r="C485" s="1" t="s">
        <v>99</v>
      </c>
      <c r="D485" s="1" t="s">
        <v>41</v>
      </c>
      <c r="E485" s="3">
        <v>3400000</v>
      </c>
      <c r="F485" s="1">
        <v>2552.55255255255</v>
      </c>
      <c r="G485" s="1">
        <v>4</v>
      </c>
      <c r="H485" s="1">
        <v>2</v>
      </c>
      <c r="I485" s="1">
        <v>3</v>
      </c>
      <c r="J485" s="1">
        <v>2.5</v>
      </c>
      <c r="K485" s="1">
        <v>2</v>
      </c>
      <c r="L485" s="1">
        <v>1</v>
      </c>
      <c r="M485" s="4">
        <v>1332</v>
      </c>
      <c r="N485" s="1">
        <v>2672</v>
      </c>
      <c r="O485" s="1">
        <v>3887</v>
      </c>
      <c r="P485" s="1">
        <v>1215</v>
      </c>
      <c r="Q485" s="1" t="s">
        <v>42</v>
      </c>
      <c r="S485" s="1" t="s">
        <v>42</v>
      </c>
      <c r="T485" s="1" t="s">
        <v>170</v>
      </c>
      <c r="U485" s="1">
        <v>17</v>
      </c>
      <c r="V485" s="5">
        <v>43678</v>
      </c>
      <c r="W485" s="5">
        <v>42679</v>
      </c>
      <c r="X485" s="1">
        <v>3475000</v>
      </c>
      <c r="Y485" s="1">
        <v>3500000</v>
      </c>
      <c r="Z485" s="5">
        <v>42696</v>
      </c>
      <c r="AA485" s="1">
        <v>3400000</v>
      </c>
      <c r="AB485" s="1" t="s">
        <v>309</v>
      </c>
      <c r="AC485" s="5">
        <v>43328</v>
      </c>
      <c r="AF485" s="1">
        <v>10011</v>
      </c>
      <c r="AI485" s="1" t="s">
        <v>281</v>
      </c>
      <c r="AJ485" s="1">
        <v>2018</v>
      </c>
      <c r="AK485" s="1" t="s">
        <v>73</v>
      </c>
      <c r="AL485" s="1">
        <v>21</v>
      </c>
    </row>
    <row r="486" spans="1:38" x14ac:dyDescent="0.2">
      <c r="A486" s="2" t="str">
        <f>HYPERLINK("https://www.compass.com/listing/211-west-14th-street-unit-3b-manhattan-ny-10011/50128692743000001/","211 W 14th St, Unit 3B")</f>
        <v>211 W 14th St, Unit 3B</v>
      </c>
      <c r="B486" s="2" t="str">
        <f t="shared" si="84"/>
        <v>d'Orsay</v>
      </c>
      <c r="C486" s="1" t="s">
        <v>99</v>
      </c>
      <c r="D486" s="1" t="s">
        <v>41</v>
      </c>
      <c r="E486" s="3">
        <v>3285000</v>
      </c>
      <c r="F486" s="1">
        <v>2343.0813124108399</v>
      </c>
      <c r="G486" s="1">
        <v>4</v>
      </c>
      <c r="H486" s="1">
        <v>2</v>
      </c>
      <c r="I486" s="1">
        <v>3</v>
      </c>
      <c r="J486" s="1">
        <v>2.5</v>
      </c>
      <c r="K486" s="1">
        <v>2</v>
      </c>
      <c r="L486" s="1">
        <v>1</v>
      </c>
      <c r="M486" s="4">
        <v>1402</v>
      </c>
      <c r="N486" s="1">
        <v>2932.66</v>
      </c>
      <c r="O486" s="1">
        <v>5011.3599999999997</v>
      </c>
      <c r="P486" s="1">
        <v>2078.6666666666601</v>
      </c>
      <c r="Q486" s="1" t="s">
        <v>42</v>
      </c>
      <c r="S486" s="1" t="s">
        <v>42</v>
      </c>
      <c r="T486" s="1" t="s">
        <v>170</v>
      </c>
      <c r="U486" s="1">
        <v>404</v>
      </c>
      <c r="V486" s="5">
        <v>43783</v>
      </c>
      <c r="W486" s="5">
        <v>43322</v>
      </c>
      <c r="X486" s="1">
        <v>3350000</v>
      </c>
      <c r="Y486" s="1">
        <v>3350000</v>
      </c>
      <c r="Z486" s="5">
        <v>43726</v>
      </c>
      <c r="AA486" s="1">
        <v>3285000</v>
      </c>
      <c r="AB486" s="1" t="s">
        <v>310</v>
      </c>
      <c r="AC486" s="5">
        <v>43756</v>
      </c>
      <c r="AF486" s="1">
        <v>10011</v>
      </c>
      <c r="AI486" s="1" t="s">
        <v>95</v>
      </c>
      <c r="AJ486" s="1">
        <v>2018</v>
      </c>
      <c r="AK486" s="1" t="s">
        <v>73</v>
      </c>
      <c r="AL486" s="1">
        <v>21</v>
      </c>
    </row>
    <row r="487" spans="1:38" x14ac:dyDescent="0.2">
      <c r="A487" s="2" t="str">
        <f>HYPERLINK("https://www.compass.com/listing/30-park-place-unit-54c-manhattan-ny-10007/29357573165649041/","30 Park Pl, Unit 54C")</f>
        <v>30 Park Pl, Unit 54C</v>
      </c>
      <c r="B487" s="2" t="str">
        <f>HYPERLINK("https://www.compass.com/building/30-park-pl-manhattan-ny-10007/281896912905317605/","30 Park Pl")</f>
        <v>30 Park Pl</v>
      </c>
      <c r="C487" s="1" t="s">
        <v>40</v>
      </c>
      <c r="D487" s="1" t="s">
        <v>41</v>
      </c>
      <c r="E487" s="3">
        <v>3848985</v>
      </c>
      <c r="F487" s="1">
        <v>2494.48152948801</v>
      </c>
      <c r="G487" s="1">
        <v>4</v>
      </c>
      <c r="H487" s="1">
        <v>2</v>
      </c>
      <c r="I487" s="1">
        <v>2</v>
      </c>
      <c r="J487" s="1">
        <v>2</v>
      </c>
      <c r="K487" s="1">
        <v>2</v>
      </c>
      <c r="M487" s="4">
        <v>1543</v>
      </c>
      <c r="N487" s="1">
        <v>1230</v>
      </c>
      <c r="O487" s="1">
        <v>4366</v>
      </c>
      <c r="P487" s="1">
        <v>3136</v>
      </c>
      <c r="Q487" s="1" t="s">
        <v>42</v>
      </c>
      <c r="S487" s="1" t="s">
        <v>42</v>
      </c>
      <c r="T487" s="1" t="s">
        <v>170</v>
      </c>
      <c r="U487" s="1">
        <v>4</v>
      </c>
      <c r="V487" s="5">
        <v>43665</v>
      </c>
      <c r="W487" s="5">
        <v>41796</v>
      </c>
      <c r="X487" s="1">
        <v>4205000</v>
      </c>
      <c r="Y487" s="1">
        <v>3780000</v>
      </c>
      <c r="Z487" s="5">
        <v>41800</v>
      </c>
      <c r="AA487" s="1">
        <v>3848985</v>
      </c>
      <c r="AB487" s="1" t="s">
        <v>311</v>
      </c>
      <c r="AC487" s="5">
        <v>42716</v>
      </c>
      <c r="AF487" s="1">
        <v>10007</v>
      </c>
      <c r="AJ487" s="1">
        <v>2016</v>
      </c>
      <c r="AK487" s="1" t="s">
        <v>73</v>
      </c>
      <c r="AL487" s="1">
        <v>157</v>
      </c>
    </row>
    <row r="488" spans="1:38" x14ac:dyDescent="0.2">
      <c r="A488" s="2" t="str">
        <f>HYPERLINK("https://www.compass.com/listing/211-west-14th-street-unit-4b-manhattan-ny-10011/803348543779795841/","211 W 14th St, Unit 4B")</f>
        <v>211 W 14th St, Unit 4B</v>
      </c>
      <c r="B488" s="2" t="str">
        <f>HYPERLINK("https://www.compass.com/building/dorsay-manhattan-ny/292801633543285477/","d'Orsay")</f>
        <v>d'Orsay</v>
      </c>
      <c r="C488" s="1" t="s">
        <v>99</v>
      </c>
      <c r="D488" s="1" t="s">
        <v>41</v>
      </c>
      <c r="E488" s="3">
        <v>3052409</v>
      </c>
      <c r="F488" s="1">
        <v>2177.1817047075601</v>
      </c>
      <c r="G488" s="1">
        <v>4</v>
      </c>
      <c r="H488" s="1">
        <v>2</v>
      </c>
      <c r="I488" s="1">
        <v>3</v>
      </c>
      <c r="J488" s="1">
        <v>2.5</v>
      </c>
      <c r="M488" s="4">
        <v>1402</v>
      </c>
      <c r="N488" s="1">
        <v>2743</v>
      </c>
      <c r="O488" s="1">
        <v>3809</v>
      </c>
      <c r="P488" s="1">
        <v>1066</v>
      </c>
      <c r="Q488" s="1" t="s">
        <v>42</v>
      </c>
      <c r="S488" s="1" t="s">
        <v>42</v>
      </c>
      <c r="T488" s="1" t="s">
        <v>170</v>
      </c>
      <c r="U488" s="1">
        <v>333</v>
      </c>
      <c r="V488" s="5">
        <v>43173</v>
      </c>
      <c r="W488" s="5">
        <v>42677</v>
      </c>
      <c r="X488" s="1">
        <v>3125000</v>
      </c>
      <c r="Y488" s="1">
        <v>3125000</v>
      </c>
      <c r="AA488" s="1">
        <v>3052408.75</v>
      </c>
      <c r="AB488" s="1" t="s">
        <v>308</v>
      </c>
      <c r="AC488" s="5">
        <v>43272</v>
      </c>
      <c r="AF488" s="1">
        <v>10011</v>
      </c>
      <c r="AI488" s="1" t="s">
        <v>53</v>
      </c>
      <c r="AJ488" s="1">
        <v>2018</v>
      </c>
      <c r="AK488" s="1" t="s">
        <v>73</v>
      </c>
      <c r="AL488" s="1">
        <v>21</v>
      </c>
    </row>
    <row r="489" spans="1:38" x14ac:dyDescent="0.2">
      <c r="A489" s="2" t="str">
        <f>HYPERLINK("https://www.compass.com/listing/100-barrow-street-unit-4d-manhattan-ny-10014/533345550182037545/","100 Barrow St, Unit 4D")</f>
        <v>100 Barrow St, Unit 4D</v>
      </c>
      <c r="B489" s="2" t="str">
        <f>HYPERLINK("https://www.compass.com/building/100-barrow-manhattan-ny/292834978184618837/","100 Barrow")</f>
        <v>100 Barrow</v>
      </c>
      <c r="C489" s="1" t="s">
        <v>71</v>
      </c>
      <c r="D489" s="1" t="s">
        <v>41</v>
      </c>
      <c r="E489" s="3">
        <v>3460000</v>
      </c>
      <c r="F489" s="1">
        <v>1957.01357466063</v>
      </c>
      <c r="G489" s="1">
        <v>4</v>
      </c>
      <c r="H489" s="1">
        <v>2</v>
      </c>
      <c r="I489" s="1">
        <v>3</v>
      </c>
      <c r="J489" s="1">
        <v>3</v>
      </c>
      <c r="K489" s="1">
        <v>3</v>
      </c>
      <c r="M489" s="4">
        <v>1768</v>
      </c>
      <c r="N489" s="1">
        <v>5136</v>
      </c>
      <c r="O489" s="1">
        <v>5136</v>
      </c>
      <c r="Q489" s="1" t="s">
        <v>169</v>
      </c>
      <c r="S489" s="1" t="s">
        <v>169</v>
      </c>
      <c r="T489" s="1" t="s">
        <v>170</v>
      </c>
      <c r="U489" s="1">
        <v>248</v>
      </c>
      <c r="V489" s="5">
        <v>44322</v>
      </c>
      <c r="W489" s="5">
        <v>43987</v>
      </c>
      <c r="X489" s="1">
        <v>3800000</v>
      </c>
      <c r="Y489" s="1">
        <v>3800000</v>
      </c>
      <c r="AA489" s="1">
        <v>3460000</v>
      </c>
      <c r="AB489" s="1" t="s">
        <v>171</v>
      </c>
      <c r="AC489" s="5">
        <v>44256</v>
      </c>
      <c r="AF489" s="1">
        <v>10014</v>
      </c>
      <c r="AJ489" s="1">
        <v>2015</v>
      </c>
      <c r="AK489" s="1" t="s">
        <v>73</v>
      </c>
      <c r="AL489" s="1">
        <v>33</v>
      </c>
    </row>
    <row r="490" spans="1:38" x14ac:dyDescent="0.2">
      <c r="A490" s="2" t="str">
        <f>HYPERLINK("https://www.compass.com/listing/100-barclay-street-unit-13h-manhattan-ny-10007/4852264120285671713/","100 Barclay St, Unit 13H")</f>
        <v>100 Barclay St, Unit 13H</v>
      </c>
      <c r="B490" s="2" t="str">
        <f>HYPERLINK("https://www.compass.com/building/100-barclay-manhattan-ny/281896670466155525/","100 Barclay")</f>
        <v>100 Barclay</v>
      </c>
      <c r="C490" s="1" t="s">
        <v>40</v>
      </c>
      <c r="D490" s="1" t="s">
        <v>41</v>
      </c>
      <c r="E490" s="3">
        <v>2698362</v>
      </c>
      <c r="F490" s="1">
        <v>1516.78583473861</v>
      </c>
      <c r="G490" s="1">
        <v>5</v>
      </c>
      <c r="H490" s="1">
        <v>2</v>
      </c>
      <c r="I490" s="1">
        <v>3</v>
      </c>
      <c r="J490" s="1">
        <v>3</v>
      </c>
      <c r="M490" s="4">
        <v>1779</v>
      </c>
      <c r="N490" s="1">
        <v>2283</v>
      </c>
      <c r="O490" s="1">
        <v>4466</v>
      </c>
      <c r="P490" s="1">
        <v>2183</v>
      </c>
      <c r="Q490" s="1" t="s">
        <v>42</v>
      </c>
      <c r="S490" s="1" t="s">
        <v>42</v>
      </c>
      <c r="T490" s="1" t="s">
        <v>170</v>
      </c>
      <c r="V490" s="5">
        <v>43623</v>
      </c>
      <c r="W490" s="5">
        <v>42477</v>
      </c>
      <c r="X490" s="1">
        <v>2752000</v>
      </c>
      <c r="Y490" s="1">
        <v>2752000</v>
      </c>
      <c r="Z490" s="5">
        <v>42477</v>
      </c>
      <c r="AA490" s="1">
        <v>2698362</v>
      </c>
      <c r="AB490" s="1" t="s">
        <v>312</v>
      </c>
      <c r="AC490" s="5">
        <v>42747</v>
      </c>
      <c r="AF490" s="1">
        <v>10007</v>
      </c>
      <c r="AI490" s="1" t="s">
        <v>45</v>
      </c>
      <c r="AJ490" s="1">
        <v>1930</v>
      </c>
      <c r="AK490" s="1" t="s">
        <v>73</v>
      </c>
      <c r="AL490" s="1">
        <v>156</v>
      </c>
    </row>
    <row r="491" spans="1:38" x14ac:dyDescent="0.2">
      <c r="A491" s="2" t="str">
        <f>HYPERLINK("https://www.compass.com/listing/30-park-place-unit-50c-manhattan-ny-10007/29357568308644929/","30 Park Pl, Unit 50C")</f>
        <v>30 Park Pl, Unit 50C</v>
      </c>
      <c r="B491" s="2" t="str">
        <f t="shared" ref="B491:B492" si="85">HYPERLINK("https://www.compass.com/building/30-park-pl-manhattan-ny-10007/281896912905317605/","30 Park Pl")</f>
        <v>30 Park Pl</v>
      </c>
      <c r="C491" s="1" t="s">
        <v>40</v>
      </c>
      <c r="D491" s="1" t="s">
        <v>41</v>
      </c>
      <c r="E491" s="3">
        <v>3283856</v>
      </c>
      <c r="F491" s="1">
        <v>2963.7689530685898</v>
      </c>
      <c r="G491" s="1">
        <v>3</v>
      </c>
      <c r="H491" s="1">
        <v>1</v>
      </c>
      <c r="I491" s="1">
        <v>1</v>
      </c>
      <c r="J491" s="1">
        <v>1</v>
      </c>
      <c r="K491" s="1">
        <v>1</v>
      </c>
      <c r="M491" s="4">
        <v>1108</v>
      </c>
      <c r="N491" s="1">
        <v>888</v>
      </c>
      <c r="O491" s="1">
        <v>3152</v>
      </c>
      <c r="P491" s="1">
        <v>2264</v>
      </c>
      <c r="Q491" s="1" t="s">
        <v>42</v>
      </c>
      <c r="S491" s="1" t="s">
        <v>42</v>
      </c>
      <c r="T491" s="1" t="s">
        <v>170</v>
      </c>
      <c r="U491" s="1">
        <v>13</v>
      </c>
      <c r="V491" s="5">
        <v>43672</v>
      </c>
      <c r="W491" s="5">
        <v>41927</v>
      </c>
      <c r="X491" s="1">
        <v>3225000</v>
      </c>
      <c r="Y491" s="1">
        <v>3225000</v>
      </c>
      <c r="Z491" s="5">
        <v>41940</v>
      </c>
      <c r="AA491" s="1">
        <v>3283856</v>
      </c>
      <c r="AB491" s="1" t="s">
        <v>313</v>
      </c>
      <c r="AC491" s="5">
        <v>42690</v>
      </c>
      <c r="AF491" s="1">
        <v>10007</v>
      </c>
      <c r="AJ491" s="1">
        <v>2016</v>
      </c>
      <c r="AK491" s="1" t="s">
        <v>73</v>
      </c>
      <c r="AL491" s="1">
        <v>157</v>
      </c>
    </row>
    <row r="492" spans="1:38" x14ac:dyDescent="0.2">
      <c r="A492" s="2" t="str">
        <f>HYPERLINK("https://www.compass.com/listing/30-park-place-unit-43c-manhattan-ny-10007/29357559232072769/","30 Park Pl, Unit 43C")</f>
        <v>30 Park Pl, Unit 43C</v>
      </c>
      <c r="B492" s="2" t="str">
        <f t="shared" si="85"/>
        <v>30 Park Pl</v>
      </c>
      <c r="C492" s="1" t="s">
        <v>40</v>
      </c>
      <c r="D492" s="1" t="s">
        <v>41</v>
      </c>
      <c r="E492" s="3">
        <v>3141301</v>
      </c>
      <c r="F492" s="1">
        <v>2835.1092057761698</v>
      </c>
      <c r="G492" s="1">
        <v>3</v>
      </c>
      <c r="H492" s="1">
        <v>1</v>
      </c>
      <c r="I492" s="1">
        <v>1</v>
      </c>
      <c r="J492" s="1">
        <v>1</v>
      </c>
      <c r="K492" s="1">
        <v>1</v>
      </c>
      <c r="M492" s="4">
        <v>1108</v>
      </c>
      <c r="N492" s="1">
        <v>881</v>
      </c>
      <c r="O492" s="1">
        <v>3126</v>
      </c>
      <c r="P492" s="1">
        <v>2245</v>
      </c>
      <c r="Q492" s="1" t="s">
        <v>42</v>
      </c>
      <c r="S492" s="1" t="s">
        <v>42</v>
      </c>
      <c r="T492" s="1" t="s">
        <v>170</v>
      </c>
      <c r="U492" s="1">
        <v>4</v>
      </c>
      <c r="V492" s="5">
        <v>43672</v>
      </c>
      <c r="W492" s="5">
        <v>42035</v>
      </c>
      <c r="X492" s="1">
        <v>3085000</v>
      </c>
      <c r="Y492" s="1">
        <v>3085000</v>
      </c>
      <c r="Z492" s="5">
        <v>42039</v>
      </c>
      <c r="AA492" s="1">
        <v>3141301</v>
      </c>
      <c r="AB492" s="1" t="s">
        <v>314</v>
      </c>
      <c r="AC492" s="5">
        <v>42689</v>
      </c>
      <c r="AF492" s="1">
        <v>10007</v>
      </c>
      <c r="AJ492" s="1">
        <v>2016</v>
      </c>
      <c r="AK492" s="1" t="s">
        <v>73</v>
      </c>
      <c r="AL492" s="1">
        <v>157</v>
      </c>
    </row>
    <row r="493" spans="1:38" x14ac:dyDescent="0.2">
      <c r="A493" s="2" t="str">
        <f>HYPERLINK("https://www.compass.com/listing/100-barclay-street-unit-13p-manhattan-ny-10007/4852275316795638849/","100 Barclay St, Unit 13P")</f>
        <v>100 Barclay St, Unit 13P</v>
      </c>
      <c r="B493" s="2" t="str">
        <f>HYPERLINK("https://www.compass.com/building/100-barclay-manhattan-ny/281896670466155525/","100 Barclay")</f>
        <v>100 Barclay</v>
      </c>
      <c r="C493" s="1" t="s">
        <v>40</v>
      </c>
      <c r="D493" s="1" t="s">
        <v>41</v>
      </c>
      <c r="E493" s="3">
        <v>2978381</v>
      </c>
      <c r="F493" s="1">
        <v>1888.6372859860401</v>
      </c>
      <c r="G493" s="1">
        <v>5</v>
      </c>
      <c r="H493" s="1">
        <v>2</v>
      </c>
      <c r="I493" s="1">
        <v>2</v>
      </c>
      <c r="J493" s="1">
        <v>2</v>
      </c>
      <c r="M493" s="4">
        <v>1577</v>
      </c>
      <c r="N493" s="1">
        <v>2023</v>
      </c>
      <c r="O493" s="1">
        <v>3958</v>
      </c>
      <c r="P493" s="1">
        <v>1935</v>
      </c>
      <c r="Q493" s="1" t="s">
        <v>42</v>
      </c>
      <c r="S493" s="1" t="s">
        <v>42</v>
      </c>
      <c r="T493" s="1" t="s">
        <v>170</v>
      </c>
      <c r="V493" s="5">
        <v>43623</v>
      </c>
      <c r="W493" s="5">
        <v>42477</v>
      </c>
      <c r="X493" s="1">
        <v>2974500</v>
      </c>
      <c r="Y493" s="1">
        <v>2974500</v>
      </c>
      <c r="Z493" s="5">
        <v>42477</v>
      </c>
      <c r="AA493" s="1">
        <v>2978381</v>
      </c>
      <c r="AB493" s="1" t="s">
        <v>315</v>
      </c>
      <c r="AC493" s="5">
        <v>42748</v>
      </c>
      <c r="AF493" s="1">
        <v>10007</v>
      </c>
      <c r="AI493" s="1" t="s">
        <v>45</v>
      </c>
      <c r="AJ493" s="1">
        <v>1930</v>
      </c>
      <c r="AK493" s="1" t="s">
        <v>73</v>
      </c>
      <c r="AL493" s="1">
        <v>156</v>
      </c>
    </row>
    <row r="494" spans="1:38" x14ac:dyDescent="0.2">
      <c r="A494" s="2" t="str">
        <f>HYPERLINK("https://www.compass.com/listing/30-park-place-unit-66b-manhattan-ny-10007/79369421684013073/","30 Park Pl, Unit 66B")</f>
        <v>30 Park Pl, Unit 66B</v>
      </c>
      <c r="B494" s="2" t="str">
        <f>HYPERLINK("https://www.compass.com/building/30-park-pl-manhattan-ny-10007/281896912905317605/","30 Park Pl")</f>
        <v>30 Park Pl</v>
      </c>
      <c r="C494" s="1" t="s">
        <v>40</v>
      </c>
      <c r="D494" s="1" t="s">
        <v>41</v>
      </c>
      <c r="E494" s="3">
        <v>8527106</v>
      </c>
      <c r="F494" s="1">
        <v>3241.0133029266399</v>
      </c>
      <c r="G494" s="1">
        <v>5</v>
      </c>
      <c r="H494" s="1">
        <v>3</v>
      </c>
      <c r="I494" s="1">
        <v>3</v>
      </c>
      <c r="J494" s="1">
        <v>3</v>
      </c>
      <c r="M494" s="4">
        <v>2631</v>
      </c>
      <c r="N494" s="1">
        <v>2185</v>
      </c>
      <c r="O494" s="1">
        <v>7755</v>
      </c>
      <c r="P494" s="1">
        <v>5570</v>
      </c>
      <c r="Q494" s="1" t="s">
        <v>42</v>
      </c>
      <c r="S494" s="1" t="s">
        <v>42</v>
      </c>
      <c r="T494" s="1" t="s">
        <v>170</v>
      </c>
      <c r="V494" s="5">
        <v>42891</v>
      </c>
      <c r="AB494" s="1" t="s">
        <v>181</v>
      </c>
      <c r="AF494" s="1">
        <v>10007</v>
      </c>
      <c r="AJ494" s="1">
        <v>2016</v>
      </c>
      <c r="AK494" s="1" t="s">
        <v>73</v>
      </c>
      <c r="AL494" s="1">
        <v>157</v>
      </c>
    </row>
    <row r="495" spans="1:38" x14ac:dyDescent="0.2">
      <c r="A495" s="2" t="str">
        <f>HYPERLINK("https://www.compass.com/listing/100-barclay-street-unit-13j-manhattan-ny-10007/4852306547440626625/","100 Barclay St, Unit 13J")</f>
        <v>100 Barclay St, Unit 13J</v>
      </c>
      <c r="B495" s="2" t="str">
        <f>HYPERLINK("https://www.compass.com/building/100-barclay-manhattan-ny/281896670466155525/","100 Barclay")</f>
        <v>100 Barclay</v>
      </c>
      <c r="C495" s="1" t="s">
        <v>40</v>
      </c>
      <c r="D495" s="1" t="s">
        <v>41</v>
      </c>
      <c r="E495" s="3">
        <v>1950000</v>
      </c>
      <c r="F495" s="1">
        <v>1612.9032258064501</v>
      </c>
      <c r="G495" s="1">
        <v>3</v>
      </c>
      <c r="H495" s="1">
        <v>1</v>
      </c>
      <c r="I495" s="1">
        <v>2</v>
      </c>
      <c r="J495" s="1">
        <v>2</v>
      </c>
      <c r="K495" s="1">
        <v>2</v>
      </c>
      <c r="M495" s="4">
        <v>1209</v>
      </c>
      <c r="N495" s="1">
        <v>1551</v>
      </c>
      <c r="O495" s="1">
        <v>3034</v>
      </c>
      <c r="P495" s="1">
        <v>1483</v>
      </c>
      <c r="Q495" s="1" t="s">
        <v>42</v>
      </c>
      <c r="S495" s="1" t="s">
        <v>42</v>
      </c>
      <c r="T495" s="1" t="s">
        <v>170</v>
      </c>
      <c r="U495" s="1">
        <v>206</v>
      </c>
      <c r="V495" s="5">
        <v>43623</v>
      </c>
      <c r="W495" s="5">
        <v>42497</v>
      </c>
      <c r="X495" s="1">
        <v>1985000</v>
      </c>
      <c r="Y495" s="1">
        <v>1985000</v>
      </c>
      <c r="Z495" s="5">
        <v>42703</v>
      </c>
      <c r="AA495" s="1">
        <v>1950000</v>
      </c>
      <c r="AB495" s="1" t="s">
        <v>316</v>
      </c>
      <c r="AC495" s="5">
        <v>42759</v>
      </c>
      <c r="AF495" s="1">
        <v>10007</v>
      </c>
      <c r="AI495" s="1" t="s">
        <v>45</v>
      </c>
      <c r="AJ495" s="1">
        <v>1930</v>
      </c>
      <c r="AK495" s="1" t="s">
        <v>73</v>
      </c>
      <c r="AL495" s="1">
        <v>156</v>
      </c>
    </row>
    <row r="496" spans="1:38" x14ac:dyDescent="0.2">
      <c r="A496" s="2" t="str">
        <f>HYPERLINK("https://www.compass.com/listing/211-west-14th-street-unit-8a-manhattan-ny-10011/29514441737408657/","211 W 14th St, Unit 8A")</f>
        <v>211 W 14th St, Unit 8A</v>
      </c>
      <c r="B496" s="2" t="str">
        <f t="shared" ref="B496:B499" si="86">HYPERLINK("https://www.compass.com/building/dorsay-manhattan-ny/292801633543285477/","d'Orsay")</f>
        <v>d'Orsay</v>
      </c>
      <c r="C496" s="1" t="s">
        <v>99</v>
      </c>
      <c r="D496" s="1" t="s">
        <v>41</v>
      </c>
      <c r="E496" s="3">
        <v>3505600</v>
      </c>
      <c r="F496" s="1">
        <v>2631.8318318318302</v>
      </c>
      <c r="G496" s="1">
        <v>4</v>
      </c>
      <c r="H496" s="1">
        <v>2</v>
      </c>
      <c r="I496" s="1">
        <v>3</v>
      </c>
      <c r="J496" s="1">
        <v>2.5</v>
      </c>
      <c r="K496" s="1">
        <v>2</v>
      </c>
      <c r="L496" s="1">
        <v>1</v>
      </c>
      <c r="M496" s="4">
        <v>1332</v>
      </c>
      <c r="N496" s="1">
        <v>2659</v>
      </c>
      <c r="O496" s="1">
        <v>12868</v>
      </c>
      <c r="P496" s="1">
        <v>10209</v>
      </c>
      <c r="Q496" s="1" t="s">
        <v>42</v>
      </c>
      <c r="S496" s="1" t="s">
        <v>42</v>
      </c>
      <c r="T496" s="1" t="s">
        <v>170</v>
      </c>
      <c r="U496" s="1">
        <v>14</v>
      </c>
      <c r="V496" s="5">
        <v>43678</v>
      </c>
      <c r="W496" s="5">
        <v>42696</v>
      </c>
      <c r="X496" s="1">
        <v>3400000</v>
      </c>
      <c r="Y496" s="1">
        <v>3425000</v>
      </c>
      <c r="Z496" s="5">
        <v>42710</v>
      </c>
      <c r="AA496" s="1">
        <v>3505600</v>
      </c>
      <c r="AB496" s="1" t="s">
        <v>317</v>
      </c>
      <c r="AC496" s="5">
        <v>43332</v>
      </c>
      <c r="AF496" s="1">
        <v>10011</v>
      </c>
      <c r="AI496" s="1" t="s">
        <v>281</v>
      </c>
      <c r="AJ496" s="1">
        <v>2018</v>
      </c>
      <c r="AK496" s="1" t="s">
        <v>73</v>
      </c>
      <c r="AL496" s="1">
        <v>21</v>
      </c>
    </row>
    <row r="497" spans="1:38" x14ac:dyDescent="0.2">
      <c r="A497" s="2" t="str">
        <f>HYPERLINK("https://www.compass.com/listing/211-west-14th-street-unit-10b-manhattan-ny-10011/29514442039440449/","211 W 14th St, Unit 10B")</f>
        <v>211 W 14th St, Unit 10B</v>
      </c>
      <c r="B497" s="2" t="str">
        <f t="shared" si="86"/>
        <v>d'Orsay</v>
      </c>
      <c r="C497" s="1" t="s">
        <v>99</v>
      </c>
      <c r="D497" s="1" t="s">
        <v>41</v>
      </c>
      <c r="E497" s="3">
        <v>3540000</v>
      </c>
      <c r="F497" s="1">
        <v>2637.8539493293501</v>
      </c>
      <c r="G497" s="1">
        <v>4</v>
      </c>
      <c r="H497" s="1">
        <v>2</v>
      </c>
      <c r="I497" s="1">
        <v>3</v>
      </c>
      <c r="J497" s="1">
        <v>2.5</v>
      </c>
      <c r="K497" s="1">
        <v>2</v>
      </c>
      <c r="L497" s="1">
        <v>1</v>
      </c>
      <c r="M497" s="4">
        <v>1342</v>
      </c>
      <c r="N497" s="1">
        <v>2769</v>
      </c>
      <c r="O497" s="1">
        <v>4028</v>
      </c>
      <c r="P497" s="1">
        <v>1259</v>
      </c>
      <c r="Q497" s="1" t="s">
        <v>42</v>
      </c>
      <c r="S497" s="1" t="s">
        <v>42</v>
      </c>
      <c r="T497" s="1" t="s">
        <v>170</v>
      </c>
      <c r="V497" s="5">
        <v>43678</v>
      </c>
      <c r="W497" s="5">
        <v>42717</v>
      </c>
      <c r="X497" s="1">
        <v>3575000</v>
      </c>
      <c r="Y497" s="1">
        <v>3575000</v>
      </c>
      <c r="Z497" s="5">
        <v>42717</v>
      </c>
      <c r="AA497" s="1">
        <v>3540000</v>
      </c>
      <c r="AB497" s="1" t="s">
        <v>318</v>
      </c>
      <c r="AC497" s="5">
        <v>43333</v>
      </c>
      <c r="AF497" s="1">
        <v>10011</v>
      </c>
      <c r="AI497" s="1" t="s">
        <v>160</v>
      </c>
      <c r="AJ497" s="1">
        <v>2018</v>
      </c>
      <c r="AK497" s="1" t="s">
        <v>73</v>
      </c>
      <c r="AL497" s="1">
        <v>21</v>
      </c>
    </row>
    <row r="498" spans="1:38" x14ac:dyDescent="0.2">
      <c r="A498" s="2" t="str">
        <f>HYPERLINK("https://www.compass.com/listing/211-west-14th-street-unit-10a-manhattan-ny-10011/29514442685321393/","211 W 14th St, Unit 10A")</f>
        <v>211 W 14th St, Unit 10A</v>
      </c>
      <c r="B498" s="2" t="str">
        <f t="shared" si="86"/>
        <v>d'Orsay</v>
      </c>
      <c r="C498" s="1" t="s">
        <v>99</v>
      </c>
      <c r="D498" s="1" t="s">
        <v>41</v>
      </c>
      <c r="E498" s="3">
        <v>3660138</v>
      </c>
      <c r="F498" s="1">
        <v>2747.8513513513499</v>
      </c>
      <c r="G498" s="1">
        <v>4</v>
      </c>
      <c r="H498" s="1">
        <v>2</v>
      </c>
      <c r="I498" s="1">
        <v>3</v>
      </c>
      <c r="J498" s="1">
        <v>2.5</v>
      </c>
      <c r="K498" s="1">
        <v>2</v>
      </c>
      <c r="L498" s="1">
        <v>1</v>
      </c>
      <c r="M498" s="4">
        <v>1332</v>
      </c>
      <c r="N498" s="1">
        <v>2685</v>
      </c>
      <c r="O498" s="1">
        <v>3905</v>
      </c>
      <c r="P498" s="1">
        <v>1220</v>
      </c>
      <c r="Q498" s="1" t="s">
        <v>42</v>
      </c>
      <c r="S498" s="1" t="s">
        <v>42</v>
      </c>
      <c r="T498" s="1" t="s">
        <v>170</v>
      </c>
      <c r="V498" s="5">
        <v>43700</v>
      </c>
      <c r="W498" s="5">
        <v>42712</v>
      </c>
      <c r="X498" s="1">
        <v>3575000</v>
      </c>
      <c r="Y498" s="1">
        <v>3575000</v>
      </c>
      <c r="Z498" s="5">
        <v>42712</v>
      </c>
      <c r="AA498" s="1">
        <v>3660138</v>
      </c>
      <c r="AB498" s="1" t="s">
        <v>319</v>
      </c>
      <c r="AC498" s="5">
        <v>43333</v>
      </c>
      <c r="AF498" s="1">
        <v>10011</v>
      </c>
      <c r="AI498" s="1" t="s">
        <v>281</v>
      </c>
      <c r="AJ498" s="1">
        <v>2018</v>
      </c>
      <c r="AK498" s="1" t="s">
        <v>73</v>
      </c>
      <c r="AL498" s="1">
        <v>21</v>
      </c>
    </row>
    <row r="499" spans="1:38" x14ac:dyDescent="0.2">
      <c r="A499" s="2" t="str">
        <f>HYPERLINK("https://www.compass.com/listing/211-west-14th-street-unit-9b-manhattan-ny-10011/29514444665032945/","211 W 14th St, Unit 9B")</f>
        <v>211 W 14th St, Unit 9B</v>
      </c>
      <c r="B499" s="2" t="str">
        <f t="shared" si="86"/>
        <v>d'Orsay</v>
      </c>
      <c r="C499" s="1" t="s">
        <v>99</v>
      </c>
      <c r="D499" s="1" t="s">
        <v>41</v>
      </c>
      <c r="E499" s="3">
        <v>3500000</v>
      </c>
      <c r="F499" s="1">
        <v>2608.0476900149001</v>
      </c>
      <c r="G499" s="1">
        <v>4</v>
      </c>
      <c r="H499" s="1">
        <v>2</v>
      </c>
      <c r="I499" s="1">
        <v>3</v>
      </c>
      <c r="J499" s="1">
        <v>2.5</v>
      </c>
      <c r="K499" s="1">
        <v>2</v>
      </c>
      <c r="L499" s="1">
        <v>1</v>
      </c>
      <c r="M499" s="4">
        <v>1342</v>
      </c>
      <c r="N499" s="1">
        <v>2756</v>
      </c>
      <c r="O499" s="1">
        <v>4009</v>
      </c>
      <c r="P499" s="1">
        <v>1253</v>
      </c>
      <c r="Q499" s="1" t="s">
        <v>42</v>
      </c>
      <c r="S499" s="1" t="s">
        <v>42</v>
      </c>
      <c r="T499" s="1" t="s">
        <v>170</v>
      </c>
      <c r="U499" s="1">
        <v>125</v>
      </c>
      <c r="V499" s="5">
        <v>43678</v>
      </c>
      <c r="W499" s="5">
        <v>42678</v>
      </c>
      <c r="X499" s="1">
        <v>3475000</v>
      </c>
      <c r="Y499" s="1">
        <v>3500000</v>
      </c>
      <c r="Z499" s="5">
        <v>42803</v>
      </c>
      <c r="AA499" s="1">
        <v>3500000</v>
      </c>
      <c r="AB499" s="1" t="s">
        <v>320</v>
      </c>
      <c r="AC499" s="5">
        <v>43369</v>
      </c>
      <c r="AF499" s="1">
        <v>10011</v>
      </c>
      <c r="AI499" s="1" t="s">
        <v>160</v>
      </c>
      <c r="AJ499" s="1">
        <v>2018</v>
      </c>
      <c r="AK499" s="1" t="s">
        <v>73</v>
      </c>
      <c r="AL499" s="1">
        <v>21</v>
      </c>
    </row>
    <row r="500" spans="1:38" x14ac:dyDescent="0.2">
      <c r="A500" s="2" t="str">
        <f>HYPERLINK("https://www.compass.com/listing/30-park-place-unit-53d-manhattan-ny-10007/29357572167404673/","30 Park Pl, Unit 53D")</f>
        <v>30 Park Pl, Unit 53D</v>
      </c>
      <c r="B500" s="2" t="str">
        <f t="shared" ref="B500:B503" si="87">HYPERLINK("https://www.compass.com/building/30-park-pl-manhattan-ny-10007/281896912905317605/","30 Park Pl")</f>
        <v>30 Park Pl</v>
      </c>
      <c r="C500" s="1" t="s">
        <v>40</v>
      </c>
      <c r="D500" s="1" t="s">
        <v>41</v>
      </c>
      <c r="E500" s="3">
        <v>4317380</v>
      </c>
      <c r="F500" s="1">
        <v>2807.1391417425202</v>
      </c>
      <c r="G500" s="1">
        <v>4</v>
      </c>
      <c r="H500" s="1">
        <v>2</v>
      </c>
      <c r="I500" s="1">
        <v>2</v>
      </c>
      <c r="J500" s="1">
        <v>2</v>
      </c>
      <c r="K500" s="1">
        <v>2</v>
      </c>
      <c r="M500" s="4">
        <v>1538</v>
      </c>
      <c r="N500" s="1">
        <v>1251</v>
      </c>
      <c r="O500" s="1">
        <v>4441</v>
      </c>
      <c r="P500" s="1">
        <v>3190</v>
      </c>
      <c r="Q500" s="1" t="s">
        <v>42</v>
      </c>
      <c r="S500" s="1" t="s">
        <v>42</v>
      </c>
      <c r="T500" s="1" t="s">
        <v>170</v>
      </c>
      <c r="U500" s="1">
        <v>4</v>
      </c>
      <c r="V500" s="5">
        <v>43668</v>
      </c>
      <c r="W500" s="5">
        <v>41796</v>
      </c>
      <c r="X500" s="1">
        <v>4240000</v>
      </c>
      <c r="Y500" s="1">
        <v>4240000</v>
      </c>
      <c r="Z500" s="5">
        <v>41800</v>
      </c>
      <c r="AA500" s="1">
        <v>4317380</v>
      </c>
      <c r="AB500" s="1" t="s">
        <v>321</v>
      </c>
      <c r="AC500" s="5">
        <v>42761</v>
      </c>
      <c r="AF500" s="1">
        <v>10007</v>
      </c>
      <c r="AJ500" s="1">
        <v>2016</v>
      </c>
      <c r="AK500" s="1" t="s">
        <v>73</v>
      </c>
      <c r="AL500" s="1">
        <v>157</v>
      </c>
    </row>
    <row r="501" spans="1:38" x14ac:dyDescent="0.2">
      <c r="A501" s="2" t="str">
        <f>HYPERLINK("https://www.compass.com/listing/30-park-place-unit-55c-manhattan-ny-10007/29357574851661137/","30 Park Pl, Unit 55C")</f>
        <v>30 Park Pl, Unit 55C</v>
      </c>
      <c r="B501" s="2" t="str">
        <f t="shared" si="87"/>
        <v>30 Park Pl</v>
      </c>
      <c r="C501" s="1" t="s">
        <v>40</v>
      </c>
      <c r="D501" s="1" t="s">
        <v>41</v>
      </c>
      <c r="E501" s="3">
        <v>4169734</v>
      </c>
      <c r="F501" s="1">
        <v>2702.35515230071</v>
      </c>
      <c r="G501" s="1">
        <v>4</v>
      </c>
      <c r="H501" s="1">
        <v>2</v>
      </c>
      <c r="I501" s="1">
        <v>2</v>
      </c>
      <c r="J501" s="1">
        <v>2</v>
      </c>
      <c r="K501" s="1">
        <v>2</v>
      </c>
      <c r="M501" s="4">
        <v>1543</v>
      </c>
      <c r="N501" s="1">
        <v>1233</v>
      </c>
      <c r="O501" s="1">
        <v>4375</v>
      </c>
      <c r="P501" s="1">
        <v>3142</v>
      </c>
      <c r="Q501" s="1" t="s">
        <v>42</v>
      </c>
      <c r="S501" s="1" t="s">
        <v>42</v>
      </c>
      <c r="T501" s="1" t="s">
        <v>170</v>
      </c>
      <c r="U501" s="1">
        <v>12</v>
      </c>
      <c r="V501" s="5">
        <v>43675</v>
      </c>
      <c r="W501" s="5">
        <v>41802</v>
      </c>
      <c r="X501" s="1">
        <v>4245000</v>
      </c>
      <c r="Y501" s="1">
        <v>4095000</v>
      </c>
      <c r="Z501" s="5">
        <v>41814</v>
      </c>
      <c r="AA501" s="1">
        <v>4169734</v>
      </c>
      <c r="AB501" s="1" t="s">
        <v>322</v>
      </c>
      <c r="AC501" s="5">
        <v>42679</v>
      </c>
      <c r="AF501" s="1">
        <v>10007</v>
      </c>
      <c r="AJ501" s="1">
        <v>2016</v>
      </c>
      <c r="AK501" s="1" t="s">
        <v>73</v>
      </c>
      <c r="AL501" s="1">
        <v>157</v>
      </c>
    </row>
    <row r="502" spans="1:38" x14ac:dyDescent="0.2">
      <c r="A502" s="2" t="str">
        <f>HYPERLINK("https://www.compass.com/listing/30-park-place-unit-55d-manhattan-ny-10007/29357575187303601/","30 Park Pl, Unit 55D")</f>
        <v>30 Park Pl, Unit 55D</v>
      </c>
      <c r="B502" s="2" t="str">
        <f t="shared" si="87"/>
        <v>30 Park Pl</v>
      </c>
      <c r="C502" s="1" t="s">
        <v>40</v>
      </c>
      <c r="D502" s="1" t="s">
        <v>41</v>
      </c>
      <c r="E502" s="3">
        <v>4449753</v>
      </c>
      <c r="F502" s="1">
        <v>2893.20741222366</v>
      </c>
      <c r="G502" s="1">
        <v>4</v>
      </c>
      <c r="H502" s="1">
        <v>2</v>
      </c>
      <c r="I502" s="1">
        <v>2</v>
      </c>
      <c r="J502" s="1">
        <v>2</v>
      </c>
      <c r="K502" s="1">
        <v>2</v>
      </c>
      <c r="M502" s="4">
        <v>1538</v>
      </c>
      <c r="N502" s="1">
        <v>1256</v>
      </c>
      <c r="O502" s="1">
        <v>4457</v>
      </c>
      <c r="P502" s="1">
        <v>3201</v>
      </c>
      <c r="Q502" s="1" t="s">
        <v>42</v>
      </c>
      <c r="S502" s="1" t="s">
        <v>42</v>
      </c>
      <c r="T502" s="1" t="s">
        <v>170</v>
      </c>
      <c r="U502" s="1">
        <v>17</v>
      </c>
      <c r="V502" s="5">
        <v>43665</v>
      </c>
      <c r="W502" s="5">
        <v>41814</v>
      </c>
      <c r="X502" s="1">
        <v>4545000</v>
      </c>
      <c r="Y502" s="1">
        <v>4370000</v>
      </c>
      <c r="Z502" s="5">
        <v>41831</v>
      </c>
      <c r="AA502" s="1">
        <v>4449753</v>
      </c>
      <c r="AB502" s="1" t="s">
        <v>323</v>
      </c>
      <c r="AC502" s="5">
        <v>42721</v>
      </c>
      <c r="AF502" s="1">
        <v>10007</v>
      </c>
      <c r="AJ502" s="1">
        <v>2016</v>
      </c>
      <c r="AK502" s="1" t="s">
        <v>73</v>
      </c>
      <c r="AL502" s="1">
        <v>157</v>
      </c>
    </row>
    <row r="503" spans="1:38" x14ac:dyDescent="0.2">
      <c r="A503" s="2" t="str">
        <f>HYPERLINK("https://www.compass.com/listing/30-park-place-unit-58c-manhattan-ny-10007/29357578567912673/","30 Park Pl, Unit 58C")</f>
        <v>30 Park Pl, Unit 58C</v>
      </c>
      <c r="B503" s="2" t="str">
        <f t="shared" si="87"/>
        <v>30 Park Pl</v>
      </c>
      <c r="C503" s="1" t="s">
        <v>40</v>
      </c>
      <c r="D503" s="1" t="s">
        <v>41</v>
      </c>
      <c r="E503" s="3">
        <v>4444661</v>
      </c>
      <c r="F503" s="1">
        <v>2880.5320803629202</v>
      </c>
      <c r="G503" s="1">
        <v>4</v>
      </c>
      <c r="H503" s="1">
        <v>2</v>
      </c>
      <c r="I503" s="1">
        <v>2</v>
      </c>
      <c r="J503" s="1">
        <v>2</v>
      </c>
      <c r="K503" s="1">
        <v>2</v>
      </c>
      <c r="M503" s="4">
        <v>1543</v>
      </c>
      <c r="N503" s="1">
        <v>1239</v>
      </c>
      <c r="O503" s="1">
        <v>4397</v>
      </c>
      <c r="P503" s="1">
        <v>3158</v>
      </c>
      <c r="Q503" s="1" t="s">
        <v>42</v>
      </c>
      <c r="S503" s="1" t="s">
        <v>42</v>
      </c>
      <c r="T503" s="1" t="s">
        <v>170</v>
      </c>
      <c r="U503" s="1">
        <v>26</v>
      </c>
      <c r="V503" s="5">
        <v>43666</v>
      </c>
      <c r="W503" s="5">
        <v>41874</v>
      </c>
      <c r="X503" s="1">
        <v>4515000</v>
      </c>
      <c r="Y503" s="1">
        <v>4365000</v>
      </c>
      <c r="Z503" s="5">
        <v>41900</v>
      </c>
      <c r="AA503" s="1">
        <v>4444661</v>
      </c>
      <c r="AB503" s="1" t="s">
        <v>324</v>
      </c>
      <c r="AC503" s="5">
        <v>42759</v>
      </c>
      <c r="AF503" s="1">
        <v>10007</v>
      </c>
      <c r="AJ503" s="1">
        <v>2016</v>
      </c>
      <c r="AK503" s="1" t="s">
        <v>73</v>
      </c>
      <c r="AL503" s="1">
        <v>157</v>
      </c>
    </row>
    <row r="504" spans="1:38" x14ac:dyDescent="0.2">
      <c r="A504" s="2" t="str">
        <f>HYPERLINK("https://www.compass.com/listing/100-barclay-street-unit-12c-manhattan-ny-10007/4852282345694183281/","100 Barclay St, Unit 12C")</f>
        <v>100 Barclay St, Unit 12C</v>
      </c>
      <c r="B504" s="2" t="str">
        <f>HYPERLINK("https://www.compass.com/building/100-barclay-manhattan-ny/281896670466155525/","100 Barclay")</f>
        <v>100 Barclay</v>
      </c>
      <c r="C504" s="1" t="s">
        <v>40</v>
      </c>
      <c r="D504" s="1" t="s">
        <v>41</v>
      </c>
      <c r="E504" s="3">
        <v>2115000</v>
      </c>
      <c r="F504" s="1">
        <v>2029.7504798464399</v>
      </c>
      <c r="G504" s="1">
        <v>3</v>
      </c>
      <c r="H504" s="1">
        <v>1</v>
      </c>
      <c r="I504" s="1">
        <v>1</v>
      </c>
      <c r="J504" s="1">
        <v>1</v>
      </c>
      <c r="K504" s="1">
        <v>1</v>
      </c>
      <c r="M504" s="4">
        <v>1042</v>
      </c>
      <c r="N504" s="1">
        <v>1337</v>
      </c>
      <c r="O504" s="1">
        <v>2616</v>
      </c>
      <c r="P504" s="1">
        <v>1279</v>
      </c>
      <c r="Q504" s="1" t="s">
        <v>42</v>
      </c>
      <c r="S504" s="1" t="s">
        <v>42</v>
      </c>
      <c r="T504" s="1" t="s">
        <v>170</v>
      </c>
      <c r="U504" s="1">
        <v>52</v>
      </c>
      <c r="V504" s="5">
        <v>43670</v>
      </c>
      <c r="W504" s="5">
        <v>42626</v>
      </c>
      <c r="X504" s="1">
        <v>2178000</v>
      </c>
      <c r="Y504" s="1">
        <v>2178000</v>
      </c>
      <c r="Z504" s="5">
        <v>42678</v>
      </c>
      <c r="AA504" s="1">
        <v>2115000</v>
      </c>
      <c r="AB504" s="1" t="s">
        <v>325</v>
      </c>
      <c r="AC504" s="5">
        <v>42755</v>
      </c>
      <c r="AF504" s="1">
        <v>10007</v>
      </c>
      <c r="AI504" s="1" t="s">
        <v>45</v>
      </c>
      <c r="AJ504" s="1">
        <v>1930</v>
      </c>
      <c r="AK504" s="1" t="s">
        <v>73</v>
      </c>
      <c r="AL504" s="1">
        <v>156</v>
      </c>
    </row>
    <row r="505" spans="1:38" x14ac:dyDescent="0.2">
      <c r="A505" s="2" t="str">
        <f>HYPERLINK("https://www.compass.com/listing/30-park-place-unit-42c-manhattan-ny-10007/29357557462174609/","30 Park Pl, Unit 42C")</f>
        <v>30 Park Pl, Unit 42C</v>
      </c>
      <c r="B505" s="2" t="str">
        <f t="shared" ref="B505:B513" si="88">HYPERLINK("https://www.compass.com/building/30-park-pl-manhattan-ny-10007/281896912905317605/","30 Park Pl")</f>
        <v>30 Park Pl</v>
      </c>
      <c r="C505" s="1" t="s">
        <v>40</v>
      </c>
      <c r="D505" s="1" t="s">
        <v>41</v>
      </c>
      <c r="E505" s="3">
        <v>2891830</v>
      </c>
      <c r="F505" s="1">
        <v>2609.9548736462002</v>
      </c>
      <c r="G505" s="1">
        <v>3</v>
      </c>
      <c r="H505" s="1">
        <v>1</v>
      </c>
      <c r="I505" s="1">
        <v>1</v>
      </c>
      <c r="J505" s="1">
        <v>1</v>
      </c>
      <c r="K505" s="1">
        <v>1</v>
      </c>
      <c r="M505" s="4">
        <v>1108</v>
      </c>
      <c r="N505" s="1">
        <v>879</v>
      </c>
      <c r="O505" s="1">
        <v>3119</v>
      </c>
      <c r="P505" s="1">
        <v>2240</v>
      </c>
      <c r="Q505" s="1" t="s">
        <v>42</v>
      </c>
      <c r="S505" s="1" t="s">
        <v>42</v>
      </c>
      <c r="T505" s="1" t="s">
        <v>170</v>
      </c>
      <c r="U505" s="1">
        <v>2</v>
      </c>
      <c r="V505" s="5">
        <v>43673</v>
      </c>
      <c r="W505" s="5">
        <v>41835</v>
      </c>
      <c r="X505" s="1">
        <v>2945000</v>
      </c>
      <c r="Y505" s="1">
        <v>2840000</v>
      </c>
      <c r="Z505" s="5">
        <v>41837</v>
      </c>
      <c r="AA505" s="1">
        <v>2891830</v>
      </c>
      <c r="AB505" s="1" t="s">
        <v>326</v>
      </c>
      <c r="AC505" s="5">
        <v>42627</v>
      </c>
      <c r="AF505" s="1">
        <v>10007</v>
      </c>
      <c r="AJ505" s="1">
        <v>2016</v>
      </c>
      <c r="AK505" s="1" t="s">
        <v>73</v>
      </c>
      <c r="AL505" s="1">
        <v>157</v>
      </c>
    </row>
    <row r="506" spans="1:38" x14ac:dyDescent="0.2">
      <c r="A506" s="2" t="str">
        <f>HYPERLINK("https://www.compass.com/listing/30-park-place-unit-40b-manhattan-ny-10007/29357554207296465/","30 Park Pl, Unit 40B")</f>
        <v>30 Park Pl, Unit 40B</v>
      </c>
      <c r="B506" s="2" t="str">
        <f t="shared" si="88"/>
        <v>30 Park Pl</v>
      </c>
      <c r="C506" s="1" t="s">
        <v>40</v>
      </c>
      <c r="D506" s="1" t="s">
        <v>41</v>
      </c>
      <c r="E506" s="3">
        <v>4531213</v>
      </c>
      <c r="F506" s="1">
        <v>2723.0847355769201</v>
      </c>
      <c r="G506" s="1">
        <v>4</v>
      </c>
      <c r="H506" s="1">
        <v>2</v>
      </c>
      <c r="I506" s="1">
        <v>2</v>
      </c>
      <c r="J506" s="1">
        <v>2.5</v>
      </c>
      <c r="K506" s="1">
        <v>2</v>
      </c>
      <c r="L506" s="1">
        <v>1</v>
      </c>
      <c r="M506" s="4">
        <v>1664</v>
      </c>
      <c r="N506" s="1">
        <v>1323</v>
      </c>
      <c r="O506" s="1">
        <v>4696</v>
      </c>
      <c r="P506" s="1">
        <v>3373</v>
      </c>
      <c r="Q506" s="1" t="s">
        <v>42</v>
      </c>
      <c r="S506" s="1" t="s">
        <v>42</v>
      </c>
      <c r="T506" s="1" t="s">
        <v>170</v>
      </c>
      <c r="U506" s="1">
        <v>4</v>
      </c>
      <c r="V506" s="5">
        <v>43677</v>
      </c>
      <c r="W506" s="5">
        <v>41796</v>
      </c>
      <c r="X506" s="1">
        <v>4650000</v>
      </c>
      <c r="Y506" s="1">
        <v>4450000</v>
      </c>
      <c r="Z506" s="5">
        <v>41800</v>
      </c>
      <c r="AA506" s="1">
        <v>4531213</v>
      </c>
      <c r="AB506" s="1" t="s">
        <v>327</v>
      </c>
      <c r="AC506" s="5">
        <v>42662</v>
      </c>
      <c r="AF506" s="1">
        <v>10007</v>
      </c>
      <c r="AJ506" s="1">
        <v>2016</v>
      </c>
      <c r="AK506" s="1" t="s">
        <v>73</v>
      </c>
      <c r="AL506" s="1">
        <v>157</v>
      </c>
    </row>
    <row r="507" spans="1:38" x14ac:dyDescent="0.2">
      <c r="A507" s="2" t="str">
        <f>HYPERLINK("https://www.compass.com/listing/30-park-place-unit-41b-manhattan-ny-10007/29357555775969377/","30 Park Pl, Unit 41B")</f>
        <v>30 Park Pl, Unit 41B</v>
      </c>
      <c r="B507" s="2" t="str">
        <f t="shared" si="88"/>
        <v>30 Park Pl</v>
      </c>
      <c r="C507" s="1" t="s">
        <v>40</v>
      </c>
      <c r="D507" s="1" t="s">
        <v>41</v>
      </c>
      <c r="E507" s="3">
        <v>4571943</v>
      </c>
      <c r="F507" s="1">
        <v>2747.5618990384601</v>
      </c>
      <c r="G507" s="1">
        <v>4</v>
      </c>
      <c r="H507" s="1">
        <v>2</v>
      </c>
      <c r="I507" s="1">
        <v>2</v>
      </c>
      <c r="J507" s="1">
        <v>2</v>
      </c>
      <c r="K507" s="1">
        <v>2</v>
      </c>
      <c r="M507" s="4">
        <v>1664</v>
      </c>
      <c r="N507" s="1">
        <v>1325</v>
      </c>
      <c r="O507" s="1">
        <v>4703</v>
      </c>
      <c r="P507" s="1">
        <v>3378</v>
      </c>
      <c r="Q507" s="1" t="s">
        <v>42</v>
      </c>
      <c r="S507" s="1" t="s">
        <v>42</v>
      </c>
      <c r="T507" s="1" t="s">
        <v>170</v>
      </c>
      <c r="U507" s="1">
        <v>10</v>
      </c>
      <c r="V507" s="5">
        <v>43665</v>
      </c>
      <c r="W507" s="5">
        <v>41914</v>
      </c>
      <c r="X507" s="1">
        <v>5065000</v>
      </c>
      <c r="Y507" s="1">
        <v>4490000</v>
      </c>
      <c r="Z507" s="5">
        <v>41924</v>
      </c>
      <c r="AA507" s="1">
        <v>4571943</v>
      </c>
      <c r="AB507" s="1" t="s">
        <v>328</v>
      </c>
      <c r="AC507" s="5">
        <v>42627</v>
      </c>
      <c r="AF507" s="1">
        <v>10007</v>
      </c>
      <c r="AJ507" s="1">
        <v>2016</v>
      </c>
      <c r="AK507" s="1" t="s">
        <v>73</v>
      </c>
      <c r="AL507" s="1">
        <v>157</v>
      </c>
    </row>
    <row r="508" spans="1:38" x14ac:dyDescent="0.2">
      <c r="A508" s="2" t="str">
        <f>HYPERLINK("https://www.compass.com/listing/30-park-place-unit-43b-manhattan-ny-10007/29357558888142993/","30 Park Pl, Unit 43B")</f>
        <v>30 Park Pl, Unit 43B</v>
      </c>
      <c r="B508" s="2" t="str">
        <f t="shared" si="88"/>
        <v>30 Park Pl</v>
      </c>
      <c r="C508" s="1" t="s">
        <v>40</v>
      </c>
      <c r="D508" s="1" t="s">
        <v>41</v>
      </c>
      <c r="E508" s="3">
        <v>4398840</v>
      </c>
      <c r="F508" s="1">
        <v>2643.5336538461502</v>
      </c>
      <c r="G508" s="1">
        <v>4</v>
      </c>
      <c r="H508" s="1">
        <v>2</v>
      </c>
      <c r="I508" s="1">
        <v>2</v>
      </c>
      <c r="J508" s="1">
        <v>2</v>
      </c>
      <c r="K508" s="1">
        <v>2</v>
      </c>
      <c r="M508" s="4">
        <v>1664</v>
      </c>
      <c r="N508" s="1">
        <v>1329</v>
      </c>
      <c r="O508" s="1">
        <v>4717</v>
      </c>
      <c r="P508" s="1">
        <v>3388</v>
      </c>
      <c r="Q508" s="1" t="s">
        <v>42</v>
      </c>
      <c r="S508" s="1" t="s">
        <v>42</v>
      </c>
      <c r="T508" s="1" t="s">
        <v>170</v>
      </c>
      <c r="U508" s="1">
        <v>48</v>
      </c>
      <c r="V508" s="5">
        <v>43673</v>
      </c>
      <c r="W508" s="5">
        <v>42557</v>
      </c>
      <c r="X508" s="1">
        <v>5445000</v>
      </c>
      <c r="Y508" s="1">
        <v>5445000</v>
      </c>
      <c r="Z508" s="5">
        <v>42605</v>
      </c>
      <c r="AA508" s="1">
        <v>4398840</v>
      </c>
      <c r="AB508" s="1" t="s">
        <v>329</v>
      </c>
      <c r="AC508" s="5">
        <v>42636</v>
      </c>
      <c r="AF508" s="1">
        <v>10007</v>
      </c>
      <c r="AJ508" s="1">
        <v>2016</v>
      </c>
      <c r="AK508" s="1" t="s">
        <v>73</v>
      </c>
      <c r="AL508" s="1">
        <v>157</v>
      </c>
    </row>
    <row r="509" spans="1:38" x14ac:dyDescent="0.2">
      <c r="A509" s="2" t="str">
        <f>HYPERLINK("https://www.compass.com/listing/30-park-place-unit-48b-manhattan-ny-10007/29357565045378209/","30 Park Pl, Unit 48B")</f>
        <v>30 Park Pl, Unit 48B</v>
      </c>
      <c r="B509" s="2" t="str">
        <f t="shared" si="88"/>
        <v>30 Park Pl</v>
      </c>
      <c r="C509" s="1" t="s">
        <v>40</v>
      </c>
      <c r="D509" s="1" t="s">
        <v>41</v>
      </c>
      <c r="E509" s="3">
        <v>4582125</v>
      </c>
      <c r="F509" s="1">
        <v>2753.6808894230699</v>
      </c>
      <c r="G509" s="1">
        <v>4</v>
      </c>
      <c r="H509" s="1">
        <v>2</v>
      </c>
      <c r="I509" s="1">
        <v>2</v>
      </c>
      <c r="J509" s="1">
        <v>2.5</v>
      </c>
      <c r="K509" s="1">
        <v>2</v>
      </c>
      <c r="L509" s="1">
        <v>1</v>
      </c>
      <c r="M509" s="4">
        <v>1664</v>
      </c>
      <c r="N509" s="1">
        <v>1340</v>
      </c>
      <c r="O509" s="1">
        <v>4755</v>
      </c>
      <c r="P509" s="1">
        <v>3415</v>
      </c>
      <c r="Q509" s="1" t="s">
        <v>42</v>
      </c>
      <c r="S509" s="1" t="s">
        <v>42</v>
      </c>
      <c r="T509" s="1" t="s">
        <v>170</v>
      </c>
      <c r="U509" s="1">
        <v>125</v>
      </c>
      <c r="V509" s="5">
        <v>43019</v>
      </c>
      <c r="W509" s="5">
        <v>42893</v>
      </c>
      <c r="X509" s="1">
        <v>4950000</v>
      </c>
      <c r="Y509" s="1">
        <v>4520000</v>
      </c>
      <c r="AA509" s="1">
        <v>4582125</v>
      </c>
      <c r="AB509" s="1" t="s">
        <v>330</v>
      </c>
      <c r="AC509" s="5">
        <v>43040</v>
      </c>
      <c r="AF509" s="1">
        <v>10007</v>
      </c>
      <c r="AJ509" s="1">
        <v>2016</v>
      </c>
      <c r="AK509" s="1" t="s">
        <v>73</v>
      </c>
      <c r="AL509" s="1">
        <v>157</v>
      </c>
    </row>
    <row r="510" spans="1:38" x14ac:dyDescent="0.2">
      <c r="A510" s="2" t="str">
        <f>HYPERLINK("https://www.compass.com/listing/30-park-place-unit-54d-manhattan-ny-10007/29357573845028145/","30 Park Pl, Unit 54D")</f>
        <v>30 Park Pl, Unit 54D</v>
      </c>
      <c r="B510" s="2" t="str">
        <f t="shared" si="88"/>
        <v>30 Park Pl</v>
      </c>
      <c r="C510" s="1" t="s">
        <v>40</v>
      </c>
      <c r="D510" s="1" t="s">
        <v>41</v>
      </c>
      <c r="E510" s="3">
        <v>4358110</v>
      </c>
      <c r="F510" s="1">
        <v>2833.6215864759401</v>
      </c>
      <c r="G510" s="1">
        <v>4</v>
      </c>
      <c r="H510" s="1">
        <v>2</v>
      </c>
      <c r="I510" s="1">
        <v>2</v>
      </c>
      <c r="J510" s="1">
        <v>2</v>
      </c>
      <c r="K510" s="1">
        <v>2</v>
      </c>
      <c r="M510" s="4">
        <v>1538</v>
      </c>
      <c r="N510" s="1">
        <v>1253</v>
      </c>
      <c r="O510" s="1">
        <v>4448</v>
      </c>
      <c r="P510" s="1">
        <v>3195</v>
      </c>
      <c r="Q510" s="1" t="s">
        <v>42</v>
      </c>
      <c r="S510" s="1" t="s">
        <v>42</v>
      </c>
      <c r="T510" s="1" t="s">
        <v>170</v>
      </c>
      <c r="U510" s="1">
        <v>3</v>
      </c>
      <c r="V510" s="5">
        <v>43673</v>
      </c>
      <c r="W510" s="5">
        <v>41815</v>
      </c>
      <c r="X510" s="1">
        <v>4505000</v>
      </c>
      <c r="Y510" s="1">
        <v>4280000</v>
      </c>
      <c r="Z510" s="5">
        <v>41818</v>
      </c>
      <c r="AA510" s="1">
        <v>4358110</v>
      </c>
      <c r="AB510" s="1" t="s">
        <v>331</v>
      </c>
      <c r="AC510" s="5">
        <v>42726</v>
      </c>
      <c r="AF510" s="1">
        <v>10007</v>
      </c>
      <c r="AJ510" s="1">
        <v>2016</v>
      </c>
      <c r="AK510" s="1" t="s">
        <v>73</v>
      </c>
      <c r="AL510" s="1">
        <v>157</v>
      </c>
    </row>
    <row r="511" spans="1:38" x14ac:dyDescent="0.2">
      <c r="A511" s="2" t="str">
        <f>HYPERLINK("https://www.compass.com/listing/30-park-place-unit-57d-manhattan-ny-10007/29357577586445521/","30 Park Pl, Unit 57D")</f>
        <v>30 Park Pl, Unit 57D</v>
      </c>
      <c r="B511" s="2" t="str">
        <f t="shared" si="88"/>
        <v>30 Park Pl</v>
      </c>
      <c r="C511" s="1" t="s">
        <v>40</v>
      </c>
      <c r="D511" s="1" t="s">
        <v>41</v>
      </c>
      <c r="E511" s="3">
        <v>4607581</v>
      </c>
      <c r="F511" s="1">
        <v>2995.8263979193698</v>
      </c>
      <c r="G511" s="1">
        <v>4</v>
      </c>
      <c r="H511" s="1">
        <v>2</v>
      </c>
      <c r="I511" s="1">
        <v>2</v>
      </c>
      <c r="J511" s="1">
        <v>2</v>
      </c>
      <c r="K511" s="1">
        <v>2</v>
      </c>
      <c r="M511" s="4">
        <v>1538</v>
      </c>
      <c r="N511" s="1">
        <v>1260</v>
      </c>
      <c r="O511" s="1">
        <v>4471</v>
      </c>
      <c r="P511" s="1">
        <v>3211</v>
      </c>
      <c r="Q511" s="1" t="s">
        <v>42</v>
      </c>
      <c r="S511" s="1" t="s">
        <v>42</v>
      </c>
      <c r="T511" s="1" t="s">
        <v>170</v>
      </c>
      <c r="U511" s="1">
        <v>14</v>
      </c>
      <c r="V511" s="5">
        <v>43673</v>
      </c>
      <c r="W511" s="5">
        <v>41821</v>
      </c>
      <c r="X511" s="1">
        <v>4625000</v>
      </c>
      <c r="Y511" s="1">
        <v>4525000</v>
      </c>
      <c r="Z511" s="5">
        <v>41835</v>
      </c>
      <c r="AA511" s="1">
        <v>4607581</v>
      </c>
      <c r="AB511" s="1" t="s">
        <v>332</v>
      </c>
      <c r="AC511" s="5">
        <v>42726</v>
      </c>
      <c r="AF511" s="1">
        <v>10007</v>
      </c>
      <c r="AJ511" s="1">
        <v>2016</v>
      </c>
      <c r="AK511" s="1" t="s">
        <v>73</v>
      </c>
      <c r="AL511" s="1">
        <v>157</v>
      </c>
    </row>
    <row r="512" spans="1:38" x14ac:dyDescent="0.2">
      <c r="A512" s="2" t="str">
        <f>HYPERLINK("https://www.compass.com/listing/30-park-place-unit-59c-manhattan-ny-10007/29357580606249489/","30 Park Pl, Unit 59C")</f>
        <v>30 Park Pl, Unit 59C</v>
      </c>
      <c r="B512" s="2" t="str">
        <f t="shared" si="88"/>
        <v>30 Park Pl</v>
      </c>
      <c r="C512" s="1" t="s">
        <v>40</v>
      </c>
      <c r="D512" s="1" t="s">
        <v>41</v>
      </c>
      <c r="E512" s="3">
        <v>4638129</v>
      </c>
      <c r="F512" s="1">
        <v>3005.9163966299402</v>
      </c>
      <c r="G512" s="1">
        <v>4</v>
      </c>
      <c r="H512" s="1">
        <v>2</v>
      </c>
      <c r="I512" s="1">
        <v>2</v>
      </c>
      <c r="J512" s="1">
        <v>2</v>
      </c>
      <c r="K512" s="1">
        <v>2</v>
      </c>
      <c r="M512" s="4">
        <v>1543</v>
      </c>
      <c r="N512" s="1">
        <v>1241</v>
      </c>
      <c r="O512" s="1">
        <v>4404</v>
      </c>
      <c r="P512" s="1">
        <v>3163</v>
      </c>
      <c r="Q512" s="1" t="s">
        <v>42</v>
      </c>
      <c r="S512" s="1" t="s">
        <v>42</v>
      </c>
      <c r="T512" s="1" t="s">
        <v>170</v>
      </c>
      <c r="U512" s="1">
        <v>30</v>
      </c>
      <c r="V512" s="5">
        <v>43663</v>
      </c>
      <c r="W512" s="5">
        <v>41837</v>
      </c>
      <c r="X512" s="1">
        <v>4555000</v>
      </c>
      <c r="Y512" s="1">
        <v>4555000</v>
      </c>
      <c r="Z512" s="5">
        <v>41867</v>
      </c>
      <c r="AA512" s="1">
        <v>4638129</v>
      </c>
      <c r="AB512" s="1" t="s">
        <v>333</v>
      </c>
      <c r="AC512" s="5">
        <v>42767</v>
      </c>
      <c r="AF512" s="1">
        <v>10007</v>
      </c>
      <c r="AJ512" s="1">
        <v>2016</v>
      </c>
      <c r="AK512" s="1" t="s">
        <v>73</v>
      </c>
      <c r="AL512" s="1">
        <v>157</v>
      </c>
    </row>
    <row r="513" spans="1:38" x14ac:dyDescent="0.2">
      <c r="A513" s="2" t="str">
        <f>HYPERLINK("https://www.compass.com/listing/30-park-place-unit-48b-manhattan-ny-10007/803366699436869441/","30 Park Pl, Unit 48B")</f>
        <v>30 Park Pl, Unit 48B</v>
      </c>
      <c r="B513" s="2" t="str">
        <f t="shared" si="88"/>
        <v>30 Park Pl</v>
      </c>
      <c r="C513" s="1" t="s">
        <v>40</v>
      </c>
      <c r="D513" s="1" t="s">
        <v>41</v>
      </c>
      <c r="E513" s="3">
        <v>4582125</v>
      </c>
      <c r="F513" s="1">
        <v>2753.6808894230699</v>
      </c>
      <c r="G513" s="1">
        <v>4</v>
      </c>
      <c r="H513" s="1">
        <v>2</v>
      </c>
      <c r="I513" s="1">
        <v>2</v>
      </c>
      <c r="J513" s="1">
        <v>2.5</v>
      </c>
      <c r="K513" s="1">
        <v>2</v>
      </c>
      <c r="L513" s="1">
        <v>1</v>
      </c>
      <c r="M513" s="4">
        <v>1664</v>
      </c>
      <c r="N513" s="1">
        <v>1340</v>
      </c>
      <c r="O513" s="1">
        <v>4755</v>
      </c>
      <c r="P513" s="1">
        <v>3415</v>
      </c>
      <c r="Q513" s="1" t="s">
        <v>42</v>
      </c>
      <c r="S513" s="1" t="s">
        <v>42</v>
      </c>
      <c r="T513" s="1" t="s">
        <v>170</v>
      </c>
      <c r="U513" s="1">
        <v>215</v>
      </c>
      <c r="V513" s="5">
        <v>43019</v>
      </c>
      <c r="W513" s="5">
        <v>42803</v>
      </c>
      <c r="X513" s="1">
        <v>5645000</v>
      </c>
      <c r="Y513" s="1">
        <v>4520000</v>
      </c>
      <c r="AA513" s="1">
        <v>4582125</v>
      </c>
      <c r="AB513" s="1" t="s">
        <v>330</v>
      </c>
      <c r="AC513" s="5">
        <v>43040</v>
      </c>
      <c r="AF513" s="1">
        <v>10007</v>
      </c>
      <c r="AJ513" s="1">
        <v>2016</v>
      </c>
      <c r="AK513" s="1" t="s">
        <v>73</v>
      </c>
      <c r="AL513" s="1">
        <v>157</v>
      </c>
    </row>
    <row r="514" spans="1:38" x14ac:dyDescent="0.2">
      <c r="A514" s="2" t="str">
        <f>HYPERLINK("https://www.compass.com/listing/100-barclay-street-unit-13k-manhattan-ny-10007/29513632429639601/","100 Barclay St, Unit 13K")</f>
        <v>100 Barclay St, Unit 13K</v>
      </c>
      <c r="B514" s="2" t="str">
        <f t="shared" ref="B514:B516" si="89">HYPERLINK("https://www.compass.com/building/100-barclay-manhattan-ny/281896670466155525/","100 Barclay")</f>
        <v>100 Barclay</v>
      </c>
      <c r="C514" s="1" t="s">
        <v>40</v>
      </c>
      <c r="D514" s="1" t="s">
        <v>41</v>
      </c>
      <c r="E514" s="3">
        <v>3835000</v>
      </c>
      <c r="F514" s="1">
        <v>1705.9608540925201</v>
      </c>
      <c r="G514" s="1">
        <v>6</v>
      </c>
      <c r="H514" s="1">
        <v>3</v>
      </c>
      <c r="I514" s="1">
        <v>4</v>
      </c>
      <c r="J514" s="1">
        <v>3.5</v>
      </c>
      <c r="K514" s="1">
        <v>3</v>
      </c>
      <c r="L514" s="1">
        <v>1</v>
      </c>
      <c r="M514" s="4">
        <v>2248</v>
      </c>
      <c r="N514" s="1">
        <v>2779</v>
      </c>
      <c r="O514" s="1">
        <v>5797</v>
      </c>
      <c r="P514" s="1">
        <v>3018</v>
      </c>
      <c r="Q514" s="1" t="s">
        <v>42</v>
      </c>
      <c r="S514" s="1" t="s">
        <v>42</v>
      </c>
      <c r="T514" s="1" t="s">
        <v>170</v>
      </c>
      <c r="U514" s="1">
        <v>6</v>
      </c>
      <c r="V514" s="5">
        <v>43623</v>
      </c>
      <c r="W514" s="5">
        <v>43327</v>
      </c>
      <c r="X514" s="1">
        <v>4173000</v>
      </c>
      <c r="Y514" s="1">
        <v>4173000</v>
      </c>
      <c r="Z514" s="5">
        <v>43333</v>
      </c>
      <c r="AA514" s="1">
        <v>3835000</v>
      </c>
      <c r="AB514" s="1" t="s">
        <v>334</v>
      </c>
      <c r="AC514" s="5">
        <v>43389</v>
      </c>
      <c r="AF514" s="1">
        <v>10007</v>
      </c>
      <c r="AI514" s="1" t="s">
        <v>45</v>
      </c>
      <c r="AJ514" s="1">
        <v>1930</v>
      </c>
      <c r="AK514" s="1" t="s">
        <v>73</v>
      </c>
      <c r="AL514" s="1">
        <v>156</v>
      </c>
    </row>
    <row r="515" spans="1:38" x14ac:dyDescent="0.2">
      <c r="A515" s="2" t="str">
        <f>HYPERLINK("https://www.compass.com/listing/100-barclay-street-unit-13g-manhattan-ny-10007/4852275115603263729/","100 Barclay St, Unit 13G")</f>
        <v>100 Barclay St, Unit 13G</v>
      </c>
      <c r="B515" s="2" t="str">
        <f t="shared" si="89"/>
        <v>100 Barclay</v>
      </c>
      <c r="C515" s="1" t="s">
        <v>40</v>
      </c>
      <c r="D515" s="1" t="s">
        <v>41</v>
      </c>
      <c r="E515" s="3">
        <v>3775000</v>
      </c>
      <c r="F515" s="1">
        <v>1612.5587355830801</v>
      </c>
      <c r="G515" s="1">
        <v>5</v>
      </c>
      <c r="H515" s="1">
        <v>3</v>
      </c>
      <c r="I515" s="1">
        <v>3</v>
      </c>
      <c r="J515" s="1">
        <v>3.5</v>
      </c>
      <c r="K515" s="1">
        <v>3</v>
      </c>
      <c r="L515" s="1">
        <v>1</v>
      </c>
      <c r="M515" s="4">
        <v>2341</v>
      </c>
      <c r="N515" s="1">
        <v>3004</v>
      </c>
      <c r="O515" s="1">
        <v>5876</v>
      </c>
      <c r="P515" s="1">
        <v>2872</v>
      </c>
      <c r="Q515" s="1" t="s">
        <v>42</v>
      </c>
      <c r="S515" s="1" t="s">
        <v>42</v>
      </c>
      <c r="T515" s="1" t="s">
        <v>170</v>
      </c>
      <c r="V515" s="5">
        <v>43623</v>
      </c>
      <c r="W515" s="5">
        <v>42872</v>
      </c>
      <c r="X515" s="1">
        <v>3925000</v>
      </c>
      <c r="Y515" s="1">
        <v>3925000</v>
      </c>
      <c r="Z515" s="5">
        <v>42872</v>
      </c>
      <c r="AA515" s="1">
        <v>3775000</v>
      </c>
      <c r="AB515" s="1" t="s">
        <v>335</v>
      </c>
      <c r="AC515" s="5">
        <v>42901</v>
      </c>
      <c r="AF515" s="1">
        <v>10007</v>
      </c>
      <c r="AI515" s="1" t="s">
        <v>45</v>
      </c>
      <c r="AJ515" s="1">
        <v>1930</v>
      </c>
      <c r="AK515" s="1" t="s">
        <v>73</v>
      </c>
      <c r="AL515" s="1">
        <v>156</v>
      </c>
    </row>
    <row r="516" spans="1:38" x14ac:dyDescent="0.2">
      <c r="A516" s="2" t="str">
        <f>HYPERLINK("https://www.compass.com/listing/100-barclay-street-unit-15g-manhattan-ny-10007/4852275716286318961/","100 Barclay St, Unit 15G")</f>
        <v>100 Barclay St, Unit 15G</v>
      </c>
      <c r="B516" s="2" t="str">
        <f t="shared" si="89"/>
        <v>100 Barclay</v>
      </c>
      <c r="C516" s="1" t="s">
        <v>40</v>
      </c>
      <c r="D516" s="1" t="s">
        <v>41</v>
      </c>
      <c r="E516" s="3">
        <v>3950000</v>
      </c>
      <c r="F516" s="1">
        <v>1667.37019839594</v>
      </c>
      <c r="G516" s="1">
        <v>5</v>
      </c>
      <c r="H516" s="1">
        <v>3</v>
      </c>
      <c r="I516" s="1">
        <v>3</v>
      </c>
      <c r="J516" s="1">
        <v>3.5</v>
      </c>
      <c r="K516" s="1">
        <v>3</v>
      </c>
      <c r="L516" s="1">
        <v>1</v>
      </c>
      <c r="M516" s="4">
        <v>2369</v>
      </c>
      <c r="N516" s="1">
        <v>3040</v>
      </c>
      <c r="O516" s="1">
        <v>5947</v>
      </c>
      <c r="P516" s="1">
        <v>2907</v>
      </c>
      <c r="Q516" s="1" t="s">
        <v>42</v>
      </c>
      <c r="S516" s="1" t="s">
        <v>42</v>
      </c>
      <c r="T516" s="1" t="s">
        <v>170</v>
      </c>
      <c r="V516" s="5">
        <v>43636</v>
      </c>
      <c r="W516" s="5">
        <v>42864</v>
      </c>
      <c r="X516" s="1">
        <v>4080000</v>
      </c>
      <c r="Y516" s="1">
        <v>4080000</v>
      </c>
      <c r="Z516" s="5">
        <v>42864</v>
      </c>
      <c r="AA516" s="1">
        <v>3950000</v>
      </c>
      <c r="AB516" s="1" t="s">
        <v>336</v>
      </c>
      <c r="AC516" s="5">
        <v>42901</v>
      </c>
      <c r="AF516" s="1">
        <v>10007</v>
      </c>
      <c r="AI516" s="1" t="s">
        <v>45</v>
      </c>
      <c r="AJ516" s="1">
        <v>1930</v>
      </c>
      <c r="AK516" s="1" t="s">
        <v>73</v>
      </c>
      <c r="AL516" s="1">
        <v>156</v>
      </c>
    </row>
    <row r="517" spans="1:38" x14ac:dyDescent="0.2">
      <c r="A517" s="2" t="str">
        <f>HYPERLINK("https://www.compass.com/listing/30-park-place-unit-ph78b-manhattan-ny-10007/29512134635359489/","30 Park Pl, Unit PH78B")</f>
        <v>30 Park Pl, Unit PH78B</v>
      </c>
      <c r="B517" s="2" t="str">
        <f t="shared" ref="B517:B518" si="90">HYPERLINK("https://www.compass.com/building/30-park-pl-manhattan-ny-10007/281896912905317605/","30 Park Pl")</f>
        <v>30 Park Pl</v>
      </c>
      <c r="C517" s="1" t="s">
        <v>40</v>
      </c>
      <c r="D517" s="1" t="s">
        <v>41</v>
      </c>
      <c r="E517" s="3">
        <v>25000000</v>
      </c>
      <c r="F517" s="1">
        <v>4210.8809162876796</v>
      </c>
      <c r="G517" s="1">
        <v>10.5</v>
      </c>
      <c r="H517" s="1">
        <v>5</v>
      </c>
      <c r="I517" s="1">
        <v>7</v>
      </c>
      <c r="J517" s="1">
        <v>6.5</v>
      </c>
      <c r="K517" s="1">
        <v>6</v>
      </c>
      <c r="L517" s="1">
        <v>1</v>
      </c>
      <c r="M517" s="4">
        <v>5937</v>
      </c>
      <c r="N517" s="1">
        <v>5923</v>
      </c>
      <c r="O517" s="1">
        <v>20630</v>
      </c>
      <c r="P517" s="1">
        <v>14707</v>
      </c>
      <c r="Q517" s="1" t="s">
        <v>42</v>
      </c>
      <c r="S517" s="1" t="s">
        <v>42</v>
      </c>
      <c r="T517" s="1" t="s">
        <v>170</v>
      </c>
      <c r="U517" s="1">
        <v>1386</v>
      </c>
      <c r="V517" s="5">
        <v>44411</v>
      </c>
      <c r="W517" s="5">
        <v>42836</v>
      </c>
      <c r="X517" s="1">
        <v>29500000</v>
      </c>
      <c r="Y517" s="1">
        <v>29500000</v>
      </c>
      <c r="Z517" s="5">
        <v>44317</v>
      </c>
      <c r="AA517" s="1">
        <v>25000000</v>
      </c>
      <c r="AB517" s="1" t="s">
        <v>181</v>
      </c>
      <c r="AC517" s="5">
        <v>44389</v>
      </c>
      <c r="AF517" s="1">
        <v>10007</v>
      </c>
      <c r="AI517" s="1" t="s">
        <v>116</v>
      </c>
      <c r="AJ517" s="1">
        <v>2016</v>
      </c>
      <c r="AK517" s="1" t="s">
        <v>73</v>
      </c>
      <c r="AL517" s="1">
        <v>157</v>
      </c>
    </row>
    <row r="518" spans="1:38" x14ac:dyDescent="0.2">
      <c r="A518" s="2" t="str">
        <f>HYPERLINK("https://www.compass.com/listing/30-park-place-unit-65a-manhattan-ny-10007/803339170726417865/","30 Park Pl, Unit 65A")</f>
        <v>30 Park Pl, Unit 65A</v>
      </c>
      <c r="B518" s="2" t="str">
        <f t="shared" si="90"/>
        <v>30 Park Pl</v>
      </c>
      <c r="C518" s="1" t="s">
        <v>40</v>
      </c>
      <c r="D518" s="1" t="s">
        <v>41</v>
      </c>
      <c r="E518" s="3">
        <v>9300000</v>
      </c>
      <c r="F518" s="1">
        <v>2513.5135135135101</v>
      </c>
      <c r="G518" s="1">
        <v>8</v>
      </c>
      <c r="H518" s="1">
        <v>4</v>
      </c>
      <c r="I518" s="1">
        <v>5</v>
      </c>
      <c r="J518" s="1">
        <v>5</v>
      </c>
      <c r="K518" s="1">
        <v>5</v>
      </c>
      <c r="M518" s="4">
        <v>3700</v>
      </c>
      <c r="N518" s="1">
        <v>3293</v>
      </c>
      <c r="O518" s="1">
        <v>11826</v>
      </c>
      <c r="P518" s="1">
        <v>8533</v>
      </c>
      <c r="Q518" s="1" t="s">
        <v>42</v>
      </c>
      <c r="S518" s="1" t="s">
        <v>42</v>
      </c>
      <c r="T518" s="1" t="s">
        <v>170</v>
      </c>
      <c r="U518" s="1">
        <v>212</v>
      </c>
      <c r="V518" s="5">
        <v>44068</v>
      </c>
      <c r="W518" s="5">
        <v>43661</v>
      </c>
      <c r="X518" s="1">
        <v>11100000</v>
      </c>
      <c r="Y518" s="1">
        <v>10500000</v>
      </c>
      <c r="Z518" s="5">
        <v>44022</v>
      </c>
      <c r="AA518" s="1">
        <v>9300000</v>
      </c>
      <c r="AB518" s="1" t="s">
        <v>337</v>
      </c>
      <c r="AC518" s="5">
        <v>44055</v>
      </c>
      <c r="AF518" s="1">
        <v>10007</v>
      </c>
      <c r="AJ518" s="1">
        <v>2016</v>
      </c>
      <c r="AK518" s="1" t="s">
        <v>46</v>
      </c>
      <c r="AL518" s="1">
        <v>157</v>
      </c>
    </row>
    <row r="519" spans="1:38" x14ac:dyDescent="0.2">
      <c r="A519" s="2" t="str">
        <f>HYPERLINK("https://www.compass.com/listing/100-barclay-street-unit-14g-manhattan-ny-10007/4852276114971692513/","100 Barclay St, Unit 14G")</f>
        <v>100 Barclay St, Unit 14G</v>
      </c>
      <c r="B519" s="2" t="str">
        <f t="shared" ref="B519:B520" si="91">HYPERLINK("https://www.compass.com/building/100-barclay-manhattan-ny/281896670466155525/","100 Barclay")</f>
        <v>100 Barclay</v>
      </c>
      <c r="C519" s="1" t="s">
        <v>40</v>
      </c>
      <c r="D519" s="1" t="s">
        <v>41</v>
      </c>
      <c r="E519" s="3">
        <v>3825000</v>
      </c>
      <c r="F519" s="1">
        <v>1614.6053186998699</v>
      </c>
      <c r="G519" s="1">
        <v>5</v>
      </c>
      <c r="H519" s="1">
        <v>3</v>
      </c>
      <c r="I519" s="1">
        <v>3</v>
      </c>
      <c r="J519" s="1">
        <v>3.5</v>
      </c>
      <c r="K519" s="1">
        <v>3</v>
      </c>
      <c r="L519" s="1">
        <v>1</v>
      </c>
      <c r="M519" s="4">
        <v>2369</v>
      </c>
      <c r="N519" s="1">
        <v>3040</v>
      </c>
      <c r="O519" s="1">
        <v>5947</v>
      </c>
      <c r="P519" s="1">
        <v>2907</v>
      </c>
      <c r="Q519" s="1" t="s">
        <v>42</v>
      </c>
      <c r="S519" s="1" t="s">
        <v>42</v>
      </c>
      <c r="T519" s="1" t="s">
        <v>170</v>
      </c>
      <c r="U519" s="1">
        <v>91</v>
      </c>
      <c r="V519" s="5">
        <v>43623</v>
      </c>
      <c r="W519" s="5">
        <v>42780</v>
      </c>
      <c r="X519" s="1">
        <v>3985000</v>
      </c>
      <c r="Y519" s="1">
        <v>3985000</v>
      </c>
      <c r="Z519" s="5">
        <v>42879</v>
      </c>
      <c r="AA519" s="1">
        <v>3825000</v>
      </c>
      <c r="AB519" s="1" t="s">
        <v>338</v>
      </c>
      <c r="AC519" s="5">
        <v>42927</v>
      </c>
      <c r="AF519" s="1">
        <v>10007</v>
      </c>
      <c r="AI519" s="1" t="s">
        <v>45</v>
      </c>
      <c r="AJ519" s="1">
        <v>1930</v>
      </c>
      <c r="AK519" s="1" t="s">
        <v>73</v>
      </c>
      <c r="AL519" s="1">
        <v>156</v>
      </c>
    </row>
    <row r="520" spans="1:38" x14ac:dyDescent="0.2">
      <c r="A520" s="2" t="str">
        <f>HYPERLINK("https://www.compass.com/listing/100-barclay-street-unit-12g-manhattan-ny-10007/4852285826807116657/","100 Barclay St, Unit 12G")</f>
        <v>100 Barclay St, Unit 12G</v>
      </c>
      <c r="B520" s="2" t="str">
        <f t="shared" si="91"/>
        <v>100 Barclay</v>
      </c>
      <c r="C520" s="1" t="s">
        <v>40</v>
      </c>
      <c r="D520" s="1" t="s">
        <v>41</v>
      </c>
      <c r="E520" s="3">
        <v>3700000</v>
      </c>
      <c r="F520" s="1">
        <v>1580.5211448099101</v>
      </c>
      <c r="G520" s="1">
        <v>6</v>
      </c>
      <c r="H520" s="1">
        <v>3</v>
      </c>
      <c r="I520" s="1">
        <v>3</v>
      </c>
      <c r="J520" s="1">
        <v>3.5</v>
      </c>
      <c r="K520" s="1">
        <v>3</v>
      </c>
      <c r="L520" s="1">
        <v>1</v>
      </c>
      <c r="M520" s="4">
        <v>2341</v>
      </c>
      <c r="N520" s="1">
        <v>2894</v>
      </c>
      <c r="O520" s="1">
        <v>6039</v>
      </c>
      <c r="P520" s="1">
        <v>3145</v>
      </c>
      <c r="Q520" s="1" t="s">
        <v>42</v>
      </c>
      <c r="S520" s="1" t="s">
        <v>42</v>
      </c>
      <c r="T520" s="1" t="s">
        <v>170</v>
      </c>
      <c r="V520" s="5">
        <v>43626</v>
      </c>
      <c r="W520" s="5">
        <v>43007</v>
      </c>
      <c r="X520" s="1">
        <v>3885000</v>
      </c>
      <c r="Y520" s="1">
        <v>3885000</v>
      </c>
      <c r="Z520" s="5">
        <v>43007</v>
      </c>
      <c r="AA520" s="1">
        <v>3700000</v>
      </c>
      <c r="AB520" s="1" t="s">
        <v>339</v>
      </c>
      <c r="AC520" s="5">
        <v>43060</v>
      </c>
      <c r="AF520" s="1">
        <v>10007</v>
      </c>
      <c r="AI520" s="1" t="s">
        <v>45</v>
      </c>
      <c r="AJ520" s="1">
        <v>1930</v>
      </c>
      <c r="AK520" s="1" t="s">
        <v>73</v>
      </c>
      <c r="AL520" s="1">
        <v>156</v>
      </c>
    </row>
    <row r="521" spans="1:38" x14ac:dyDescent="0.2">
      <c r="A521" s="2" t="str">
        <f>HYPERLINK("https://www.compass.com/listing/150-west-12th-street-unit-9-west-manhattan-ny-10011/4852280427336973377/","150 W 12th St, Unit 9 WEST")</f>
        <v>150 W 12th St, Unit 9 WEST</v>
      </c>
      <c r="B521" s="2" t="str">
        <f>HYPERLINK("https://www.compass.com/building/the-greenwich-lane-manhattan-ny/567553885067785157/","The Greenwich Lane")</f>
        <v>The Greenwich Lane</v>
      </c>
      <c r="C521" s="1" t="s">
        <v>71</v>
      </c>
      <c r="D521" s="1" t="s">
        <v>41</v>
      </c>
      <c r="E521" s="3">
        <v>6585000</v>
      </c>
      <c r="F521" s="1">
        <v>3167.3881673881601</v>
      </c>
      <c r="G521" s="1">
        <v>4.5</v>
      </c>
      <c r="H521" s="1">
        <v>2</v>
      </c>
      <c r="I521" s="1">
        <v>3</v>
      </c>
      <c r="J521" s="1">
        <v>2.5</v>
      </c>
      <c r="M521" s="4">
        <v>2079</v>
      </c>
      <c r="N521" s="1">
        <v>3641</v>
      </c>
      <c r="O521" s="1">
        <v>7209</v>
      </c>
      <c r="P521" s="1">
        <v>3568</v>
      </c>
      <c r="Q521" s="1" t="s">
        <v>42</v>
      </c>
      <c r="S521" s="1" t="s">
        <v>42</v>
      </c>
      <c r="T521" s="1" t="s">
        <v>170</v>
      </c>
      <c r="V521" s="5">
        <v>42998</v>
      </c>
      <c r="W521" s="5">
        <v>42902</v>
      </c>
      <c r="X521" s="1">
        <v>6585000</v>
      </c>
      <c r="Y521" s="1">
        <v>6585000</v>
      </c>
      <c r="Z521" s="5">
        <v>41676</v>
      </c>
      <c r="AB521" s="1" t="s">
        <v>181</v>
      </c>
      <c r="AC521" s="5">
        <v>42902</v>
      </c>
      <c r="AF521" s="1">
        <v>10011</v>
      </c>
      <c r="AI521" s="1" t="s">
        <v>59</v>
      </c>
      <c r="AK521" s="1" t="s">
        <v>49</v>
      </c>
      <c r="AL521" s="1">
        <v>24</v>
      </c>
    </row>
    <row r="522" spans="1:38" x14ac:dyDescent="0.2">
      <c r="A522" s="2" t="str">
        <f>HYPERLINK("https://www.compass.com/listing/100-barclay-street-unit-13s-manhattan-ny-10007/4852274724568317089/","100 Barclay St, Unit 13S")</f>
        <v>100 Barclay St, Unit 13S</v>
      </c>
      <c r="B522" s="2" t="str">
        <f t="shared" ref="B522:B526" si="92">HYPERLINK("https://www.compass.com/building/100-barclay-manhattan-ny/281896670466155525/","100 Barclay")</f>
        <v>100 Barclay</v>
      </c>
      <c r="C522" s="1" t="s">
        <v>40</v>
      </c>
      <c r="D522" s="1" t="s">
        <v>41</v>
      </c>
      <c r="E522" s="3">
        <v>2760475</v>
      </c>
      <c r="F522" s="1">
        <v>1510.1066739606099</v>
      </c>
      <c r="G522" s="1">
        <v>4</v>
      </c>
      <c r="H522" s="1">
        <v>1</v>
      </c>
      <c r="I522" s="1">
        <v>2</v>
      </c>
      <c r="J522" s="1">
        <v>2</v>
      </c>
      <c r="M522" s="4">
        <v>1828</v>
      </c>
      <c r="N522" s="1">
        <v>2345</v>
      </c>
      <c r="O522" s="1">
        <v>4588</v>
      </c>
      <c r="P522" s="1">
        <v>2243</v>
      </c>
      <c r="Q522" s="1" t="s">
        <v>42</v>
      </c>
      <c r="S522" s="1" t="s">
        <v>42</v>
      </c>
      <c r="T522" s="1" t="s">
        <v>170</v>
      </c>
      <c r="V522" s="5">
        <v>43623</v>
      </c>
      <c r="W522" s="5">
        <v>42477</v>
      </c>
      <c r="X522" s="1">
        <v>2711000</v>
      </c>
      <c r="Y522" s="1">
        <v>2711000</v>
      </c>
      <c r="Z522" s="5">
        <v>42477</v>
      </c>
      <c r="AA522" s="1">
        <v>2760475</v>
      </c>
      <c r="AB522" s="1" t="s">
        <v>340</v>
      </c>
      <c r="AC522" s="5">
        <v>42754</v>
      </c>
      <c r="AF522" s="1">
        <v>10007</v>
      </c>
      <c r="AI522" s="1" t="s">
        <v>45</v>
      </c>
      <c r="AJ522" s="1">
        <v>1930</v>
      </c>
      <c r="AK522" s="1" t="s">
        <v>73</v>
      </c>
      <c r="AL522" s="1">
        <v>156</v>
      </c>
    </row>
    <row r="523" spans="1:38" x14ac:dyDescent="0.2">
      <c r="A523" s="2" t="str">
        <f>HYPERLINK("https://www.compass.com/listing/100-barclay-street-unit-14k-manhattan-ny-10007/4852270312017901697/","100 Barclay St, Unit 14K")</f>
        <v>100 Barclay St, Unit 14K</v>
      </c>
      <c r="B523" s="2" t="str">
        <f t="shared" si="92"/>
        <v>100 Barclay</v>
      </c>
      <c r="C523" s="1" t="s">
        <v>40</v>
      </c>
      <c r="D523" s="1" t="s">
        <v>41</v>
      </c>
      <c r="E523" s="3">
        <v>2800188</v>
      </c>
      <c r="F523" s="1">
        <v>1865.54830113257</v>
      </c>
      <c r="G523" s="1">
        <v>4</v>
      </c>
      <c r="H523" s="1">
        <v>2</v>
      </c>
      <c r="I523" s="1">
        <v>3</v>
      </c>
      <c r="J523" s="1">
        <v>2.5</v>
      </c>
      <c r="M523" s="4">
        <v>1501</v>
      </c>
      <c r="N523" s="1">
        <v>1874</v>
      </c>
      <c r="O523" s="1">
        <v>3713</v>
      </c>
      <c r="P523" s="1">
        <v>1839</v>
      </c>
      <c r="Q523" s="1" t="s">
        <v>42</v>
      </c>
      <c r="S523" s="1" t="s">
        <v>42</v>
      </c>
      <c r="T523" s="1" t="s">
        <v>170</v>
      </c>
      <c r="V523" s="5">
        <v>43623</v>
      </c>
      <c r="W523" s="5">
        <v>42147</v>
      </c>
      <c r="X523" s="1">
        <v>2873000</v>
      </c>
      <c r="Y523" s="1">
        <v>2873000</v>
      </c>
      <c r="Z523" s="5">
        <v>42147</v>
      </c>
      <c r="AA523" s="1">
        <v>2800188</v>
      </c>
      <c r="AB523" s="1" t="s">
        <v>341</v>
      </c>
      <c r="AC523" s="5">
        <v>42707</v>
      </c>
      <c r="AF523" s="1">
        <v>10007</v>
      </c>
      <c r="AI523" s="1" t="s">
        <v>45</v>
      </c>
      <c r="AJ523" s="1">
        <v>1930</v>
      </c>
      <c r="AK523" s="1" t="s">
        <v>73</v>
      </c>
      <c r="AL523" s="1">
        <v>156</v>
      </c>
    </row>
    <row r="524" spans="1:38" x14ac:dyDescent="0.2">
      <c r="A524" s="2" t="str">
        <f>HYPERLINK("https://www.compass.com/listing/100-barclay-street-unit-13m-manhattan-ny-10007/4852308975372214369/","100 Barclay St, Unit 13M")</f>
        <v>100 Barclay St, Unit 13M</v>
      </c>
      <c r="B524" s="2" t="str">
        <f t="shared" si="92"/>
        <v>100 Barclay</v>
      </c>
      <c r="C524" s="1" t="s">
        <v>40</v>
      </c>
      <c r="D524" s="1" t="s">
        <v>41</v>
      </c>
      <c r="E524" s="3">
        <v>2927469</v>
      </c>
      <c r="F524" s="1">
        <v>2034.3773453787301</v>
      </c>
      <c r="G524" s="1">
        <v>5</v>
      </c>
      <c r="H524" s="1">
        <v>2</v>
      </c>
      <c r="I524" s="1">
        <v>2</v>
      </c>
      <c r="J524" s="1">
        <v>2</v>
      </c>
      <c r="M524" s="4">
        <v>1439</v>
      </c>
      <c r="N524" s="1">
        <v>1793</v>
      </c>
      <c r="O524" s="1">
        <v>3552</v>
      </c>
      <c r="P524" s="1">
        <v>1759</v>
      </c>
      <c r="Q524" s="1" t="s">
        <v>42</v>
      </c>
      <c r="S524" s="1" t="s">
        <v>42</v>
      </c>
      <c r="T524" s="1" t="s">
        <v>170</v>
      </c>
      <c r="V524" s="5">
        <v>43670</v>
      </c>
      <c r="W524" s="5">
        <v>42168</v>
      </c>
      <c r="X524" s="1">
        <v>2929000</v>
      </c>
      <c r="Y524" s="1">
        <v>2929000</v>
      </c>
      <c r="Z524" s="5">
        <v>42168</v>
      </c>
      <c r="AA524" s="1">
        <v>2927469</v>
      </c>
      <c r="AB524" s="1" t="s">
        <v>342</v>
      </c>
      <c r="AC524" s="5">
        <v>42747</v>
      </c>
      <c r="AF524" s="1">
        <v>10007</v>
      </c>
      <c r="AI524" s="1" t="s">
        <v>45</v>
      </c>
      <c r="AJ524" s="1">
        <v>1930</v>
      </c>
      <c r="AK524" s="1" t="s">
        <v>73</v>
      </c>
      <c r="AL524" s="1">
        <v>156</v>
      </c>
    </row>
    <row r="525" spans="1:38" x14ac:dyDescent="0.2">
      <c r="A525" s="2" t="str">
        <f>HYPERLINK("https://www.compass.com/listing/100-barclay-street-unit-12n-manhattan-ny-10007/50866912963367713/","100 Barclay St, Unit 12N")</f>
        <v>100 Barclay St, Unit 12N</v>
      </c>
      <c r="B525" s="2" t="str">
        <f t="shared" si="92"/>
        <v>100 Barclay</v>
      </c>
      <c r="C525" s="1" t="s">
        <v>40</v>
      </c>
      <c r="D525" s="1" t="s">
        <v>41</v>
      </c>
      <c r="E525" s="3">
        <v>2749275</v>
      </c>
      <c r="F525" s="1">
        <v>1735.6534090908999</v>
      </c>
      <c r="G525" s="1">
        <v>5</v>
      </c>
      <c r="H525" s="1">
        <v>2</v>
      </c>
      <c r="I525" s="1">
        <v>3</v>
      </c>
      <c r="J525" s="1">
        <v>2.5</v>
      </c>
      <c r="M525" s="4">
        <v>1584</v>
      </c>
      <c r="N525" s="1">
        <v>2032</v>
      </c>
      <c r="O525" s="1">
        <v>3976</v>
      </c>
      <c r="P525" s="1">
        <v>1944</v>
      </c>
      <c r="Q525" s="1" t="s">
        <v>42</v>
      </c>
      <c r="S525" s="1" t="s">
        <v>42</v>
      </c>
      <c r="T525" s="1" t="s">
        <v>170</v>
      </c>
      <c r="V525" s="5">
        <v>43666</v>
      </c>
      <c r="W525" s="5">
        <v>42477</v>
      </c>
      <c r="X525" s="1">
        <v>2823000</v>
      </c>
      <c r="Y525" s="1">
        <v>2823000</v>
      </c>
      <c r="Z525" s="5">
        <v>42477</v>
      </c>
      <c r="AA525" s="1">
        <v>2749275</v>
      </c>
      <c r="AB525" s="1" t="s">
        <v>343</v>
      </c>
      <c r="AC525" s="5">
        <v>42755</v>
      </c>
      <c r="AF525" s="1">
        <v>10007</v>
      </c>
      <c r="AI525" s="1" t="s">
        <v>45</v>
      </c>
      <c r="AJ525" s="1">
        <v>1930</v>
      </c>
      <c r="AK525" s="1" t="s">
        <v>73</v>
      </c>
      <c r="AL525" s="1">
        <v>156</v>
      </c>
    </row>
    <row r="526" spans="1:38" x14ac:dyDescent="0.2">
      <c r="A526" s="2" t="str">
        <f>HYPERLINK("https://www.compass.com/listing/100-barclay-street-unit-13n-manhattan-ny-10007/4852308833034320785/","100 Barclay St, Unit 13N")</f>
        <v>100 Barclay St, Unit 13N</v>
      </c>
      <c r="B526" s="2" t="str">
        <f t="shared" si="92"/>
        <v>100 Barclay</v>
      </c>
      <c r="C526" s="1" t="s">
        <v>40</v>
      </c>
      <c r="D526" s="1" t="s">
        <v>41</v>
      </c>
      <c r="E526" s="3">
        <v>3232943</v>
      </c>
      <c r="F526" s="1">
        <v>2040.99936868686</v>
      </c>
      <c r="G526" s="1">
        <v>5</v>
      </c>
      <c r="H526" s="1">
        <v>2</v>
      </c>
      <c r="I526" s="1">
        <v>3</v>
      </c>
      <c r="J526" s="1">
        <v>2.5</v>
      </c>
      <c r="M526" s="4">
        <v>1584</v>
      </c>
      <c r="N526" s="1">
        <v>1979</v>
      </c>
      <c r="O526" s="1">
        <v>3921</v>
      </c>
      <c r="P526" s="1">
        <v>1942</v>
      </c>
      <c r="Q526" s="1" t="s">
        <v>42</v>
      </c>
      <c r="S526" s="1" t="s">
        <v>42</v>
      </c>
      <c r="T526" s="1" t="s">
        <v>170</v>
      </c>
      <c r="U526" s="1">
        <v>38</v>
      </c>
      <c r="V526" s="5">
        <v>43623</v>
      </c>
      <c r="W526" s="5">
        <v>42120</v>
      </c>
      <c r="X526" s="1">
        <v>3221500</v>
      </c>
      <c r="Y526" s="1">
        <v>3221500</v>
      </c>
      <c r="Z526" s="5">
        <v>42158</v>
      </c>
      <c r="AA526" s="1">
        <v>3232943</v>
      </c>
      <c r="AB526" s="1" t="s">
        <v>344</v>
      </c>
      <c r="AC526" s="5">
        <v>42748</v>
      </c>
      <c r="AF526" s="1">
        <v>10007</v>
      </c>
      <c r="AI526" s="1" t="s">
        <v>45</v>
      </c>
      <c r="AJ526" s="1">
        <v>1930</v>
      </c>
      <c r="AK526" s="1" t="s">
        <v>73</v>
      </c>
      <c r="AL526" s="1">
        <v>156</v>
      </c>
    </row>
    <row r="527" spans="1:38" x14ac:dyDescent="0.2">
      <c r="A527" s="2" t="str">
        <f>HYPERLINK("https://www.compass.com/listing/150-west-12th-street-unit-7-west-manhattan-ny-10011/4852280456520926225/","150 W 12th St, Unit 7 WEST")</f>
        <v>150 W 12th St, Unit 7 WEST</v>
      </c>
      <c r="B527" s="2" t="str">
        <f>HYPERLINK("https://www.compass.com/building/the-greenwich-lane-manhattan-ny/567553885067785157/","The Greenwich Lane")</f>
        <v>The Greenwich Lane</v>
      </c>
      <c r="C527" s="1" t="s">
        <v>71</v>
      </c>
      <c r="D527" s="1" t="s">
        <v>41</v>
      </c>
      <c r="E527" s="3">
        <v>6224533</v>
      </c>
      <c r="F527" s="1">
        <v>2994.0033670033599</v>
      </c>
      <c r="G527" s="1">
        <v>3</v>
      </c>
      <c r="H527" s="1">
        <v>2</v>
      </c>
      <c r="I527" s="1">
        <v>2</v>
      </c>
      <c r="J527" s="1">
        <v>2</v>
      </c>
      <c r="M527" s="4">
        <v>2079</v>
      </c>
      <c r="N527" s="1">
        <v>3606</v>
      </c>
      <c r="O527" s="1">
        <v>7140</v>
      </c>
      <c r="P527" s="1">
        <v>3534</v>
      </c>
      <c r="Q527" s="1" t="s">
        <v>42</v>
      </c>
      <c r="S527" s="1" t="s">
        <v>42</v>
      </c>
      <c r="T527" s="1" t="s">
        <v>170</v>
      </c>
      <c r="U527" s="1">
        <v>62</v>
      </c>
      <c r="V527" s="5">
        <v>43743</v>
      </c>
      <c r="W527" s="5">
        <v>41690</v>
      </c>
      <c r="X527" s="1">
        <v>6100000</v>
      </c>
      <c r="Y527" s="1">
        <v>6100000</v>
      </c>
      <c r="Z527" s="5">
        <v>41753</v>
      </c>
      <c r="AA527" s="1">
        <v>6224533</v>
      </c>
      <c r="AB527" s="1" t="s">
        <v>181</v>
      </c>
      <c r="AC527" s="5">
        <v>42411</v>
      </c>
      <c r="AF527" s="1">
        <v>10011</v>
      </c>
      <c r="AI527" s="1" t="s">
        <v>59</v>
      </c>
      <c r="AK527" s="1" t="s">
        <v>49</v>
      </c>
      <c r="AL527" s="1">
        <v>24</v>
      </c>
    </row>
    <row r="528" spans="1:38" x14ac:dyDescent="0.2">
      <c r="A528" s="2" t="str">
        <f>HYPERLINK("https://www.compass.com/listing/100-barclay-street-unit-13e-manhattan-ny-10007/4852309100513475953/","100 Barclay St, Unit 13E")</f>
        <v>100 Barclay St, Unit 13E</v>
      </c>
      <c r="B528" s="2" t="str">
        <f t="shared" ref="B528:B529" si="93">HYPERLINK("https://www.compass.com/building/100-barclay-manhattan-ny/281896670466155525/","100 Barclay")</f>
        <v>100 Barclay</v>
      </c>
      <c r="C528" s="1" t="s">
        <v>40</v>
      </c>
      <c r="D528" s="1" t="s">
        <v>41</v>
      </c>
      <c r="E528" s="3">
        <v>2734510</v>
      </c>
      <c r="F528" s="1">
        <v>1834.01073105298</v>
      </c>
      <c r="G528" s="1">
        <v>5</v>
      </c>
      <c r="H528" s="1">
        <v>2</v>
      </c>
      <c r="I528" s="1">
        <v>2</v>
      </c>
      <c r="J528" s="1">
        <v>2</v>
      </c>
      <c r="M528" s="4">
        <v>1491</v>
      </c>
      <c r="N528" s="1">
        <v>1913</v>
      </c>
      <c r="O528" s="1">
        <v>3742</v>
      </c>
      <c r="P528" s="1">
        <v>1829</v>
      </c>
      <c r="Q528" s="1" t="s">
        <v>42</v>
      </c>
      <c r="S528" s="1" t="s">
        <v>42</v>
      </c>
      <c r="T528" s="1" t="s">
        <v>170</v>
      </c>
      <c r="V528" s="5">
        <v>43623</v>
      </c>
      <c r="W528" s="5">
        <v>42477</v>
      </c>
      <c r="X528" s="1">
        <v>2750000</v>
      </c>
      <c r="Y528" s="1">
        <v>2750000</v>
      </c>
      <c r="Z528" s="5">
        <v>42477</v>
      </c>
      <c r="AA528" s="1">
        <v>2734510</v>
      </c>
      <c r="AB528" s="1" t="s">
        <v>345</v>
      </c>
      <c r="AC528" s="5">
        <v>42746</v>
      </c>
      <c r="AF528" s="1">
        <v>10007</v>
      </c>
      <c r="AI528" s="1" t="s">
        <v>45</v>
      </c>
      <c r="AJ528" s="1">
        <v>1930</v>
      </c>
      <c r="AK528" s="1" t="s">
        <v>73</v>
      </c>
      <c r="AL528" s="1">
        <v>156</v>
      </c>
    </row>
    <row r="529" spans="1:38" x14ac:dyDescent="0.2">
      <c r="A529" s="2" t="str">
        <f>HYPERLINK("https://www.compass.com/listing/100-barclay-street-unit-12q-manhattan-ny-10007/22503163865087649/","100 Barclay St, Unit 12Q")</f>
        <v>100 Barclay St, Unit 12Q</v>
      </c>
      <c r="B529" s="2" t="str">
        <f t="shared" si="93"/>
        <v>100 Barclay</v>
      </c>
      <c r="C529" s="1" t="s">
        <v>40</v>
      </c>
      <c r="D529" s="1" t="s">
        <v>41</v>
      </c>
      <c r="E529" s="3">
        <v>4025000</v>
      </c>
      <c r="F529" s="1">
        <v>1945.38424359594</v>
      </c>
      <c r="G529" s="1">
        <v>6</v>
      </c>
      <c r="H529" s="1">
        <v>3</v>
      </c>
      <c r="I529" s="1">
        <v>4</v>
      </c>
      <c r="J529" s="1">
        <v>3.5</v>
      </c>
      <c r="K529" s="1">
        <v>3</v>
      </c>
      <c r="L529" s="1">
        <v>1</v>
      </c>
      <c r="M529" s="4">
        <v>2069</v>
      </c>
      <c r="N529" s="1">
        <v>2983</v>
      </c>
      <c r="O529" s="1">
        <v>5720</v>
      </c>
      <c r="P529" s="1">
        <v>2737</v>
      </c>
      <c r="Q529" s="1" t="s">
        <v>42</v>
      </c>
      <c r="S529" s="1" t="s">
        <v>42</v>
      </c>
      <c r="T529" s="1" t="s">
        <v>170</v>
      </c>
      <c r="U529" s="1">
        <v>333</v>
      </c>
      <c r="V529" s="5">
        <v>43844</v>
      </c>
      <c r="W529" s="5">
        <v>43475</v>
      </c>
      <c r="X529" s="1">
        <v>4500000</v>
      </c>
      <c r="Y529" s="1">
        <v>4500000</v>
      </c>
      <c r="Z529" s="5">
        <v>43809</v>
      </c>
      <c r="AA529" s="1">
        <v>4025000</v>
      </c>
      <c r="AB529" s="1" t="s">
        <v>346</v>
      </c>
      <c r="AC529" s="5">
        <v>43829</v>
      </c>
      <c r="AF529" s="1">
        <v>10007</v>
      </c>
      <c r="AI529" s="1" t="s">
        <v>45</v>
      </c>
      <c r="AJ529" s="1">
        <v>1930</v>
      </c>
      <c r="AK529" s="1" t="s">
        <v>73</v>
      </c>
      <c r="AL529" s="1">
        <v>156</v>
      </c>
    </row>
    <row r="530" spans="1:38" x14ac:dyDescent="0.2">
      <c r="A530" s="2" t="str">
        <f>HYPERLINK("https://www.compass.com/listing/150-west-12th-street-unit-7-east-manhattan-ny-10011/4852280429836779025/","150 W 12th St, Unit 7 EAST")</f>
        <v>150 W 12th St, Unit 7 EAST</v>
      </c>
      <c r="B530" s="2" t="str">
        <f>HYPERLINK("https://www.compass.com/building/the-greenwich-lane-manhattan-ny/567553885067785157/","The Greenwich Lane")</f>
        <v>The Greenwich Lane</v>
      </c>
      <c r="C530" s="1" t="s">
        <v>71</v>
      </c>
      <c r="D530" s="1" t="s">
        <v>41</v>
      </c>
      <c r="E530" s="3">
        <v>6350000</v>
      </c>
      <c r="F530" s="1">
        <v>3075.0605326876498</v>
      </c>
      <c r="G530" s="1">
        <v>4</v>
      </c>
      <c r="H530" s="1">
        <v>2</v>
      </c>
      <c r="I530" s="1">
        <v>3</v>
      </c>
      <c r="J530" s="1">
        <v>2.5</v>
      </c>
      <c r="M530" s="4">
        <v>2065</v>
      </c>
      <c r="N530" s="1">
        <v>3581</v>
      </c>
      <c r="O530" s="1">
        <v>7091</v>
      </c>
      <c r="P530" s="1">
        <v>3510</v>
      </c>
      <c r="Q530" s="1" t="s">
        <v>42</v>
      </c>
      <c r="S530" s="1" t="s">
        <v>42</v>
      </c>
      <c r="T530" s="1" t="s">
        <v>170</v>
      </c>
      <c r="V530" s="5">
        <v>42998</v>
      </c>
      <c r="W530" s="5">
        <v>42902</v>
      </c>
      <c r="X530" s="1">
        <v>6350000</v>
      </c>
      <c r="Y530" s="1">
        <v>6350000</v>
      </c>
      <c r="Z530" s="5">
        <v>41754</v>
      </c>
      <c r="AB530" s="1" t="s">
        <v>181</v>
      </c>
      <c r="AC530" s="5">
        <v>42902</v>
      </c>
      <c r="AF530" s="1">
        <v>10011</v>
      </c>
      <c r="AI530" s="1" t="s">
        <v>59</v>
      </c>
      <c r="AK530" s="1" t="s">
        <v>49</v>
      </c>
      <c r="AL530" s="1">
        <v>24</v>
      </c>
    </row>
    <row r="531" spans="1:38" x14ac:dyDescent="0.2">
      <c r="A531" s="2" t="str">
        <f>HYPERLINK("https://www.compass.com/listing/30-park-place-unit-39c-manhattan-ny-10007/29357552361900849/","30 Park Pl, Unit 39C")</f>
        <v>30 Park Pl, Unit 39C</v>
      </c>
      <c r="B531" s="2" t="str">
        <f t="shared" ref="B531:B532" si="94">HYPERLINK("https://www.compass.com/building/30-park-pl-manhattan-ny-10007/281896912905317605/","30 Park Pl")</f>
        <v>30 Park Pl</v>
      </c>
      <c r="C531" s="1" t="s">
        <v>40</v>
      </c>
      <c r="D531" s="1" t="s">
        <v>41</v>
      </c>
      <c r="E531" s="3">
        <v>1781938</v>
      </c>
      <c r="F531" s="1">
        <v>2194.50492610837</v>
      </c>
      <c r="G531" s="1">
        <v>3</v>
      </c>
      <c r="H531" s="1">
        <v>1</v>
      </c>
      <c r="I531" s="1">
        <v>1</v>
      </c>
      <c r="J531" s="1">
        <v>1</v>
      </c>
      <c r="K531" s="1">
        <v>1</v>
      </c>
      <c r="M531" s="1">
        <v>812</v>
      </c>
      <c r="N531" s="1">
        <v>635</v>
      </c>
      <c r="O531" s="1">
        <v>2253</v>
      </c>
      <c r="P531" s="1">
        <v>1618</v>
      </c>
      <c r="Q531" s="1" t="s">
        <v>42</v>
      </c>
      <c r="S531" s="1" t="s">
        <v>42</v>
      </c>
      <c r="T531" s="1" t="s">
        <v>170</v>
      </c>
      <c r="V531" s="5">
        <v>43662</v>
      </c>
      <c r="W531" s="5">
        <v>42705</v>
      </c>
      <c r="X531" s="1">
        <v>1750000</v>
      </c>
      <c r="Y531" s="1">
        <v>1750000</v>
      </c>
      <c r="Z531" s="5">
        <v>42705</v>
      </c>
      <c r="AA531" s="1">
        <v>1781938</v>
      </c>
      <c r="AB531" s="1" t="s">
        <v>347</v>
      </c>
      <c r="AC531" s="5">
        <v>42850</v>
      </c>
      <c r="AF531" s="1">
        <v>10007</v>
      </c>
      <c r="AJ531" s="1">
        <v>2016</v>
      </c>
      <c r="AK531" s="1" t="s">
        <v>73</v>
      </c>
      <c r="AL531" s="1">
        <v>157</v>
      </c>
    </row>
    <row r="532" spans="1:38" x14ac:dyDescent="0.2">
      <c r="A532" s="2" t="str">
        <f>HYPERLINK("https://www.compass.com/listing/30-park-place-unit-51a-manhattan-ny-10007/18882273835278289/","30 Park Pl, Unit 51A")</f>
        <v>30 Park Pl, Unit 51A</v>
      </c>
      <c r="B532" s="2" t="str">
        <f t="shared" si="94"/>
        <v>30 Park Pl</v>
      </c>
      <c r="C532" s="1" t="s">
        <v>40</v>
      </c>
      <c r="D532" s="1" t="s">
        <v>41</v>
      </c>
      <c r="E532" s="3">
        <v>5450000</v>
      </c>
      <c r="F532" s="1">
        <v>2464.9479873360401</v>
      </c>
      <c r="G532" s="1">
        <v>6</v>
      </c>
      <c r="H532" s="1">
        <v>3</v>
      </c>
      <c r="I532" s="1">
        <v>4</v>
      </c>
      <c r="J532" s="1">
        <v>3.5</v>
      </c>
      <c r="K532" s="1">
        <v>3</v>
      </c>
      <c r="L532" s="1">
        <v>1</v>
      </c>
      <c r="M532" s="4">
        <v>2211</v>
      </c>
      <c r="N532" s="1">
        <v>1964</v>
      </c>
      <c r="O532" s="1">
        <v>6848</v>
      </c>
      <c r="P532" s="1">
        <v>4884</v>
      </c>
      <c r="Q532" s="1" t="s">
        <v>42</v>
      </c>
      <c r="S532" s="1" t="s">
        <v>42</v>
      </c>
      <c r="T532" s="1" t="s">
        <v>170</v>
      </c>
      <c r="U532" s="1">
        <v>287</v>
      </c>
      <c r="V532" s="5">
        <v>44060</v>
      </c>
      <c r="W532" s="5">
        <v>43623</v>
      </c>
      <c r="X532" s="1">
        <v>6500000</v>
      </c>
      <c r="Y532" s="1">
        <v>6500000</v>
      </c>
      <c r="Z532" s="5">
        <v>43999</v>
      </c>
      <c r="AA532" s="1">
        <v>5450000</v>
      </c>
      <c r="AB532" s="1" t="s">
        <v>348</v>
      </c>
      <c r="AC532" s="5">
        <v>44089</v>
      </c>
      <c r="AF532" s="1">
        <v>10007</v>
      </c>
      <c r="AI532" s="1" t="s">
        <v>142</v>
      </c>
      <c r="AJ532" s="1">
        <v>2016</v>
      </c>
      <c r="AK532" s="1" t="s">
        <v>73</v>
      </c>
      <c r="AL532" s="1">
        <v>157</v>
      </c>
    </row>
    <row r="533" spans="1:38" x14ac:dyDescent="0.2">
      <c r="A533" s="2" t="str">
        <f>HYPERLINK("https://www.compass.com/listing/100-barclay-street-unit-15h-manhattan-ny-10007/192575398029111329/","100 Barclay St, Unit 15H")</f>
        <v>100 Barclay St, Unit 15H</v>
      </c>
      <c r="B533" s="2" t="str">
        <f>HYPERLINK("https://www.compass.com/building/100-barclay-manhattan-ny/281896670466155525/","100 Barclay")</f>
        <v>100 Barclay</v>
      </c>
      <c r="C533" s="1" t="s">
        <v>40</v>
      </c>
      <c r="D533" s="1" t="s">
        <v>41</v>
      </c>
      <c r="E533" s="3">
        <v>3103626</v>
      </c>
      <c r="F533" s="1">
        <v>1744.59021922428</v>
      </c>
      <c r="G533" s="1">
        <v>4</v>
      </c>
      <c r="H533" s="1">
        <v>2</v>
      </c>
      <c r="I533" s="1">
        <v>3</v>
      </c>
      <c r="J533" s="1">
        <v>3</v>
      </c>
      <c r="K533" s="1">
        <v>3</v>
      </c>
      <c r="M533" s="4">
        <v>1779</v>
      </c>
      <c r="N533" s="1">
        <v>2283</v>
      </c>
      <c r="O533" s="1">
        <v>4466</v>
      </c>
      <c r="P533" s="1">
        <v>2183</v>
      </c>
      <c r="Q533" s="1" t="s">
        <v>42</v>
      </c>
      <c r="S533" s="1" t="s">
        <v>42</v>
      </c>
      <c r="T533" s="1" t="s">
        <v>170</v>
      </c>
      <c r="U533" s="1">
        <v>108</v>
      </c>
      <c r="V533" s="5">
        <v>43623</v>
      </c>
      <c r="W533" s="5">
        <v>42665</v>
      </c>
      <c r="X533" s="1">
        <v>3350000</v>
      </c>
      <c r="Y533" s="1">
        <v>3350000</v>
      </c>
      <c r="AA533" s="1">
        <v>3103626</v>
      </c>
      <c r="AB533" s="1" t="s">
        <v>177</v>
      </c>
      <c r="AC533" s="5">
        <v>42773</v>
      </c>
      <c r="AF533" s="1">
        <v>10007</v>
      </c>
      <c r="AI533" s="1" t="s">
        <v>45</v>
      </c>
      <c r="AJ533" s="1">
        <v>1930</v>
      </c>
      <c r="AK533" s="1" t="s">
        <v>73</v>
      </c>
      <c r="AL533" s="1">
        <v>156</v>
      </c>
    </row>
    <row r="534" spans="1:38" x14ac:dyDescent="0.2">
      <c r="A534" s="2" t="str">
        <f>HYPERLINK("https://www.compass.com/listing/30-park-place-unit-42e-manhattan-ny-10007/29357558116387889/","30 Park Pl, Unit 42E")</f>
        <v>30 Park Pl, Unit 42E</v>
      </c>
      <c r="B534" s="2" t="str">
        <f t="shared" ref="B534:B536" si="95">HYPERLINK("https://www.compass.com/building/30-park-pl-manhattan-ny-10007/281896912905317605/","30 Park Pl")</f>
        <v>30 Park Pl</v>
      </c>
      <c r="C534" s="1" t="s">
        <v>40</v>
      </c>
      <c r="D534" s="1" t="s">
        <v>41</v>
      </c>
      <c r="E534" s="3">
        <v>4683950</v>
      </c>
      <c r="F534" s="1">
        <v>2610.8974358974301</v>
      </c>
      <c r="G534" s="1">
        <v>5</v>
      </c>
      <c r="H534" s="1">
        <v>3</v>
      </c>
      <c r="I534" s="1">
        <v>2</v>
      </c>
      <c r="J534" s="1">
        <v>2</v>
      </c>
      <c r="K534" s="1">
        <v>2</v>
      </c>
      <c r="M534" s="4">
        <v>1794</v>
      </c>
      <c r="N534" s="1">
        <v>1441</v>
      </c>
      <c r="O534" s="1">
        <v>5115</v>
      </c>
      <c r="P534" s="1">
        <v>3674</v>
      </c>
      <c r="Q534" s="1" t="s">
        <v>42</v>
      </c>
      <c r="S534" s="1" t="s">
        <v>42</v>
      </c>
      <c r="T534" s="1" t="s">
        <v>170</v>
      </c>
      <c r="U534" s="1">
        <v>12</v>
      </c>
      <c r="V534" s="5">
        <v>43673</v>
      </c>
      <c r="W534" s="5">
        <v>41802</v>
      </c>
      <c r="X534" s="1">
        <v>4850000</v>
      </c>
      <c r="Y534" s="1">
        <v>4850000</v>
      </c>
      <c r="Z534" s="5">
        <v>41814</v>
      </c>
      <c r="AA534" s="1">
        <v>4683950</v>
      </c>
      <c r="AB534" s="1" t="s">
        <v>349</v>
      </c>
      <c r="AC534" s="5">
        <v>42591</v>
      </c>
      <c r="AF534" s="1">
        <v>10007</v>
      </c>
      <c r="AJ534" s="1">
        <v>2016</v>
      </c>
      <c r="AK534" s="1" t="s">
        <v>73</v>
      </c>
      <c r="AL534" s="1">
        <v>157</v>
      </c>
    </row>
    <row r="535" spans="1:38" x14ac:dyDescent="0.2">
      <c r="A535" s="2" t="str">
        <f>HYPERLINK("https://www.compass.com/listing/30-park-place-unit-43e-manhattan-ny-10007/29357559542549425/","30 Park Pl, Unit 43E")</f>
        <v>30 Park Pl, Unit 43E</v>
      </c>
      <c r="B535" s="2" t="str">
        <f t="shared" si="95"/>
        <v>30 Park Pl</v>
      </c>
      <c r="C535" s="1" t="s">
        <v>40</v>
      </c>
      <c r="D535" s="1" t="s">
        <v>41</v>
      </c>
      <c r="E535" s="3">
        <v>4836688</v>
      </c>
      <c r="F535" s="1">
        <v>2696.03567447045</v>
      </c>
      <c r="G535" s="1">
        <v>5</v>
      </c>
      <c r="H535" s="1">
        <v>3</v>
      </c>
      <c r="I535" s="1">
        <v>2</v>
      </c>
      <c r="J535" s="1">
        <v>2</v>
      </c>
      <c r="K535" s="1">
        <v>2</v>
      </c>
      <c r="M535" s="4">
        <v>1794</v>
      </c>
      <c r="N535" s="1">
        <v>1444</v>
      </c>
      <c r="O535" s="1">
        <v>5125</v>
      </c>
      <c r="P535" s="1">
        <v>3681</v>
      </c>
      <c r="Q535" s="1" t="s">
        <v>42</v>
      </c>
      <c r="S535" s="1" t="s">
        <v>42</v>
      </c>
      <c r="T535" s="1" t="s">
        <v>170</v>
      </c>
      <c r="U535" s="1">
        <v>4</v>
      </c>
      <c r="V535" s="5">
        <v>43675</v>
      </c>
      <c r="W535" s="5">
        <v>41796</v>
      </c>
      <c r="X535" s="1">
        <v>4900000</v>
      </c>
      <c r="Y535" s="1">
        <v>4900000</v>
      </c>
      <c r="Z535" s="5">
        <v>41800</v>
      </c>
      <c r="AA535" s="1">
        <v>4836688</v>
      </c>
      <c r="AB535" s="1" t="s">
        <v>350</v>
      </c>
      <c r="AC535" s="5">
        <v>42571</v>
      </c>
      <c r="AF535" s="1">
        <v>10007</v>
      </c>
      <c r="AJ535" s="1">
        <v>2016</v>
      </c>
      <c r="AK535" s="1" t="s">
        <v>73</v>
      </c>
      <c r="AL535" s="1">
        <v>157</v>
      </c>
    </row>
    <row r="536" spans="1:38" x14ac:dyDescent="0.2">
      <c r="A536" s="2" t="str">
        <f>HYPERLINK("https://www.compass.com/listing/30-park-place-unit-44e-manhattan-ny-10007/29357561085955169/","30 Park Pl, Unit 44E")</f>
        <v>30 Park Pl, Unit 44E</v>
      </c>
      <c r="B536" s="2" t="str">
        <f t="shared" si="95"/>
        <v>30 Park Pl</v>
      </c>
      <c r="C536" s="1" t="s">
        <v>40</v>
      </c>
      <c r="D536" s="1" t="s">
        <v>41</v>
      </c>
      <c r="E536" s="3">
        <v>5040338</v>
      </c>
      <c r="F536" s="1">
        <v>2809.5529542920799</v>
      </c>
      <c r="G536" s="1">
        <v>5</v>
      </c>
      <c r="H536" s="1">
        <v>3</v>
      </c>
      <c r="I536" s="1">
        <v>2</v>
      </c>
      <c r="J536" s="1">
        <v>2</v>
      </c>
      <c r="K536" s="1">
        <v>2</v>
      </c>
      <c r="M536" s="4">
        <v>1794</v>
      </c>
      <c r="N536" s="1">
        <v>1447</v>
      </c>
      <c r="O536" s="1">
        <v>5135</v>
      </c>
      <c r="P536" s="1">
        <v>3688</v>
      </c>
      <c r="Q536" s="1" t="s">
        <v>42</v>
      </c>
      <c r="S536" s="1" t="s">
        <v>42</v>
      </c>
      <c r="T536" s="1" t="s">
        <v>170</v>
      </c>
      <c r="U536" s="1">
        <v>28</v>
      </c>
      <c r="V536" s="5">
        <v>43673</v>
      </c>
      <c r="W536" s="5">
        <v>41808</v>
      </c>
      <c r="X536" s="1">
        <v>4950000</v>
      </c>
      <c r="Y536" s="1">
        <v>4950000</v>
      </c>
      <c r="Z536" s="5">
        <v>41836</v>
      </c>
      <c r="AA536" s="1">
        <v>5040338</v>
      </c>
      <c r="AB536" s="1" t="s">
        <v>351</v>
      </c>
      <c r="AC536" s="5">
        <v>42592</v>
      </c>
      <c r="AF536" s="1">
        <v>10007</v>
      </c>
      <c r="AJ536" s="1">
        <v>2016</v>
      </c>
      <c r="AK536" s="1" t="s">
        <v>73</v>
      </c>
      <c r="AL536" s="1">
        <v>157</v>
      </c>
    </row>
    <row r="537" spans="1:38" x14ac:dyDescent="0.2">
      <c r="A537" s="2" t="str">
        <f>HYPERLINK("https://www.compass.com/listing/100-barclay-street-unit-14j-manhattan-ny-10007/4852270303436354513/","100 Barclay St, Unit 14J")</f>
        <v>100 Barclay St, Unit 14J</v>
      </c>
      <c r="B537" s="2" t="str">
        <f t="shared" ref="B537:B541" si="96">HYPERLINK("https://www.compass.com/building/100-barclay-manhattan-ny/281896670466155525/","100 Barclay")</f>
        <v>100 Barclay</v>
      </c>
      <c r="C537" s="1" t="s">
        <v>40</v>
      </c>
      <c r="D537" s="1" t="s">
        <v>41</v>
      </c>
      <c r="E537" s="3">
        <v>2495221</v>
      </c>
      <c r="F537" s="1">
        <v>1826.6625183016099</v>
      </c>
      <c r="G537" s="1">
        <v>5</v>
      </c>
      <c r="H537" s="1">
        <v>2</v>
      </c>
      <c r="I537" s="1">
        <v>3</v>
      </c>
      <c r="J537" s="1">
        <v>2.5</v>
      </c>
      <c r="M537" s="4">
        <v>1366</v>
      </c>
      <c r="N537" s="1">
        <v>1706</v>
      </c>
      <c r="O537" s="1">
        <v>3379</v>
      </c>
      <c r="P537" s="1">
        <v>1673</v>
      </c>
      <c r="Q537" s="1" t="s">
        <v>42</v>
      </c>
      <c r="S537" s="1" t="s">
        <v>42</v>
      </c>
      <c r="T537" s="1" t="s">
        <v>170</v>
      </c>
      <c r="U537" s="1">
        <v>21</v>
      </c>
      <c r="V537" s="5">
        <v>43623</v>
      </c>
      <c r="W537" s="5">
        <v>42154</v>
      </c>
      <c r="X537" s="1">
        <v>2500000</v>
      </c>
      <c r="Y537" s="1">
        <v>2500000</v>
      </c>
      <c r="Z537" s="5">
        <v>42477</v>
      </c>
      <c r="AA537" s="1">
        <v>2495221</v>
      </c>
      <c r="AB537" s="1" t="s">
        <v>352</v>
      </c>
      <c r="AC537" s="5">
        <v>42696</v>
      </c>
      <c r="AF537" s="1">
        <v>10007</v>
      </c>
      <c r="AI537" s="1" t="s">
        <v>45</v>
      </c>
      <c r="AJ537" s="1">
        <v>1930</v>
      </c>
      <c r="AK537" s="1" t="s">
        <v>73</v>
      </c>
      <c r="AL537" s="1">
        <v>156</v>
      </c>
    </row>
    <row r="538" spans="1:38" x14ac:dyDescent="0.2">
      <c r="A538" s="2" t="str">
        <f>HYPERLINK("https://www.compass.com/listing/100-barclay-street-unit-11d-manhattan-ny-10007/4852266256310472065/","100 Barclay St, Unit 11D")</f>
        <v>100 Barclay St, Unit 11D</v>
      </c>
      <c r="B538" s="2" t="str">
        <f t="shared" si="96"/>
        <v>100 Barclay</v>
      </c>
      <c r="C538" s="1" t="s">
        <v>40</v>
      </c>
      <c r="D538" s="1" t="s">
        <v>41</v>
      </c>
      <c r="E538" s="3">
        <v>3054750</v>
      </c>
      <c r="F538" s="1">
        <v>2252.7654867256601</v>
      </c>
      <c r="G538" s="1">
        <v>4</v>
      </c>
      <c r="H538" s="1">
        <v>2</v>
      </c>
      <c r="I538" s="1">
        <v>2</v>
      </c>
      <c r="J538" s="1">
        <v>2</v>
      </c>
      <c r="M538" s="4">
        <v>1356</v>
      </c>
      <c r="N538" s="1">
        <v>1826</v>
      </c>
      <c r="O538" s="1">
        <v>3617</v>
      </c>
      <c r="P538" s="1">
        <v>1791</v>
      </c>
      <c r="Q538" s="1" t="s">
        <v>42</v>
      </c>
      <c r="S538" s="1" t="s">
        <v>42</v>
      </c>
      <c r="T538" s="1" t="s">
        <v>170</v>
      </c>
      <c r="V538" s="5">
        <v>43623</v>
      </c>
      <c r="W538" s="5">
        <v>42343</v>
      </c>
      <c r="X538" s="1">
        <v>3055500</v>
      </c>
      <c r="Y538" s="1">
        <v>3055500</v>
      </c>
      <c r="Z538" s="5">
        <v>42343</v>
      </c>
      <c r="AA538" s="1">
        <v>3054750</v>
      </c>
      <c r="AB538" s="1" t="s">
        <v>353</v>
      </c>
      <c r="AC538" s="5">
        <v>42803</v>
      </c>
      <c r="AF538" s="1">
        <v>10007</v>
      </c>
      <c r="AI538" s="1" t="s">
        <v>88</v>
      </c>
      <c r="AJ538" s="1">
        <v>1930</v>
      </c>
      <c r="AK538" s="1" t="s">
        <v>73</v>
      </c>
      <c r="AL538" s="1">
        <v>156</v>
      </c>
    </row>
    <row r="539" spans="1:38" x14ac:dyDescent="0.2">
      <c r="A539" s="2" t="str">
        <f>HYPERLINK("https://www.compass.com/listing/100-barclay-street-unit-12m-manhattan-ny-10007/4852270656286372961/","100 Barclay St, Unit 12M")</f>
        <v>100 Barclay St, Unit 12M</v>
      </c>
      <c r="B539" s="2" t="str">
        <f t="shared" si="96"/>
        <v>100 Barclay</v>
      </c>
      <c r="C539" s="1" t="s">
        <v>40</v>
      </c>
      <c r="D539" s="1" t="s">
        <v>41</v>
      </c>
      <c r="E539" s="3">
        <v>3000000</v>
      </c>
      <c r="F539" s="1">
        <v>2084.78109798471</v>
      </c>
      <c r="G539" s="1">
        <v>5</v>
      </c>
      <c r="H539" s="1">
        <v>2</v>
      </c>
      <c r="I539" s="1">
        <v>3</v>
      </c>
      <c r="J539" s="1">
        <v>2.5</v>
      </c>
      <c r="K539" s="1">
        <v>2</v>
      </c>
      <c r="L539" s="1">
        <v>1</v>
      </c>
      <c r="M539" s="4">
        <v>1439</v>
      </c>
      <c r="N539" s="1">
        <v>1793</v>
      </c>
      <c r="O539" s="1">
        <v>3552</v>
      </c>
      <c r="P539" s="1">
        <v>1759</v>
      </c>
      <c r="Q539" s="1" t="s">
        <v>42</v>
      </c>
      <c r="S539" s="1" t="s">
        <v>42</v>
      </c>
      <c r="T539" s="1" t="s">
        <v>170</v>
      </c>
      <c r="U539" s="1">
        <v>49</v>
      </c>
      <c r="V539" s="5">
        <v>44225</v>
      </c>
      <c r="W539" s="5">
        <v>42154</v>
      </c>
      <c r="X539" s="1">
        <v>3111000</v>
      </c>
      <c r="Y539" s="1">
        <v>3111000</v>
      </c>
      <c r="Z539" s="5">
        <v>42315</v>
      </c>
      <c r="AA539" s="1">
        <v>3000000</v>
      </c>
      <c r="AB539" s="1" t="s">
        <v>354</v>
      </c>
      <c r="AC539" s="5">
        <v>42741</v>
      </c>
      <c r="AF539" s="1">
        <v>10007</v>
      </c>
      <c r="AI539" s="1" t="s">
        <v>45</v>
      </c>
      <c r="AJ539" s="1">
        <v>1930</v>
      </c>
      <c r="AK539" s="1" t="s">
        <v>73</v>
      </c>
      <c r="AL539" s="1">
        <v>156</v>
      </c>
    </row>
    <row r="540" spans="1:38" x14ac:dyDescent="0.2">
      <c r="A540" s="2" t="str">
        <f>HYPERLINK("https://www.compass.com/listing/100-barclay-street-unit-11m-manhattan-ny-10007/4852308913640443937/","100 Barclay St, Unit 11M")</f>
        <v>100 Barclay St, Unit 11M</v>
      </c>
      <c r="B540" s="2" t="str">
        <f t="shared" si="96"/>
        <v>100 Barclay</v>
      </c>
      <c r="C540" s="1" t="s">
        <v>40</v>
      </c>
      <c r="D540" s="1" t="s">
        <v>41</v>
      </c>
      <c r="E540" s="3">
        <v>3197305</v>
      </c>
      <c r="F540" s="1">
        <v>2224.9860821155098</v>
      </c>
      <c r="G540" s="1">
        <v>5</v>
      </c>
      <c r="H540" s="1">
        <v>2</v>
      </c>
      <c r="I540" s="1">
        <v>2</v>
      </c>
      <c r="J540" s="1">
        <v>2</v>
      </c>
      <c r="M540" s="4">
        <v>1437</v>
      </c>
      <c r="N540" s="1">
        <v>1900</v>
      </c>
      <c r="O540" s="1">
        <v>3764</v>
      </c>
      <c r="P540" s="1">
        <v>1864</v>
      </c>
      <c r="Q540" s="1" t="s">
        <v>42</v>
      </c>
      <c r="S540" s="1" t="s">
        <v>42</v>
      </c>
      <c r="T540" s="1" t="s">
        <v>170</v>
      </c>
      <c r="V540" s="5">
        <v>43641</v>
      </c>
      <c r="W540" s="5">
        <v>42220</v>
      </c>
      <c r="X540" s="1">
        <v>3260000</v>
      </c>
      <c r="Y540" s="1">
        <v>3260000</v>
      </c>
      <c r="Z540" s="5">
        <v>42221</v>
      </c>
      <c r="AA540" s="1">
        <v>3197305</v>
      </c>
      <c r="AB540" s="1" t="s">
        <v>355</v>
      </c>
      <c r="AC540" s="5">
        <v>42802</v>
      </c>
      <c r="AF540" s="1">
        <v>10007</v>
      </c>
      <c r="AI540" s="1" t="s">
        <v>88</v>
      </c>
      <c r="AJ540" s="1">
        <v>1930</v>
      </c>
      <c r="AK540" s="1" t="s">
        <v>46</v>
      </c>
      <c r="AL540" s="1">
        <v>156</v>
      </c>
    </row>
    <row r="541" spans="1:38" x14ac:dyDescent="0.2">
      <c r="A541" s="2" t="str">
        <f>HYPERLINK("https://www.compass.com/listing/100-barclay-street-unit-11e-manhattan-ny-10007/4852309108323255281/","100 Barclay St, Unit 11E")</f>
        <v>100 Barclay St, Unit 11E</v>
      </c>
      <c r="B541" s="2" t="str">
        <f t="shared" si="96"/>
        <v>100 Barclay</v>
      </c>
      <c r="C541" s="1" t="s">
        <v>40</v>
      </c>
      <c r="D541" s="1" t="s">
        <v>41</v>
      </c>
      <c r="E541" s="3">
        <v>3258400</v>
      </c>
      <c r="F541" s="1">
        <v>2143.6842105263099</v>
      </c>
      <c r="G541" s="1">
        <v>5</v>
      </c>
      <c r="H541" s="1">
        <v>2</v>
      </c>
      <c r="I541" s="1">
        <v>2</v>
      </c>
      <c r="J541" s="1">
        <v>2</v>
      </c>
      <c r="M541" s="4">
        <v>1520</v>
      </c>
      <c r="N541" s="1">
        <v>2004</v>
      </c>
      <c r="O541" s="1">
        <v>3970</v>
      </c>
      <c r="P541" s="1">
        <v>1966</v>
      </c>
      <c r="Q541" s="1" t="s">
        <v>42</v>
      </c>
      <c r="S541" s="1" t="s">
        <v>42</v>
      </c>
      <c r="T541" s="1" t="s">
        <v>170</v>
      </c>
      <c r="U541" s="1">
        <v>27</v>
      </c>
      <c r="V541" s="5">
        <v>43623</v>
      </c>
      <c r="W541" s="5">
        <v>42175</v>
      </c>
      <c r="X541" s="1">
        <v>3263000</v>
      </c>
      <c r="Y541" s="1">
        <v>3263000</v>
      </c>
      <c r="Z541" s="5">
        <v>42202</v>
      </c>
      <c r="AA541" s="1">
        <v>3258400</v>
      </c>
      <c r="AB541" s="1" t="s">
        <v>356</v>
      </c>
      <c r="AC541" s="5">
        <v>42807</v>
      </c>
      <c r="AF541" s="1">
        <v>10007</v>
      </c>
      <c r="AI541" s="1" t="s">
        <v>45</v>
      </c>
      <c r="AJ541" s="1">
        <v>1930</v>
      </c>
      <c r="AK541" s="1" t="s">
        <v>46</v>
      </c>
      <c r="AL541" s="1">
        <v>156</v>
      </c>
    </row>
    <row r="542" spans="1:38" x14ac:dyDescent="0.2">
      <c r="A542" s="2" t="str">
        <f>HYPERLINK("https://www.compass.com/listing/30-park-place-unit-46b-manhattan-ny-10007/29357562755291345/","30 Park Pl, Unit 46B")</f>
        <v>30 Park Pl, Unit 46B</v>
      </c>
      <c r="B542" s="2" t="str">
        <f t="shared" ref="B542:B546" si="97">HYPERLINK("https://www.compass.com/building/30-park-pl-manhattan-ny-10007/281896912905317605/","30 Park Pl")</f>
        <v>30 Park Pl</v>
      </c>
      <c r="C542" s="1" t="s">
        <v>40</v>
      </c>
      <c r="D542" s="1" t="s">
        <v>41</v>
      </c>
      <c r="E542" s="3">
        <v>5361086</v>
      </c>
      <c r="F542" s="1">
        <v>3221.8064903846098</v>
      </c>
      <c r="G542" s="1">
        <v>4</v>
      </c>
      <c r="H542" s="1">
        <v>2</v>
      </c>
      <c r="I542" s="1">
        <v>2</v>
      </c>
      <c r="J542" s="1">
        <v>2</v>
      </c>
      <c r="K542" s="1">
        <v>2</v>
      </c>
      <c r="M542" s="4">
        <v>1664</v>
      </c>
      <c r="N542" s="1">
        <v>1335</v>
      </c>
      <c r="O542" s="1">
        <v>4739</v>
      </c>
      <c r="P542" s="1">
        <v>3404</v>
      </c>
      <c r="Q542" s="1" t="s">
        <v>42</v>
      </c>
      <c r="S542" s="1" t="s">
        <v>42</v>
      </c>
      <c r="T542" s="1" t="s">
        <v>170</v>
      </c>
      <c r="U542" s="1">
        <v>11</v>
      </c>
      <c r="V542" s="5">
        <v>43673</v>
      </c>
      <c r="W542" s="5">
        <v>41923</v>
      </c>
      <c r="X542" s="1">
        <v>5265000</v>
      </c>
      <c r="Y542" s="1">
        <v>5265000</v>
      </c>
      <c r="Z542" s="5">
        <v>41934</v>
      </c>
      <c r="AA542" s="1">
        <v>5361086</v>
      </c>
      <c r="AB542" s="1" t="s">
        <v>357</v>
      </c>
      <c r="AC542" s="5">
        <v>42641</v>
      </c>
      <c r="AF542" s="1">
        <v>10007</v>
      </c>
      <c r="AJ542" s="1">
        <v>2016</v>
      </c>
      <c r="AK542" s="1" t="s">
        <v>73</v>
      </c>
      <c r="AL542" s="1">
        <v>157</v>
      </c>
    </row>
    <row r="543" spans="1:38" x14ac:dyDescent="0.2">
      <c r="A543" s="2" t="str">
        <f>HYPERLINK("https://www.compass.com/listing/30-park-place-unit-47b-manhattan-ny-10007/29357564055522449/","30 Park Pl, Unit 47B")</f>
        <v>30 Park Pl, Unit 47B</v>
      </c>
      <c r="B543" s="2" t="str">
        <f t="shared" si="97"/>
        <v>30 Park Pl</v>
      </c>
      <c r="C543" s="1" t="s">
        <v>40</v>
      </c>
      <c r="D543" s="1" t="s">
        <v>41</v>
      </c>
      <c r="E543" s="3">
        <v>5019973</v>
      </c>
      <c r="F543" s="1">
        <v>3016.8106971153802</v>
      </c>
      <c r="G543" s="1">
        <v>4</v>
      </c>
      <c r="H543" s="1">
        <v>2</v>
      </c>
      <c r="I543" s="1">
        <v>2</v>
      </c>
      <c r="J543" s="1">
        <v>2</v>
      </c>
      <c r="K543" s="1">
        <v>2</v>
      </c>
      <c r="M543" s="4">
        <v>1664</v>
      </c>
      <c r="N543" s="1">
        <v>1338</v>
      </c>
      <c r="O543" s="1">
        <v>4748</v>
      </c>
      <c r="P543" s="1">
        <v>3410</v>
      </c>
      <c r="Q543" s="1" t="s">
        <v>42</v>
      </c>
      <c r="S543" s="1" t="s">
        <v>42</v>
      </c>
      <c r="T543" s="1" t="s">
        <v>170</v>
      </c>
      <c r="U543" s="1">
        <v>16</v>
      </c>
      <c r="V543" s="5">
        <v>43675</v>
      </c>
      <c r="W543" s="5">
        <v>41821</v>
      </c>
      <c r="X543" s="1">
        <v>5105000</v>
      </c>
      <c r="Y543" s="1">
        <v>4930000</v>
      </c>
      <c r="Z543" s="5">
        <v>41837</v>
      </c>
      <c r="AA543" s="1">
        <v>5019973</v>
      </c>
      <c r="AB543" s="1" t="s">
        <v>358</v>
      </c>
      <c r="AC543" s="5">
        <v>42663</v>
      </c>
      <c r="AF543" s="1">
        <v>10007</v>
      </c>
      <c r="AJ543" s="1">
        <v>2016</v>
      </c>
      <c r="AK543" s="1" t="s">
        <v>73</v>
      </c>
      <c r="AL543" s="1">
        <v>157</v>
      </c>
    </row>
    <row r="544" spans="1:38" x14ac:dyDescent="0.2">
      <c r="A544" s="2" t="str">
        <f>HYPERLINK("https://www.compass.com/listing/30-park-place-unit-51b-manhattan-ny-10007/29357569273334865/","30 Park Pl, Unit 51B")</f>
        <v>30 Park Pl, Unit 51B</v>
      </c>
      <c r="B544" s="2" t="str">
        <f t="shared" si="97"/>
        <v>30 Park Pl</v>
      </c>
      <c r="C544" s="1" t="s">
        <v>40</v>
      </c>
      <c r="D544" s="1" t="s">
        <v>41</v>
      </c>
      <c r="E544" s="3">
        <v>4724680</v>
      </c>
      <c r="F544" s="1">
        <v>2839.3509615384601</v>
      </c>
      <c r="G544" s="1">
        <v>4</v>
      </c>
      <c r="H544" s="1">
        <v>2</v>
      </c>
      <c r="I544" s="1">
        <v>2</v>
      </c>
      <c r="J544" s="1">
        <v>2</v>
      </c>
      <c r="K544" s="1">
        <v>2</v>
      </c>
      <c r="M544" s="4">
        <v>1664</v>
      </c>
      <c r="N544" s="1">
        <v>1346</v>
      </c>
      <c r="O544" s="1">
        <v>4777</v>
      </c>
      <c r="P544" s="1">
        <v>3431</v>
      </c>
      <c r="Q544" s="1" t="s">
        <v>42</v>
      </c>
      <c r="S544" s="1" t="s">
        <v>42</v>
      </c>
      <c r="T544" s="1" t="s">
        <v>170</v>
      </c>
      <c r="U544" s="1">
        <v>20</v>
      </c>
      <c r="V544" s="5">
        <v>43672</v>
      </c>
      <c r="W544" s="5">
        <v>41857</v>
      </c>
      <c r="X544" s="1">
        <v>5265000</v>
      </c>
      <c r="Y544" s="1">
        <v>5265000</v>
      </c>
      <c r="Z544" s="5">
        <v>41877</v>
      </c>
      <c r="AA544" s="1">
        <v>4724680</v>
      </c>
      <c r="AB544" s="1" t="s">
        <v>359</v>
      </c>
      <c r="AC544" s="5">
        <v>42740</v>
      </c>
      <c r="AF544" s="1">
        <v>10007</v>
      </c>
      <c r="AJ544" s="1">
        <v>2016</v>
      </c>
      <c r="AK544" s="1" t="s">
        <v>73</v>
      </c>
      <c r="AL544" s="1">
        <v>157</v>
      </c>
    </row>
    <row r="545" spans="1:38" x14ac:dyDescent="0.2">
      <c r="A545" s="2" t="str">
        <f>HYPERLINK("https://www.compass.com/listing/30-park-place-unit-60d-manhattan-ny-10007/29357582258900241/","30 Park Pl, Unit 60D")</f>
        <v>30 Park Pl, Unit 60D</v>
      </c>
      <c r="B545" s="2" t="str">
        <f t="shared" si="97"/>
        <v>30 Park Pl</v>
      </c>
      <c r="C545" s="1" t="s">
        <v>40</v>
      </c>
      <c r="D545" s="1" t="s">
        <v>41</v>
      </c>
      <c r="E545" s="3">
        <v>4831596</v>
      </c>
      <c r="F545" s="1">
        <v>3141.4798439531801</v>
      </c>
      <c r="G545" s="1">
        <v>4</v>
      </c>
      <c r="H545" s="1">
        <v>2</v>
      </c>
      <c r="I545" s="1">
        <v>2</v>
      </c>
      <c r="J545" s="1">
        <v>2</v>
      </c>
      <c r="K545" s="1">
        <v>2</v>
      </c>
      <c r="M545" s="4">
        <v>1538</v>
      </c>
      <c r="N545" s="1">
        <v>1266</v>
      </c>
      <c r="O545" s="1">
        <v>4493</v>
      </c>
      <c r="P545" s="1">
        <v>3227</v>
      </c>
      <c r="Q545" s="1" t="s">
        <v>42</v>
      </c>
      <c r="S545" s="1" t="s">
        <v>42</v>
      </c>
      <c r="T545" s="1" t="s">
        <v>170</v>
      </c>
      <c r="U545" s="1">
        <v>44</v>
      </c>
      <c r="V545" s="5">
        <v>43668</v>
      </c>
      <c r="W545" s="5">
        <v>41835</v>
      </c>
      <c r="X545" s="1">
        <v>4745000</v>
      </c>
      <c r="Y545" s="1">
        <v>4745000</v>
      </c>
      <c r="Z545" s="5">
        <v>41879</v>
      </c>
      <c r="AA545" s="1">
        <v>4831596</v>
      </c>
      <c r="AB545" s="1" t="s">
        <v>360</v>
      </c>
      <c r="AC545" s="5">
        <v>42754</v>
      </c>
      <c r="AF545" s="1">
        <v>10007</v>
      </c>
      <c r="AJ545" s="1">
        <v>2016</v>
      </c>
      <c r="AK545" s="1" t="s">
        <v>73</v>
      </c>
      <c r="AL545" s="1">
        <v>157</v>
      </c>
    </row>
    <row r="546" spans="1:38" x14ac:dyDescent="0.2">
      <c r="A546" s="2" t="str">
        <f>HYPERLINK("https://www.compass.com/listing/30-park-place-unit-42b-manhattan-ny-10007/29669252902541793/","30 Park Pl, Unit 42B")</f>
        <v>30 Park Pl, Unit 42B</v>
      </c>
      <c r="B546" s="2" t="str">
        <f t="shared" si="97"/>
        <v>30 Park Pl</v>
      </c>
      <c r="C546" s="1" t="s">
        <v>40</v>
      </c>
      <c r="D546" s="1" t="s">
        <v>41</v>
      </c>
      <c r="E546" s="3">
        <v>4816323</v>
      </c>
      <c r="F546" s="1">
        <v>2894.4248798076901</v>
      </c>
      <c r="G546" s="1">
        <v>4</v>
      </c>
      <c r="H546" s="1">
        <v>2</v>
      </c>
      <c r="I546" s="1">
        <v>2</v>
      </c>
      <c r="J546" s="1">
        <v>2</v>
      </c>
      <c r="K546" s="1">
        <v>2</v>
      </c>
      <c r="M546" s="4">
        <v>1664</v>
      </c>
      <c r="N546" s="1">
        <v>1327</v>
      </c>
      <c r="O546" s="1">
        <v>4710</v>
      </c>
      <c r="P546" s="1">
        <v>3383</v>
      </c>
      <c r="Q546" s="1" t="s">
        <v>42</v>
      </c>
      <c r="S546" s="1" t="s">
        <v>42</v>
      </c>
      <c r="T546" s="1" t="s">
        <v>170</v>
      </c>
      <c r="U546" s="1">
        <v>15</v>
      </c>
      <c r="V546" s="5">
        <v>43665</v>
      </c>
      <c r="W546" s="5">
        <v>41919</v>
      </c>
      <c r="X546" s="1">
        <v>5105000</v>
      </c>
      <c r="Y546" s="1">
        <v>4730000</v>
      </c>
      <c r="Z546" s="5">
        <v>41934</v>
      </c>
      <c r="AA546" s="1">
        <v>4816323</v>
      </c>
      <c r="AB546" s="1" t="s">
        <v>361</v>
      </c>
      <c r="AC546" s="5">
        <v>42627</v>
      </c>
      <c r="AF546" s="1">
        <v>10007</v>
      </c>
      <c r="AJ546" s="1">
        <v>2016</v>
      </c>
      <c r="AK546" s="1" t="s">
        <v>73</v>
      </c>
      <c r="AL546" s="1">
        <v>157</v>
      </c>
    </row>
    <row r="547" spans="1:38" x14ac:dyDescent="0.2">
      <c r="A547" s="2" t="str">
        <f>HYPERLINK("https://www.compass.com/listing/100-barclay-street-unit-16r-manhattan-ny-10007/4852278245409688145/","100 Barclay St, Unit 16R")</f>
        <v>100 Barclay St, Unit 16R</v>
      </c>
      <c r="B547" s="2" t="str">
        <f t="shared" ref="B547:B550" si="98">HYPERLINK("https://www.compass.com/building/100-barclay-manhattan-ny/281896670466155525/","100 Barclay")</f>
        <v>100 Barclay</v>
      </c>
      <c r="C547" s="1" t="s">
        <v>40</v>
      </c>
      <c r="D547" s="1" t="s">
        <v>41</v>
      </c>
      <c r="E547" s="3">
        <v>4200000</v>
      </c>
      <c r="F547" s="1">
        <v>1988.6363636363601</v>
      </c>
      <c r="G547" s="1">
        <v>4</v>
      </c>
      <c r="H547" s="1">
        <v>3</v>
      </c>
      <c r="I547" s="1">
        <v>3</v>
      </c>
      <c r="J547" s="1">
        <v>3</v>
      </c>
      <c r="K547" s="1">
        <v>3</v>
      </c>
      <c r="M547" s="4">
        <v>2112</v>
      </c>
      <c r="N547" s="1">
        <v>2778</v>
      </c>
      <c r="O547" s="1">
        <v>5434</v>
      </c>
      <c r="P547" s="1">
        <v>2656</v>
      </c>
      <c r="Q547" s="1" t="s">
        <v>42</v>
      </c>
      <c r="S547" s="1" t="s">
        <v>42</v>
      </c>
      <c r="T547" s="1" t="s">
        <v>170</v>
      </c>
      <c r="U547" s="1">
        <v>133</v>
      </c>
      <c r="V547" s="5">
        <v>43641</v>
      </c>
      <c r="W547" s="5">
        <v>42657</v>
      </c>
      <c r="X547" s="1">
        <v>4880500</v>
      </c>
      <c r="Y547" s="1">
        <v>4535000</v>
      </c>
      <c r="Z547" s="5">
        <v>42873</v>
      </c>
      <c r="AA547" s="1">
        <v>4200000</v>
      </c>
      <c r="AB547" s="1" t="s">
        <v>362</v>
      </c>
      <c r="AC547" s="5">
        <v>42943</v>
      </c>
      <c r="AF547" s="1">
        <v>10007</v>
      </c>
      <c r="AI547" s="1" t="s">
        <v>74</v>
      </c>
      <c r="AJ547" s="1">
        <v>1930</v>
      </c>
      <c r="AK547" s="1" t="s">
        <v>73</v>
      </c>
      <c r="AL547" s="1">
        <v>156</v>
      </c>
    </row>
    <row r="548" spans="1:38" x14ac:dyDescent="0.2">
      <c r="A548" s="2" t="str">
        <f>HYPERLINK("https://www.compass.com/listing/100-barclay-street-unit-11f-manhattan-ny-10007/170170516974370657/","100 Barclay St, Unit 11F")</f>
        <v>100 Barclay St, Unit 11F</v>
      </c>
      <c r="B548" s="2" t="str">
        <f t="shared" si="98"/>
        <v>100 Barclay</v>
      </c>
      <c r="C548" s="1" t="s">
        <v>40</v>
      </c>
      <c r="D548" s="1" t="s">
        <v>41</v>
      </c>
      <c r="E548" s="3">
        <v>3585600</v>
      </c>
      <c r="F548" s="1">
        <v>1768.9195855944699</v>
      </c>
      <c r="G548" s="1">
        <v>7.5</v>
      </c>
      <c r="H548" s="1">
        <v>3</v>
      </c>
      <c r="I548" s="1">
        <v>4</v>
      </c>
      <c r="J548" s="1">
        <v>3.5</v>
      </c>
      <c r="K548" s="1">
        <v>3</v>
      </c>
      <c r="L548" s="1">
        <v>1</v>
      </c>
      <c r="M548" s="4">
        <v>2027</v>
      </c>
      <c r="N548" s="1">
        <v>2690</v>
      </c>
      <c r="O548" s="1">
        <v>5518</v>
      </c>
      <c r="P548" s="1">
        <v>2828</v>
      </c>
      <c r="Q548" s="1" t="s">
        <v>42</v>
      </c>
      <c r="S548" s="1" t="s">
        <v>42</v>
      </c>
      <c r="T548" s="1" t="s">
        <v>170</v>
      </c>
      <c r="U548" s="1">
        <v>116</v>
      </c>
      <c r="V548" s="5">
        <v>43697</v>
      </c>
      <c r="W548" s="5">
        <v>43487</v>
      </c>
      <c r="X548" s="1">
        <v>4100000</v>
      </c>
      <c r="Y548" s="1">
        <v>4100000</v>
      </c>
      <c r="Z548" s="5">
        <v>43603</v>
      </c>
      <c r="AA548" s="1">
        <v>3585600</v>
      </c>
      <c r="AB548" s="1" t="s">
        <v>363</v>
      </c>
      <c r="AC548" s="5">
        <v>43644</v>
      </c>
      <c r="AF548" s="1">
        <v>10007</v>
      </c>
      <c r="AI548" s="1" t="s">
        <v>364</v>
      </c>
      <c r="AJ548" s="1">
        <v>1930</v>
      </c>
      <c r="AK548" s="1" t="s">
        <v>73</v>
      </c>
      <c r="AL548" s="1">
        <v>156</v>
      </c>
    </row>
    <row r="549" spans="1:38" x14ac:dyDescent="0.2">
      <c r="A549" s="2" t="str">
        <f>HYPERLINK("https://www.compass.com/listing/100-barclay-street-unit-12f-manhattan-ny-10007/23954418651176065/","100 Barclay St, Unit 12F")</f>
        <v>100 Barclay St, Unit 12F</v>
      </c>
      <c r="B549" s="2" t="str">
        <f t="shared" si="98"/>
        <v>100 Barclay</v>
      </c>
      <c r="C549" s="1" t="s">
        <v>40</v>
      </c>
      <c r="D549" s="1" t="s">
        <v>41</v>
      </c>
      <c r="E549" s="3">
        <v>3550000</v>
      </c>
      <c r="F549" s="1">
        <v>1750.4930966469401</v>
      </c>
      <c r="G549" s="1">
        <v>6.5</v>
      </c>
      <c r="H549" s="1">
        <v>3</v>
      </c>
      <c r="I549" s="1">
        <v>4</v>
      </c>
      <c r="J549" s="1">
        <v>3.5</v>
      </c>
      <c r="K549" s="1">
        <v>3</v>
      </c>
      <c r="L549" s="1">
        <v>1</v>
      </c>
      <c r="M549" s="4">
        <v>2028</v>
      </c>
      <c r="N549" s="1">
        <v>2550</v>
      </c>
      <c r="O549" s="1">
        <v>5229</v>
      </c>
      <c r="P549" s="1">
        <v>2679</v>
      </c>
      <c r="Q549" s="1" t="s">
        <v>42</v>
      </c>
      <c r="S549" s="1" t="s">
        <v>42</v>
      </c>
      <c r="T549" s="1" t="s">
        <v>170</v>
      </c>
      <c r="U549" s="1">
        <v>30</v>
      </c>
      <c r="V549" s="5">
        <v>43662</v>
      </c>
      <c r="W549" s="5">
        <v>43432</v>
      </c>
      <c r="X549" s="1">
        <v>3900000</v>
      </c>
      <c r="Y549" s="1">
        <v>3900000</v>
      </c>
      <c r="Z549" s="5">
        <v>43462</v>
      </c>
      <c r="AA549" s="1">
        <v>3550000</v>
      </c>
      <c r="AB549" s="1" t="s">
        <v>365</v>
      </c>
      <c r="AC549" s="5">
        <v>43556</v>
      </c>
      <c r="AF549" s="1">
        <v>10007</v>
      </c>
      <c r="AI549" s="1" t="s">
        <v>45</v>
      </c>
      <c r="AJ549" s="1">
        <v>1930</v>
      </c>
      <c r="AK549" s="1" t="s">
        <v>73</v>
      </c>
      <c r="AL549" s="1">
        <v>156</v>
      </c>
    </row>
    <row r="550" spans="1:38" x14ac:dyDescent="0.2">
      <c r="A550" s="2" t="str">
        <f>HYPERLINK("https://www.compass.com/listing/100-barclay-street-unit-11k-manhattan-ny-10007/49766312443927505/","100 Barclay St, Unit 11K")</f>
        <v>100 Barclay St, Unit 11K</v>
      </c>
      <c r="B550" s="2" t="str">
        <f t="shared" si="98"/>
        <v>100 Barclay</v>
      </c>
      <c r="C550" s="1" t="s">
        <v>40</v>
      </c>
      <c r="D550" s="1" t="s">
        <v>41</v>
      </c>
      <c r="E550" s="3">
        <v>4100000</v>
      </c>
      <c r="F550" s="1">
        <v>1823.0324588706001</v>
      </c>
      <c r="G550" s="1">
        <v>6.5</v>
      </c>
      <c r="H550" s="1">
        <v>3</v>
      </c>
      <c r="I550" s="1">
        <v>4</v>
      </c>
      <c r="J550" s="1">
        <v>3.5</v>
      </c>
      <c r="K550" s="1">
        <v>3</v>
      </c>
      <c r="L550" s="1">
        <v>1</v>
      </c>
      <c r="M550" s="4">
        <v>2249</v>
      </c>
      <c r="N550" s="1">
        <v>3211</v>
      </c>
      <c r="O550" s="1">
        <v>6635</v>
      </c>
      <c r="P550" s="1">
        <v>3424</v>
      </c>
      <c r="Q550" s="1" t="s">
        <v>42</v>
      </c>
      <c r="S550" s="1" t="s">
        <v>42</v>
      </c>
      <c r="T550" s="1" t="s">
        <v>170</v>
      </c>
      <c r="U550" s="1">
        <v>5</v>
      </c>
      <c r="V550" s="5">
        <v>43623</v>
      </c>
      <c r="W550" s="5">
        <v>43321</v>
      </c>
      <c r="X550" s="1">
        <v>4450000</v>
      </c>
      <c r="Y550" s="1">
        <v>4450000</v>
      </c>
      <c r="Z550" s="5">
        <v>43326</v>
      </c>
      <c r="AA550" s="1">
        <v>4100000</v>
      </c>
      <c r="AB550" s="1" t="s">
        <v>366</v>
      </c>
      <c r="AC550" s="5">
        <v>43481</v>
      </c>
      <c r="AF550" s="1">
        <v>10007</v>
      </c>
      <c r="AI550" s="1" t="s">
        <v>74</v>
      </c>
      <c r="AJ550" s="1">
        <v>1930</v>
      </c>
      <c r="AK550" s="1" t="s">
        <v>73</v>
      </c>
      <c r="AL550" s="1">
        <v>156</v>
      </c>
    </row>
    <row r="551" spans="1:38" x14ac:dyDescent="0.2">
      <c r="A551" s="2" t="str">
        <f>HYPERLINK("https://www.compass.com/listing/30-park-place-unit-50e-manhattan-ny-10007/29357568954469601/","30 Park Pl, Unit 50E")</f>
        <v>30 Park Pl, Unit 50E</v>
      </c>
      <c r="B551" s="2" t="str">
        <f t="shared" ref="B551:B553" si="99">HYPERLINK("https://www.compass.com/building/30-park-pl-manhattan-ny-10007/281896912905317605/","30 Park Pl")</f>
        <v>30 Park Pl</v>
      </c>
      <c r="C551" s="1" t="s">
        <v>40</v>
      </c>
      <c r="D551" s="1" t="s">
        <v>41</v>
      </c>
      <c r="E551" s="3">
        <v>5345813</v>
      </c>
      <c r="F551" s="1">
        <v>2979.8288740245198</v>
      </c>
      <c r="G551" s="1">
        <v>5</v>
      </c>
      <c r="H551" s="1">
        <v>3</v>
      </c>
      <c r="I551" s="1">
        <v>2</v>
      </c>
      <c r="J551" s="1">
        <v>2</v>
      </c>
      <c r="K551" s="1">
        <v>2</v>
      </c>
      <c r="M551" s="4">
        <v>1794</v>
      </c>
      <c r="N551" s="1">
        <v>1462</v>
      </c>
      <c r="O551" s="1">
        <v>5190</v>
      </c>
      <c r="P551" s="1">
        <v>3728</v>
      </c>
      <c r="Q551" s="1" t="s">
        <v>42</v>
      </c>
      <c r="S551" s="1" t="s">
        <v>42</v>
      </c>
      <c r="T551" s="1" t="s">
        <v>170</v>
      </c>
      <c r="U551" s="1">
        <v>82</v>
      </c>
      <c r="V551" s="5">
        <v>43676</v>
      </c>
      <c r="W551" s="5">
        <v>41837</v>
      </c>
      <c r="X551" s="1">
        <v>5250000</v>
      </c>
      <c r="Y551" s="1">
        <v>5250000</v>
      </c>
      <c r="Z551" s="5">
        <v>41919</v>
      </c>
      <c r="AA551" s="1">
        <v>5345813</v>
      </c>
      <c r="AB551" s="1" t="s">
        <v>367</v>
      </c>
      <c r="AC551" s="5">
        <v>42650</v>
      </c>
      <c r="AF551" s="1">
        <v>10007</v>
      </c>
      <c r="AJ551" s="1">
        <v>2016</v>
      </c>
      <c r="AK551" s="1" t="s">
        <v>73</v>
      </c>
      <c r="AL551" s="1">
        <v>157</v>
      </c>
    </row>
    <row r="552" spans="1:38" x14ac:dyDescent="0.2">
      <c r="A552" s="2" t="str">
        <f>HYPERLINK("https://www.compass.com/listing/30-park-place-unit-44b-manhattan-ny-10007/29357560154819665/","30 Park Pl, Unit 44B")</f>
        <v>30 Park Pl, Unit 44B</v>
      </c>
      <c r="B552" s="2" t="str">
        <f t="shared" si="99"/>
        <v>30 Park Pl</v>
      </c>
      <c r="C552" s="1" t="s">
        <v>40</v>
      </c>
      <c r="D552" s="1" t="s">
        <v>41</v>
      </c>
      <c r="E552" s="3">
        <v>5585101</v>
      </c>
      <c r="F552" s="1">
        <v>3356.4308894230699</v>
      </c>
      <c r="G552" s="1">
        <v>4</v>
      </c>
      <c r="H552" s="1">
        <v>2</v>
      </c>
      <c r="I552" s="1">
        <v>2</v>
      </c>
      <c r="J552" s="1">
        <v>2</v>
      </c>
      <c r="K552" s="1">
        <v>2</v>
      </c>
      <c r="M552" s="4">
        <v>1664</v>
      </c>
      <c r="N552" s="1">
        <v>1331</v>
      </c>
      <c r="O552" s="1">
        <v>4725</v>
      </c>
      <c r="P552" s="1">
        <v>3394</v>
      </c>
      <c r="Q552" s="1" t="s">
        <v>42</v>
      </c>
      <c r="S552" s="1" t="s">
        <v>42</v>
      </c>
      <c r="T552" s="1" t="s">
        <v>170</v>
      </c>
      <c r="U552" s="1">
        <v>99</v>
      </c>
      <c r="V552" s="5">
        <v>43665</v>
      </c>
      <c r="W552" s="5">
        <v>42384</v>
      </c>
      <c r="X552" s="1">
        <v>5485000</v>
      </c>
      <c r="Y552" s="1">
        <v>5485000</v>
      </c>
      <c r="Z552" s="5">
        <v>42483</v>
      </c>
      <c r="AA552" s="1">
        <v>5585101</v>
      </c>
      <c r="AB552" s="1" t="s">
        <v>368</v>
      </c>
      <c r="AC552" s="5">
        <v>42644</v>
      </c>
      <c r="AF552" s="1">
        <v>10007</v>
      </c>
      <c r="AJ552" s="1">
        <v>2016</v>
      </c>
      <c r="AK552" s="1" t="s">
        <v>73</v>
      </c>
      <c r="AL552" s="1">
        <v>157</v>
      </c>
    </row>
    <row r="553" spans="1:38" x14ac:dyDescent="0.2">
      <c r="A553" s="2" t="str">
        <f>HYPERLINK("https://www.compass.com/listing/30-park-place-unit-50b-manhattan-ny-10007/29357567956225233/","30 Park Pl, Unit 50B")</f>
        <v>30 Park Pl, Unit 50B</v>
      </c>
      <c r="B553" s="2" t="str">
        <f t="shared" si="99"/>
        <v>30 Park Pl</v>
      </c>
      <c r="C553" s="1" t="s">
        <v>40</v>
      </c>
      <c r="D553" s="1" t="s">
        <v>41</v>
      </c>
      <c r="E553" s="3">
        <v>4683950</v>
      </c>
      <c r="F553" s="1">
        <v>2814.8737980769201</v>
      </c>
      <c r="G553" s="1">
        <v>4</v>
      </c>
      <c r="H553" s="1">
        <v>2</v>
      </c>
      <c r="I553" s="1">
        <v>2</v>
      </c>
      <c r="J553" s="1">
        <v>2</v>
      </c>
      <c r="K553" s="1">
        <v>2</v>
      </c>
      <c r="M553" s="4">
        <v>1664</v>
      </c>
      <c r="N553" s="1">
        <v>1344</v>
      </c>
      <c r="O553" s="1">
        <v>4770</v>
      </c>
      <c r="P553" s="1">
        <v>3426</v>
      </c>
      <c r="Q553" s="1" t="s">
        <v>42</v>
      </c>
      <c r="S553" s="1" t="s">
        <v>42</v>
      </c>
      <c r="T553" s="1" t="s">
        <v>170</v>
      </c>
      <c r="U553" s="1">
        <v>27</v>
      </c>
      <c r="V553" s="5">
        <v>42812</v>
      </c>
      <c r="W553" s="5">
        <v>41786</v>
      </c>
      <c r="X553" s="1">
        <v>4683950</v>
      </c>
      <c r="Y553" s="1">
        <v>4600000</v>
      </c>
      <c r="Z553" s="5">
        <v>41814</v>
      </c>
      <c r="AA553" s="1">
        <v>4683950</v>
      </c>
      <c r="AB553" s="1" t="s">
        <v>369</v>
      </c>
      <c r="AC553" s="5">
        <v>42740</v>
      </c>
      <c r="AF553" s="1">
        <v>10007</v>
      </c>
      <c r="AJ553" s="1">
        <v>2016</v>
      </c>
      <c r="AK553" s="1" t="s">
        <v>73</v>
      </c>
      <c r="AL553" s="1">
        <v>157</v>
      </c>
    </row>
    <row r="554" spans="1:38" x14ac:dyDescent="0.2">
      <c r="A554" s="2" t="str">
        <f>HYPERLINK("https://www.compass.com/listing/80-east-10th-street-unit-2e-manhattan-ny-10003/29515140533616065/","80 E 10th St, Unit 2E")</f>
        <v>80 E 10th St, Unit 2E</v>
      </c>
      <c r="B554" s="2" t="str">
        <f>HYPERLINK("https://www.compass.com/building/80-e-10th-st-manhattan-ny-10003/282059393531414101/","80 E 10th St")</f>
        <v>80 E 10th St</v>
      </c>
      <c r="C554" s="1" t="s">
        <v>370</v>
      </c>
      <c r="D554" s="1" t="s">
        <v>41</v>
      </c>
      <c r="E554" s="3">
        <v>1985588</v>
      </c>
      <c r="F554" s="1">
        <v>2148.9042207792199</v>
      </c>
      <c r="G554" s="1">
        <v>2</v>
      </c>
      <c r="H554" s="1">
        <v>1</v>
      </c>
      <c r="I554" s="1">
        <v>2</v>
      </c>
      <c r="J554" s="1">
        <v>1.5</v>
      </c>
      <c r="K554" s="1">
        <v>1</v>
      </c>
      <c r="L554" s="1">
        <v>1</v>
      </c>
      <c r="M554" s="1">
        <v>924</v>
      </c>
      <c r="N554" s="1">
        <v>1072</v>
      </c>
      <c r="O554" s="1">
        <v>1571</v>
      </c>
      <c r="Q554" s="1" t="s">
        <v>141</v>
      </c>
      <c r="S554" s="1" t="s">
        <v>141</v>
      </c>
      <c r="T554" s="1" t="s">
        <v>170</v>
      </c>
      <c r="U554" s="1">
        <v>33</v>
      </c>
      <c r="V554" s="5">
        <v>43697</v>
      </c>
      <c r="W554" s="5">
        <v>42993</v>
      </c>
      <c r="X554" s="1">
        <v>1850000</v>
      </c>
      <c r="Y554" s="1">
        <v>1950000</v>
      </c>
      <c r="Z554" s="5">
        <v>43026</v>
      </c>
      <c r="AA554" s="1">
        <v>1985587.5</v>
      </c>
      <c r="AB554" s="1" t="s">
        <v>371</v>
      </c>
      <c r="AC554" s="5">
        <v>43641</v>
      </c>
      <c r="AF554" s="1">
        <v>10003</v>
      </c>
      <c r="AI554" s="1" t="s">
        <v>76</v>
      </c>
      <c r="AJ554" s="1">
        <v>2018</v>
      </c>
      <c r="AK554" s="1" t="s">
        <v>108</v>
      </c>
      <c r="AL554" s="1">
        <v>12</v>
      </c>
    </row>
    <row r="555" spans="1:38" x14ac:dyDescent="0.2">
      <c r="A555" s="2" t="str">
        <f>HYPERLINK("https://www.compass.com/listing/30-park-place-unit-46a-manhattan-ny-10007/29512131640626241/","30 Park Pl, Unit 46A")</f>
        <v>30 Park Pl, Unit 46A</v>
      </c>
      <c r="B555" s="2" t="str">
        <f>HYPERLINK("https://www.compass.com/building/30-park-pl-manhattan-ny-10007/281896912905317605/","30 Park Pl")</f>
        <v>30 Park Pl</v>
      </c>
      <c r="C555" s="1" t="s">
        <v>40</v>
      </c>
      <c r="D555" s="1" t="s">
        <v>41</v>
      </c>
      <c r="E555" s="3">
        <v>5945000</v>
      </c>
      <c r="F555" s="1">
        <v>2679.1347453807998</v>
      </c>
      <c r="G555" s="1">
        <v>5</v>
      </c>
      <c r="H555" s="1">
        <v>3</v>
      </c>
      <c r="I555" s="1">
        <v>4</v>
      </c>
      <c r="J555" s="1">
        <v>3.5</v>
      </c>
      <c r="K555" s="1">
        <v>3</v>
      </c>
      <c r="L555" s="1">
        <v>1</v>
      </c>
      <c r="M555" s="4">
        <v>2219</v>
      </c>
      <c r="N555" s="1">
        <v>1899</v>
      </c>
      <c r="O555" s="1">
        <v>6762</v>
      </c>
      <c r="P555" s="1">
        <v>4863</v>
      </c>
      <c r="Q555" s="1" t="s">
        <v>42</v>
      </c>
      <c r="S555" s="1" t="s">
        <v>42</v>
      </c>
      <c r="T555" s="1" t="s">
        <v>170</v>
      </c>
      <c r="U555" s="1">
        <v>702</v>
      </c>
      <c r="V555" s="5">
        <v>43694</v>
      </c>
      <c r="W555" s="5">
        <v>42880</v>
      </c>
      <c r="X555" s="1">
        <v>6700000</v>
      </c>
      <c r="Y555" s="1">
        <v>5995000</v>
      </c>
      <c r="Z555" s="5">
        <v>43582</v>
      </c>
      <c r="AA555" s="1">
        <v>5945000</v>
      </c>
      <c r="AB555" s="1" t="s">
        <v>372</v>
      </c>
      <c r="AC555" s="5">
        <v>43615</v>
      </c>
      <c r="AF555" s="1">
        <v>10007</v>
      </c>
      <c r="AJ555" s="1">
        <v>2016</v>
      </c>
      <c r="AK555" s="1" t="s">
        <v>73</v>
      </c>
      <c r="AL555" s="1">
        <v>157</v>
      </c>
    </row>
    <row r="556" spans="1:38" x14ac:dyDescent="0.2">
      <c r="A556" s="2" t="str">
        <f>HYPERLINK("https://www.compass.com/listing/100-barclay-street-unit-15m-manhattan-ny-10007/4852308157910749489/","100 Barclay St, Unit 15M")</f>
        <v>100 Barclay St, Unit 15M</v>
      </c>
      <c r="B556" s="2" t="str">
        <f t="shared" ref="B556:B558" si="100">HYPERLINK("https://www.compass.com/building/100-barclay-manhattan-ny/281896670466155525/","100 Barclay")</f>
        <v>100 Barclay</v>
      </c>
      <c r="C556" s="1" t="s">
        <v>40</v>
      </c>
      <c r="D556" s="1" t="s">
        <v>41</v>
      </c>
      <c r="E556" s="3">
        <v>2418344</v>
      </c>
      <c r="F556" s="1">
        <v>1899.7203456402101</v>
      </c>
      <c r="G556" s="1">
        <v>4</v>
      </c>
      <c r="H556" s="1">
        <v>2</v>
      </c>
      <c r="I556" s="1">
        <v>2</v>
      </c>
      <c r="J556" s="1">
        <v>2</v>
      </c>
      <c r="K556" s="1">
        <v>2</v>
      </c>
      <c r="M556" s="4">
        <v>1273</v>
      </c>
      <c r="N556" s="1">
        <v>1633</v>
      </c>
      <c r="O556" s="1">
        <v>3195</v>
      </c>
      <c r="P556" s="1">
        <v>1562</v>
      </c>
      <c r="Q556" s="1" t="s">
        <v>42</v>
      </c>
      <c r="S556" s="1" t="s">
        <v>42</v>
      </c>
      <c r="T556" s="1" t="s">
        <v>170</v>
      </c>
      <c r="U556" s="1">
        <v>71</v>
      </c>
      <c r="V556" s="5">
        <v>43623</v>
      </c>
      <c r="W556" s="5">
        <v>42531</v>
      </c>
      <c r="X556" s="1">
        <v>2654000</v>
      </c>
      <c r="Y556" s="1">
        <v>2654000</v>
      </c>
      <c r="Z556" s="5">
        <v>42602</v>
      </c>
      <c r="AA556" s="1">
        <v>2418344</v>
      </c>
      <c r="AB556" s="1" t="s">
        <v>373</v>
      </c>
      <c r="AC556" s="5">
        <v>42649</v>
      </c>
      <c r="AF556" s="1">
        <v>10007</v>
      </c>
      <c r="AI556" s="1" t="s">
        <v>45</v>
      </c>
      <c r="AJ556" s="1">
        <v>1930</v>
      </c>
      <c r="AK556" s="1" t="s">
        <v>73</v>
      </c>
      <c r="AL556" s="1">
        <v>156</v>
      </c>
    </row>
    <row r="557" spans="1:38" x14ac:dyDescent="0.2">
      <c r="A557" s="2" t="str">
        <f>HYPERLINK("https://www.compass.com/listing/100-barclay-street-unit-11g-manhattan-ny-10007/803346081689406177/","100 Barclay St, Unit 11G")</f>
        <v>100 Barclay St, Unit 11G</v>
      </c>
      <c r="B557" s="2" t="str">
        <f t="shared" si="100"/>
        <v>100 Barclay</v>
      </c>
      <c r="C557" s="1" t="s">
        <v>40</v>
      </c>
      <c r="D557" s="1" t="s">
        <v>41</v>
      </c>
      <c r="E557" s="3">
        <v>4350000</v>
      </c>
      <c r="F557" s="1">
        <v>1857.3868488471301</v>
      </c>
      <c r="G557" s="1">
        <v>5</v>
      </c>
      <c r="H557" s="1">
        <v>3</v>
      </c>
      <c r="I557" s="1">
        <v>4</v>
      </c>
      <c r="J557" s="1">
        <v>3.5</v>
      </c>
      <c r="K557" s="1">
        <v>3</v>
      </c>
      <c r="L557" s="1">
        <v>1</v>
      </c>
      <c r="M557" s="4">
        <v>2342</v>
      </c>
      <c r="N557" s="1">
        <v>3270</v>
      </c>
      <c r="O557" s="1">
        <v>6821</v>
      </c>
      <c r="P557" s="1">
        <v>3551</v>
      </c>
      <c r="Q557" s="1" t="s">
        <v>42</v>
      </c>
      <c r="S557" s="1" t="s">
        <v>42</v>
      </c>
      <c r="T557" s="1" t="s">
        <v>170</v>
      </c>
      <c r="U557" s="1">
        <v>55</v>
      </c>
      <c r="V557" s="5">
        <v>43560</v>
      </c>
      <c r="W557" s="5">
        <v>43216</v>
      </c>
      <c r="X557" s="1">
        <v>4796500</v>
      </c>
      <c r="Y557" s="1">
        <v>4796500</v>
      </c>
      <c r="Z557" s="5">
        <v>43272</v>
      </c>
      <c r="AA557" s="1">
        <v>4350000</v>
      </c>
      <c r="AB557" s="1" t="s">
        <v>374</v>
      </c>
      <c r="AC557" s="5">
        <v>43370</v>
      </c>
      <c r="AF557" s="1">
        <v>10007</v>
      </c>
      <c r="AI557" s="1" t="s">
        <v>74</v>
      </c>
      <c r="AJ557" s="1">
        <v>1930</v>
      </c>
      <c r="AK557" s="1" t="s">
        <v>73</v>
      </c>
      <c r="AL557" s="1">
        <v>156</v>
      </c>
    </row>
    <row r="558" spans="1:38" x14ac:dyDescent="0.2">
      <c r="A558" s="2" t="str">
        <f>HYPERLINK("https://www.compass.com/listing/100-barclay-street-unit-12g-manhattan-ny-10007/4852285826798728033/","100 Barclay St, Unit 12G")</f>
        <v>100 Barclay St, Unit 12G</v>
      </c>
      <c r="B558" s="2" t="str">
        <f t="shared" si="100"/>
        <v>100 Barclay</v>
      </c>
      <c r="C558" s="1" t="s">
        <v>40</v>
      </c>
      <c r="D558" s="1" t="s">
        <v>41</v>
      </c>
      <c r="E558" s="3">
        <v>3700000</v>
      </c>
      <c r="F558" s="1">
        <v>1580.5211448099101</v>
      </c>
      <c r="G558" s="1">
        <v>4</v>
      </c>
      <c r="H558" s="1">
        <v>3</v>
      </c>
      <c r="I558" s="1">
        <v>3</v>
      </c>
      <c r="J558" s="1">
        <v>3.5</v>
      </c>
      <c r="K558" s="1">
        <v>3</v>
      </c>
      <c r="L558" s="1">
        <v>1</v>
      </c>
      <c r="M558" s="4">
        <v>2341</v>
      </c>
      <c r="N558" s="1">
        <v>3004</v>
      </c>
      <c r="O558" s="1">
        <v>5876</v>
      </c>
      <c r="P558" s="1">
        <v>2872</v>
      </c>
      <c r="Q558" s="1" t="s">
        <v>42</v>
      </c>
      <c r="S558" s="1" t="s">
        <v>42</v>
      </c>
      <c r="T558" s="1" t="s">
        <v>170</v>
      </c>
      <c r="U558" s="1">
        <v>176</v>
      </c>
      <c r="V558" s="5">
        <v>42962</v>
      </c>
      <c r="W558" s="5">
        <v>42496</v>
      </c>
      <c r="X558" s="1">
        <v>3990000</v>
      </c>
      <c r="Y558" s="1">
        <v>3885000</v>
      </c>
      <c r="AA558" s="1">
        <v>3700000</v>
      </c>
      <c r="AB558" s="1" t="s">
        <v>339</v>
      </c>
      <c r="AC558" s="5">
        <v>43060</v>
      </c>
      <c r="AF558" s="1">
        <v>10007</v>
      </c>
      <c r="AI558" s="1" t="s">
        <v>45</v>
      </c>
      <c r="AJ558" s="1">
        <v>1930</v>
      </c>
      <c r="AK558" s="1" t="s">
        <v>73</v>
      </c>
      <c r="AL558" s="1">
        <v>156</v>
      </c>
    </row>
    <row r="559" spans="1:38" x14ac:dyDescent="0.2">
      <c r="A559" s="2" t="str">
        <f>HYPERLINK("https://www.compass.com/listing/30-park-place-unit-46c-manhattan-ny-10007/86075670081317825/","30 Park Pl, Unit 46C")</f>
        <v>30 Park Pl, Unit 46C</v>
      </c>
      <c r="B559" s="2" t="str">
        <f t="shared" ref="B559:B563" si="101">HYPERLINK("https://www.compass.com/building/30-park-pl-manhattan-ny-10007/281896912905317605/","30 Park Pl")</f>
        <v>30 Park Pl</v>
      </c>
      <c r="C559" s="1" t="s">
        <v>40</v>
      </c>
      <c r="D559" s="1" t="s">
        <v>41</v>
      </c>
      <c r="E559" s="3">
        <v>2600000</v>
      </c>
      <c r="F559" s="1">
        <v>2346.5703971119101</v>
      </c>
      <c r="G559" s="1">
        <v>3</v>
      </c>
      <c r="H559" s="1">
        <v>1</v>
      </c>
      <c r="I559" s="1">
        <v>2</v>
      </c>
      <c r="J559" s="1">
        <v>1.5</v>
      </c>
      <c r="K559" s="1">
        <v>1</v>
      </c>
      <c r="L559" s="1">
        <v>1</v>
      </c>
      <c r="M559" s="4">
        <v>1108</v>
      </c>
      <c r="N559" s="1">
        <v>884</v>
      </c>
      <c r="O559" s="1">
        <v>3157</v>
      </c>
      <c r="P559" s="1">
        <v>2273</v>
      </c>
      <c r="Q559" s="1" t="s">
        <v>42</v>
      </c>
      <c r="S559" s="1" t="s">
        <v>42</v>
      </c>
      <c r="T559" s="1" t="s">
        <v>170</v>
      </c>
      <c r="U559" s="1">
        <v>190</v>
      </c>
      <c r="V559" s="5">
        <v>43694</v>
      </c>
      <c r="W559" s="5">
        <v>43370</v>
      </c>
      <c r="X559" s="1">
        <v>2845000</v>
      </c>
      <c r="Y559" s="1">
        <v>2845000</v>
      </c>
      <c r="Z559" s="5">
        <v>43560</v>
      </c>
      <c r="AA559" s="1">
        <v>2600000</v>
      </c>
      <c r="AB559" s="1" t="s">
        <v>375</v>
      </c>
      <c r="AC559" s="5">
        <v>43622</v>
      </c>
      <c r="AF559" s="1">
        <v>10007</v>
      </c>
      <c r="AJ559" s="1">
        <v>2016</v>
      </c>
      <c r="AK559" s="1" t="s">
        <v>73</v>
      </c>
      <c r="AL559" s="1">
        <v>157</v>
      </c>
    </row>
    <row r="560" spans="1:38" x14ac:dyDescent="0.2">
      <c r="A560" s="2" t="str">
        <f>HYPERLINK("https://www.compass.com/listing/30-park-place-unit-46d-manhattan-ny-10007/29357563065666689/","30 Park Pl, Unit 46D")</f>
        <v>30 Park Pl, Unit 46D</v>
      </c>
      <c r="B560" s="2" t="str">
        <f t="shared" si="101"/>
        <v>30 Park Pl</v>
      </c>
      <c r="C560" s="1" t="s">
        <v>40</v>
      </c>
      <c r="D560" s="1" t="s">
        <v>41</v>
      </c>
      <c r="E560" s="3">
        <v>5753113</v>
      </c>
      <c r="F560" s="1">
        <v>2540.0057395143399</v>
      </c>
      <c r="G560" s="1">
        <v>5.5</v>
      </c>
      <c r="H560" s="1">
        <v>3</v>
      </c>
      <c r="I560" s="1">
        <v>3</v>
      </c>
      <c r="J560" s="1">
        <v>3</v>
      </c>
      <c r="K560" s="1">
        <v>3</v>
      </c>
      <c r="M560" s="4">
        <v>2265</v>
      </c>
      <c r="N560" s="1">
        <v>1793</v>
      </c>
      <c r="O560" s="1">
        <v>6364</v>
      </c>
      <c r="P560" s="1">
        <v>4571</v>
      </c>
      <c r="Q560" s="1" t="s">
        <v>42</v>
      </c>
      <c r="S560" s="1" t="s">
        <v>42</v>
      </c>
      <c r="T560" s="1" t="s">
        <v>170</v>
      </c>
      <c r="U560" s="1">
        <v>6</v>
      </c>
      <c r="V560" s="5">
        <v>43672</v>
      </c>
      <c r="W560" s="5">
        <v>41816</v>
      </c>
      <c r="X560" s="1">
        <v>5950000</v>
      </c>
      <c r="Y560" s="1">
        <v>5950000</v>
      </c>
      <c r="Z560" s="5">
        <v>41822</v>
      </c>
      <c r="AA560" s="1">
        <v>5753113</v>
      </c>
      <c r="AB560" s="1" t="s">
        <v>376</v>
      </c>
      <c r="AC560" s="5">
        <v>42703</v>
      </c>
      <c r="AF560" s="1">
        <v>10007</v>
      </c>
      <c r="AJ560" s="1">
        <v>2016</v>
      </c>
      <c r="AK560" s="1" t="s">
        <v>73</v>
      </c>
      <c r="AL560" s="1">
        <v>157</v>
      </c>
    </row>
    <row r="561" spans="1:38" x14ac:dyDescent="0.2">
      <c r="A561" s="2" t="str">
        <f>HYPERLINK("https://www.compass.com/listing/30-park-place-unit-64c-manhattan-ny-10007/29357586352541009/","30 Park Pl, Unit 64C")</f>
        <v>30 Park Pl, Unit 64C</v>
      </c>
      <c r="B561" s="2" t="str">
        <f t="shared" si="101"/>
        <v>30 Park Pl</v>
      </c>
      <c r="C561" s="1" t="s">
        <v>40</v>
      </c>
      <c r="D561" s="1" t="s">
        <v>41</v>
      </c>
      <c r="E561" s="3">
        <v>5294900</v>
      </c>
      <c r="F561" s="1">
        <v>2917.30027548209</v>
      </c>
      <c r="G561" s="1">
        <v>5</v>
      </c>
      <c r="H561" s="1">
        <v>3</v>
      </c>
      <c r="I561" s="1">
        <v>3</v>
      </c>
      <c r="J561" s="1">
        <v>3</v>
      </c>
      <c r="K561" s="1">
        <v>3</v>
      </c>
      <c r="M561" s="4">
        <v>1815</v>
      </c>
      <c r="N561" s="1">
        <v>1477</v>
      </c>
      <c r="O561" s="1">
        <v>5241</v>
      </c>
      <c r="P561" s="1">
        <v>3764</v>
      </c>
      <c r="Q561" s="1" t="s">
        <v>42</v>
      </c>
      <c r="S561" s="1" t="s">
        <v>42</v>
      </c>
      <c r="T561" s="1" t="s">
        <v>170</v>
      </c>
      <c r="U561" s="1">
        <v>1</v>
      </c>
      <c r="V561" s="5">
        <v>43663</v>
      </c>
      <c r="W561" s="5">
        <v>41815</v>
      </c>
      <c r="X561" s="1">
        <v>5350000</v>
      </c>
      <c r="Y561" s="1">
        <v>5200000</v>
      </c>
      <c r="Z561" s="5">
        <v>41816</v>
      </c>
      <c r="AA561" s="1">
        <v>5294900</v>
      </c>
      <c r="AB561" s="1" t="s">
        <v>377</v>
      </c>
      <c r="AC561" s="5">
        <v>42793</v>
      </c>
      <c r="AF561" s="1">
        <v>10007</v>
      </c>
      <c r="AJ561" s="1">
        <v>2016</v>
      </c>
      <c r="AK561" s="1" t="s">
        <v>73</v>
      </c>
      <c r="AL561" s="1">
        <v>157</v>
      </c>
    </row>
    <row r="562" spans="1:38" x14ac:dyDescent="0.2">
      <c r="A562" s="2" t="str">
        <f>HYPERLINK("https://www.compass.com/listing/30-park-place-unit-66c-manhattan-ny-10007/29357588458081649/","30 Park Pl, Unit 66C")</f>
        <v>30 Park Pl, Unit 66C</v>
      </c>
      <c r="B562" s="2" t="str">
        <f t="shared" si="101"/>
        <v>30 Park Pl</v>
      </c>
      <c r="C562" s="1" t="s">
        <v>40</v>
      </c>
      <c r="D562" s="1" t="s">
        <v>41</v>
      </c>
      <c r="E562" s="3">
        <v>5193075</v>
      </c>
      <c r="F562" s="1">
        <v>2861.19834710743</v>
      </c>
      <c r="G562" s="1">
        <v>5</v>
      </c>
      <c r="H562" s="1">
        <v>3</v>
      </c>
      <c r="I562" s="1">
        <v>3</v>
      </c>
      <c r="J562" s="1">
        <v>3</v>
      </c>
      <c r="K562" s="1">
        <v>3</v>
      </c>
      <c r="M562" s="4">
        <v>1815</v>
      </c>
      <c r="N562" s="1">
        <v>1482</v>
      </c>
      <c r="O562" s="1">
        <v>5259</v>
      </c>
      <c r="P562" s="1">
        <v>3777</v>
      </c>
      <c r="Q562" s="1" t="s">
        <v>42</v>
      </c>
      <c r="S562" s="1" t="s">
        <v>42</v>
      </c>
      <c r="T562" s="1" t="s">
        <v>170</v>
      </c>
      <c r="U562" s="1">
        <v>4</v>
      </c>
      <c r="V562" s="5">
        <v>43663</v>
      </c>
      <c r="W562" s="5">
        <v>41796</v>
      </c>
      <c r="X562" s="1">
        <v>5300000</v>
      </c>
      <c r="Y562" s="1">
        <v>5100000</v>
      </c>
      <c r="Z562" s="5">
        <v>41800</v>
      </c>
      <c r="AA562" s="1">
        <v>5193075</v>
      </c>
      <c r="AB562" s="1" t="s">
        <v>378</v>
      </c>
      <c r="AC562" s="5">
        <v>42817</v>
      </c>
      <c r="AF562" s="1">
        <v>10007</v>
      </c>
      <c r="AJ562" s="1">
        <v>2016</v>
      </c>
      <c r="AK562" s="1" t="s">
        <v>73</v>
      </c>
      <c r="AL562" s="1">
        <v>157</v>
      </c>
    </row>
    <row r="563" spans="1:38" x14ac:dyDescent="0.2">
      <c r="A563" s="2" t="str">
        <f>HYPERLINK("https://www.compass.com/listing/30-park-place-unit-67c-manhattan-ny-10007/29357589489880449/","30 Park Pl, Unit 67C")</f>
        <v>30 Park Pl, Unit 67C</v>
      </c>
      <c r="B563" s="2" t="str">
        <f t="shared" si="101"/>
        <v>30 Park Pl</v>
      </c>
      <c r="C563" s="1" t="s">
        <v>40</v>
      </c>
      <c r="D563" s="1" t="s">
        <v>41</v>
      </c>
      <c r="E563" s="3">
        <v>5600375</v>
      </c>
      <c r="F563" s="1">
        <v>3085.6060606060601</v>
      </c>
      <c r="G563" s="1">
        <v>5</v>
      </c>
      <c r="H563" s="1">
        <v>3</v>
      </c>
      <c r="I563" s="1">
        <v>3</v>
      </c>
      <c r="J563" s="1">
        <v>3</v>
      </c>
      <c r="K563" s="1">
        <v>3</v>
      </c>
      <c r="M563" s="4">
        <v>1815</v>
      </c>
      <c r="N563" s="1">
        <v>1484</v>
      </c>
      <c r="O563" s="1">
        <v>5267</v>
      </c>
      <c r="P563" s="1">
        <v>3783</v>
      </c>
      <c r="Q563" s="1" t="s">
        <v>42</v>
      </c>
      <c r="S563" s="1" t="s">
        <v>42</v>
      </c>
      <c r="T563" s="1" t="s">
        <v>170</v>
      </c>
      <c r="U563" s="1">
        <v>88</v>
      </c>
      <c r="V563" s="5">
        <v>42858</v>
      </c>
      <c r="W563" s="5">
        <v>41806</v>
      </c>
      <c r="X563" s="1">
        <v>5500000</v>
      </c>
      <c r="Y563" s="1">
        <v>5500000</v>
      </c>
      <c r="Z563" s="5">
        <v>41895</v>
      </c>
      <c r="AA563" s="1">
        <v>5600375</v>
      </c>
      <c r="AB563" s="1" t="s">
        <v>379</v>
      </c>
      <c r="AC563" s="5">
        <v>42829</v>
      </c>
      <c r="AF563" s="1">
        <v>10007</v>
      </c>
      <c r="AJ563" s="1">
        <v>2016</v>
      </c>
      <c r="AK563" s="1" t="s">
        <v>73</v>
      </c>
      <c r="AL563" s="1">
        <v>157</v>
      </c>
    </row>
    <row r="564" spans="1:38" x14ac:dyDescent="0.2">
      <c r="A564" s="2" t="str">
        <f>HYPERLINK("https://www.compass.com/listing/100-barclay-street-unit-12p-manhattan-ny-10007/4852308596257472385/","100 Barclay St, Unit 12P")</f>
        <v>100 Barclay St, Unit 12P</v>
      </c>
      <c r="B564" s="2" t="str">
        <f>HYPERLINK("https://www.compass.com/building/100-barclay-manhattan-ny/281896670466155525/","100 Barclay")</f>
        <v>100 Barclay</v>
      </c>
      <c r="C564" s="1" t="s">
        <v>40</v>
      </c>
      <c r="D564" s="1" t="s">
        <v>41</v>
      </c>
      <c r="E564" s="3">
        <v>3022675</v>
      </c>
      <c r="F564" s="1">
        <v>1916.72479391249</v>
      </c>
      <c r="G564" s="1">
        <v>5</v>
      </c>
      <c r="H564" s="1">
        <v>2</v>
      </c>
      <c r="I564" s="1">
        <v>3</v>
      </c>
      <c r="J564" s="1">
        <v>2.5</v>
      </c>
      <c r="K564" s="1">
        <v>2</v>
      </c>
      <c r="L564" s="1">
        <v>1</v>
      </c>
      <c r="M564" s="4">
        <v>1577</v>
      </c>
      <c r="N564" s="1">
        <v>2023</v>
      </c>
      <c r="O564" s="1">
        <v>3958</v>
      </c>
      <c r="P564" s="1">
        <v>1935</v>
      </c>
      <c r="Q564" s="1" t="s">
        <v>42</v>
      </c>
      <c r="S564" s="1" t="s">
        <v>42</v>
      </c>
      <c r="T564" s="1" t="s">
        <v>170</v>
      </c>
      <c r="V564" s="5">
        <v>44225</v>
      </c>
      <c r="W564" s="5">
        <v>42479</v>
      </c>
      <c r="X564" s="1">
        <v>2968500</v>
      </c>
      <c r="Y564" s="1">
        <v>2968500</v>
      </c>
      <c r="Z564" s="5">
        <v>42479</v>
      </c>
      <c r="AA564" s="1">
        <v>3022675</v>
      </c>
      <c r="AB564" s="1" t="s">
        <v>380</v>
      </c>
      <c r="AC564" s="5">
        <v>42777</v>
      </c>
      <c r="AF564" s="1">
        <v>10007</v>
      </c>
      <c r="AI564" s="1" t="s">
        <v>45</v>
      </c>
      <c r="AJ564" s="1">
        <v>1930</v>
      </c>
      <c r="AK564" s="1" t="s">
        <v>73</v>
      </c>
      <c r="AL564" s="1">
        <v>156</v>
      </c>
    </row>
    <row r="565" spans="1:38" x14ac:dyDescent="0.2">
      <c r="A565" s="2" t="str">
        <f>HYPERLINK("https://www.compass.com/listing/30-park-place-unit-39f-manhattan-ny-10007/29357553385311041/","30 Park Pl, Unit 39F")</f>
        <v>30 Park Pl, Unit 39F</v>
      </c>
      <c r="B565" s="2" t="str">
        <f t="shared" ref="B565:B567" si="102">HYPERLINK("https://www.compass.com/building/30-park-pl-manhattan-ny-10007/281896912905317605/","30 Park Pl")</f>
        <v>30 Park Pl</v>
      </c>
      <c r="C565" s="1" t="s">
        <v>40</v>
      </c>
      <c r="D565" s="1" t="s">
        <v>41</v>
      </c>
      <c r="E565" s="3">
        <v>1250000</v>
      </c>
      <c r="F565" s="1">
        <v>2025.9319286871901</v>
      </c>
      <c r="G565" s="1">
        <v>3</v>
      </c>
      <c r="H565" s="1">
        <v>1</v>
      </c>
      <c r="I565" s="1">
        <v>1</v>
      </c>
      <c r="J565" s="1">
        <v>1</v>
      </c>
      <c r="K565" s="1">
        <v>1</v>
      </c>
      <c r="M565" s="1">
        <v>617</v>
      </c>
      <c r="N565" s="1">
        <v>485</v>
      </c>
      <c r="O565" s="1">
        <v>1721</v>
      </c>
      <c r="P565" s="1">
        <v>1236</v>
      </c>
      <c r="Q565" s="1" t="s">
        <v>42</v>
      </c>
      <c r="S565" s="1" t="s">
        <v>42</v>
      </c>
      <c r="T565" s="1" t="s">
        <v>170</v>
      </c>
      <c r="V565" s="5">
        <v>43663</v>
      </c>
      <c r="W565" s="5">
        <v>42705</v>
      </c>
      <c r="X565" s="1">
        <v>1250000</v>
      </c>
      <c r="Y565" s="1">
        <v>1250000</v>
      </c>
      <c r="Z565" s="5">
        <v>42705</v>
      </c>
      <c r="AA565" s="1">
        <v>1250000</v>
      </c>
      <c r="AB565" s="1" t="s">
        <v>381</v>
      </c>
      <c r="AC565" s="5">
        <v>42865</v>
      </c>
      <c r="AF565" s="1">
        <v>10007</v>
      </c>
      <c r="AJ565" s="1">
        <v>2016</v>
      </c>
      <c r="AK565" s="1" t="s">
        <v>73</v>
      </c>
      <c r="AL565" s="1">
        <v>157</v>
      </c>
    </row>
    <row r="566" spans="1:38" x14ac:dyDescent="0.2">
      <c r="A566" s="2" t="str">
        <f>HYPERLINK("https://www.compass.com/listing/30-park-place-unit-42d-manhattan-ny-10007/29357557780846721/","30 Park Pl, Unit 42D")</f>
        <v>30 Park Pl, Unit 42D</v>
      </c>
      <c r="B566" s="2" t="str">
        <f t="shared" si="102"/>
        <v>30 Park Pl</v>
      </c>
      <c r="C566" s="1" t="s">
        <v>40</v>
      </c>
      <c r="D566" s="1" t="s">
        <v>41</v>
      </c>
      <c r="E566" s="3">
        <v>5193075</v>
      </c>
      <c r="F566" s="1">
        <v>2292.7483443708602</v>
      </c>
      <c r="G566" s="1">
        <v>5.5</v>
      </c>
      <c r="H566" s="1">
        <v>3</v>
      </c>
      <c r="I566" s="1">
        <v>3</v>
      </c>
      <c r="J566" s="1">
        <v>3</v>
      </c>
      <c r="K566" s="1">
        <v>3</v>
      </c>
      <c r="M566" s="4">
        <v>2265</v>
      </c>
      <c r="N566" s="1">
        <v>1782</v>
      </c>
      <c r="O566" s="1">
        <v>6326</v>
      </c>
      <c r="P566" s="1">
        <v>4544</v>
      </c>
      <c r="Q566" s="1" t="s">
        <v>42</v>
      </c>
      <c r="S566" s="1" t="s">
        <v>42</v>
      </c>
      <c r="T566" s="1" t="s">
        <v>170</v>
      </c>
      <c r="U566" s="1">
        <v>24</v>
      </c>
      <c r="V566" s="5">
        <v>43665</v>
      </c>
      <c r="W566" s="5">
        <v>41853</v>
      </c>
      <c r="X566" s="1">
        <v>5750000</v>
      </c>
      <c r="Y566" s="1">
        <v>5100000</v>
      </c>
      <c r="Z566" s="5">
        <v>41877</v>
      </c>
      <c r="AA566" s="1">
        <v>5193075</v>
      </c>
      <c r="AB566" s="1" t="s">
        <v>382</v>
      </c>
      <c r="AC566" s="5">
        <v>42670</v>
      </c>
      <c r="AF566" s="1">
        <v>10007</v>
      </c>
      <c r="AJ566" s="1">
        <v>2016</v>
      </c>
      <c r="AK566" s="1" t="s">
        <v>73</v>
      </c>
      <c r="AL566" s="1">
        <v>157</v>
      </c>
    </row>
    <row r="567" spans="1:38" x14ac:dyDescent="0.2">
      <c r="A567" s="2" t="str">
        <f>HYPERLINK("https://www.compass.com/listing/30-park-place-unit-48d-manhattan-ny-10007/29357565699692801/","30 Park Pl, Unit 48D")</f>
        <v>30 Park Pl, Unit 48D</v>
      </c>
      <c r="B567" s="2" t="str">
        <f t="shared" si="102"/>
        <v>30 Park Pl</v>
      </c>
      <c r="C567" s="1" t="s">
        <v>40</v>
      </c>
      <c r="D567" s="1" t="s">
        <v>41</v>
      </c>
      <c r="E567" s="3">
        <v>5854938</v>
      </c>
      <c r="F567" s="1">
        <v>2584.9615894039698</v>
      </c>
      <c r="G567" s="1">
        <v>5.5</v>
      </c>
      <c r="H567" s="1">
        <v>3</v>
      </c>
      <c r="I567" s="1">
        <v>3</v>
      </c>
      <c r="J567" s="1">
        <v>3</v>
      </c>
      <c r="K567" s="1">
        <v>3</v>
      </c>
      <c r="M567" s="4">
        <v>2265</v>
      </c>
      <c r="N567" s="1">
        <v>1798</v>
      </c>
      <c r="O567" s="1">
        <v>6382</v>
      </c>
      <c r="P567" s="1">
        <v>4584</v>
      </c>
      <c r="Q567" s="1" t="s">
        <v>42</v>
      </c>
      <c r="S567" s="1" t="s">
        <v>42</v>
      </c>
      <c r="T567" s="1" t="s">
        <v>170</v>
      </c>
      <c r="U567" s="1">
        <v>7</v>
      </c>
      <c r="V567" s="5">
        <v>43672</v>
      </c>
      <c r="W567" s="5">
        <v>41815</v>
      </c>
      <c r="X567" s="1">
        <v>6050000</v>
      </c>
      <c r="Y567" s="1">
        <v>6050000</v>
      </c>
      <c r="Z567" s="5">
        <v>41822</v>
      </c>
      <c r="AA567" s="1">
        <v>5854938</v>
      </c>
      <c r="AB567" s="1" t="s">
        <v>383</v>
      </c>
      <c r="AC567" s="5">
        <v>42703</v>
      </c>
      <c r="AF567" s="1">
        <v>10007</v>
      </c>
      <c r="AJ567" s="1">
        <v>2016</v>
      </c>
      <c r="AK567" s="1" t="s">
        <v>73</v>
      </c>
      <c r="AL567" s="1">
        <v>157</v>
      </c>
    </row>
    <row r="568" spans="1:38" x14ac:dyDescent="0.2">
      <c r="A568" s="2" t="str">
        <f>HYPERLINK("https://www.compass.com/listing/100-barclay-street-unit-13r-manhattan-ny-10007/4852274062556149409/","100 Barclay St, Unit 13R")</f>
        <v>100 Barclay St, Unit 13R</v>
      </c>
      <c r="B568" s="2" t="str">
        <f>HYPERLINK("https://www.compass.com/building/100-barclay-manhattan-ny/281896670466155525/","100 Barclay")</f>
        <v>100 Barclay</v>
      </c>
      <c r="C568" s="1" t="s">
        <v>40</v>
      </c>
      <c r="D568" s="1" t="s">
        <v>41</v>
      </c>
      <c r="E568" s="3">
        <v>4353019</v>
      </c>
      <c r="F568" s="1">
        <v>1987.6799086757901</v>
      </c>
      <c r="G568" s="1">
        <v>5</v>
      </c>
      <c r="H568" s="1">
        <v>3</v>
      </c>
      <c r="I568" s="1">
        <v>3</v>
      </c>
      <c r="J568" s="1">
        <v>3</v>
      </c>
      <c r="K568" s="1">
        <v>3</v>
      </c>
      <c r="M568" s="4">
        <v>2190</v>
      </c>
      <c r="N568" s="1">
        <v>2810</v>
      </c>
      <c r="O568" s="1">
        <v>5497</v>
      </c>
      <c r="P568" s="1">
        <v>2687</v>
      </c>
      <c r="Q568" s="1" t="s">
        <v>42</v>
      </c>
      <c r="S568" s="1" t="s">
        <v>42</v>
      </c>
      <c r="T568" s="1" t="s">
        <v>170</v>
      </c>
      <c r="U568" s="1">
        <v>73</v>
      </c>
      <c r="V568" s="5">
        <v>43663</v>
      </c>
      <c r="W568" s="5">
        <v>42648</v>
      </c>
      <c r="X568" s="1">
        <v>5030500</v>
      </c>
      <c r="Y568" s="1">
        <v>4585000</v>
      </c>
      <c r="Z568" s="5">
        <v>42754</v>
      </c>
      <c r="AA568" s="1">
        <v>4353019</v>
      </c>
      <c r="AB568" s="1" t="s">
        <v>384</v>
      </c>
      <c r="AC568" s="5">
        <v>42852</v>
      </c>
      <c r="AF568" s="1">
        <v>10007</v>
      </c>
      <c r="AI568" s="1" t="s">
        <v>88</v>
      </c>
      <c r="AJ568" s="1">
        <v>1930</v>
      </c>
      <c r="AK568" s="1" t="s">
        <v>73</v>
      </c>
      <c r="AL568" s="1">
        <v>156</v>
      </c>
    </row>
    <row r="569" spans="1:38" x14ac:dyDescent="0.2">
      <c r="A569" s="2" t="str">
        <f>HYPERLINK("https://www.compass.com/listing/150-west-12th-street-unit-4-east-manhattan-ny-10011/4852280363222837441/","150 W 12th St, Unit 4 EAST")</f>
        <v>150 W 12th St, Unit 4 EAST</v>
      </c>
      <c r="B569" s="2" t="str">
        <f>HYPERLINK("https://www.compass.com/building/the-greenwich-lane-manhattan-ny/567553885067785157/","The Greenwich Lane")</f>
        <v>The Greenwich Lane</v>
      </c>
      <c r="C569" s="1" t="s">
        <v>71</v>
      </c>
      <c r="D569" s="1" t="s">
        <v>41</v>
      </c>
      <c r="E569" s="3">
        <v>4235220</v>
      </c>
      <c r="F569" s="1">
        <v>2918.8283942108801</v>
      </c>
      <c r="G569" s="1">
        <v>2</v>
      </c>
      <c r="H569" s="1">
        <v>1</v>
      </c>
      <c r="I569" s="1">
        <v>2</v>
      </c>
      <c r="J569" s="1">
        <v>1.5</v>
      </c>
      <c r="M569" s="4">
        <v>1451</v>
      </c>
      <c r="N569" s="1">
        <v>2589</v>
      </c>
      <c r="O569" s="1">
        <v>5126</v>
      </c>
      <c r="P569" s="1">
        <v>2537</v>
      </c>
      <c r="Q569" s="1" t="s">
        <v>42</v>
      </c>
      <c r="S569" s="1" t="s">
        <v>42</v>
      </c>
      <c r="T569" s="1" t="s">
        <v>170</v>
      </c>
      <c r="U569" s="1">
        <v>1</v>
      </c>
      <c r="V569" s="5">
        <v>43743</v>
      </c>
      <c r="W569" s="5">
        <v>41724</v>
      </c>
      <c r="X569" s="1">
        <v>4150000</v>
      </c>
      <c r="Y569" s="1">
        <v>4150000</v>
      </c>
      <c r="Z569" s="5">
        <v>41726</v>
      </c>
      <c r="AA569" s="1">
        <v>4235220</v>
      </c>
      <c r="AB569" s="1" t="s">
        <v>181</v>
      </c>
      <c r="AC569" s="5">
        <v>42423</v>
      </c>
      <c r="AF569" s="1">
        <v>10011</v>
      </c>
      <c r="AI569" s="1" t="s">
        <v>200</v>
      </c>
      <c r="AK569" s="1" t="s">
        <v>77</v>
      </c>
      <c r="AL569" s="1">
        <v>24</v>
      </c>
    </row>
    <row r="570" spans="1:38" x14ac:dyDescent="0.2">
      <c r="A570" s="2" t="str">
        <f>HYPERLINK("https://www.compass.com/listing/30-park-place-unit-56a-manhattan-ny-10007/29512131900713665/","30 Park Pl, Unit 56A")</f>
        <v>30 Park Pl, Unit 56A</v>
      </c>
      <c r="B570" s="2" t="str">
        <f t="shared" ref="B570:B575" si="103">HYPERLINK("https://www.compass.com/building/30-park-pl-manhattan-ny-10007/281896912905317605/","30 Park Pl")</f>
        <v>30 Park Pl</v>
      </c>
      <c r="C570" s="1" t="s">
        <v>40</v>
      </c>
      <c r="D570" s="1" t="s">
        <v>41</v>
      </c>
      <c r="E570" s="3">
        <v>6650000</v>
      </c>
      <c r="F570" s="1">
        <v>2365.7061543934501</v>
      </c>
      <c r="G570" s="1">
        <v>6.5</v>
      </c>
      <c r="H570" s="1">
        <v>4</v>
      </c>
      <c r="I570" s="1">
        <v>5</v>
      </c>
      <c r="J570" s="1">
        <v>4.5</v>
      </c>
      <c r="K570" s="1">
        <v>4</v>
      </c>
      <c r="L570" s="1">
        <v>1</v>
      </c>
      <c r="M570" s="4">
        <v>2811</v>
      </c>
      <c r="N570" s="1">
        <v>2527</v>
      </c>
      <c r="O570" s="1">
        <v>8812</v>
      </c>
      <c r="P570" s="1">
        <v>6285</v>
      </c>
      <c r="Q570" s="1" t="s">
        <v>42</v>
      </c>
      <c r="S570" s="1" t="s">
        <v>42</v>
      </c>
      <c r="T570" s="1" t="s">
        <v>170</v>
      </c>
      <c r="U570" s="1">
        <v>1001</v>
      </c>
      <c r="V570" s="5">
        <v>44084</v>
      </c>
      <c r="W570" s="5">
        <v>42909</v>
      </c>
      <c r="X570" s="1">
        <v>8875000</v>
      </c>
      <c r="Y570" s="1">
        <v>7950000</v>
      </c>
      <c r="Z570" s="5">
        <v>43957</v>
      </c>
      <c r="AA570" s="1">
        <v>6650000</v>
      </c>
      <c r="AB570" s="1" t="s">
        <v>385</v>
      </c>
      <c r="AC570" s="5">
        <v>44075</v>
      </c>
      <c r="AF570" s="1">
        <v>10007</v>
      </c>
      <c r="AI570" s="1" t="s">
        <v>142</v>
      </c>
      <c r="AJ570" s="1">
        <v>2016</v>
      </c>
      <c r="AK570" s="1" t="s">
        <v>73</v>
      </c>
      <c r="AL570" s="1">
        <v>157</v>
      </c>
    </row>
    <row r="571" spans="1:38" x14ac:dyDescent="0.2">
      <c r="A571" s="2" t="str">
        <f>HYPERLINK("https://www.compass.com/listing/30-park-place-unit-56d-manhattan-ny-10007/29357576529480897/","30 Park Pl, Unit 56D")</f>
        <v>30 Park Pl, Unit 56D</v>
      </c>
      <c r="B571" s="2" t="str">
        <f t="shared" si="103"/>
        <v>30 Park Pl</v>
      </c>
      <c r="C571" s="1" t="s">
        <v>40</v>
      </c>
      <c r="D571" s="1" t="s">
        <v>41</v>
      </c>
      <c r="E571" s="3">
        <v>4490483</v>
      </c>
      <c r="F571" s="1">
        <v>2919.6898569570799</v>
      </c>
      <c r="G571" s="1">
        <v>4</v>
      </c>
      <c r="H571" s="1">
        <v>2</v>
      </c>
      <c r="I571" s="1">
        <v>2</v>
      </c>
      <c r="J571" s="1">
        <v>2</v>
      </c>
      <c r="K571" s="1">
        <v>2</v>
      </c>
      <c r="M571" s="4">
        <v>1538</v>
      </c>
      <c r="N571" s="1">
        <v>1258</v>
      </c>
      <c r="O571" s="1">
        <v>4464</v>
      </c>
      <c r="P571" s="1">
        <v>3206</v>
      </c>
      <c r="Q571" s="1" t="s">
        <v>42</v>
      </c>
      <c r="S571" s="1" t="s">
        <v>42</v>
      </c>
      <c r="T571" s="1" t="s">
        <v>170</v>
      </c>
      <c r="U571" s="1">
        <v>20</v>
      </c>
      <c r="V571" s="5">
        <v>43673</v>
      </c>
      <c r="W571" s="5">
        <v>41857</v>
      </c>
      <c r="X571" s="1">
        <v>4585000</v>
      </c>
      <c r="Y571" s="1">
        <v>4410000</v>
      </c>
      <c r="Z571" s="5">
        <v>41877</v>
      </c>
      <c r="AA571" s="1">
        <v>4490483</v>
      </c>
      <c r="AB571" s="1" t="s">
        <v>386</v>
      </c>
      <c r="AC571" s="5">
        <v>42721</v>
      </c>
      <c r="AF571" s="1">
        <v>10007</v>
      </c>
      <c r="AJ571" s="1">
        <v>2016</v>
      </c>
      <c r="AK571" s="1" t="s">
        <v>73</v>
      </c>
      <c r="AL571" s="1">
        <v>157</v>
      </c>
    </row>
    <row r="572" spans="1:38" x14ac:dyDescent="0.2">
      <c r="A572" s="2" t="str">
        <f>HYPERLINK("https://www.compass.com/listing/30-park-place-unit-61c-manhattan-ny-10007/29357583257144609/","30 Park Pl, Unit 61C")</f>
        <v>30 Park Pl, Unit 61C</v>
      </c>
      <c r="B572" s="2" t="str">
        <f t="shared" si="103"/>
        <v>30 Park Pl</v>
      </c>
      <c r="C572" s="1" t="s">
        <v>40</v>
      </c>
      <c r="D572" s="1" t="s">
        <v>41</v>
      </c>
      <c r="E572" s="3">
        <v>4566851</v>
      </c>
      <c r="F572" s="1">
        <v>2959.7219701879399</v>
      </c>
      <c r="G572" s="1">
        <v>4</v>
      </c>
      <c r="H572" s="1">
        <v>2</v>
      </c>
      <c r="I572" s="1">
        <v>2</v>
      </c>
      <c r="J572" s="1">
        <v>2</v>
      </c>
      <c r="K572" s="1">
        <v>2</v>
      </c>
      <c r="M572" s="4">
        <v>1543</v>
      </c>
      <c r="N572" s="1">
        <v>1245</v>
      </c>
      <c r="O572" s="1">
        <v>4419</v>
      </c>
      <c r="P572" s="1">
        <v>3174</v>
      </c>
      <c r="Q572" s="1" t="s">
        <v>42</v>
      </c>
      <c r="S572" s="1" t="s">
        <v>42</v>
      </c>
      <c r="T572" s="1" t="s">
        <v>170</v>
      </c>
      <c r="U572" s="1">
        <v>10</v>
      </c>
      <c r="V572" s="5">
        <v>43668</v>
      </c>
      <c r="W572" s="5">
        <v>41914</v>
      </c>
      <c r="X572" s="1">
        <v>5035000</v>
      </c>
      <c r="Y572" s="1">
        <v>4485000</v>
      </c>
      <c r="Z572" s="5">
        <v>41924</v>
      </c>
      <c r="AA572" s="1">
        <v>4566851</v>
      </c>
      <c r="AB572" s="1" t="s">
        <v>387</v>
      </c>
      <c r="AC572" s="5">
        <v>42759</v>
      </c>
      <c r="AF572" s="1">
        <v>10007</v>
      </c>
      <c r="AJ572" s="1">
        <v>2016</v>
      </c>
      <c r="AK572" s="1" t="s">
        <v>73</v>
      </c>
      <c r="AL572" s="1">
        <v>157</v>
      </c>
    </row>
    <row r="573" spans="1:38" x14ac:dyDescent="0.2">
      <c r="A573" s="2" t="str">
        <f>HYPERLINK("https://www.compass.com/listing/30-park-place-unit-58d-manhattan-ny-10007/29512133242815441/","30 Park Pl, Unit 58D")</f>
        <v>30 Park Pl, Unit 58D</v>
      </c>
      <c r="B573" s="2" t="str">
        <f t="shared" si="103"/>
        <v>30 Park Pl</v>
      </c>
      <c r="C573" s="1" t="s">
        <v>40</v>
      </c>
      <c r="D573" s="1" t="s">
        <v>41</v>
      </c>
      <c r="E573" s="3">
        <v>4648311</v>
      </c>
      <c r="F573" s="1">
        <v>3022.3088426527902</v>
      </c>
      <c r="G573" s="1">
        <v>4</v>
      </c>
      <c r="H573" s="1">
        <v>2</v>
      </c>
      <c r="I573" s="1">
        <v>2</v>
      </c>
      <c r="J573" s="1">
        <v>2</v>
      </c>
      <c r="K573" s="1">
        <v>2</v>
      </c>
      <c r="M573" s="4">
        <v>1538</v>
      </c>
      <c r="N573" s="1">
        <v>1262</v>
      </c>
      <c r="O573" s="1">
        <v>4479</v>
      </c>
      <c r="P573" s="1">
        <v>3217</v>
      </c>
      <c r="Q573" s="1" t="s">
        <v>42</v>
      </c>
      <c r="S573" s="1" t="s">
        <v>42</v>
      </c>
      <c r="T573" s="1" t="s">
        <v>170</v>
      </c>
      <c r="U573" s="1">
        <v>13</v>
      </c>
      <c r="V573" s="5">
        <v>43637</v>
      </c>
      <c r="W573" s="5">
        <v>41838</v>
      </c>
      <c r="X573" s="1">
        <v>4665000</v>
      </c>
      <c r="Y573" s="1">
        <v>4565000</v>
      </c>
      <c r="Z573" s="5">
        <v>41851</v>
      </c>
      <c r="AA573" s="1">
        <v>4648311</v>
      </c>
      <c r="AB573" s="1" t="s">
        <v>388</v>
      </c>
      <c r="AC573" s="5">
        <v>42753</v>
      </c>
      <c r="AF573" s="1">
        <v>10007</v>
      </c>
      <c r="AJ573" s="1">
        <v>2016</v>
      </c>
      <c r="AK573" s="1" t="s">
        <v>73</v>
      </c>
      <c r="AL573" s="1">
        <v>157</v>
      </c>
    </row>
    <row r="574" spans="1:38" x14ac:dyDescent="0.2">
      <c r="A574" s="2" t="str">
        <f>HYPERLINK("https://www.compass.com/listing/30-park-place-unit-52c-manhattan-ny-10007/29357570699303249/","30 Park Pl, Unit 52C")</f>
        <v>30 Park Pl, Unit 52C</v>
      </c>
      <c r="B574" s="2" t="str">
        <f t="shared" si="103"/>
        <v>30 Park Pl</v>
      </c>
      <c r="C574" s="1" t="s">
        <v>40</v>
      </c>
      <c r="D574" s="1" t="s">
        <v>41</v>
      </c>
      <c r="E574" s="3">
        <v>3767525</v>
      </c>
      <c r="F574" s="1">
        <v>2441.68826960466</v>
      </c>
      <c r="G574" s="1">
        <v>4</v>
      </c>
      <c r="H574" s="1">
        <v>2</v>
      </c>
      <c r="I574" s="1">
        <v>2</v>
      </c>
      <c r="J574" s="1">
        <v>2</v>
      </c>
      <c r="K574" s="1">
        <v>2</v>
      </c>
      <c r="M574" s="4">
        <v>1543</v>
      </c>
      <c r="N574" s="1">
        <v>1226</v>
      </c>
      <c r="O574" s="1">
        <v>4352</v>
      </c>
      <c r="P574" s="1">
        <v>3126</v>
      </c>
      <c r="Q574" s="1" t="s">
        <v>42</v>
      </c>
      <c r="S574" s="1" t="s">
        <v>42</v>
      </c>
      <c r="T574" s="1" t="s">
        <v>170</v>
      </c>
      <c r="U574" s="1">
        <v>20</v>
      </c>
      <c r="V574" s="5">
        <v>43672</v>
      </c>
      <c r="W574" s="5">
        <v>41857</v>
      </c>
      <c r="X574" s="1">
        <v>4275000</v>
      </c>
      <c r="Y574" s="1">
        <v>3700000</v>
      </c>
      <c r="Z574" s="5">
        <v>41877</v>
      </c>
      <c r="AA574" s="1">
        <v>3767525</v>
      </c>
      <c r="AB574" s="1" t="s">
        <v>389</v>
      </c>
      <c r="AC574" s="5">
        <v>42703</v>
      </c>
      <c r="AF574" s="1">
        <v>10007</v>
      </c>
      <c r="AJ574" s="1">
        <v>2016</v>
      </c>
      <c r="AK574" s="1" t="s">
        <v>73</v>
      </c>
      <c r="AL574" s="1">
        <v>157</v>
      </c>
    </row>
    <row r="575" spans="1:38" x14ac:dyDescent="0.2">
      <c r="A575" s="2" t="str">
        <f>HYPERLINK("https://www.compass.com/listing/30-park-place-unit-65a-manhattan-ny-10007/297656110013774145/","30 Park Pl, Unit 65A")</f>
        <v>30 Park Pl, Unit 65A</v>
      </c>
      <c r="B575" s="2" t="str">
        <f t="shared" si="103"/>
        <v>30 Park Pl</v>
      </c>
      <c r="C575" s="1" t="s">
        <v>40</v>
      </c>
      <c r="D575" s="1" t="s">
        <v>41</v>
      </c>
      <c r="E575" s="3">
        <v>9300000</v>
      </c>
      <c r="F575" s="1">
        <v>2513.5135135135101</v>
      </c>
      <c r="G575" s="1">
        <v>7</v>
      </c>
      <c r="H575" s="1">
        <v>4</v>
      </c>
      <c r="I575" s="1">
        <v>5</v>
      </c>
      <c r="J575" s="1">
        <v>5</v>
      </c>
      <c r="K575" s="1">
        <v>5</v>
      </c>
      <c r="M575" s="4">
        <v>3700</v>
      </c>
      <c r="N575" s="1">
        <v>3170</v>
      </c>
      <c r="O575" s="1">
        <v>11765</v>
      </c>
      <c r="P575" s="1">
        <v>8595</v>
      </c>
      <c r="Q575" s="1" t="s">
        <v>42</v>
      </c>
      <c r="S575" s="1" t="s">
        <v>42</v>
      </c>
      <c r="T575" s="1" t="s">
        <v>170</v>
      </c>
      <c r="U575" s="1">
        <v>934</v>
      </c>
      <c r="V575" s="5">
        <v>44338</v>
      </c>
      <c r="W575" s="5">
        <v>42985</v>
      </c>
      <c r="X575" s="1">
        <v>13000000</v>
      </c>
      <c r="Y575" s="1">
        <v>11100000</v>
      </c>
      <c r="AA575" s="1">
        <v>9300000</v>
      </c>
      <c r="AB575" s="1" t="s">
        <v>337</v>
      </c>
      <c r="AC575" s="5">
        <v>44055</v>
      </c>
      <c r="AF575" s="1">
        <v>10007</v>
      </c>
      <c r="AJ575" s="1">
        <v>2016</v>
      </c>
      <c r="AK575" s="1" t="s">
        <v>46</v>
      </c>
      <c r="AL575" s="1">
        <v>157</v>
      </c>
    </row>
    <row r="576" spans="1:38" x14ac:dyDescent="0.2">
      <c r="A576" s="2" t="str">
        <f>HYPERLINK("https://www.compass.com/listing/100-barclay-street-unit-11n-manhattan-ny-10007/4852308743880188657/","100 Barclay St, Unit 11N")</f>
        <v>100 Barclay St, Unit 11N</v>
      </c>
      <c r="B576" s="2" t="str">
        <f t="shared" ref="B576:B580" si="104">HYPERLINK("https://www.compass.com/building/100-barclay-manhattan-ny/281896670466155525/","100 Barclay")</f>
        <v>100 Barclay</v>
      </c>
      <c r="C576" s="1" t="s">
        <v>40</v>
      </c>
      <c r="D576" s="1" t="s">
        <v>41</v>
      </c>
      <c r="E576" s="3">
        <v>3411137</v>
      </c>
      <c r="F576" s="1">
        <v>2146.71932032725</v>
      </c>
      <c r="G576" s="1">
        <v>5</v>
      </c>
      <c r="H576" s="1">
        <v>2</v>
      </c>
      <c r="I576" s="1">
        <v>3</v>
      </c>
      <c r="J576" s="1">
        <v>2.5</v>
      </c>
      <c r="M576" s="4">
        <v>1589</v>
      </c>
      <c r="N576" s="1">
        <v>2092</v>
      </c>
      <c r="O576" s="1">
        <v>4144</v>
      </c>
      <c r="P576" s="1">
        <v>2052</v>
      </c>
      <c r="Q576" s="1" t="s">
        <v>42</v>
      </c>
      <c r="S576" s="1" t="s">
        <v>42</v>
      </c>
      <c r="T576" s="1" t="s">
        <v>170</v>
      </c>
      <c r="V576" s="5">
        <v>43623</v>
      </c>
      <c r="W576" s="5">
        <v>42215</v>
      </c>
      <c r="X576" s="1">
        <v>3407000</v>
      </c>
      <c r="Y576" s="1">
        <v>3407000</v>
      </c>
      <c r="Z576" s="5">
        <v>42215</v>
      </c>
      <c r="AA576" s="1">
        <v>3411137</v>
      </c>
      <c r="AB576" s="1" t="s">
        <v>390</v>
      </c>
      <c r="AC576" s="5">
        <v>42802</v>
      </c>
      <c r="AF576" s="1">
        <v>10007</v>
      </c>
      <c r="AI576" s="1" t="s">
        <v>88</v>
      </c>
      <c r="AJ576" s="1">
        <v>1930</v>
      </c>
      <c r="AK576" s="1" t="s">
        <v>46</v>
      </c>
      <c r="AL576" s="1">
        <v>156</v>
      </c>
    </row>
    <row r="577" spans="1:38" x14ac:dyDescent="0.2">
      <c r="A577" s="2" t="str">
        <f>HYPERLINK("https://www.compass.com/listing/100-barclay-street-unit-16k-manhattan-ny-10007/4852309157170121841/","100 Barclay St, Unit 16K")</f>
        <v>100 Barclay St, Unit 16K</v>
      </c>
      <c r="B577" s="2" t="str">
        <f t="shared" si="104"/>
        <v>100 Barclay</v>
      </c>
      <c r="C577" s="1" t="s">
        <v>40</v>
      </c>
      <c r="D577" s="1" t="s">
        <v>41</v>
      </c>
      <c r="E577" s="3">
        <v>3054750</v>
      </c>
      <c r="F577" s="1">
        <v>2035.1432378414299</v>
      </c>
      <c r="G577" s="1">
        <v>4</v>
      </c>
      <c r="H577" s="1">
        <v>2</v>
      </c>
      <c r="I577" s="1">
        <v>3</v>
      </c>
      <c r="J577" s="1">
        <v>2.5</v>
      </c>
      <c r="M577" s="4">
        <v>1501</v>
      </c>
      <c r="N577" s="1">
        <v>1926</v>
      </c>
      <c r="O577" s="1">
        <v>3768</v>
      </c>
      <c r="P577" s="1">
        <v>1842</v>
      </c>
      <c r="Q577" s="1" t="s">
        <v>42</v>
      </c>
      <c r="S577" s="1" t="s">
        <v>42</v>
      </c>
      <c r="T577" s="1" t="s">
        <v>170</v>
      </c>
      <c r="V577" s="5">
        <v>43623</v>
      </c>
      <c r="W577" s="5">
        <v>42477</v>
      </c>
      <c r="X577" s="1">
        <v>3473000</v>
      </c>
      <c r="Y577" s="1">
        <v>3473000</v>
      </c>
      <c r="Z577" s="5">
        <v>42477</v>
      </c>
      <c r="AA577" s="1">
        <v>3054750</v>
      </c>
      <c r="AB577" s="1" t="s">
        <v>391</v>
      </c>
      <c r="AC577" s="5">
        <v>42692</v>
      </c>
      <c r="AF577" s="1">
        <v>10007</v>
      </c>
      <c r="AI577" s="1" t="s">
        <v>45</v>
      </c>
      <c r="AJ577" s="1">
        <v>1930</v>
      </c>
      <c r="AK577" s="1" t="s">
        <v>73</v>
      </c>
      <c r="AL577" s="1">
        <v>156</v>
      </c>
    </row>
    <row r="578" spans="1:38" x14ac:dyDescent="0.2">
      <c r="A578" s="2" t="str">
        <f>HYPERLINK("https://www.compass.com/listing/100-barclay-street-unit-16g-manhattan-ny-10007/29513629829266497/","100 Barclay St, Unit 16G")</f>
        <v>100 Barclay St, Unit 16G</v>
      </c>
      <c r="B578" s="2" t="str">
        <f t="shared" si="104"/>
        <v>100 Barclay</v>
      </c>
      <c r="C578" s="1" t="s">
        <v>40</v>
      </c>
      <c r="D578" s="1" t="s">
        <v>41</v>
      </c>
      <c r="E578" s="3">
        <v>3800000</v>
      </c>
      <c r="F578" s="1">
        <v>1707.8651685393199</v>
      </c>
      <c r="G578" s="1">
        <v>5</v>
      </c>
      <c r="H578" s="1">
        <v>3</v>
      </c>
      <c r="I578" s="1">
        <v>3</v>
      </c>
      <c r="J578" s="1">
        <v>3</v>
      </c>
      <c r="K578" s="1">
        <v>3</v>
      </c>
      <c r="M578" s="4">
        <v>2225</v>
      </c>
      <c r="N578" s="1">
        <v>2864</v>
      </c>
      <c r="O578" s="1">
        <v>5875</v>
      </c>
      <c r="P578" s="1">
        <v>3011</v>
      </c>
      <c r="Q578" s="1" t="s">
        <v>42</v>
      </c>
      <c r="S578" s="1" t="s">
        <v>42</v>
      </c>
      <c r="T578" s="1" t="s">
        <v>170</v>
      </c>
      <c r="U578" s="1">
        <v>123</v>
      </c>
      <c r="V578" s="5">
        <v>43623</v>
      </c>
      <c r="W578" s="5">
        <v>43280</v>
      </c>
      <c r="X578" s="1">
        <v>4250000</v>
      </c>
      <c r="Y578" s="1">
        <v>4250000</v>
      </c>
      <c r="Z578" s="5">
        <v>43403</v>
      </c>
      <c r="AA578" s="1">
        <v>3800000</v>
      </c>
      <c r="AB578" s="1" t="s">
        <v>392</v>
      </c>
      <c r="AC578" s="5">
        <v>43455</v>
      </c>
      <c r="AF578" s="1">
        <v>10007</v>
      </c>
      <c r="AI578" s="1" t="s">
        <v>74</v>
      </c>
      <c r="AJ578" s="1">
        <v>1930</v>
      </c>
      <c r="AK578" s="1" t="s">
        <v>73</v>
      </c>
      <c r="AL578" s="1">
        <v>156</v>
      </c>
    </row>
    <row r="579" spans="1:38" x14ac:dyDescent="0.2">
      <c r="A579" s="2" t="str">
        <f>HYPERLINK("https://www.compass.com/listing/100-barclay-street-unit-16c-manhattan-ny-10007/4852269248199789889/","100 Barclay St, Unit 16C")</f>
        <v>100 Barclay St, Unit 16C</v>
      </c>
      <c r="B579" s="2" t="str">
        <f t="shared" si="104"/>
        <v>100 Barclay</v>
      </c>
      <c r="C579" s="1" t="s">
        <v>40</v>
      </c>
      <c r="D579" s="1" t="s">
        <v>41</v>
      </c>
      <c r="E579" s="3">
        <v>3950000</v>
      </c>
      <c r="F579" s="1">
        <v>1991.9314170448799</v>
      </c>
      <c r="G579" s="1">
        <v>5</v>
      </c>
      <c r="H579" s="1">
        <v>3</v>
      </c>
      <c r="I579" s="1">
        <v>3</v>
      </c>
      <c r="J579" s="1">
        <v>3</v>
      </c>
      <c r="K579" s="1">
        <v>3</v>
      </c>
      <c r="M579" s="4">
        <v>1983</v>
      </c>
      <c r="N579" s="1">
        <v>2544</v>
      </c>
      <c r="O579" s="1">
        <v>4977</v>
      </c>
      <c r="P579" s="1">
        <v>2433</v>
      </c>
      <c r="Q579" s="1" t="s">
        <v>42</v>
      </c>
      <c r="S579" s="1" t="s">
        <v>42</v>
      </c>
      <c r="T579" s="1" t="s">
        <v>170</v>
      </c>
      <c r="V579" s="5">
        <v>43623</v>
      </c>
      <c r="W579" s="5">
        <v>42790</v>
      </c>
      <c r="X579" s="1">
        <v>4195000</v>
      </c>
      <c r="Y579" s="1">
        <v>4195000</v>
      </c>
      <c r="Z579" s="5">
        <v>42790</v>
      </c>
      <c r="AA579" s="1">
        <v>3950000</v>
      </c>
      <c r="AB579" s="1" t="s">
        <v>393</v>
      </c>
      <c r="AC579" s="5">
        <v>42849</v>
      </c>
      <c r="AF579" s="1">
        <v>10007</v>
      </c>
      <c r="AI579" s="1" t="s">
        <v>45</v>
      </c>
      <c r="AJ579" s="1">
        <v>1930</v>
      </c>
      <c r="AK579" s="1" t="s">
        <v>73</v>
      </c>
      <c r="AL579" s="1">
        <v>156</v>
      </c>
    </row>
    <row r="580" spans="1:38" x14ac:dyDescent="0.2">
      <c r="A580" s="2" t="str">
        <f>HYPERLINK("https://www.compass.com/listing/100-barclay-street-unit-17n-manhattan-ny-10007/4852287210650603009/","100 Barclay St, Unit 17N")</f>
        <v>100 Barclay St, Unit 17N</v>
      </c>
      <c r="B580" s="2" t="str">
        <f t="shared" si="104"/>
        <v>100 Barclay</v>
      </c>
      <c r="C580" s="1" t="s">
        <v>40</v>
      </c>
      <c r="D580" s="1" t="s">
        <v>41</v>
      </c>
      <c r="E580" s="3">
        <v>3600000</v>
      </c>
      <c r="F580" s="1">
        <v>1814.5161290322501</v>
      </c>
      <c r="G580" s="1">
        <v>5</v>
      </c>
      <c r="H580" s="1">
        <v>3</v>
      </c>
      <c r="I580" s="1">
        <v>3</v>
      </c>
      <c r="J580" s="1">
        <v>3</v>
      </c>
      <c r="K580" s="1">
        <v>3</v>
      </c>
      <c r="M580" s="4">
        <v>1984</v>
      </c>
      <c r="N580" s="1">
        <v>2453</v>
      </c>
      <c r="O580" s="1">
        <v>5111</v>
      </c>
      <c r="P580" s="1">
        <v>2658</v>
      </c>
      <c r="Q580" s="1" t="s">
        <v>42</v>
      </c>
      <c r="S580" s="1" t="s">
        <v>42</v>
      </c>
      <c r="T580" s="1" t="s">
        <v>170</v>
      </c>
      <c r="U580" s="1">
        <v>70</v>
      </c>
      <c r="V580" s="5">
        <v>43623</v>
      </c>
      <c r="W580" s="5">
        <v>42990</v>
      </c>
      <c r="X580" s="1">
        <v>4473000</v>
      </c>
      <c r="Y580" s="1">
        <v>4473000</v>
      </c>
      <c r="Z580" s="5">
        <v>43060</v>
      </c>
      <c r="AA580" s="1">
        <v>3600000</v>
      </c>
      <c r="AB580" s="1" t="s">
        <v>394</v>
      </c>
      <c r="AC580" s="5">
        <v>43067</v>
      </c>
      <c r="AF580" s="1">
        <v>10007</v>
      </c>
      <c r="AI580" s="1" t="s">
        <v>45</v>
      </c>
      <c r="AJ580" s="1">
        <v>1930</v>
      </c>
      <c r="AK580" s="1" t="s">
        <v>73</v>
      </c>
      <c r="AL580" s="1">
        <v>156</v>
      </c>
    </row>
    <row r="581" spans="1:38" x14ac:dyDescent="0.2">
      <c r="A581" s="2" t="str">
        <f>HYPERLINK("https://www.compass.com/listing/30-park-place-unit-48a-manhattan-ny-10007/18882275278181649/","30 Park Pl, Unit 48A")</f>
        <v>30 Park Pl, Unit 48A</v>
      </c>
      <c r="B581" s="2" t="str">
        <f t="shared" ref="B581:B588" si="105">HYPERLINK("https://www.compass.com/building/30-park-pl-manhattan-ny-10007/281896912905317605/","30 Park Pl")</f>
        <v>30 Park Pl</v>
      </c>
      <c r="C581" s="1" t="s">
        <v>40</v>
      </c>
      <c r="D581" s="1" t="s">
        <v>41</v>
      </c>
      <c r="E581" s="3">
        <v>6150000</v>
      </c>
      <c r="F581" s="1">
        <v>2771.51870211807</v>
      </c>
      <c r="G581" s="1">
        <v>5.5</v>
      </c>
      <c r="H581" s="1">
        <v>3</v>
      </c>
      <c r="I581" s="1">
        <v>4</v>
      </c>
      <c r="J581" s="1">
        <v>3.5</v>
      </c>
      <c r="K581" s="1">
        <v>3</v>
      </c>
      <c r="L581" s="1">
        <v>1</v>
      </c>
      <c r="M581" s="4">
        <v>2219</v>
      </c>
      <c r="N581" s="1">
        <v>1904</v>
      </c>
      <c r="O581" s="1">
        <v>6781</v>
      </c>
      <c r="P581" s="1">
        <v>4877</v>
      </c>
      <c r="Q581" s="1" t="s">
        <v>42</v>
      </c>
      <c r="S581" s="1" t="s">
        <v>42</v>
      </c>
      <c r="T581" s="1" t="s">
        <v>170</v>
      </c>
      <c r="U581" s="1">
        <v>237</v>
      </c>
      <c r="V581" s="5">
        <v>43694</v>
      </c>
      <c r="W581" s="5">
        <v>42643</v>
      </c>
      <c r="X581" s="1">
        <v>7250000</v>
      </c>
      <c r="Y581" s="1">
        <v>7250000</v>
      </c>
      <c r="Z581" s="5">
        <v>43617</v>
      </c>
      <c r="AA581" s="1">
        <v>6150000</v>
      </c>
      <c r="AB581" s="1" t="s">
        <v>395</v>
      </c>
      <c r="AC581" s="5">
        <v>43642</v>
      </c>
      <c r="AF581" s="1">
        <v>10007</v>
      </c>
      <c r="AJ581" s="1">
        <v>2016</v>
      </c>
      <c r="AK581" s="1" t="s">
        <v>73</v>
      </c>
      <c r="AL581" s="1">
        <v>157</v>
      </c>
    </row>
    <row r="582" spans="1:38" x14ac:dyDescent="0.2">
      <c r="A582" s="2" t="str">
        <f>HYPERLINK("https://www.compass.com/listing/30-park-place-unit-54a-manhattan-ny-10007/29357572494465393/","30 Park Pl, Unit 54A")</f>
        <v>30 Park Pl, Unit 54A</v>
      </c>
      <c r="B582" s="2" t="str">
        <f t="shared" si="105"/>
        <v>30 Park Pl</v>
      </c>
      <c r="C582" s="1" t="s">
        <v>40</v>
      </c>
      <c r="D582" s="1" t="s">
        <v>41</v>
      </c>
      <c r="E582" s="3">
        <v>8425000</v>
      </c>
      <c r="F582" s="1">
        <v>2997.154037709</v>
      </c>
      <c r="G582" s="1">
        <v>7</v>
      </c>
      <c r="H582" s="1">
        <v>4</v>
      </c>
      <c r="I582" s="1">
        <v>4</v>
      </c>
      <c r="J582" s="1">
        <v>4.5</v>
      </c>
      <c r="K582" s="1">
        <v>4</v>
      </c>
      <c r="L582" s="1">
        <v>1</v>
      </c>
      <c r="M582" s="4">
        <v>2811</v>
      </c>
      <c r="N582" s="1">
        <v>2332</v>
      </c>
      <c r="O582" s="1">
        <v>8275</v>
      </c>
      <c r="P582" s="1">
        <v>5943</v>
      </c>
      <c r="Q582" s="1" t="s">
        <v>42</v>
      </c>
      <c r="S582" s="1" t="s">
        <v>42</v>
      </c>
      <c r="T582" s="1" t="s">
        <v>170</v>
      </c>
      <c r="U582" s="1">
        <v>203</v>
      </c>
      <c r="V582" s="5">
        <v>43662</v>
      </c>
      <c r="W582" s="5">
        <v>42697</v>
      </c>
      <c r="X582" s="1">
        <v>9100000</v>
      </c>
      <c r="Y582" s="1">
        <v>8425000</v>
      </c>
      <c r="Z582" s="5">
        <v>42900</v>
      </c>
      <c r="AA582" s="1">
        <v>8425000</v>
      </c>
      <c r="AB582" s="1" t="s">
        <v>396</v>
      </c>
      <c r="AC582" s="5">
        <v>42930</v>
      </c>
      <c r="AF582" s="1">
        <v>10007</v>
      </c>
      <c r="AJ582" s="1">
        <v>2016</v>
      </c>
      <c r="AK582" s="1" t="s">
        <v>73</v>
      </c>
      <c r="AL582" s="1">
        <v>157</v>
      </c>
    </row>
    <row r="583" spans="1:38" x14ac:dyDescent="0.2">
      <c r="A583" s="2" t="str">
        <f>HYPERLINK("https://www.compass.com/listing/30-park-place-unit-56b-manhattan-ny-10007/29357575858297265/","30 Park Pl, Unit 56B")</f>
        <v>30 Park Pl, Unit 56B</v>
      </c>
      <c r="B583" s="2" t="str">
        <f t="shared" si="105"/>
        <v>30 Park Pl</v>
      </c>
      <c r="C583" s="1" t="s">
        <v>40</v>
      </c>
      <c r="D583" s="1" t="s">
        <v>41</v>
      </c>
      <c r="E583" s="3">
        <v>6100000</v>
      </c>
      <c r="F583" s="1">
        <v>2756.4392227745102</v>
      </c>
      <c r="G583" s="1">
        <v>6</v>
      </c>
      <c r="H583" s="1">
        <v>3</v>
      </c>
      <c r="I583" s="1">
        <v>3</v>
      </c>
      <c r="J583" s="1">
        <v>3.5</v>
      </c>
      <c r="K583" s="1">
        <v>3</v>
      </c>
      <c r="L583" s="1">
        <v>1</v>
      </c>
      <c r="M583" s="4">
        <v>2213</v>
      </c>
      <c r="N583" s="1">
        <v>1803</v>
      </c>
      <c r="O583" s="1">
        <v>6399</v>
      </c>
      <c r="P583" s="1">
        <v>4596</v>
      </c>
      <c r="Q583" s="1" t="s">
        <v>42</v>
      </c>
      <c r="S583" s="1" t="s">
        <v>42</v>
      </c>
      <c r="T583" s="1" t="s">
        <v>170</v>
      </c>
      <c r="U583" s="1">
        <v>10</v>
      </c>
      <c r="V583" s="5">
        <v>43649</v>
      </c>
      <c r="W583" s="5">
        <v>43110</v>
      </c>
      <c r="X583" s="1">
        <v>6850000</v>
      </c>
      <c r="Y583" s="1">
        <v>6100000</v>
      </c>
      <c r="Z583" s="5">
        <v>43120</v>
      </c>
      <c r="AA583" s="1">
        <v>6100000</v>
      </c>
      <c r="AB583" s="1" t="s">
        <v>397</v>
      </c>
      <c r="AC583" s="5">
        <v>43140</v>
      </c>
      <c r="AF583" s="1">
        <v>10007</v>
      </c>
      <c r="AJ583" s="1">
        <v>2016</v>
      </c>
      <c r="AK583" s="1" t="s">
        <v>73</v>
      </c>
      <c r="AL583" s="1">
        <v>157</v>
      </c>
    </row>
    <row r="584" spans="1:38" x14ac:dyDescent="0.2">
      <c r="A584" s="2" t="str">
        <f>HYPERLINK("https://www.compass.com/listing/30-park-place-unit-67a-manhattan-ny-10007/29357588776753825/","30 Park Pl, Unit 67A")</f>
        <v>30 Park Pl, Unit 67A</v>
      </c>
      <c r="B584" s="2" t="str">
        <f t="shared" si="105"/>
        <v>30 Park Pl</v>
      </c>
      <c r="C584" s="1" t="s">
        <v>40</v>
      </c>
      <c r="D584" s="1" t="s">
        <v>41</v>
      </c>
      <c r="E584" s="3">
        <v>11750000</v>
      </c>
      <c r="F584" s="1">
        <v>3176.5341984319998</v>
      </c>
      <c r="G584" s="1">
        <v>7</v>
      </c>
      <c r="H584" s="1">
        <v>4</v>
      </c>
      <c r="I584" s="1">
        <v>5</v>
      </c>
      <c r="J584" s="1">
        <v>5.5</v>
      </c>
      <c r="K584" s="1">
        <v>5</v>
      </c>
      <c r="L584" s="1">
        <v>1</v>
      </c>
      <c r="M584" s="4">
        <v>3699</v>
      </c>
      <c r="N584" s="1">
        <v>3159</v>
      </c>
      <c r="O584" s="1">
        <v>11213</v>
      </c>
      <c r="P584" s="1">
        <v>8054</v>
      </c>
      <c r="Q584" s="1" t="s">
        <v>42</v>
      </c>
      <c r="S584" s="1" t="s">
        <v>42</v>
      </c>
      <c r="T584" s="1" t="s">
        <v>170</v>
      </c>
      <c r="U584" s="1">
        <v>292</v>
      </c>
      <c r="V584" s="5">
        <v>43650</v>
      </c>
      <c r="W584" s="5">
        <v>42643</v>
      </c>
      <c r="X584" s="1">
        <v>13350000</v>
      </c>
      <c r="Y584" s="1">
        <v>11750000</v>
      </c>
      <c r="Z584" s="5">
        <v>42935</v>
      </c>
      <c r="AA584" s="1">
        <v>11750000</v>
      </c>
      <c r="AB584" s="1" t="s">
        <v>398</v>
      </c>
      <c r="AC584" s="5">
        <v>42977</v>
      </c>
      <c r="AF584" s="1">
        <v>10007</v>
      </c>
      <c r="AJ584" s="1">
        <v>2016</v>
      </c>
      <c r="AK584" s="1" t="s">
        <v>73</v>
      </c>
      <c r="AL584" s="1">
        <v>157</v>
      </c>
    </row>
    <row r="585" spans="1:38" x14ac:dyDescent="0.2">
      <c r="A585" s="2" t="str">
        <f>HYPERLINK("https://www.compass.com/listing/30-park-place-unit-72a-manhattan-ny-10007/29357592190914129/","30 Park Pl, Unit 72A")</f>
        <v>30 Park Pl, Unit 72A</v>
      </c>
      <c r="B585" s="2" t="str">
        <f t="shared" si="105"/>
        <v>30 Park Pl</v>
      </c>
      <c r="C585" s="1" t="s">
        <v>40</v>
      </c>
      <c r="D585" s="1" t="s">
        <v>41</v>
      </c>
      <c r="E585" s="3">
        <v>13500000</v>
      </c>
      <c r="F585" s="1">
        <v>3649.63503649635</v>
      </c>
      <c r="G585" s="1">
        <v>8</v>
      </c>
      <c r="H585" s="1">
        <v>4</v>
      </c>
      <c r="I585" s="1">
        <v>5</v>
      </c>
      <c r="J585" s="1">
        <v>5.5</v>
      </c>
      <c r="K585" s="1">
        <v>5</v>
      </c>
      <c r="L585" s="1">
        <v>1</v>
      </c>
      <c r="M585" s="4">
        <v>3699</v>
      </c>
      <c r="N585" s="1">
        <v>3186</v>
      </c>
      <c r="O585" s="1">
        <v>11307</v>
      </c>
      <c r="P585" s="1">
        <v>8121</v>
      </c>
      <c r="Q585" s="1" t="s">
        <v>42</v>
      </c>
      <c r="S585" s="1" t="s">
        <v>42</v>
      </c>
      <c r="T585" s="1" t="s">
        <v>170</v>
      </c>
      <c r="V585" s="5">
        <v>43662</v>
      </c>
      <c r="W585" s="5">
        <v>42704</v>
      </c>
      <c r="X585" s="1">
        <v>13500000</v>
      </c>
      <c r="Y585" s="1">
        <v>13500000</v>
      </c>
      <c r="Z585" s="5">
        <v>42859</v>
      </c>
      <c r="AA585" s="1">
        <v>13500000</v>
      </c>
      <c r="AB585" s="1" t="s">
        <v>399</v>
      </c>
      <c r="AC585" s="5">
        <v>42878</v>
      </c>
      <c r="AF585" s="1">
        <v>10007</v>
      </c>
      <c r="AI585" s="1" t="s">
        <v>84</v>
      </c>
      <c r="AJ585" s="1">
        <v>2016</v>
      </c>
      <c r="AK585" s="1" t="s">
        <v>73</v>
      </c>
      <c r="AL585" s="1">
        <v>157</v>
      </c>
    </row>
    <row r="586" spans="1:38" x14ac:dyDescent="0.2">
      <c r="A586" s="2" t="str">
        <f>HYPERLINK("https://www.compass.com/listing/30-park-place-unit-65a-manhattan-ny-10007/29512132487875697/","30 Park Pl, Unit 65A")</f>
        <v>30 Park Pl, Unit 65A</v>
      </c>
      <c r="B586" s="2" t="str">
        <f t="shared" si="105"/>
        <v>30 Park Pl</v>
      </c>
      <c r="C586" s="1" t="s">
        <v>40</v>
      </c>
      <c r="D586" s="1" t="s">
        <v>41</v>
      </c>
      <c r="E586" s="3">
        <v>13084513</v>
      </c>
      <c r="F586" s="1">
        <v>3537.3108948364402</v>
      </c>
      <c r="G586" s="1">
        <v>7.5</v>
      </c>
      <c r="H586" s="1">
        <v>4</v>
      </c>
      <c r="I586" s="1">
        <v>5</v>
      </c>
      <c r="J586" s="1">
        <v>5</v>
      </c>
      <c r="K586" s="1">
        <v>5</v>
      </c>
      <c r="M586" s="4">
        <v>3699</v>
      </c>
      <c r="N586" s="1">
        <v>3149</v>
      </c>
      <c r="O586" s="1">
        <v>11176</v>
      </c>
      <c r="P586" s="1">
        <v>8027</v>
      </c>
      <c r="Q586" s="1" t="s">
        <v>42</v>
      </c>
      <c r="S586" s="1" t="s">
        <v>42</v>
      </c>
      <c r="T586" s="1" t="s">
        <v>170</v>
      </c>
      <c r="U586" s="1">
        <v>47</v>
      </c>
      <c r="V586" s="5">
        <v>43664</v>
      </c>
      <c r="W586" s="5">
        <v>41802</v>
      </c>
      <c r="X586" s="1">
        <v>12850000</v>
      </c>
      <c r="Y586" s="1">
        <v>12850000</v>
      </c>
      <c r="Z586" s="5">
        <v>41849</v>
      </c>
      <c r="AA586" s="1">
        <v>13084513</v>
      </c>
      <c r="AB586" s="1" t="s">
        <v>400</v>
      </c>
      <c r="AC586" s="5">
        <v>42795</v>
      </c>
      <c r="AF586" s="1">
        <v>10007</v>
      </c>
      <c r="AJ586" s="1">
        <v>2016</v>
      </c>
      <c r="AK586" s="1" t="s">
        <v>73</v>
      </c>
      <c r="AL586" s="1">
        <v>157</v>
      </c>
    </row>
    <row r="587" spans="1:38" x14ac:dyDescent="0.2">
      <c r="A587" s="2" t="str">
        <f>HYPERLINK("https://www.compass.com/listing/30-park-place-unit-69a-manhattan-ny-10007/29512135566495009/","30 Park Pl, Unit 69A")</f>
        <v>30 Park Pl, Unit 69A</v>
      </c>
      <c r="B587" s="2" t="str">
        <f t="shared" si="105"/>
        <v>30 Park Pl</v>
      </c>
      <c r="C587" s="1" t="s">
        <v>40</v>
      </c>
      <c r="D587" s="1" t="s">
        <v>41</v>
      </c>
      <c r="E587" s="3">
        <v>11100000</v>
      </c>
      <c r="F587" s="1">
        <v>3000.8110300081098</v>
      </c>
      <c r="G587" s="1">
        <v>8</v>
      </c>
      <c r="H587" s="1">
        <v>4</v>
      </c>
      <c r="I587" s="1">
        <v>6</v>
      </c>
      <c r="J587" s="1">
        <v>5.5</v>
      </c>
      <c r="K587" s="1">
        <v>5</v>
      </c>
      <c r="L587" s="1">
        <v>1</v>
      </c>
      <c r="M587" s="4">
        <v>3699</v>
      </c>
      <c r="N587" s="1">
        <v>3170</v>
      </c>
      <c r="O587" s="1">
        <v>11250</v>
      </c>
      <c r="P587" s="1">
        <v>8080</v>
      </c>
      <c r="Q587" s="1" t="s">
        <v>42</v>
      </c>
      <c r="S587" s="1" t="s">
        <v>42</v>
      </c>
      <c r="T587" s="1" t="s">
        <v>170</v>
      </c>
      <c r="U587" s="1">
        <v>28</v>
      </c>
      <c r="V587" s="5">
        <v>43817</v>
      </c>
      <c r="W587" s="5">
        <v>43468</v>
      </c>
      <c r="X587" s="1">
        <v>12870000</v>
      </c>
      <c r="Y587" s="1">
        <v>11100000</v>
      </c>
      <c r="Z587" s="5">
        <v>43496</v>
      </c>
      <c r="AA587" s="1">
        <v>11100000</v>
      </c>
      <c r="AB587" s="1" t="s">
        <v>401</v>
      </c>
      <c r="AC587" s="5">
        <v>43501</v>
      </c>
      <c r="AF587" s="1">
        <v>10007</v>
      </c>
      <c r="AJ587" s="1">
        <v>2016</v>
      </c>
      <c r="AK587" s="1" t="s">
        <v>73</v>
      </c>
      <c r="AL587" s="1">
        <v>157</v>
      </c>
    </row>
    <row r="588" spans="1:38" x14ac:dyDescent="0.2">
      <c r="A588" s="2" t="str">
        <f>HYPERLINK("https://www.compass.com/listing/30-park-place-unit-68a-manhattan-ny-10007/29512135851748209/","30 Park Pl, Unit 68A")</f>
        <v>30 Park Pl, Unit 68A</v>
      </c>
      <c r="B588" s="2" t="str">
        <f t="shared" si="105"/>
        <v>30 Park Pl</v>
      </c>
      <c r="C588" s="1" t="s">
        <v>40</v>
      </c>
      <c r="D588" s="1" t="s">
        <v>41</v>
      </c>
      <c r="E588" s="3">
        <v>11000000</v>
      </c>
      <c r="F588" s="1">
        <v>2973.7766964044299</v>
      </c>
      <c r="G588" s="1">
        <v>8</v>
      </c>
      <c r="H588" s="1">
        <v>4</v>
      </c>
      <c r="I588" s="1">
        <v>6</v>
      </c>
      <c r="J588" s="1">
        <v>5.5</v>
      </c>
      <c r="K588" s="1">
        <v>5</v>
      </c>
      <c r="L588" s="1">
        <v>1</v>
      </c>
      <c r="M588" s="4">
        <v>3699</v>
      </c>
      <c r="N588" s="1">
        <v>3165</v>
      </c>
      <c r="O588" s="1">
        <v>11303</v>
      </c>
      <c r="P588" s="1">
        <v>8138</v>
      </c>
      <c r="Q588" s="1" t="s">
        <v>42</v>
      </c>
      <c r="S588" s="1" t="s">
        <v>42</v>
      </c>
      <c r="T588" s="1" t="s">
        <v>170</v>
      </c>
      <c r="U588" s="1">
        <v>517</v>
      </c>
      <c r="V588" s="5">
        <v>43648</v>
      </c>
      <c r="W588" s="5">
        <v>42938</v>
      </c>
      <c r="X588" s="1">
        <v>12780000</v>
      </c>
      <c r="Y588" s="1">
        <v>12780000</v>
      </c>
      <c r="Z588" s="5">
        <v>43455</v>
      </c>
      <c r="AA588" s="1">
        <v>11000000</v>
      </c>
      <c r="AB588" s="1" t="s">
        <v>402</v>
      </c>
      <c r="AC588" s="5">
        <v>43462</v>
      </c>
      <c r="AF588" s="1">
        <v>10007</v>
      </c>
      <c r="AJ588" s="1">
        <v>2016</v>
      </c>
      <c r="AK588" s="1" t="s">
        <v>73</v>
      </c>
      <c r="AL588" s="1">
        <v>157</v>
      </c>
    </row>
    <row r="589" spans="1:38" x14ac:dyDescent="0.2">
      <c r="A589" s="2" t="str">
        <f>HYPERLINK("https://www.compass.com/listing/100-barclay-street-unit-11s-manhattan-ny-10007/4852308825585235633/","100 Barclay St, Unit 11S")</f>
        <v>100 Barclay St, Unit 11S</v>
      </c>
      <c r="B589" s="2" t="str">
        <f>HYPERLINK("https://www.compass.com/building/100-barclay-manhattan-ny/281896670466155525/","100 Barclay")</f>
        <v>100 Barclay</v>
      </c>
      <c r="C589" s="1" t="s">
        <v>40</v>
      </c>
      <c r="D589" s="1" t="s">
        <v>41</v>
      </c>
      <c r="E589" s="3">
        <v>2443800</v>
      </c>
      <c r="F589" s="1">
        <v>2041.60401002506</v>
      </c>
      <c r="G589" s="1">
        <v>4</v>
      </c>
      <c r="H589" s="1">
        <v>1</v>
      </c>
      <c r="I589" s="1">
        <v>2</v>
      </c>
      <c r="J589" s="1">
        <v>1.5</v>
      </c>
      <c r="M589" s="4">
        <v>1197</v>
      </c>
      <c r="N589" s="1">
        <v>1676</v>
      </c>
      <c r="O589" s="1">
        <v>3320</v>
      </c>
      <c r="P589" s="1">
        <v>1644</v>
      </c>
      <c r="Q589" s="1" t="s">
        <v>42</v>
      </c>
      <c r="S589" s="1" t="s">
        <v>42</v>
      </c>
      <c r="T589" s="1" t="s">
        <v>170</v>
      </c>
      <c r="U589" s="1">
        <v>1</v>
      </c>
      <c r="V589" s="5">
        <v>43635</v>
      </c>
      <c r="W589" s="5">
        <v>42188</v>
      </c>
      <c r="X589" s="1">
        <v>2500000</v>
      </c>
      <c r="Y589" s="1">
        <v>2500000</v>
      </c>
      <c r="Z589" s="5">
        <v>42189</v>
      </c>
      <c r="AA589" s="1">
        <v>2443800</v>
      </c>
      <c r="AB589" s="1" t="s">
        <v>403</v>
      </c>
      <c r="AC589" s="5">
        <v>42816</v>
      </c>
      <c r="AF589" s="1">
        <v>10007</v>
      </c>
      <c r="AI589" s="1" t="s">
        <v>88</v>
      </c>
      <c r="AJ589" s="1">
        <v>1930</v>
      </c>
      <c r="AK589" s="1" t="s">
        <v>73</v>
      </c>
      <c r="AL589" s="1">
        <v>156</v>
      </c>
    </row>
    <row r="590" spans="1:38" x14ac:dyDescent="0.2">
      <c r="A590" s="2" t="str">
        <f>HYPERLINK("https://www.compass.com/listing/30-park-place-unit-40c-manhattan-ny-10007/29357554534550353/","30 Park Pl, Unit 40C")</f>
        <v>30 Park Pl, Unit 40C</v>
      </c>
      <c r="B590" s="2" t="str">
        <f t="shared" ref="B590:B592" si="106">HYPERLINK("https://www.compass.com/building/30-park-pl-manhattan-ny-10007/281896912905317605/","30 Park Pl")</f>
        <v>30 Park Pl</v>
      </c>
      <c r="C590" s="1" t="s">
        <v>40</v>
      </c>
      <c r="D590" s="1" t="s">
        <v>41</v>
      </c>
      <c r="E590" s="3">
        <v>2978381</v>
      </c>
      <c r="F590" s="1">
        <v>2688.06949458483</v>
      </c>
      <c r="G590" s="1">
        <v>3</v>
      </c>
      <c r="H590" s="1">
        <v>1</v>
      </c>
      <c r="I590" s="1">
        <v>1</v>
      </c>
      <c r="J590" s="1">
        <v>1</v>
      </c>
      <c r="K590" s="1">
        <v>1</v>
      </c>
      <c r="M590" s="4">
        <v>1108</v>
      </c>
      <c r="N590" s="1">
        <v>877</v>
      </c>
      <c r="O590" s="1">
        <v>3114</v>
      </c>
      <c r="P590" s="1">
        <v>2237</v>
      </c>
      <c r="Q590" s="1" t="s">
        <v>42</v>
      </c>
      <c r="S590" s="1" t="s">
        <v>42</v>
      </c>
      <c r="T590" s="1" t="s">
        <v>170</v>
      </c>
      <c r="U590" s="1">
        <v>15</v>
      </c>
      <c r="V590" s="5">
        <v>43673</v>
      </c>
      <c r="W590" s="5">
        <v>41845</v>
      </c>
      <c r="X590" s="1">
        <v>2925000</v>
      </c>
      <c r="Y590" s="1">
        <v>2925000</v>
      </c>
      <c r="Z590" s="5">
        <v>41860</v>
      </c>
      <c r="AA590" s="1">
        <v>2978381</v>
      </c>
      <c r="AB590" s="1" t="s">
        <v>404</v>
      </c>
      <c r="AC590" s="5">
        <v>42642</v>
      </c>
      <c r="AF590" s="1">
        <v>10007</v>
      </c>
      <c r="AJ590" s="1">
        <v>2016</v>
      </c>
      <c r="AK590" s="1" t="s">
        <v>73</v>
      </c>
      <c r="AL590" s="1">
        <v>157</v>
      </c>
    </row>
    <row r="591" spans="1:38" x14ac:dyDescent="0.2">
      <c r="A591" s="2" t="str">
        <f>HYPERLINK("https://www.compass.com/listing/30-park-place-unit-41c-manhattan-ny-10007/29357556103121905/","30 Park Pl, Unit 41C")</f>
        <v>30 Park Pl, Unit 41C</v>
      </c>
      <c r="B591" s="2" t="str">
        <f t="shared" si="106"/>
        <v>30 Park Pl</v>
      </c>
      <c r="C591" s="1" t="s">
        <v>40</v>
      </c>
      <c r="D591" s="1" t="s">
        <v>41</v>
      </c>
      <c r="E591" s="3">
        <v>2871465</v>
      </c>
      <c r="F591" s="1">
        <v>2591.5749097472899</v>
      </c>
      <c r="G591" s="1">
        <v>3</v>
      </c>
      <c r="H591" s="1">
        <v>1</v>
      </c>
      <c r="I591" s="1">
        <v>1</v>
      </c>
      <c r="J591" s="1">
        <v>1</v>
      </c>
      <c r="K591" s="1">
        <v>1</v>
      </c>
      <c r="M591" s="4">
        <v>1108</v>
      </c>
      <c r="N591" s="1">
        <v>879</v>
      </c>
      <c r="O591" s="1">
        <v>3119</v>
      </c>
      <c r="P591" s="1">
        <v>2240</v>
      </c>
      <c r="Q591" s="1" t="s">
        <v>42</v>
      </c>
      <c r="S591" s="1" t="s">
        <v>42</v>
      </c>
      <c r="T591" s="1" t="s">
        <v>170</v>
      </c>
      <c r="U591" s="1">
        <v>1</v>
      </c>
      <c r="V591" s="5">
        <v>43665</v>
      </c>
      <c r="W591" s="5">
        <v>41885</v>
      </c>
      <c r="X591" s="1">
        <v>3045000</v>
      </c>
      <c r="Y591" s="1">
        <v>2820000</v>
      </c>
      <c r="Z591" s="5">
        <v>42066</v>
      </c>
      <c r="AA591" s="1">
        <v>2871465</v>
      </c>
      <c r="AB591" s="1" t="s">
        <v>405</v>
      </c>
      <c r="AC591" s="5">
        <v>42633</v>
      </c>
      <c r="AF591" s="1">
        <v>10007</v>
      </c>
      <c r="AI591" s="1" t="s">
        <v>84</v>
      </c>
      <c r="AJ591" s="1">
        <v>2016</v>
      </c>
      <c r="AK591" s="1" t="s">
        <v>73</v>
      </c>
      <c r="AL591" s="1">
        <v>157</v>
      </c>
    </row>
    <row r="592" spans="1:38" x14ac:dyDescent="0.2">
      <c r="A592" s="2" t="str">
        <f>HYPERLINK("https://www.compass.com/listing/30-park-place-unit-ph81-manhattan-ny-10007/29357597484125873/","30 Park Pl, Unit PH81")</f>
        <v>30 Park Pl, Unit PH81</v>
      </c>
      <c r="B592" s="2" t="str">
        <f t="shared" si="106"/>
        <v>30 Park Pl</v>
      </c>
      <c r="C592" s="1" t="s">
        <v>40</v>
      </c>
      <c r="D592" s="1" t="s">
        <v>41</v>
      </c>
      <c r="E592" s="3">
        <v>26626268</v>
      </c>
      <c r="F592" s="1">
        <v>4891.8368546757301</v>
      </c>
      <c r="G592" s="1">
        <v>10</v>
      </c>
      <c r="H592" s="1">
        <v>4</v>
      </c>
      <c r="I592" s="1">
        <v>4</v>
      </c>
      <c r="J592" s="1">
        <v>4</v>
      </c>
      <c r="K592" s="1">
        <v>4</v>
      </c>
      <c r="M592" s="4">
        <v>5443</v>
      </c>
      <c r="N592" s="1">
        <v>5330</v>
      </c>
      <c r="O592" s="1">
        <v>18917</v>
      </c>
      <c r="P592" s="1">
        <v>13587</v>
      </c>
      <c r="Q592" s="1" t="s">
        <v>42</v>
      </c>
      <c r="S592" s="1" t="s">
        <v>42</v>
      </c>
      <c r="T592" s="1" t="s">
        <v>170</v>
      </c>
      <c r="V592" s="5">
        <v>43665</v>
      </c>
      <c r="W592" s="5">
        <v>42704</v>
      </c>
      <c r="X592" s="1">
        <v>26190000</v>
      </c>
      <c r="Y592" s="1">
        <v>26190000</v>
      </c>
      <c r="Z592" s="5">
        <v>42704</v>
      </c>
      <c r="AA592" s="1">
        <v>26626268</v>
      </c>
      <c r="AB592" s="1" t="s">
        <v>406</v>
      </c>
      <c r="AC592" s="5">
        <v>42753</v>
      </c>
      <c r="AF592" s="1">
        <v>10007</v>
      </c>
      <c r="AI592" s="1" t="s">
        <v>57</v>
      </c>
      <c r="AJ592" s="1">
        <v>2016</v>
      </c>
      <c r="AK592" s="1" t="s">
        <v>73</v>
      </c>
      <c r="AL592" s="1">
        <v>157</v>
      </c>
    </row>
    <row r="593" spans="1:38" x14ac:dyDescent="0.2">
      <c r="A593" s="2" t="str">
        <f>HYPERLINK("https://www.compass.com/listing/150-west-12th-street-unit-12-west-manhattan-ny-10011/4852273922692876673/","150 W 12th St, Unit 12 WEST")</f>
        <v>150 W 12th St, Unit 12 WEST</v>
      </c>
      <c r="B593" s="2" t="str">
        <f>HYPERLINK("https://www.compass.com/building/the-greenwich-lane-manhattan-ny/567553885067785157/","The Greenwich Lane")</f>
        <v>The Greenwich Lane</v>
      </c>
      <c r="C593" s="1" t="s">
        <v>71</v>
      </c>
      <c r="D593" s="1" t="s">
        <v>41</v>
      </c>
      <c r="E593" s="3">
        <v>7115825</v>
      </c>
      <c r="F593" s="1">
        <v>3422.7152477152399</v>
      </c>
      <c r="G593" s="1">
        <v>5</v>
      </c>
      <c r="H593" s="1">
        <v>2</v>
      </c>
      <c r="I593" s="1">
        <v>2</v>
      </c>
      <c r="J593" s="1">
        <v>2</v>
      </c>
      <c r="K593" s="1">
        <v>2</v>
      </c>
      <c r="M593" s="4">
        <v>2079</v>
      </c>
      <c r="N593" s="1">
        <v>3694</v>
      </c>
      <c r="O593" s="1">
        <v>7314</v>
      </c>
      <c r="P593" s="1">
        <v>3620</v>
      </c>
      <c r="Q593" s="1" t="s">
        <v>42</v>
      </c>
      <c r="S593" s="1" t="s">
        <v>42</v>
      </c>
      <c r="T593" s="1" t="s">
        <v>170</v>
      </c>
      <c r="V593" s="5">
        <v>43605</v>
      </c>
      <c r="W593" s="5">
        <v>41622</v>
      </c>
      <c r="X593" s="1">
        <v>7100000</v>
      </c>
      <c r="Y593" s="1">
        <v>7100000</v>
      </c>
      <c r="Z593" s="5">
        <v>41623</v>
      </c>
      <c r="AA593" s="1">
        <v>7115825</v>
      </c>
      <c r="AB593" s="1" t="s">
        <v>181</v>
      </c>
      <c r="AC593" s="5">
        <v>42488</v>
      </c>
      <c r="AF593" s="1">
        <v>10011</v>
      </c>
      <c r="AI593" s="1" t="s">
        <v>59</v>
      </c>
      <c r="AK593" s="1" t="s">
        <v>49</v>
      </c>
      <c r="AL593" s="1">
        <v>24</v>
      </c>
    </row>
    <row r="594" spans="1:38" x14ac:dyDescent="0.2">
      <c r="A594" s="2" t="str">
        <f>HYPERLINK("https://www.compass.com/listing/100-barclay-street-unit-17r-manhattan-ny-10007/461502434219615313/","100 Barclay St, Unit 17R")</f>
        <v>100 Barclay St, Unit 17R</v>
      </c>
      <c r="B594" s="2" t="str">
        <f>HYPERLINK("https://www.compass.com/building/100-barclay-manhattan-ny/281896670466155525/","100 Barclay")</f>
        <v>100 Barclay</v>
      </c>
      <c r="C594" s="1" t="s">
        <v>40</v>
      </c>
      <c r="D594" s="1" t="s">
        <v>41</v>
      </c>
      <c r="E594" s="3">
        <v>3900000</v>
      </c>
      <c r="F594" s="1">
        <v>1846.5909090908999</v>
      </c>
      <c r="G594" s="1">
        <v>5</v>
      </c>
      <c r="H594" s="1">
        <v>3</v>
      </c>
      <c r="I594" s="1">
        <v>3</v>
      </c>
      <c r="J594" s="1">
        <v>3</v>
      </c>
      <c r="K594" s="1">
        <v>3</v>
      </c>
      <c r="M594" s="4">
        <v>2112</v>
      </c>
      <c r="N594" s="1">
        <v>3045</v>
      </c>
      <c r="O594" s="1">
        <v>6166</v>
      </c>
      <c r="P594" s="1">
        <v>3121</v>
      </c>
      <c r="Q594" s="1" t="s">
        <v>42</v>
      </c>
      <c r="S594" s="1" t="s">
        <v>42</v>
      </c>
      <c r="T594" s="1" t="s">
        <v>170</v>
      </c>
      <c r="V594" s="5">
        <v>44288</v>
      </c>
      <c r="W594" s="5">
        <v>43887</v>
      </c>
      <c r="X594" s="1">
        <v>4495000</v>
      </c>
      <c r="Y594" s="1">
        <v>4495000</v>
      </c>
      <c r="AA594" s="1">
        <v>3900000</v>
      </c>
      <c r="AB594" s="1" t="s">
        <v>180</v>
      </c>
      <c r="AC594" s="5">
        <v>44349</v>
      </c>
      <c r="AF594" s="1">
        <v>10007</v>
      </c>
      <c r="AI594" s="1" t="s">
        <v>45</v>
      </c>
      <c r="AJ594" s="1">
        <v>1930</v>
      </c>
      <c r="AK594" s="1" t="s">
        <v>73</v>
      </c>
      <c r="AL594" s="1">
        <v>156</v>
      </c>
    </row>
    <row r="595" spans="1:38" x14ac:dyDescent="0.2">
      <c r="A595" s="2" t="str">
        <f>HYPERLINK("https://www.compass.com/listing/30-park-place-unit-40a-manhattan-ny-10007/29357553754314817/","30 Park Pl, Unit 40A")</f>
        <v>30 Park Pl, Unit 40A</v>
      </c>
      <c r="B595" s="2" t="str">
        <f t="shared" ref="B595:B600" si="107">HYPERLINK("https://www.compass.com/building/30-park-pl-manhattan-ny-10007/281896912905317605/","30 Park Pl")</f>
        <v>30 Park Pl</v>
      </c>
      <c r="C595" s="1" t="s">
        <v>40</v>
      </c>
      <c r="D595" s="1" t="s">
        <v>41</v>
      </c>
      <c r="E595" s="3">
        <v>6211325</v>
      </c>
      <c r="F595" s="1">
        <v>2799.15502478593</v>
      </c>
      <c r="G595" s="1">
        <v>5.5</v>
      </c>
      <c r="H595" s="1">
        <v>3</v>
      </c>
      <c r="I595" s="1">
        <v>3</v>
      </c>
      <c r="J595" s="1">
        <v>3</v>
      </c>
      <c r="K595" s="1">
        <v>3</v>
      </c>
      <c r="M595" s="4">
        <v>2219</v>
      </c>
      <c r="N595" s="1">
        <v>1796</v>
      </c>
      <c r="O595" s="1">
        <v>6375</v>
      </c>
      <c r="P595" s="1">
        <v>4579</v>
      </c>
      <c r="Q595" s="1" t="s">
        <v>42</v>
      </c>
      <c r="S595" s="1" t="s">
        <v>42</v>
      </c>
      <c r="T595" s="1" t="s">
        <v>170</v>
      </c>
      <c r="U595" s="1">
        <v>14</v>
      </c>
      <c r="V595" s="5">
        <v>43665</v>
      </c>
      <c r="W595" s="5">
        <v>41843</v>
      </c>
      <c r="X595" s="1">
        <v>6850000</v>
      </c>
      <c r="Y595" s="1">
        <v>6100000</v>
      </c>
      <c r="Z595" s="5">
        <v>41857</v>
      </c>
      <c r="AA595" s="1">
        <v>6211325</v>
      </c>
      <c r="AB595" s="1" t="s">
        <v>407</v>
      </c>
      <c r="AC595" s="5">
        <v>42607</v>
      </c>
      <c r="AF595" s="1">
        <v>10007</v>
      </c>
      <c r="AJ595" s="1">
        <v>2016</v>
      </c>
      <c r="AK595" s="1" t="s">
        <v>73</v>
      </c>
      <c r="AL595" s="1">
        <v>157</v>
      </c>
    </row>
    <row r="596" spans="1:38" x14ac:dyDescent="0.2">
      <c r="A596" s="2" t="str">
        <f>HYPERLINK("https://www.compass.com/listing/30-park-place-unit-43a-manhattan-ny-10007/29357558577859489/","30 Park Pl, Unit 43A")</f>
        <v>30 Park Pl, Unit 43A</v>
      </c>
      <c r="B596" s="2" t="str">
        <f t="shared" si="107"/>
        <v>30 Park Pl</v>
      </c>
      <c r="C596" s="1" t="s">
        <v>40</v>
      </c>
      <c r="D596" s="1" t="s">
        <v>41</v>
      </c>
      <c r="E596" s="3">
        <v>6364063</v>
      </c>
      <c r="F596" s="1">
        <v>2867.9869310500198</v>
      </c>
      <c r="G596" s="1">
        <v>5.5</v>
      </c>
      <c r="H596" s="1">
        <v>3</v>
      </c>
      <c r="I596" s="1">
        <v>3</v>
      </c>
      <c r="J596" s="1">
        <v>3</v>
      </c>
      <c r="K596" s="1">
        <v>3</v>
      </c>
      <c r="M596" s="4">
        <v>2219</v>
      </c>
      <c r="N596" s="1">
        <v>1804</v>
      </c>
      <c r="O596" s="1">
        <v>6404</v>
      </c>
      <c r="P596" s="1">
        <v>4600</v>
      </c>
      <c r="Q596" s="1" t="s">
        <v>42</v>
      </c>
      <c r="S596" s="1" t="s">
        <v>42</v>
      </c>
      <c r="T596" s="1" t="s">
        <v>170</v>
      </c>
      <c r="U596" s="1">
        <v>24</v>
      </c>
      <c r="V596" s="5">
        <v>43673</v>
      </c>
      <c r="W596" s="5">
        <v>41853</v>
      </c>
      <c r="X596" s="1">
        <v>7000000</v>
      </c>
      <c r="Y596" s="1">
        <v>7000000</v>
      </c>
      <c r="Z596" s="5">
        <v>41877</v>
      </c>
      <c r="AA596" s="1">
        <v>6364063</v>
      </c>
      <c r="AB596" s="1" t="s">
        <v>408</v>
      </c>
      <c r="AC596" s="5">
        <v>42572</v>
      </c>
      <c r="AF596" s="1">
        <v>10007</v>
      </c>
      <c r="AJ596" s="1">
        <v>2016</v>
      </c>
      <c r="AK596" s="1" t="s">
        <v>73</v>
      </c>
      <c r="AL596" s="1">
        <v>157</v>
      </c>
    </row>
    <row r="597" spans="1:38" x14ac:dyDescent="0.2">
      <c r="A597" s="2" t="str">
        <f>HYPERLINK("https://www.compass.com/listing/30-park-place-unit-44a-manhattan-ny-10007/29357559844444321/","30 Park Pl, Unit 44A")</f>
        <v>30 Park Pl, Unit 44A</v>
      </c>
      <c r="B597" s="2" t="str">
        <f t="shared" si="107"/>
        <v>30 Park Pl</v>
      </c>
      <c r="C597" s="1" t="s">
        <v>40</v>
      </c>
      <c r="D597" s="1" t="s">
        <v>41</v>
      </c>
      <c r="E597" s="3">
        <v>6618625</v>
      </c>
      <c r="F597" s="1">
        <v>2982.7061739522301</v>
      </c>
      <c r="G597" s="1">
        <v>5.5</v>
      </c>
      <c r="H597" s="1">
        <v>3</v>
      </c>
      <c r="I597" s="1">
        <v>3</v>
      </c>
      <c r="J597" s="1">
        <v>3</v>
      </c>
      <c r="K597" s="1">
        <v>3</v>
      </c>
      <c r="M597" s="4">
        <v>2219</v>
      </c>
      <c r="N597" s="1">
        <v>1807</v>
      </c>
      <c r="O597" s="1">
        <v>6413</v>
      </c>
      <c r="P597" s="1">
        <v>4606</v>
      </c>
      <c r="Q597" s="1" t="s">
        <v>42</v>
      </c>
      <c r="S597" s="1" t="s">
        <v>42</v>
      </c>
      <c r="T597" s="1" t="s">
        <v>170</v>
      </c>
      <c r="V597" s="5">
        <v>43673</v>
      </c>
      <c r="W597" s="5">
        <v>41808</v>
      </c>
      <c r="X597" s="1">
        <v>7050000</v>
      </c>
      <c r="Y597" s="1">
        <v>7050000</v>
      </c>
      <c r="Z597" s="5">
        <v>41808</v>
      </c>
      <c r="AA597" s="1">
        <v>6618625</v>
      </c>
      <c r="AB597" s="1" t="s">
        <v>409</v>
      </c>
      <c r="AC597" s="5">
        <v>42584</v>
      </c>
      <c r="AF597" s="1">
        <v>10007</v>
      </c>
      <c r="AJ597" s="1">
        <v>2016</v>
      </c>
      <c r="AK597" s="1" t="s">
        <v>73</v>
      </c>
      <c r="AL597" s="1">
        <v>157</v>
      </c>
    </row>
    <row r="598" spans="1:38" x14ac:dyDescent="0.2">
      <c r="A598" s="2" t="str">
        <f>HYPERLINK("https://www.compass.com/listing/30-park-place-unit-44d-manhattan-ny-10007/29357560783968433/","30 Park Pl, Unit 44D")</f>
        <v>30 Park Pl, Unit 44D</v>
      </c>
      <c r="B598" s="2" t="str">
        <f t="shared" si="107"/>
        <v>30 Park Pl</v>
      </c>
      <c r="C598" s="1" t="s">
        <v>40</v>
      </c>
      <c r="D598" s="1" t="s">
        <v>41</v>
      </c>
      <c r="E598" s="3">
        <v>6567713</v>
      </c>
      <c r="F598" s="1">
        <v>2899.6523178807902</v>
      </c>
      <c r="G598" s="1">
        <v>5.5</v>
      </c>
      <c r="H598" s="1">
        <v>3</v>
      </c>
      <c r="I598" s="1">
        <v>3</v>
      </c>
      <c r="J598" s="1">
        <v>3</v>
      </c>
      <c r="K598" s="1">
        <v>3</v>
      </c>
      <c r="M598" s="4">
        <v>2265</v>
      </c>
      <c r="N598" s="1">
        <v>1788</v>
      </c>
      <c r="O598" s="1">
        <v>6346</v>
      </c>
      <c r="P598" s="1">
        <v>4558</v>
      </c>
      <c r="Q598" s="1" t="s">
        <v>42</v>
      </c>
      <c r="S598" s="1" t="s">
        <v>42</v>
      </c>
      <c r="T598" s="1" t="s">
        <v>170</v>
      </c>
      <c r="U598" s="1">
        <v>144</v>
      </c>
      <c r="V598" s="5">
        <v>43605</v>
      </c>
      <c r="W598" s="5">
        <v>41932</v>
      </c>
      <c r="X598" s="1">
        <v>6150000</v>
      </c>
      <c r="Y598" s="1">
        <v>6450000</v>
      </c>
      <c r="Z598" s="5">
        <v>42077</v>
      </c>
      <c r="AA598" s="1">
        <v>6567712.5</v>
      </c>
      <c r="AB598" s="1" t="s">
        <v>410</v>
      </c>
      <c r="AC598" s="5">
        <v>42696</v>
      </c>
      <c r="AF598" s="1">
        <v>10007</v>
      </c>
      <c r="AJ598" s="1">
        <v>2016</v>
      </c>
      <c r="AK598" s="1" t="s">
        <v>73</v>
      </c>
      <c r="AL598" s="1">
        <v>157</v>
      </c>
    </row>
    <row r="599" spans="1:38" x14ac:dyDescent="0.2">
      <c r="A599" s="2" t="str">
        <f>HYPERLINK("https://www.compass.com/listing/30-park-place-unit-54b-manhattan-ny-10007/29357572838395169/","30 Park Pl, Unit 54B")</f>
        <v>30 Park Pl, Unit 54B</v>
      </c>
      <c r="B599" s="2" t="str">
        <f t="shared" si="107"/>
        <v>30 Park Pl</v>
      </c>
      <c r="C599" s="1" t="s">
        <v>40</v>
      </c>
      <c r="D599" s="1" t="s">
        <v>41</v>
      </c>
      <c r="E599" s="3">
        <v>6567713</v>
      </c>
      <c r="F599" s="1">
        <v>2967.7871667419699</v>
      </c>
      <c r="G599" s="1">
        <v>6</v>
      </c>
      <c r="H599" s="1">
        <v>3</v>
      </c>
      <c r="I599" s="1">
        <v>3</v>
      </c>
      <c r="J599" s="1">
        <v>3</v>
      </c>
      <c r="K599" s="1">
        <v>3</v>
      </c>
      <c r="M599" s="4">
        <v>2213</v>
      </c>
      <c r="N599" s="1">
        <v>1798</v>
      </c>
      <c r="O599" s="1">
        <v>6381</v>
      </c>
      <c r="P599" s="1">
        <v>4583</v>
      </c>
      <c r="Q599" s="1" t="s">
        <v>42</v>
      </c>
      <c r="S599" s="1" t="s">
        <v>42</v>
      </c>
      <c r="T599" s="1" t="s">
        <v>170</v>
      </c>
      <c r="U599" s="1">
        <v>34</v>
      </c>
      <c r="V599" s="5">
        <v>43673</v>
      </c>
      <c r="W599" s="5">
        <v>41802</v>
      </c>
      <c r="X599" s="1">
        <v>6450000</v>
      </c>
      <c r="Y599" s="1">
        <v>6450000</v>
      </c>
      <c r="Z599" s="5">
        <v>41836</v>
      </c>
      <c r="AA599" s="1">
        <v>6567713</v>
      </c>
      <c r="AB599" s="1" t="s">
        <v>411</v>
      </c>
      <c r="AC599" s="5">
        <v>42717</v>
      </c>
      <c r="AF599" s="1">
        <v>10007</v>
      </c>
      <c r="AJ599" s="1">
        <v>2016</v>
      </c>
      <c r="AK599" s="1" t="s">
        <v>73</v>
      </c>
      <c r="AL599" s="1">
        <v>157</v>
      </c>
    </row>
    <row r="600" spans="1:38" x14ac:dyDescent="0.2">
      <c r="A600" s="2" t="str">
        <f>HYPERLINK("https://www.compass.com/listing/30-park-place-unit-69c-manhattan-ny-10007/29357590563622289/","30 Park Pl, Unit 69C")</f>
        <v>30 Park Pl, Unit 69C</v>
      </c>
      <c r="B600" s="2" t="str">
        <f t="shared" si="107"/>
        <v>30 Park Pl</v>
      </c>
      <c r="C600" s="1" t="s">
        <v>40</v>
      </c>
      <c r="D600" s="1" t="s">
        <v>41</v>
      </c>
      <c r="E600" s="3">
        <v>6118000</v>
      </c>
      <c r="F600" s="1">
        <v>3370.79889807162</v>
      </c>
      <c r="G600" s="1">
        <v>5</v>
      </c>
      <c r="H600" s="1">
        <v>3</v>
      </c>
      <c r="I600" s="1">
        <v>3</v>
      </c>
      <c r="J600" s="1">
        <v>3</v>
      </c>
      <c r="K600" s="1">
        <v>3</v>
      </c>
      <c r="M600" s="4">
        <v>1815</v>
      </c>
      <c r="N600" s="1">
        <v>1490</v>
      </c>
      <c r="O600" s="1">
        <v>5287</v>
      </c>
      <c r="P600" s="1">
        <v>3797</v>
      </c>
      <c r="Q600" s="1" t="s">
        <v>42</v>
      </c>
      <c r="S600" s="1" t="s">
        <v>42</v>
      </c>
      <c r="T600" s="1" t="s">
        <v>170</v>
      </c>
      <c r="U600" s="1">
        <v>70</v>
      </c>
      <c r="V600" s="5">
        <v>43664</v>
      </c>
      <c r="W600" s="5">
        <v>42823</v>
      </c>
      <c r="X600" s="1">
        <v>6650000</v>
      </c>
      <c r="Y600" s="1">
        <v>6118000</v>
      </c>
      <c r="Z600" s="5">
        <v>42893</v>
      </c>
      <c r="AA600" s="1">
        <v>6118000</v>
      </c>
      <c r="AB600" s="1" t="s">
        <v>412</v>
      </c>
      <c r="AC600" s="5">
        <v>42922</v>
      </c>
      <c r="AF600" s="1">
        <v>10007</v>
      </c>
      <c r="AJ600" s="1">
        <v>2016</v>
      </c>
      <c r="AK600" s="1" t="s">
        <v>73</v>
      </c>
      <c r="AL600" s="1">
        <v>157</v>
      </c>
    </row>
    <row r="601" spans="1:38" x14ac:dyDescent="0.2">
      <c r="A601" s="2" t="str">
        <f>HYPERLINK("https://www.compass.com/listing/100-barclay-street-unit-14c-manhattan-ny-10007/4852267566032239537/","100 Barclay St, Unit 14C")</f>
        <v>100 Barclay St, Unit 14C</v>
      </c>
      <c r="B601" s="2" t="str">
        <f t="shared" ref="B601:B602" si="108">HYPERLINK("https://www.compass.com/building/100-barclay-manhattan-ny/281896670466155525/","100 Barclay")</f>
        <v>100 Barclay</v>
      </c>
      <c r="C601" s="1" t="s">
        <v>40</v>
      </c>
      <c r="D601" s="1" t="s">
        <v>41</v>
      </c>
      <c r="E601" s="3">
        <v>4126650</v>
      </c>
      <c r="F601" s="1">
        <v>2081.0136157337301</v>
      </c>
      <c r="G601" s="1">
        <v>7</v>
      </c>
      <c r="H601" s="1">
        <v>3</v>
      </c>
      <c r="I601" s="1">
        <v>3</v>
      </c>
      <c r="J601" s="1">
        <v>3</v>
      </c>
      <c r="M601" s="4">
        <v>1983</v>
      </c>
      <c r="N601" s="1">
        <v>2476</v>
      </c>
      <c r="O601" s="1">
        <v>4905</v>
      </c>
      <c r="P601" s="1">
        <v>2429</v>
      </c>
      <c r="Q601" s="1" t="s">
        <v>42</v>
      </c>
      <c r="S601" s="1" t="s">
        <v>42</v>
      </c>
      <c r="T601" s="1" t="s">
        <v>170</v>
      </c>
      <c r="V601" s="5">
        <v>43623</v>
      </c>
      <c r="W601" s="5">
        <v>42166</v>
      </c>
      <c r="X601" s="1">
        <v>4288500</v>
      </c>
      <c r="Y601" s="1">
        <v>4288500</v>
      </c>
      <c r="Z601" s="5">
        <v>42166</v>
      </c>
      <c r="AA601" s="1">
        <v>4126650</v>
      </c>
      <c r="AB601" s="1" t="s">
        <v>413</v>
      </c>
      <c r="AC601" s="5">
        <v>42877</v>
      </c>
      <c r="AF601" s="1">
        <v>10007</v>
      </c>
      <c r="AI601" s="1" t="s">
        <v>45</v>
      </c>
      <c r="AJ601" s="1">
        <v>1930</v>
      </c>
      <c r="AK601" s="1" t="s">
        <v>46</v>
      </c>
      <c r="AL601" s="1">
        <v>156</v>
      </c>
    </row>
    <row r="602" spans="1:38" x14ac:dyDescent="0.2">
      <c r="A602" s="2" t="str">
        <f>HYPERLINK("https://www.compass.com/listing/100-barclay-street-unit-16n-manhattan-ny-10007/803335808127835409/","100 Barclay St, Unit 16N")</f>
        <v>100 Barclay St, Unit 16N</v>
      </c>
      <c r="B602" s="2" t="str">
        <f t="shared" si="108"/>
        <v>100 Barclay</v>
      </c>
      <c r="C602" s="1" t="s">
        <v>40</v>
      </c>
      <c r="D602" s="1" t="s">
        <v>41</v>
      </c>
      <c r="E602" s="3">
        <v>3575000</v>
      </c>
      <c r="F602" s="1">
        <v>1801.9153225806399</v>
      </c>
      <c r="G602" s="1">
        <v>7</v>
      </c>
      <c r="H602" s="1">
        <v>3</v>
      </c>
      <c r="I602" s="1">
        <v>3</v>
      </c>
      <c r="J602" s="1">
        <v>3</v>
      </c>
      <c r="M602" s="4">
        <v>1984</v>
      </c>
      <c r="N602" s="1">
        <v>2480</v>
      </c>
      <c r="O602" s="1">
        <v>4913</v>
      </c>
      <c r="P602" s="1">
        <v>2433</v>
      </c>
      <c r="Q602" s="1" t="s">
        <v>42</v>
      </c>
      <c r="S602" s="1" t="s">
        <v>42</v>
      </c>
      <c r="T602" s="1" t="s">
        <v>170</v>
      </c>
      <c r="V602" s="5">
        <v>43038</v>
      </c>
      <c r="W602" s="5">
        <v>42159</v>
      </c>
      <c r="X602" s="1">
        <v>3900000</v>
      </c>
      <c r="Y602" s="1">
        <v>3900000</v>
      </c>
      <c r="Z602" s="5">
        <v>42160</v>
      </c>
      <c r="AA602" s="1">
        <v>3575000</v>
      </c>
      <c r="AB602" s="1" t="s">
        <v>414</v>
      </c>
      <c r="AC602" s="5">
        <v>42902</v>
      </c>
      <c r="AF602" s="1">
        <v>10007</v>
      </c>
      <c r="AI602" s="1" t="s">
        <v>45</v>
      </c>
      <c r="AJ602" s="1">
        <v>1930</v>
      </c>
      <c r="AK602" s="1" t="s">
        <v>46</v>
      </c>
      <c r="AL602" s="1">
        <v>156</v>
      </c>
    </row>
    <row r="603" spans="1:38" x14ac:dyDescent="0.2">
      <c r="A603" s="2" t="str">
        <f>HYPERLINK("https://www.compass.com/listing/30-park-place-unit-52b-manhattan-ny-10007/29357570187693153/","30 Park Pl, Unit 52B")</f>
        <v>30 Park Pl, Unit 52B</v>
      </c>
      <c r="B603" s="2" t="str">
        <f t="shared" ref="B603:B613" si="109">HYPERLINK("https://www.compass.com/building/30-park-pl-manhattan-ny-10007/281896912905317605/","30 Park Pl")</f>
        <v>30 Park Pl</v>
      </c>
      <c r="C603" s="1" t="s">
        <v>40</v>
      </c>
      <c r="D603" s="1" t="s">
        <v>41</v>
      </c>
      <c r="E603" s="3">
        <v>6450000</v>
      </c>
      <c r="F603" s="1">
        <v>2914.5955716222302</v>
      </c>
      <c r="G603" s="1">
        <v>5.5</v>
      </c>
      <c r="H603" s="1">
        <v>3</v>
      </c>
      <c r="I603" s="1">
        <v>3</v>
      </c>
      <c r="J603" s="1">
        <v>3.5</v>
      </c>
      <c r="K603" s="1">
        <v>3</v>
      </c>
      <c r="L603" s="1">
        <v>1</v>
      </c>
      <c r="M603" s="4">
        <v>2213</v>
      </c>
      <c r="N603" s="1">
        <v>1792</v>
      </c>
      <c r="O603" s="1">
        <v>6361</v>
      </c>
      <c r="P603" s="1">
        <v>4569</v>
      </c>
      <c r="Q603" s="1" t="s">
        <v>42</v>
      </c>
      <c r="S603" s="1" t="s">
        <v>42</v>
      </c>
      <c r="T603" s="1" t="s">
        <v>170</v>
      </c>
      <c r="U603" s="1">
        <v>4</v>
      </c>
      <c r="V603" s="5">
        <v>43662</v>
      </c>
      <c r="W603" s="5">
        <v>41796</v>
      </c>
      <c r="X603" s="1">
        <v>6350000</v>
      </c>
      <c r="Y603" s="1">
        <v>6450000</v>
      </c>
      <c r="Z603" s="5">
        <v>41800</v>
      </c>
      <c r="AA603" s="1">
        <v>6450000</v>
      </c>
      <c r="AB603" s="1" t="s">
        <v>415</v>
      </c>
      <c r="AC603" s="5">
        <v>42835</v>
      </c>
      <c r="AF603" s="1">
        <v>10007</v>
      </c>
      <c r="AJ603" s="1">
        <v>2016</v>
      </c>
      <c r="AK603" s="1" t="s">
        <v>73</v>
      </c>
      <c r="AL603" s="1">
        <v>157</v>
      </c>
    </row>
    <row r="604" spans="1:38" x14ac:dyDescent="0.2">
      <c r="A604" s="2" t="str">
        <f>HYPERLINK("https://www.compass.com/listing/30-park-place-unit-53a-manhattan-ny-10007/29357571311766641/","30 Park Pl, Unit 53A")</f>
        <v>30 Park Pl, Unit 53A</v>
      </c>
      <c r="B604" s="2" t="str">
        <f t="shared" si="109"/>
        <v>30 Park Pl</v>
      </c>
      <c r="C604" s="1" t="s">
        <v>40</v>
      </c>
      <c r="D604" s="1" t="s">
        <v>41</v>
      </c>
      <c r="E604" s="3">
        <v>8655125</v>
      </c>
      <c r="F604" s="1">
        <v>3079.01992173603</v>
      </c>
      <c r="G604" s="1">
        <v>6.5</v>
      </c>
      <c r="H604" s="1">
        <v>4</v>
      </c>
      <c r="I604" s="1">
        <v>4</v>
      </c>
      <c r="J604" s="1">
        <v>4</v>
      </c>
      <c r="K604" s="1">
        <v>4</v>
      </c>
      <c r="M604" s="4">
        <v>2811</v>
      </c>
      <c r="N604" s="1">
        <v>2326</v>
      </c>
      <c r="O604" s="1">
        <v>8256</v>
      </c>
      <c r="P604" s="1">
        <v>5930</v>
      </c>
      <c r="Q604" s="1" t="s">
        <v>42</v>
      </c>
      <c r="S604" s="1" t="s">
        <v>42</v>
      </c>
      <c r="T604" s="1" t="s">
        <v>170</v>
      </c>
      <c r="U604" s="1">
        <v>4</v>
      </c>
      <c r="V604" s="5">
        <v>43665</v>
      </c>
      <c r="W604" s="5">
        <v>41796</v>
      </c>
      <c r="X604" s="1">
        <v>8800000</v>
      </c>
      <c r="Y604" s="1">
        <v>8500000</v>
      </c>
      <c r="Z604" s="5">
        <v>41800</v>
      </c>
      <c r="AA604" s="1">
        <v>8655125</v>
      </c>
      <c r="AB604" s="1" t="s">
        <v>416</v>
      </c>
      <c r="AC604" s="5">
        <v>42621</v>
      </c>
      <c r="AF604" s="1">
        <v>10007</v>
      </c>
      <c r="AJ604" s="1">
        <v>2016</v>
      </c>
      <c r="AK604" s="1" t="s">
        <v>73</v>
      </c>
      <c r="AL604" s="1">
        <v>157</v>
      </c>
    </row>
    <row r="605" spans="1:38" x14ac:dyDescent="0.2">
      <c r="A605" s="2" t="str">
        <f>HYPERLINK("https://www.compass.com/listing/30-park-place-unit-55a-manhattan-ny-10007/29357574189059233/","30 Park Pl, Unit 55A")</f>
        <v>30 Park Pl, Unit 55A</v>
      </c>
      <c r="B605" s="2" t="str">
        <f t="shared" si="109"/>
        <v>30 Park Pl</v>
      </c>
      <c r="C605" s="1" t="s">
        <v>40</v>
      </c>
      <c r="D605" s="1" t="s">
        <v>41</v>
      </c>
      <c r="E605" s="3">
        <v>8858775</v>
      </c>
      <c r="F605" s="1">
        <v>3151.4674493062898</v>
      </c>
      <c r="G605" s="1">
        <v>7</v>
      </c>
      <c r="H605" s="1">
        <v>4</v>
      </c>
      <c r="I605" s="1">
        <v>4</v>
      </c>
      <c r="J605" s="1">
        <v>4</v>
      </c>
      <c r="K605" s="1">
        <v>4</v>
      </c>
      <c r="M605" s="4">
        <v>2811</v>
      </c>
      <c r="N605" s="1">
        <v>5957</v>
      </c>
      <c r="O605" s="1">
        <v>8294</v>
      </c>
      <c r="P605" s="1">
        <v>2337</v>
      </c>
      <c r="Q605" s="1" t="s">
        <v>42</v>
      </c>
      <c r="S605" s="1" t="s">
        <v>42</v>
      </c>
      <c r="T605" s="1" t="s">
        <v>170</v>
      </c>
      <c r="U605" s="1">
        <v>13</v>
      </c>
      <c r="V605" s="5">
        <v>43673</v>
      </c>
      <c r="W605" s="5">
        <v>41802</v>
      </c>
      <c r="X605" s="1">
        <v>9000000</v>
      </c>
      <c r="Y605" s="1">
        <v>8700000</v>
      </c>
      <c r="Z605" s="5">
        <v>41815</v>
      </c>
      <c r="AA605" s="1">
        <v>8858775</v>
      </c>
      <c r="AB605" s="1" t="s">
        <v>417</v>
      </c>
      <c r="AC605" s="5">
        <v>42717</v>
      </c>
      <c r="AF605" s="1">
        <v>10007</v>
      </c>
      <c r="AJ605" s="1">
        <v>2016</v>
      </c>
      <c r="AK605" s="1" t="s">
        <v>73</v>
      </c>
      <c r="AL605" s="1">
        <v>157</v>
      </c>
    </row>
    <row r="606" spans="1:38" x14ac:dyDescent="0.2">
      <c r="A606" s="2" t="str">
        <f>HYPERLINK("https://www.compass.com/listing/30-park-place-unit-60a-manhattan-ny-10007/29357581269044481/","30 Park Pl, Unit 60A")</f>
        <v>30 Park Pl, Unit 60A</v>
      </c>
      <c r="B606" s="2" t="str">
        <f t="shared" si="109"/>
        <v>30 Park Pl</v>
      </c>
      <c r="C606" s="1" t="s">
        <v>40</v>
      </c>
      <c r="D606" s="1" t="s">
        <v>41</v>
      </c>
      <c r="E606" s="3">
        <v>9877025</v>
      </c>
      <c r="F606" s="1">
        <v>3513.7050871575898</v>
      </c>
      <c r="G606" s="1">
        <v>7</v>
      </c>
      <c r="H606" s="1">
        <v>4</v>
      </c>
      <c r="I606" s="1">
        <v>4</v>
      </c>
      <c r="J606" s="1">
        <v>4</v>
      </c>
      <c r="K606" s="1">
        <v>4</v>
      </c>
      <c r="M606" s="4">
        <v>2811</v>
      </c>
      <c r="N606" s="1">
        <v>2363</v>
      </c>
      <c r="O606" s="1">
        <v>8387</v>
      </c>
      <c r="P606" s="1">
        <v>6024</v>
      </c>
      <c r="Q606" s="1" t="s">
        <v>42</v>
      </c>
      <c r="S606" s="1" t="s">
        <v>42</v>
      </c>
      <c r="T606" s="1" t="s">
        <v>170</v>
      </c>
      <c r="U606" s="1">
        <v>1</v>
      </c>
      <c r="V606" s="5">
        <v>43668</v>
      </c>
      <c r="W606" s="5">
        <v>42081</v>
      </c>
      <c r="X606" s="1">
        <v>9700000</v>
      </c>
      <c r="Y606" s="1">
        <v>9700000</v>
      </c>
      <c r="Z606" s="5">
        <v>42082</v>
      </c>
      <c r="AA606" s="1">
        <v>9877025</v>
      </c>
      <c r="AB606" s="1" t="s">
        <v>418</v>
      </c>
      <c r="AC606" s="5">
        <v>42754</v>
      </c>
      <c r="AF606" s="1">
        <v>10007</v>
      </c>
      <c r="AJ606" s="1">
        <v>2016</v>
      </c>
      <c r="AK606" s="1" t="s">
        <v>73</v>
      </c>
      <c r="AL606" s="1">
        <v>157</v>
      </c>
    </row>
    <row r="607" spans="1:38" x14ac:dyDescent="0.2">
      <c r="A607" s="2" t="str">
        <f>HYPERLINK("https://www.compass.com/listing/30-park-place-unit-64a-manhattan-ny-10007/29357585672968801/","30 Park Pl, Unit 64A")</f>
        <v>30 Park Pl, Unit 64A</v>
      </c>
      <c r="B607" s="2" t="str">
        <f t="shared" si="109"/>
        <v>30 Park Pl</v>
      </c>
      <c r="C607" s="1" t="s">
        <v>40</v>
      </c>
      <c r="D607" s="1" t="s">
        <v>41</v>
      </c>
      <c r="E607" s="3">
        <v>12982688</v>
      </c>
      <c r="F607" s="1">
        <v>3509.7831846444901</v>
      </c>
      <c r="G607" s="1">
        <v>7.5</v>
      </c>
      <c r="H607" s="1">
        <v>4</v>
      </c>
      <c r="I607" s="1">
        <v>5</v>
      </c>
      <c r="J607" s="1">
        <v>5</v>
      </c>
      <c r="K607" s="1">
        <v>5</v>
      </c>
      <c r="M607" s="4">
        <v>3699</v>
      </c>
      <c r="N607" s="1">
        <v>3144</v>
      </c>
      <c r="O607" s="1">
        <v>11157</v>
      </c>
      <c r="P607" s="1">
        <v>8013</v>
      </c>
      <c r="Q607" s="1" t="s">
        <v>42</v>
      </c>
      <c r="S607" s="1" t="s">
        <v>42</v>
      </c>
      <c r="T607" s="1" t="s">
        <v>170</v>
      </c>
      <c r="U607" s="1">
        <v>4</v>
      </c>
      <c r="V607" s="5">
        <v>43663</v>
      </c>
      <c r="W607" s="5">
        <v>41796</v>
      </c>
      <c r="X607" s="1">
        <v>12750000</v>
      </c>
      <c r="Y607" s="1">
        <v>12750000</v>
      </c>
      <c r="Z607" s="5">
        <v>41800</v>
      </c>
      <c r="AA607" s="1">
        <v>12982688</v>
      </c>
      <c r="AB607" s="1" t="s">
        <v>419</v>
      </c>
      <c r="AC607" s="5">
        <v>42810</v>
      </c>
      <c r="AF607" s="1">
        <v>10007</v>
      </c>
      <c r="AJ607" s="1">
        <v>2016</v>
      </c>
      <c r="AK607" s="1" t="s">
        <v>73</v>
      </c>
      <c r="AL607" s="1">
        <v>157</v>
      </c>
    </row>
    <row r="608" spans="1:38" x14ac:dyDescent="0.2">
      <c r="A608" s="2" t="str">
        <f>HYPERLINK("https://www.compass.com/listing/30-park-place-unit-64b-manhattan-ny-10007/29357586008509937/","30 Park Pl, Unit 64B")</f>
        <v>30 Park Pl, Unit 64B</v>
      </c>
      <c r="B608" s="2" t="str">
        <f t="shared" si="109"/>
        <v>30 Park Pl</v>
      </c>
      <c r="C608" s="1" t="s">
        <v>40</v>
      </c>
      <c r="D608" s="1" t="s">
        <v>41</v>
      </c>
      <c r="E608" s="3">
        <v>8146000</v>
      </c>
      <c r="F608" s="1">
        <v>3096.1611554542001</v>
      </c>
      <c r="G608" s="1">
        <v>5.5</v>
      </c>
      <c r="H608" s="1">
        <v>3</v>
      </c>
      <c r="I608" s="1">
        <v>3</v>
      </c>
      <c r="J608" s="1">
        <v>3.5</v>
      </c>
      <c r="K608" s="1">
        <v>3</v>
      </c>
      <c r="L608" s="1">
        <v>1</v>
      </c>
      <c r="M608" s="4">
        <v>2631</v>
      </c>
      <c r="N608" s="1">
        <v>2180</v>
      </c>
      <c r="O608" s="1">
        <v>7736</v>
      </c>
      <c r="P608" s="1">
        <v>5556</v>
      </c>
      <c r="Q608" s="1" t="s">
        <v>42</v>
      </c>
      <c r="S608" s="1" t="s">
        <v>42</v>
      </c>
      <c r="T608" s="1" t="s">
        <v>170</v>
      </c>
      <c r="U608" s="1">
        <v>21</v>
      </c>
      <c r="V608" s="5">
        <v>43663</v>
      </c>
      <c r="W608" s="5">
        <v>41814</v>
      </c>
      <c r="X608" s="1">
        <v>8000000</v>
      </c>
      <c r="Y608" s="1">
        <v>8000000</v>
      </c>
      <c r="Z608" s="5">
        <v>41835</v>
      </c>
      <c r="AA608" s="1">
        <v>8146000</v>
      </c>
      <c r="AB608" s="1" t="s">
        <v>420</v>
      </c>
      <c r="AC608" s="5">
        <v>42814</v>
      </c>
      <c r="AF608" s="1">
        <v>10007</v>
      </c>
      <c r="AJ608" s="1">
        <v>2016</v>
      </c>
      <c r="AK608" s="1" t="s">
        <v>73</v>
      </c>
      <c r="AL608" s="1">
        <v>157</v>
      </c>
    </row>
    <row r="609" spans="1:38" x14ac:dyDescent="0.2">
      <c r="A609" s="2" t="str">
        <f>HYPERLINK("https://www.compass.com/listing/30-park-place-unit-66a-manhattan-ny-10007/29357587803675281/","30 Park Pl, Unit 66A")</f>
        <v>30 Park Pl, Unit 66A</v>
      </c>
      <c r="B609" s="2" t="str">
        <f t="shared" si="109"/>
        <v>30 Park Pl</v>
      </c>
      <c r="C609" s="1" t="s">
        <v>40</v>
      </c>
      <c r="D609" s="1" t="s">
        <v>41</v>
      </c>
      <c r="E609" s="3">
        <v>13186338</v>
      </c>
      <c r="F609" s="1">
        <v>3564.8386050283798</v>
      </c>
      <c r="G609" s="1">
        <v>7.5</v>
      </c>
      <c r="H609" s="1">
        <v>4</v>
      </c>
      <c r="I609" s="1">
        <v>5</v>
      </c>
      <c r="J609" s="1">
        <v>5.5</v>
      </c>
      <c r="K609" s="1">
        <v>5</v>
      </c>
      <c r="L609" s="1">
        <v>1</v>
      </c>
      <c r="M609" s="4">
        <v>3699</v>
      </c>
      <c r="N609" s="1">
        <v>3154</v>
      </c>
      <c r="O609" s="1">
        <v>11194</v>
      </c>
      <c r="P609" s="1">
        <v>8040</v>
      </c>
      <c r="Q609" s="1" t="s">
        <v>42</v>
      </c>
      <c r="S609" s="1" t="s">
        <v>42</v>
      </c>
      <c r="T609" s="1" t="s">
        <v>170</v>
      </c>
      <c r="U609" s="1">
        <v>177</v>
      </c>
      <c r="V609" s="5">
        <v>43664</v>
      </c>
      <c r="W609" s="5">
        <v>41815</v>
      </c>
      <c r="X609" s="1">
        <v>12950000</v>
      </c>
      <c r="Y609" s="1">
        <v>12950000</v>
      </c>
      <c r="Z609" s="5">
        <v>41992</v>
      </c>
      <c r="AA609" s="1">
        <v>13186338</v>
      </c>
      <c r="AB609" s="1" t="s">
        <v>421</v>
      </c>
      <c r="AC609" s="5">
        <v>42840</v>
      </c>
      <c r="AF609" s="1">
        <v>10007</v>
      </c>
      <c r="AJ609" s="1">
        <v>2016</v>
      </c>
      <c r="AK609" s="1" t="s">
        <v>73</v>
      </c>
      <c r="AL609" s="1">
        <v>157</v>
      </c>
    </row>
    <row r="610" spans="1:38" x14ac:dyDescent="0.2">
      <c r="A610" s="2" t="str">
        <f>HYPERLINK("https://www.compass.com/listing/30-park-place-unit-68b-manhattan-ny-10007/29357589816941233/","30 Park Pl, Unit 68B")</f>
        <v>30 Park Pl, Unit 68B</v>
      </c>
      <c r="B610" s="2" t="str">
        <f t="shared" si="109"/>
        <v>30 Park Pl</v>
      </c>
      <c r="C610" s="1" t="s">
        <v>40</v>
      </c>
      <c r="D610" s="1" t="s">
        <v>41</v>
      </c>
      <c r="E610" s="3">
        <v>8349650</v>
      </c>
      <c r="F610" s="1">
        <v>3173.5651843405499</v>
      </c>
      <c r="G610" s="1">
        <v>5.5</v>
      </c>
      <c r="H610" s="1">
        <v>3</v>
      </c>
      <c r="I610" s="1">
        <v>3</v>
      </c>
      <c r="J610" s="1">
        <v>3.5</v>
      </c>
      <c r="K610" s="1">
        <v>3</v>
      </c>
      <c r="L610" s="1">
        <v>1</v>
      </c>
      <c r="M610" s="4">
        <v>2631</v>
      </c>
      <c r="N610" s="1">
        <v>2190</v>
      </c>
      <c r="O610" s="1">
        <v>7773</v>
      </c>
      <c r="P610" s="1">
        <v>5583</v>
      </c>
      <c r="Q610" s="1" t="s">
        <v>42</v>
      </c>
      <c r="S610" s="1" t="s">
        <v>42</v>
      </c>
      <c r="T610" s="1" t="s">
        <v>170</v>
      </c>
      <c r="U610" s="1">
        <v>8</v>
      </c>
      <c r="V610" s="5">
        <v>43664</v>
      </c>
      <c r="W610" s="5">
        <v>41892</v>
      </c>
      <c r="X610" s="1">
        <v>8300000</v>
      </c>
      <c r="Y610" s="1">
        <v>8200000</v>
      </c>
      <c r="Z610" s="5">
        <v>41900</v>
      </c>
      <c r="AA610" s="1">
        <v>8349650</v>
      </c>
      <c r="AB610" s="1" t="s">
        <v>422</v>
      </c>
      <c r="AC610" s="5">
        <v>42877</v>
      </c>
      <c r="AF610" s="1">
        <v>10007</v>
      </c>
      <c r="AJ610" s="1">
        <v>2016</v>
      </c>
      <c r="AK610" s="1" t="s">
        <v>73</v>
      </c>
      <c r="AL610" s="1">
        <v>157</v>
      </c>
    </row>
    <row r="611" spans="1:38" x14ac:dyDescent="0.2">
      <c r="A611" s="2" t="str">
        <f>HYPERLINK("https://www.compass.com/listing/30-park-place-unit-73b-manhattan-ny-10007/29357593608687041/","30 Park Pl, Unit 73B")</f>
        <v>30 Park Pl, Unit 73B</v>
      </c>
      <c r="B611" s="2" t="str">
        <f t="shared" si="109"/>
        <v>30 Park Pl</v>
      </c>
      <c r="C611" s="1" t="s">
        <v>40</v>
      </c>
      <c r="D611" s="1" t="s">
        <v>41</v>
      </c>
      <c r="E611" s="3">
        <v>8075000</v>
      </c>
      <c r="F611" s="1">
        <v>3069.17521854808</v>
      </c>
      <c r="G611" s="1">
        <v>5</v>
      </c>
      <c r="H611" s="1">
        <v>3</v>
      </c>
      <c r="I611" s="1">
        <v>3</v>
      </c>
      <c r="J611" s="1">
        <v>3.5</v>
      </c>
      <c r="K611" s="1">
        <v>3</v>
      </c>
      <c r="L611" s="1">
        <v>1</v>
      </c>
      <c r="M611" s="4">
        <v>2631</v>
      </c>
      <c r="N611" s="1">
        <v>2204</v>
      </c>
      <c r="O611" s="1">
        <v>7821</v>
      </c>
      <c r="P611" s="1">
        <v>5617</v>
      </c>
      <c r="Q611" s="1" t="s">
        <v>42</v>
      </c>
      <c r="S611" s="1" t="s">
        <v>42</v>
      </c>
      <c r="T611" s="1" t="s">
        <v>170</v>
      </c>
      <c r="U611" s="1">
        <v>18</v>
      </c>
      <c r="V611" s="5">
        <v>43649</v>
      </c>
      <c r="W611" s="5">
        <v>43163</v>
      </c>
      <c r="X611" s="1">
        <v>8800000</v>
      </c>
      <c r="Y611" s="1">
        <v>8075000</v>
      </c>
      <c r="Z611" s="5">
        <v>43181</v>
      </c>
      <c r="AA611" s="1">
        <v>8075000</v>
      </c>
      <c r="AB611" s="1" t="s">
        <v>423</v>
      </c>
      <c r="AC611" s="5">
        <v>43194</v>
      </c>
      <c r="AF611" s="1">
        <v>10007</v>
      </c>
      <c r="AJ611" s="1">
        <v>2016</v>
      </c>
      <c r="AK611" s="1" t="s">
        <v>73</v>
      </c>
      <c r="AL611" s="1">
        <v>157</v>
      </c>
    </row>
    <row r="612" spans="1:38" x14ac:dyDescent="0.2">
      <c r="A612" s="2" t="str">
        <f>HYPERLINK("https://www.compass.com/listing/30-park-place-unit-76b-manhattan-ny-10007/29512134283002881/","30 Park Pl, Unit 76B")</f>
        <v>30 Park Pl, Unit 76B</v>
      </c>
      <c r="B612" s="2" t="str">
        <f t="shared" si="109"/>
        <v>30 Park Pl</v>
      </c>
      <c r="C612" s="1" t="s">
        <v>40</v>
      </c>
      <c r="D612" s="1" t="s">
        <v>41</v>
      </c>
      <c r="E612" s="3">
        <v>13720919</v>
      </c>
      <c r="F612" s="1">
        <v>4324.2732429876996</v>
      </c>
      <c r="G612" s="1">
        <v>6.5</v>
      </c>
      <c r="H612" s="1">
        <v>3</v>
      </c>
      <c r="I612" s="1">
        <v>4</v>
      </c>
      <c r="J612" s="1">
        <v>4.5</v>
      </c>
      <c r="K612" s="1">
        <v>4</v>
      </c>
      <c r="L612" s="1">
        <v>1</v>
      </c>
      <c r="M612" s="4">
        <v>3173</v>
      </c>
      <c r="N612" s="1">
        <v>2796</v>
      </c>
      <c r="O612" s="1">
        <v>9923</v>
      </c>
      <c r="P612" s="1">
        <v>7127</v>
      </c>
      <c r="Q612" s="1" t="s">
        <v>42</v>
      </c>
      <c r="S612" s="1" t="s">
        <v>42</v>
      </c>
      <c r="T612" s="1" t="s">
        <v>170</v>
      </c>
      <c r="U612" s="1">
        <v>28</v>
      </c>
      <c r="V612" s="5">
        <v>43664</v>
      </c>
      <c r="W612" s="5">
        <v>41879</v>
      </c>
      <c r="X612" s="1">
        <v>13475000</v>
      </c>
      <c r="Y612" s="1">
        <v>13475000</v>
      </c>
      <c r="Z612" s="5">
        <v>41907</v>
      </c>
      <c r="AA612" s="1">
        <v>13720919</v>
      </c>
      <c r="AB612" s="1" t="s">
        <v>424</v>
      </c>
      <c r="AC612" s="5">
        <v>42819</v>
      </c>
      <c r="AF612" s="1">
        <v>10007</v>
      </c>
      <c r="AI612" s="1" t="s">
        <v>85</v>
      </c>
      <c r="AJ612" s="1">
        <v>2016</v>
      </c>
      <c r="AK612" s="1" t="s">
        <v>73</v>
      </c>
      <c r="AL612" s="1">
        <v>157</v>
      </c>
    </row>
    <row r="613" spans="1:38" x14ac:dyDescent="0.2">
      <c r="A613" s="2" t="str">
        <f>HYPERLINK("https://www.compass.com/listing/30-park-place-unit-ph82-manhattan-ny-10007/29512134937389905/","30 Park Pl, Unit PH82")</f>
        <v>30 Park Pl, Unit PH82</v>
      </c>
      <c r="B613" s="2" t="str">
        <f t="shared" si="109"/>
        <v>30 Park Pl</v>
      </c>
      <c r="C613" s="1" t="s">
        <v>40</v>
      </c>
      <c r="D613" s="1" t="s">
        <v>41</v>
      </c>
      <c r="E613" s="3">
        <v>18500000</v>
      </c>
      <c r="F613" s="1">
        <v>4076.6857646540302</v>
      </c>
      <c r="G613" s="1">
        <v>7.5</v>
      </c>
      <c r="H613" s="1">
        <v>3</v>
      </c>
      <c r="I613" s="1">
        <v>5</v>
      </c>
      <c r="J613" s="1">
        <v>4.5</v>
      </c>
      <c r="K613" s="1">
        <v>4</v>
      </c>
      <c r="L613" s="1">
        <v>1</v>
      </c>
      <c r="M613" s="4">
        <v>4538</v>
      </c>
      <c r="N613" s="1">
        <v>5108</v>
      </c>
      <c r="O613" s="1">
        <v>17792</v>
      </c>
      <c r="P613" s="1">
        <v>12684</v>
      </c>
      <c r="Q613" s="1" t="s">
        <v>42</v>
      </c>
      <c r="S613" s="1" t="s">
        <v>42</v>
      </c>
      <c r="T613" s="1" t="s">
        <v>170</v>
      </c>
      <c r="U613" s="1">
        <v>606</v>
      </c>
      <c r="V613" s="5">
        <v>44350</v>
      </c>
      <c r="W613" s="5">
        <v>43607</v>
      </c>
      <c r="Y613" s="1">
        <v>25000000</v>
      </c>
      <c r="Z613" s="5">
        <v>44308</v>
      </c>
      <c r="AA613" s="1">
        <v>18500000</v>
      </c>
      <c r="AB613" s="1" t="s">
        <v>425</v>
      </c>
      <c r="AC613" s="5">
        <v>44342</v>
      </c>
      <c r="AF613" s="1">
        <v>10007</v>
      </c>
      <c r="AI613" s="1" t="s">
        <v>116</v>
      </c>
      <c r="AJ613" s="1">
        <v>2016</v>
      </c>
      <c r="AK613" s="1" t="s">
        <v>73</v>
      </c>
      <c r="AL613" s="1">
        <v>157</v>
      </c>
    </row>
    <row r="614" spans="1:38" x14ac:dyDescent="0.2">
      <c r="A614" s="2" t="str">
        <f>HYPERLINK("https://www.compass.com/listing/100-barclay-street-unit-13c-manhattan-ny-10007/29513629468505585/","100 Barclay St, Unit 13C")</f>
        <v>100 Barclay St, Unit 13C</v>
      </c>
      <c r="B614" s="2" t="str">
        <f>HYPERLINK("https://www.compass.com/building/100-barclay-manhattan-ny/281896670466155525/","100 Barclay")</f>
        <v>100 Barclay</v>
      </c>
      <c r="C614" s="1" t="s">
        <v>40</v>
      </c>
      <c r="D614" s="1" t="s">
        <v>41</v>
      </c>
      <c r="E614" s="3">
        <v>2910000</v>
      </c>
      <c r="F614" s="1">
        <v>2016.6320166320099</v>
      </c>
      <c r="G614" s="1">
        <v>4</v>
      </c>
      <c r="H614" s="1">
        <v>2</v>
      </c>
      <c r="I614" s="1">
        <v>3</v>
      </c>
      <c r="J614" s="1">
        <v>2.5</v>
      </c>
      <c r="K614" s="1">
        <v>2</v>
      </c>
      <c r="L614" s="1">
        <v>1</v>
      </c>
      <c r="M614" s="4">
        <v>1443</v>
      </c>
      <c r="N614" s="1">
        <v>2080</v>
      </c>
      <c r="O614" s="1">
        <v>3992</v>
      </c>
      <c r="P614" s="1">
        <v>1912</v>
      </c>
      <c r="Q614" s="1" t="s">
        <v>42</v>
      </c>
      <c r="S614" s="1" t="s">
        <v>42</v>
      </c>
      <c r="T614" s="1" t="s">
        <v>170</v>
      </c>
      <c r="U614" s="1">
        <v>505</v>
      </c>
      <c r="V614" s="5">
        <v>43694</v>
      </c>
      <c r="W614" s="5">
        <v>43110</v>
      </c>
      <c r="X614" s="1">
        <v>3338500</v>
      </c>
      <c r="Y614" s="1">
        <v>2995000</v>
      </c>
      <c r="Z614" s="5">
        <v>43615</v>
      </c>
      <c r="AA614" s="1">
        <v>2910000</v>
      </c>
      <c r="AB614" s="1" t="s">
        <v>426</v>
      </c>
      <c r="AC614" s="5">
        <v>43636</v>
      </c>
      <c r="AF614" s="1">
        <v>10007</v>
      </c>
      <c r="AI614" s="1" t="s">
        <v>88</v>
      </c>
      <c r="AJ614" s="1">
        <v>1930</v>
      </c>
      <c r="AK614" s="1" t="s">
        <v>73</v>
      </c>
      <c r="AL614" s="1">
        <v>156</v>
      </c>
    </row>
    <row r="615" spans="1:38" x14ac:dyDescent="0.2">
      <c r="A615" s="2" t="str">
        <f>HYPERLINK("https://www.compass.com/listing/30-park-place-unit-49c-manhattan-ny-10007/29357566991535297/","30 Park Pl, Unit 49C")</f>
        <v>30 Park Pl, Unit 49C</v>
      </c>
      <c r="B615" s="2" t="str">
        <f t="shared" ref="B615:B616" si="110">HYPERLINK("https://www.compass.com/building/30-park-pl-manhattan-ny-10007/281896912905317605/","30 Park Pl")</f>
        <v>30 Park Pl</v>
      </c>
      <c r="C615" s="1" t="s">
        <v>40</v>
      </c>
      <c r="D615" s="1" t="s">
        <v>41</v>
      </c>
      <c r="E615" s="3">
        <v>3718172</v>
      </c>
      <c r="F615" s="1">
        <v>3355.7509025270701</v>
      </c>
      <c r="G615" s="1">
        <v>3</v>
      </c>
      <c r="H615" s="1">
        <v>1</v>
      </c>
      <c r="I615" s="1">
        <v>1</v>
      </c>
      <c r="J615" s="1">
        <v>1.5</v>
      </c>
      <c r="K615" s="1">
        <v>1</v>
      </c>
      <c r="L615" s="1">
        <v>1</v>
      </c>
      <c r="M615" s="4">
        <v>1108</v>
      </c>
      <c r="N615" s="1">
        <v>887</v>
      </c>
      <c r="O615" s="1">
        <v>3148</v>
      </c>
      <c r="P615" s="1">
        <v>2261</v>
      </c>
      <c r="Q615" s="1" t="s">
        <v>42</v>
      </c>
      <c r="S615" s="1" t="s">
        <v>42</v>
      </c>
      <c r="T615" s="1" t="s">
        <v>170</v>
      </c>
      <c r="V615" s="5">
        <v>43675</v>
      </c>
      <c r="W615" s="5">
        <v>42223</v>
      </c>
      <c r="X615" s="1">
        <v>3605000</v>
      </c>
      <c r="Y615" s="1">
        <v>3605000</v>
      </c>
      <c r="Z615" s="5">
        <v>42223</v>
      </c>
      <c r="AA615" s="1">
        <v>3718172</v>
      </c>
      <c r="AB615" s="1" t="s">
        <v>427</v>
      </c>
      <c r="AC615" s="5">
        <v>42670</v>
      </c>
      <c r="AF615" s="1">
        <v>10007</v>
      </c>
      <c r="AJ615" s="1">
        <v>2016</v>
      </c>
      <c r="AK615" s="1" t="s">
        <v>73</v>
      </c>
      <c r="AL615" s="1">
        <v>157</v>
      </c>
    </row>
    <row r="616" spans="1:38" x14ac:dyDescent="0.2">
      <c r="A616" s="2" t="str">
        <f>HYPERLINK("https://www.compass.com/listing/30-park-place-unit-46b-manhattan-ny-10007/739843654826335025/","30 Park Pl, Unit 46B")</f>
        <v>30 Park Pl, Unit 46B</v>
      </c>
      <c r="B616" s="2" t="str">
        <f t="shared" si="110"/>
        <v>30 Park Pl</v>
      </c>
      <c r="C616" s="1" t="s">
        <v>40</v>
      </c>
      <c r="D616" s="1" t="s">
        <v>41</v>
      </c>
      <c r="E616" s="3">
        <v>5112500</v>
      </c>
      <c r="F616" s="1">
        <v>3072.4158653846098</v>
      </c>
      <c r="G616" s="1">
        <v>4</v>
      </c>
      <c r="H616" s="1">
        <v>2</v>
      </c>
      <c r="I616" s="1">
        <v>3</v>
      </c>
      <c r="J616" s="1">
        <v>2.5</v>
      </c>
      <c r="K616" s="1">
        <v>2</v>
      </c>
      <c r="L616" s="1">
        <v>1</v>
      </c>
      <c r="M616" s="4">
        <v>1664</v>
      </c>
      <c r="N616" s="1">
        <v>1441</v>
      </c>
      <c r="O616" s="1">
        <v>4311</v>
      </c>
      <c r="P616" s="1">
        <v>2870</v>
      </c>
      <c r="Q616" s="1" t="s">
        <v>42</v>
      </c>
      <c r="S616" s="1" t="s">
        <v>42</v>
      </c>
      <c r="T616" s="1" t="s">
        <v>170</v>
      </c>
      <c r="U616" s="1">
        <v>58</v>
      </c>
      <c r="V616" s="5">
        <v>44379</v>
      </c>
      <c r="W616" s="5">
        <v>44273</v>
      </c>
      <c r="X616" s="1">
        <v>5200000</v>
      </c>
      <c r="Y616" s="1">
        <v>5200000</v>
      </c>
      <c r="Z616" s="5">
        <v>44331</v>
      </c>
      <c r="AA616" s="1">
        <v>5112500</v>
      </c>
      <c r="AB616" s="1" t="s">
        <v>428</v>
      </c>
      <c r="AC616" s="5">
        <v>44376</v>
      </c>
      <c r="AF616" s="1">
        <v>10007</v>
      </c>
      <c r="AJ616" s="1">
        <v>2016</v>
      </c>
      <c r="AK616" s="1" t="s">
        <v>73</v>
      </c>
      <c r="AL616" s="1">
        <v>157</v>
      </c>
    </row>
    <row r="617" spans="1:38" x14ac:dyDescent="0.2">
      <c r="A617" s="2" t="str">
        <f>HYPERLINK("https://www.compass.com/listing/100-barclay-street-unit-14r-manhattan-ny-10007/4852274725675613521/","100 Barclay St, Unit 14R")</f>
        <v>100 Barclay St, Unit 14R</v>
      </c>
      <c r="B617" s="2" t="str">
        <f>HYPERLINK("https://www.compass.com/building/100-barclay-manhattan-ny/281896670466155525/","100 Barclay")</f>
        <v>100 Barclay</v>
      </c>
      <c r="C617" s="1" t="s">
        <v>40</v>
      </c>
      <c r="D617" s="1" t="s">
        <v>41</v>
      </c>
      <c r="E617" s="3">
        <v>4368475</v>
      </c>
      <c r="F617" s="1">
        <v>1974.89828209764</v>
      </c>
      <c r="G617" s="1">
        <v>5</v>
      </c>
      <c r="H617" s="1">
        <v>3</v>
      </c>
      <c r="I617" s="1">
        <v>3</v>
      </c>
      <c r="J617" s="1">
        <v>3</v>
      </c>
      <c r="K617" s="1">
        <v>3</v>
      </c>
      <c r="M617" s="4">
        <v>2212</v>
      </c>
      <c r="N617" s="1">
        <v>2838</v>
      </c>
      <c r="O617" s="1">
        <v>5552</v>
      </c>
      <c r="P617" s="1">
        <v>2714</v>
      </c>
      <c r="Q617" s="1" t="s">
        <v>42</v>
      </c>
      <c r="S617" s="1" t="s">
        <v>42</v>
      </c>
      <c r="T617" s="1" t="s">
        <v>170</v>
      </c>
      <c r="U617" s="1">
        <v>30</v>
      </c>
      <c r="V617" s="5">
        <v>43623</v>
      </c>
      <c r="W617" s="5">
        <v>42754</v>
      </c>
      <c r="X617" s="1">
        <v>4685000</v>
      </c>
      <c r="Y617" s="1">
        <v>4685000</v>
      </c>
      <c r="Z617" s="5">
        <v>42784</v>
      </c>
      <c r="AA617" s="1">
        <v>4368475</v>
      </c>
      <c r="AB617" s="1" t="s">
        <v>429</v>
      </c>
      <c r="AC617" s="5">
        <v>42888</v>
      </c>
      <c r="AF617" s="1">
        <v>10007</v>
      </c>
      <c r="AI617" s="1" t="s">
        <v>45</v>
      </c>
      <c r="AJ617" s="1">
        <v>1930</v>
      </c>
      <c r="AK617" s="1" t="s">
        <v>73</v>
      </c>
      <c r="AL617" s="1">
        <v>156</v>
      </c>
    </row>
    <row r="618" spans="1:38" x14ac:dyDescent="0.2">
      <c r="A618" s="2" t="str">
        <f>HYPERLINK("https://www.compass.com/listing/30-park-place-unit-40e-manhattan-ny-10007/29357555155209185/","30 Park Pl, Unit 40E")</f>
        <v>30 Park Pl, Unit 40E</v>
      </c>
      <c r="B618" s="2" t="str">
        <f>HYPERLINK("https://www.compass.com/building/30-park-pl-manhattan-ny-10007/281896912905317605/","30 Park Pl")</f>
        <v>30 Park Pl</v>
      </c>
      <c r="C618" s="1" t="s">
        <v>40</v>
      </c>
      <c r="D618" s="1" t="s">
        <v>41</v>
      </c>
      <c r="E618" s="3">
        <v>4582125</v>
      </c>
      <c r="F618" s="1">
        <v>2554.1387959866202</v>
      </c>
      <c r="G618" s="1">
        <v>5</v>
      </c>
      <c r="H618" s="1">
        <v>3</v>
      </c>
      <c r="I618" s="1">
        <v>2</v>
      </c>
      <c r="J618" s="1">
        <v>2</v>
      </c>
      <c r="K618" s="1">
        <v>2</v>
      </c>
      <c r="M618" s="4">
        <v>1794</v>
      </c>
      <c r="N618" s="1">
        <v>1436</v>
      </c>
      <c r="O618" s="1">
        <v>5097</v>
      </c>
      <c r="P618" s="1">
        <v>3661</v>
      </c>
      <c r="Q618" s="1" t="s">
        <v>42</v>
      </c>
      <c r="S618" s="1" t="s">
        <v>42</v>
      </c>
      <c r="T618" s="1" t="s">
        <v>170</v>
      </c>
      <c r="U618" s="1">
        <v>21</v>
      </c>
      <c r="V618" s="5">
        <v>43673</v>
      </c>
      <c r="W618" s="5">
        <v>41814</v>
      </c>
      <c r="X618" s="1">
        <v>4750000</v>
      </c>
      <c r="Y618" s="1">
        <v>4750000</v>
      </c>
      <c r="Z618" s="5">
        <v>41835</v>
      </c>
      <c r="AA618" s="1">
        <v>4582125</v>
      </c>
      <c r="AB618" s="1" t="s">
        <v>430</v>
      </c>
      <c r="AC618" s="5">
        <v>42586</v>
      </c>
      <c r="AF618" s="1">
        <v>10007</v>
      </c>
      <c r="AJ618" s="1">
        <v>2016</v>
      </c>
      <c r="AK618" s="1" t="s">
        <v>73</v>
      </c>
      <c r="AL618" s="1">
        <v>157</v>
      </c>
    </row>
    <row r="619" spans="1:38" x14ac:dyDescent="0.2">
      <c r="A619" s="2" t="str">
        <f>HYPERLINK("https://www.compass.com/listing/100-barclay-street-unit-11b-manhattan-ny-10007/803319323791414425/","100 Barclay St, Unit 11B")</f>
        <v>100 Barclay St, Unit 11B</v>
      </c>
      <c r="B619" s="2" t="str">
        <f t="shared" ref="B619:B626" si="111">HYPERLINK("https://www.compass.com/building/100-barclay-manhattan-ny/281896670466155525/","100 Barclay")</f>
        <v>100 Barclay</v>
      </c>
      <c r="C619" s="1" t="s">
        <v>40</v>
      </c>
      <c r="D619" s="1" t="s">
        <v>41</v>
      </c>
      <c r="E619" s="3">
        <v>4725000</v>
      </c>
      <c r="F619" s="1">
        <v>1995.35472972972</v>
      </c>
      <c r="G619" s="1">
        <v>6.5</v>
      </c>
      <c r="H619" s="1">
        <v>3</v>
      </c>
      <c r="I619" s="1">
        <v>4</v>
      </c>
      <c r="J619" s="1">
        <v>3.5</v>
      </c>
      <c r="K619" s="1">
        <v>3</v>
      </c>
      <c r="L619" s="1">
        <v>1</v>
      </c>
      <c r="M619" s="4">
        <v>2368</v>
      </c>
      <c r="N619" s="1">
        <v>3665</v>
      </c>
      <c r="O619" s="1">
        <v>7763</v>
      </c>
      <c r="P619" s="1">
        <v>4098</v>
      </c>
      <c r="Q619" s="1" t="s">
        <v>42</v>
      </c>
      <c r="S619" s="1" t="s">
        <v>42</v>
      </c>
      <c r="T619" s="1" t="s">
        <v>170</v>
      </c>
      <c r="U619" s="1">
        <v>1</v>
      </c>
      <c r="V619" s="5">
        <v>44173</v>
      </c>
      <c r="W619" s="5">
        <v>44082</v>
      </c>
      <c r="X619" s="1">
        <v>5500000</v>
      </c>
      <c r="Y619" s="1">
        <v>5500000</v>
      </c>
      <c r="Z619" s="5">
        <v>44083</v>
      </c>
      <c r="AA619" s="1">
        <v>4725000</v>
      </c>
      <c r="AB619" s="1" t="s">
        <v>431</v>
      </c>
      <c r="AC619" s="5">
        <v>44174</v>
      </c>
      <c r="AF619" s="1">
        <v>10007</v>
      </c>
      <c r="AI619" s="1" t="s">
        <v>432</v>
      </c>
      <c r="AJ619" s="1">
        <v>1930</v>
      </c>
      <c r="AK619" s="1" t="s">
        <v>73</v>
      </c>
      <c r="AL619" s="1">
        <v>156</v>
      </c>
    </row>
    <row r="620" spans="1:38" x14ac:dyDescent="0.2">
      <c r="A620" s="2" t="str">
        <f>HYPERLINK("https://www.compass.com/listing/100-barclay-street-unit-13a-manhattan-ny-10007/21730714944858433/","100 Barclay St, Unit 13A")</f>
        <v>100 Barclay St, Unit 13A</v>
      </c>
      <c r="B620" s="2" t="str">
        <f t="shared" si="111"/>
        <v>100 Barclay</v>
      </c>
      <c r="C620" s="1" t="s">
        <v>40</v>
      </c>
      <c r="D620" s="1" t="s">
        <v>41</v>
      </c>
      <c r="E620" s="3">
        <v>4917000</v>
      </c>
      <c r="F620" s="1">
        <v>1808.3854358219901</v>
      </c>
      <c r="G620" s="1">
        <v>6.5</v>
      </c>
      <c r="H620" s="1">
        <v>4</v>
      </c>
      <c r="I620" s="1">
        <v>4</v>
      </c>
      <c r="J620" s="1">
        <v>4</v>
      </c>
      <c r="K620" s="1">
        <v>4</v>
      </c>
      <c r="M620" s="4">
        <v>2719</v>
      </c>
      <c r="N620" s="1">
        <v>3920</v>
      </c>
      <c r="O620" s="1">
        <v>7515</v>
      </c>
      <c r="P620" s="1">
        <v>3595</v>
      </c>
      <c r="Q620" s="1" t="s">
        <v>42</v>
      </c>
      <c r="S620" s="1" t="s">
        <v>42</v>
      </c>
      <c r="T620" s="1" t="s">
        <v>170</v>
      </c>
      <c r="U620" s="1">
        <v>218</v>
      </c>
      <c r="V620" s="5">
        <v>43922</v>
      </c>
      <c r="W620" s="5">
        <v>43621</v>
      </c>
      <c r="X620" s="1">
        <v>5225000</v>
      </c>
      <c r="Y620" s="1">
        <v>5225000</v>
      </c>
      <c r="Z620" s="5">
        <v>43839</v>
      </c>
      <c r="AA620" s="1">
        <v>4917000</v>
      </c>
      <c r="AB620" s="1" t="s">
        <v>433</v>
      </c>
      <c r="AC620" s="5">
        <v>43887</v>
      </c>
      <c r="AF620" s="1">
        <v>10007</v>
      </c>
      <c r="AI620" s="1" t="s">
        <v>88</v>
      </c>
      <c r="AJ620" s="1">
        <v>1930</v>
      </c>
      <c r="AK620" s="1" t="s">
        <v>73</v>
      </c>
      <c r="AL620" s="1">
        <v>156</v>
      </c>
    </row>
    <row r="621" spans="1:38" x14ac:dyDescent="0.2">
      <c r="A621" s="2" t="str">
        <f>HYPERLINK("https://www.compass.com/listing/100-barclay-street-unit-23c-manhattan-ny-10007/23228837521331537/","100 Barclay St, Unit 23C")</f>
        <v>100 Barclay St, Unit 23C</v>
      </c>
      <c r="B621" s="2" t="str">
        <f t="shared" si="111"/>
        <v>100 Barclay</v>
      </c>
      <c r="C621" s="1" t="s">
        <v>40</v>
      </c>
      <c r="D621" s="1" t="s">
        <v>41</v>
      </c>
      <c r="E621" s="3">
        <v>5200000</v>
      </c>
      <c r="F621" s="1">
        <v>1917.40412979351</v>
      </c>
      <c r="G621" s="1">
        <v>6</v>
      </c>
      <c r="H621" s="1">
        <v>3</v>
      </c>
      <c r="I621" s="1">
        <v>4</v>
      </c>
      <c r="J621" s="1">
        <v>4</v>
      </c>
      <c r="K621" s="1">
        <v>4</v>
      </c>
      <c r="M621" s="4">
        <v>2712</v>
      </c>
      <c r="N621" s="1">
        <v>3910</v>
      </c>
      <c r="O621" s="1">
        <v>8215.7900000000009</v>
      </c>
      <c r="P621" s="1">
        <v>4305.75</v>
      </c>
      <c r="Q621" s="1" t="s">
        <v>42</v>
      </c>
      <c r="S621" s="1" t="s">
        <v>42</v>
      </c>
      <c r="T621" s="1" t="s">
        <v>170</v>
      </c>
      <c r="U621" s="1">
        <v>599</v>
      </c>
      <c r="V621" s="5">
        <v>44414</v>
      </c>
      <c r="W621" s="5">
        <v>43671</v>
      </c>
      <c r="X621" s="1">
        <v>6025000</v>
      </c>
      <c r="Y621" s="1">
        <v>6025000</v>
      </c>
      <c r="Z621" s="5">
        <v>44364</v>
      </c>
      <c r="AA621" s="1">
        <v>5200000</v>
      </c>
      <c r="AB621" s="1" t="s">
        <v>181</v>
      </c>
      <c r="AC621" s="5">
        <v>44405</v>
      </c>
      <c r="AF621" s="1">
        <v>10007</v>
      </c>
      <c r="AI621" s="1" t="s">
        <v>45</v>
      </c>
      <c r="AJ621" s="1">
        <v>1930</v>
      </c>
      <c r="AK621" s="1" t="s">
        <v>73</v>
      </c>
      <c r="AL621" s="1">
        <v>156</v>
      </c>
    </row>
    <row r="622" spans="1:38" x14ac:dyDescent="0.2">
      <c r="A622" s="2" t="str">
        <f>HYPERLINK("https://www.compass.com/listing/100-barclay-street-unit-16b-manhattan-ny-10007/243472187179162161/","100 Barclay St, Unit 16B")</f>
        <v>100 Barclay St, Unit 16B</v>
      </c>
      <c r="B622" s="2" t="str">
        <f t="shared" si="111"/>
        <v>100 Barclay</v>
      </c>
      <c r="C622" s="1" t="s">
        <v>40</v>
      </c>
      <c r="D622" s="1" t="s">
        <v>41</v>
      </c>
      <c r="E622" s="3">
        <v>4850000</v>
      </c>
      <c r="F622" s="1">
        <v>2174.8878923766802</v>
      </c>
      <c r="G622" s="1">
        <v>6</v>
      </c>
      <c r="H622" s="1">
        <v>3</v>
      </c>
      <c r="I622" s="1">
        <v>4</v>
      </c>
      <c r="J622" s="1">
        <v>3.5</v>
      </c>
      <c r="K622" s="1">
        <v>3</v>
      </c>
      <c r="L622" s="1">
        <v>1</v>
      </c>
      <c r="M622" s="4">
        <v>2230</v>
      </c>
      <c r="N622" s="1">
        <v>3269</v>
      </c>
      <c r="O622" s="1">
        <v>6269</v>
      </c>
      <c r="P622" s="1">
        <v>3000</v>
      </c>
      <c r="Q622" s="1" t="s">
        <v>42</v>
      </c>
      <c r="S622" s="1" t="s">
        <v>42</v>
      </c>
      <c r="T622" s="1" t="s">
        <v>170</v>
      </c>
      <c r="U622" s="1">
        <v>33</v>
      </c>
      <c r="V622" s="5">
        <v>43697</v>
      </c>
      <c r="W622" s="5">
        <v>43588</v>
      </c>
      <c r="X622" s="1">
        <v>5155000</v>
      </c>
      <c r="Y622" s="1">
        <v>5155000</v>
      </c>
      <c r="Z622" s="5">
        <v>43621</v>
      </c>
      <c r="AA622" s="1">
        <v>4850000</v>
      </c>
      <c r="AB622" s="1" t="s">
        <v>434</v>
      </c>
      <c r="AC622" s="5">
        <v>43642</v>
      </c>
      <c r="AF622" s="1">
        <v>10007</v>
      </c>
      <c r="AI622" s="1" t="s">
        <v>74</v>
      </c>
      <c r="AJ622" s="1">
        <v>1930</v>
      </c>
      <c r="AK622" s="1" t="s">
        <v>73</v>
      </c>
      <c r="AL622" s="1">
        <v>156</v>
      </c>
    </row>
    <row r="623" spans="1:38" x14ac:dyDescent="0.2">
      <c r="A623" s="2" t="str">
        <f>HYPERLINK("https://www.compass.com/listing/100-barclay-street-unit-17a-manhattan-ny-10007/26850074973763137/","100 Barclay St, Unit 17A")</f>
        <v>100 Barclay St, Unit 17A</v>
      </c>
      <c r="B623" s="2" t="str">
        <f t="shared" si="111"/>
        <v>100 Barclay</v>
      </c>
      <c r="C623" s="1" t="s">
        <v>40</v>
      </c>
      <c r="D623" s="1" t="s">
        <v>41</v>
      </c>
      <c r="E623" s="3">
        <v>4883950</v>
      </c>
      <c r="F623" s="1">
        <v>1952.0183852917601</v>
      </c>
      <c r="G623" s="1">
        <v>8</v>
      </c>
      <c r="H623" s="1">
        <v>4</v>
      </c>
      <c r="I623" s="1">
        <v>5</v>
      </c>
      <c r="J623" s="1">
        <v>4.5</v>
      </c>
      <c r="K623" s="1">
        <v>4</v>
      </c>
      <c r="L623" s="1">
        <v>1</v>
      </c>
      <c r="M623" s="4">
        <v>2502</v>
      </c>
      <c r="N623" s="1">
        <v>3607</v>
      </c>
      <c r="O623" s="1">
        <v>7304</v>
      </c>
      <c r="P623" s="1">
        <v>3697</v>
      </c>
      <c r="Q623" s="1" t="s">
        <v>42</v>
      </c>
      <c r="S623" s="1" t="s">
        <v>42</v>
      </c>
      <c r="T623" s="1" t="s">
        <v>170</v>
      </c>
      <c r="U623" s="1">
        <v>32</v>
      </c>
      <c r="V623" s="5">
        <v>43978</v>
      </c>
      <c r="W623" s="5">
        <v>43872</v>
      </c>
      <c r="Y623" s="1">
        <v>5450000</v>
      </c>
      <c r="Z623" s="5">
        <v>43904</v>
      </c>
      <c r="AA623" s="1">
        <v>4883950</v>
      </c>
      <c r="AB623" s="1" t="s">
        <v>435</v>
      </c>
      <c r="AC623" s="5">
        <v>43973</v>
      </c>
      <c r="AF623" s="1">
        <v>10007</v>
      </c>
      <c r="AI623" s="1" t="s">
        <v>45</v>
      </c>
      <c r="AJ623" s="1">
        <v>1930</v>
      </c>
      <c r="AK623" s="1" t="s">
        <v>73</v>
      </c>
      <c r="AL623" s="1">
        <v>156</v>
      </c>
    </row>
    <row r="624" spans="1:38" x14ac:dyDescent="0.2">
      <c r="A624" s="2" t="str">
        <f>HYPERLINK("https://www.compass.com/listing/100-barclay-street-unit-22a-manhattan-ny-10007/27574681078917441/","100 Barclay St, Unit 22A")</f>
        <v>100 Barclay St, Unit 22A</v>
      </c>
      <c r="B624" s="2" t="str">
        <f t="shared" si="111"/>
        <v>100 Barclay</v>
      </c>
      <c r="C624" s="1" t="s">
        <v>40</v>
      </c>
      <c r="D624" s="1" t="s">
        <v>41</v>
      </c>
      <c r="E624" s="3">
        <v>5838555</v>
      </c>
      <c r="F624" s="1">
        <v>1962.5394957983101</v>
      </c>
      <c r="G624" s="1">
        <v>8</v>
      </c>
      <c r="H624" s="1">
        <v>3</v>
      </c>
      <c r="I624" s="1">
        <v>4</v>
      </c>
      <c r="J624" s="1">
        <v>4</v>
      </c>
      <c r="K624" s="1">
        <v>4</v>
      </c>
      <c r="M624" s="4">
        <v>2975</v>
      </c>
      <c r="N624" s="1">
        <v>4289</v>
      </c>
      <c r="O624" s="1">
        <v>8228</v>
      </c>
      <c r="P624" s="1">
        <v>3939</v>
      </c>
      <c r="Q624" s="1" t="s">
        <v>42</v>
      </c>
      <c r="S624" s="1" t="s">
        <v>42</v>
      </c>
      <c r="T624" s="1" t="s">
        <v>170</v>
      </c>
      <c r="U624" s="1">
        <v>74</v>
      </c>
      <c r="V624" s="5">
        <v>43738</v>
      </c>
      <c r="W624" s="5">
        <v>43619</v>
      </c>
      <c r="X624" s="1">
        <v>6400000</v>
      </c>
      <c r="Y624" s="1">
        <v>6400000</v>
      </c>
      <c r="Z624" s="5">
        <v>43693</v>
      </c>
      <c r="AA624" s="1">
        <v>5838555</v>
      </c>
      <c r="AB624" s="1" t="s">
        <v>436</v>
      </c>
      <c r="AC624" s="5">
        <v>43724</v>
      </c>
      <c r="AF624" s="1">
        <v>10007</v>
      </c>
      <c r="AI624" s="1" t="s">
        <v>45</v>
      </c>
      <c r="AJ624" s="1">
        <v>1930</v>
      </c>
      <c r="AK624" s="1" t="s">
        <v>73</v>
      </c>
      <c r="AL624" s="1">
        <v>156</v>
      </c>
    </row>
    <row r="625" spans="1:38" x14ac:dyDescent="0.2">
      <c r="A625" s="2" t="str">
        <f>HYPERLINK("https://www.compass.com/listing/100-barclay-street-unit-16a-manhattan-ny-10007/29513632110967953/","100 Barclay St, Unit 16A")</f>
        <v>100 Barclay St, Unit 16A</v>
      </c>
      <c r="B625" s="2" t="str">
        <f t="shared" si="111"/>
        <v>100 Barclay</v>
      </c>
      <c r="C625" s="1" t="s">
        <v>40</v>
      </c>
      <c r="D625" s="1" t="s">
        <v>41</v>
      </c>
      <c r="E625" s="3">
        <v>4700000</v>
      </c>
      <c r="F625" s="1">
        <v>1878.4972022382001</v>
      </c>
      <c r="G625" s="1">
        <v>6.5</v>
      </c>
      <c r="H625" s="1">
        <v>4</v>
      </c>
      <c r="I625" s="1">
        <v>5</v>
      </c>
      <c r="J625" s="1">
        <v>4.5</v>
      </c>
      <c r="K625" s="1">
        <v>4</v>
      </c>
      <c r="L625" s="1">
        <v>1</v>
      </c>
      <c r="M625" s="4">
        <v>2502</v>
      </c>
      <c r="N625" s="1">
        <v>3683</v>
      </c>
      <c r="O625" s="1">
        <v>7456</v>
      </c>
      <c r="P625" s="1">
        <v>3773</v>
      </c>
      <c r="Q625" s="1" t="s">
        <v>42</v>
      </c>
      <c r="S625" s="1" t="s">
        <v>42</v>
      </c>
      <c r="T625" s="1" t="s">
        <v>170</v>
      </c>
      <c r="U625" s="1">
        <v>549</v>
      </c>
      <c r="V625" s="5">
        <v>43984</v>
      </c>
      <c r="W625" s="5">
        <v>43280</v>
      </c>
      <c r="Y625" s="1">
        <v>5400000</v>
      </c>
      <c r="Z625" s="5">
        <v>43871</v>
      </c>
      <c r="AA625" s="1">
        <v>4700000</v>
      </c>
      <c r="AB625" s="1" t="s">
        <v>437</v>
      </c>
      <c r="AC625" s="5">
        <v>43937</v>
      </c>
      <c r="AF625" s="1">
        <v>10007</v>
      </c>
      <c r="AI625" s="1" t="s">
        <v>74</v>
      </c>
      <c r="AJ625" s="1">
        <v>1930</v>
      </c>
      <c r="AK625" s="1" t="s">
        <v>73</v>
      </c>
      <c r="AL625" s="1">
        <v>156</v>
      </c>
    </row>
    <row r="626" spans="1:38" x14ac:dyDescent="0.2">
      <c r="A626" s="2" t="str">
        <f>HYPERLINK("https://www.compass.com/listing/100-barclay-street-unit-16j-manhattan-ny-10007/4852308632882121329/","100 Barclay St, Unit 16J")</f>
        <v>100 Barclay St, Unit 16J</v>
      </c>
      <c r="B626" s="2" t="str">
        <f t="shared" si="111"/>
        <v>100 Barclay</v>
      </c>
      <c r="C626" s="1" t="s">
        <v>40</v>
      </c>
      <c r="D626" s="1" t="s">
        <v>41</v>
      </c>
      <c r="E626" s="3">
        <v>2036500</v>
      </c>
      <c r="F626" s="1">
        <v>1577.45933384972</v>
      </c>
      <c r="G626" s="1">
        <v>4</v>
      </c>
      <c r="H626" s="1">
        <v>1</v>
      </c>
      <c r="I626" s="1">
        <v>2</v>
      </c>
      <c r="J626" s="1">
        <v>2</v>
      </c>
      <c r="K626" s="1">
        <v>2</v>
      </c>
      <c r="M626" s="4">
        <v>1291</v>
      </c>
      <c r="N626" s="1">
        <v>1520</v>
      </c>
      <c r="O626" s="1">
        <v>2974</v>
      </c>
      <c r="P626" s="1">
        <v>1454</v>
      </c>
      <c r="Q626" s="1" t="s">
        <v>438</v>
      </c>
      <c r="S626" s="1" t="s">
        <v>438</v>
      </c>
      <c r="T626" s="1" t="s">
        <v>170</v>
      </c>
      <c r="V626" s="5">
        <v>44390</v>
      </c>
      <c r="W626" s="5">
        <v>42477</v>
      </c>
      <c r="X626" s="1">
        <v>2055696</v>
      </c>
      <c r="Y626" s="1">
        <v>2055696</v>
      </c>
      <c r="Z626" s="5">
        <v>42477</v>
      </c>
      <c r="AA626" s="1">
        <v>2036500</v>
      </c>
      <c r="AB626" s="1" t="s">
        <v>439</v>
      </c>
      <c r="AC626" s="5">
        <v>42726</v>
      </c>
      <c r="AF626" s="1">
        <v>10007</v>
      </c>
      <c r="AI626" s="1" t="s">
        <v>45</v>
      </c>
      <c r="AJ626" s="1">
        <v>1930</v>
      </c>
      <c r="AK626" s="1" t="s">
        <v>73</v>
      </c>
      <c r="AL626" s="1">
        <v>156</v>
      </c>
    </row>
    <row r="627" spans="1:38" x14ac:dyDescent="0.2">
      <c r="A627" s="2" t="str">
        <f>HYPERLINK("https://www.compass.com/listing/30-park-place-unit-52d-manhattan-ny-10007/29357571001289985/","30 Park Pl, Unit 52D")</f>
        <v>30 Park Pl, Unit 52D</v>
      </c>
      <c r="B627" s="2" t="str">
        <f>HYPERLINK("https://www.compass.com/building/30-park-pl-manhattan-ny-10007/281896912905317605/","30 Park Pl")</f>
        <v>30 Park Pl</v>
      </c>
      <c r="C627" s="1" t="s">
        <v>40</v>
      </c>
      <c r="D627" s="1" t="s">
        <v>41</v>
      </c>
      <c r="E627" s="3">
        <v>4459935</v>
      </c>
      <c r="F627" s="1">
        <v>2899.8276983094902</v>
      </c>
      <c r="G627" s="1">
        <v>4</v>
      </c>
      <c r="H627" s="1">
        <v>2</v>
      </c>
      <c r="I627" s="1">
        <v>2</v>
      </c>
      <c r="J627" s="1">
        <v>2.5</v>
      </c>
      <c r="K627" s="1">
        <v>2</v>
      </c>
      <c r="L627" s="1">
        <v>1</v>
      </c>
      <c r="M627" s="4">
        <v>1538</v>
      </c>
      <c r="N627" s="1">
        <v>1249</v>
      </c>
      <c r="O627" s="1">
        <v>4433</v>
      </c>
      <c r="P627" s="1">
        <v>3184</v>
      </c>
      <c r="Q627" s="1" t="s">
        <v>42</v>
      </c>
      <c r="S627" s="1" t="s">
        <v>42</v>
      </c>
      <c r="T627" s="1" t="s">
        <v>170</v>
      </c>
      <c r="U627" s="1">
        <v>135</v>
      </c>
      <c r="V627" s="5">
        <v>43662</v>
      </c>
      <c r="W627" s="5">
        <v>42647</v>
      </c>
      <c r="X627" s="1">
        <v>4925000</v>
      </c>
      <c r="Y627" s="1">
        <v>4380000</v>
      </c>
      <c r="Z627" s="5">
        <v>42782</v>
      </c>
      <c r="AA627" s="1">
        <v>4459935</v>
      </c>
      <c r="AB627" s="1" t="s">
        <v>440</v>
      </c>
      <c r="AC627" s="5">
        <v>42835</v>
      </c>
      <c r="AF627" s="1">
        <v>10007</v>
      </c>
      <c r="AJ627" s="1">
        <v>2016</v>
      </c>
      <c r="AK627" s="1" t="s">
        <v>73</v>
      </c>
      <c r="AL627" s="1">
        <v>157</v>
      </c>
    </row>
    <row r="628" spans="1:38" x14ac:dyDescent="0.2">
      <c r="A628" s="2" t="str">
        <f>HYPERLINK("https://www.compass.com/listing/100-barclay-street-unit-14l-manhattan-ny-10007/4852308916626788977/","100 Barclay St, Unit 14L")</f>
        <v>100 Barclay St, Unit 14L</v>
      </c>
      <c r="B628" s="2" t="str">
        <f t="shared" ref="B628:B630" si="112">HYPERLINK("https://www.compass.com/building/100-barclay-manhattan-ny/281896670466155525/","100 Barclay")</f>
        <v>100 Barclay</v>
      </c>
      <c r="C628" s="1" t="s">
        <v>40</v>
      </c>
      <c r="D628" s="1" t="s">
        <v>41</v>
      </c>
      <c r="E628" s="3">
        <v>3818438</v>
      </c>
      <c r="F628" s="1">
        <v>2367.28952262864</v>
      </c>
      <c r="G628" s="1">
        <v>4</v>
      </c>
      <c r="H628" s="1">
        <v>2</v>
      </c>
      <c r="I628" s="1">
        <v>3</v>
      </c>
      <c r="J628" s="1">
        <v>2.5</v>
      </c>
      <c r="M628" s="4">
        <v>1613</v>
      </c>
      <c r="N628" s="1">
        <v>2165</v>
      </c>
      <c r="O628" s="1">
        <v>4289</v>
      </c>
      <c r="P628" s="1">
        <v>2124</v>
      </c>
      <c r="Q628" s="1" t="s">
        <v>42</v>
      </c>
      <c r="S628" s="1" t="s">
        <v>42</v>
      </c>
      <c r="T628" s="1" t="s">
        <v>170</v>
      </c>
      <c r="V628" s="5">
        <v>43640</v>
      </c>
      <c r="W628" s="5">
        <v>42180</v>
      </c>
      <c r="X628" s="1">
        <v>3861000</v>
      </c>
      <c r="Y628" s="1">
        <v>3861000</v>
      </c>
      <c r="Z628" s="5">
        <v>42180</v>
      </c>
      <c r="AA628" s="1">
        <v>3818438</v>
      </c>
      <c r="AB628" s="1" t="s">
        <v>441</v>
      </c>
      <c r="AC628" s="5">
        <v>42711</v>
      </c>
      <c r="AF628" s="1">
        <v>10007</v>
      </c>
      <c r="AI628" s="1" t="s">
        <v>88</v>
      </c>
      <c r="AJ628" s="1">
        <v>1930</v>
      </c>
      <c r="AK628" s="1" t="s">
        <v>73</v>
      </c>
      <c r="AL628" s="1">
        <v>156</v>
      </c>
    </row>
    <row r="629" spans="1:38" x14ac:dyDescent="0.2">
      <c r="A629" s="2" t="str">
        <f>HYPERLINK("https://www.compass.com/listing/100-barclay-street-unit-11p-manhattan-ny-10007/4852308964106312257/","100 Barclay St, Unit 11P")</f>
        <v>100 Barclay St, Unit 11P</v>
      </c>
      <c r="B629" s="2" t="str">
        <f t="shared" si="112"/>
        <v>100 Barclay</v>
      </c>
      <c r="C629" s="1" t="s">
        <v>40</v>
      </c>
      <c r="D629" s="1" t="s">
        <v>41</v>
      </c>
      <c r="E629" s="3">
        <v>3603078</v>
      </c>
      <c r="F629" s="1">
        <v>2289.1219822109201</v>
      </c>
      <c r="G629" s="1">
        <v>5</v>
      </c>
      <c r="H629" s="1">
        <v>2</v>
      </c>
      <c r="I629" s="1">
        <v>2</v>
      </c>
      <c r="J629" s="1">
        <v>2</v>
      </c>
      <c r="M629" s="4">
        <v>1574</v>
      </c>
      <c r="N629" s="1">
        <v>2073</v>
      </c>
      <c r="O629" s="1">
        <v>4107</v>
      </c>
      <c r="P629" s="1">
        <v>2034</v>
      </c>
      <c r="Q629" s="1" t="s">
        <v>42</v>
      </c>
      <c r="S629" s="1" t="s">
        <v>42</v>
      </c>
      <c r="T629" s="1" t="s">
        <v>170</v>
      </c>
      <c r="V629" s="5">
        <v>43629</v>
      </c>
      <c r="W629" s="5">
        <v>42175</v>
      </c>
      <c r="X629" s="1">
        <v>3600000</v>
      </c>
      <c r="Y629" s="1">
        <v>3661500</v>
      </c>
      <c r="Z629" s="5">
        <v>42175</v>
      </c>
      <c r="AA629" s="1">
        <v>3603078</v>
      </c>
      <c r="AB629" s="1" t="s">
        <v>442</v>
      </c>
      <c r="AC629" s="5">
        <v>42817</v>
      </c>
      <c r="AF629" s="1">
        <v>10007</v>
      </c>
      <c r="AI629" s="1" t="s">
        <v>45</v>
      </c>
      <c r="AJ629" s="1">
        <v>1930</v>
      </c>
      <c r="AK629" s="1" t="s">
        <v>46</v>
      </c>
      <c r="AL629" s="1">
        <v>156</v>
      </c>
    </row>
    <row r="630" spans="1:38" x14ac:dyDescent="0.2">
      <c r="A630" s="2" t="str">
        <f>HYPERLINK("https://www.compass.com/listing/100-barclay-street-unit-15l-manhattan-ny-10007/70921074908383377/","100 Barclay St, Unit 15L")</f>
        <v>100 Barclay St, Unit 15L</v>
      </c>
      <c r="B630" s="2" t="str">
        <f t="shared" si="112"/>
        <v>100 Barclay</v>
      </c>
      <c r="C630" s="1" t="s">
        <v>40</v>
      </c>
      <c r="D630" s="1" t="s">
        <v>41</v>
      </c>
      <c r="E630" s="3">
        <v>3563875</v>
      </c>
      <c r="F630" s="1">
        <v>2209.4699318040898</v>
      </c>
      <c r="G630" s="1">
        <v>4</v>
      </c>
      <c r="H630" s="1">
        <v>2</v>
      </c>
      <c r="I630" s="1">
        <v>2</v>
      </c>
      <c r="J630" s="1">
        <v>2</v>
      </c>
      <c r="M630" s="4">
        <v>1613</v>
      </c>
      <c r="N630" s="1">
        <v>2014</v>
      </c>
      <c r="O630" s="1">
        <v>3990</v>
      </c>
      <c r="P630" s="1">
        <v>1976</v>
      </c>
      <c r="Q630" s="1" t="s">
        <v>42</v>
      </c>
      <c r="S630" s="1" t="s">
        <v>42</v>
      </c>
      <c r="T630" s="1" t="s">
        <v>170</v>
      </c>
      <c r="V630" s="5">
        <v>43672</v>
      </c>
      <c r="W630" s="5">
        <v>42194</v>
      </c>
      <c r="X630" s="1">
        <v>3611000</v>
      </c>
      <c r="Y630" s="1">
        <v>3611000</v>
      </c>
      <c r="Z630" s="5">
        <v>42194</v>
      </c>
      <c r="AA630" s="1">
        <v>3563875</v>
      </c>
      <c r="AB630" s="1" t="s">
        <v>443</v>
      </c>
      <c r="AC630" s="5">
        <v>42706</v>
      </c>
      <c r="AF630" s="1">
        <v>10007</v>
      </c>
      <c r="AI630" s="1" t="s">
        <v>45</v>
      </c>
      <c r="AJ630" s="1">
        <v>1930</v>
      </c>
      <c r="AK630" s="1" t="s">
        <v>73</v>
      </c>
      <c r="AL630" s="1">
        <v>156</v>
      </c>
    </row>
    <row r="631" spans="1:38" x14ac:dyDescent="0.2">
      <c r="A631" s="2" t="str">
        <f>HYPERLINK("https://www.compass.com/listing/30-park-place-unit-41a-manhattan-ny-10007/29357555474074465/","30 Park Pl, Unit 41A")</f>
        <v>30 Park Pl, Unit 41A</v>
      </c>
      <c r="B631" s="2" t="str">
        <f t="shared" ref="B631:B634" si="113">HYPERLINK("https://www.compass.com/building/30-park-pl-manhattan-ny-10007/281896912905317605/","30 Park Pl")</f>
        <v>30 Park Pl</v>
      </c>
      <c r="C631" s="1" t="s">
        <v>40</v>
      </c>
      <c r="D631" s="1" t="s">
        <v>41</v>
      </c>
      <c r="E631" s="3">
        <v>6336038</v>
      </c>
      <c r="F631" s="1">
        <v>2855.3573681838602</v>
      </c>
      <c r="G631" s="1">
        <v>5.5</v>
      </c>
      <c r="H631" s="1">
        <v>3</v>
      </c>
      <c r="I631" s="1">
        <v>3</v>
      </c>
      <c r="J631" s="1">
        <v>3</v>
      </c>
      <c r="K631" s="1">
        <v>3</v>
      </c>
      <c r="M631" s="4">
        <v>2219</v>
      </c>
      <c r="N631" s="1">
        <v>1799</v>
      </c>
      <c r="O631" s="1">
        <v>6386</v>
      </c>
      <c r="P631" s="1">
        <v>4587</v>
      </c>
      <c r="Q631" s="1" t="s">
        <v>155</v>
      </c>
      <c r="S631" s="1" t="s">
        <v>155</v>
      </c>
      <c r="T631" s="1" t="s">
        <v>170</v>
      </c>
      <c r="U631" s="1">
        <v>8</v>
      </c>
      <c r="V631" s="5">
        <v>43673</v>
      </c>
      <c r="W631" s="5">
        <v>41838</v>
      </c>
      <c r="X631" s="1">
        <v>6900000</v>
      </c>
      <c r="Y631" s="1">
        <v>6150000</v>
      </c>
      <c r="Z631" s="5">
        <v>41846</v>
      </c>
      <c r="AA631" s="1">
        <v>6336038</v>
      </c>
      <c r="AB631" s="1" t="s">
        <v>444</v>
      </c>
      <c r="AC631" s="5">
        <v>42605</v>
      </c>
      <c r="AF631" s="1">
        <v>10007</v>
      </c>
      <c r="AJ631" s="1">
        <v>2016</v>
      </c>
      <c r="AK631" s="1" t="s">
        <v>73</v>
      </c>
      <c r="AL631" s="1">
        <v>157</v>
      </c>
    </row>
    <row r="632" spans="1:38" x14ac:dyDescent="0.2">
      <c r="A632" s="2" t="str">
        <f>HYPERLINK("https://www.compass.com/listing/30-park-place-unit-42a-manhattan-ny-10007/29357556799379569/","30 Park Pl, Unit 42A")</f>
        <v>30 Park Pl, Unit 42A</v>
      </c>
      <c r="B632" s="2" t="str">
        <f t="shared" si="113"/>
        <v>30 Park Pl</v>
      </c>
      <c r="C632" s="1" t="s">
        <v>40</v>
      </c>
      <c r="D632" s="1" t="s">
        <v>41</v>
      </c>
      <c r="E632" s="3">
        <v>6313150</v>
      </c>
      <c r="F632" s="1">
        <v>2845.04281207751</v>
      </c>
      <c r="G632" s="1">
        <v>5.5</v>
      </c>
      <c r="H632" s="1">
        <v>3</v>
      </c>
      <c r="I632" s="1">
        <v>3</v>
      </c>
      <c r="J632" s="1">
        <v>3</v>
      </c>
      <c r="K632" s="1">
        <v>3</v>
      </c>
      <c r="M632" s="4">
        <v>2219</v>
      </c>
      <c r="N632" s="1">
        <v>1802</v>
      </c>
      <c r="O632" s="1">
        <v>6395</v>
      </c>
      <c r="P632" s="1">
        <v>4593</v>
      </c>
      <c r="Q632" s="1" t="s">
        <v>42</v>
      </c>
      <c r="S632" s="1" t="s">
        <v>42</v>
      </c>
      <c r="T632" s="1" t="s">
        <v>170</v>
      </c>
      <c r="U632" s="1">
        <v>4</v>
      </c>
      <c r="V632" s="5">
        <v>43665</v>
      </c>
      <c r="W632" s="5">
        <v>41796</v>
      </c>
      <c r="X632" s="1">
        <v>6800000</v>
      </c>
      <c r="Y632" s="1">
        <v>6950000</v>
      </c>
      <c r="Z632" s="5">
        <v>41800</v>
      </c>
      <c r="AA632" s="1">
        <v>6313150</v>
      </c>
      <c r="AB632" s="1" t="s">
        <v>445</v>
      </c>
      <c r="AC632" s="5">
        <v>42577</v>
      </c>
      <c r="AF632" s="1">
        <v>10007</v>
      </c>
      <c r="AJ632" s="1">
        <v>2016</v>
      </c>
      <c r="AK632" s="1" t="s">
        <v>73</v>
      </c>
      <c r="AL632" s="1">
        <v>157</v>
      </c>
    </row>
    <row r="633" spans="1:38" x14ac:dyDescent="0.2">
      <c r="A633" s="2" t="str">
        <f>HYPERLINK("https://www.compass.com/listing/30-park-place-unit-47a-manhattan-ny-10007/29357563719981281/","30 Park Pl, Unit 47A")</f>
        <v>30 Park Pl, Unit 47A</v>
      </c>
      <c r="B633" s="2" t="str">
        <f t="shared" si="113"/>
        <v>30 Park Pl</v>
      </c>
      <c r="C633" s="1" t="s">
        <v>40</v>
      </c>
      <c r="D633" s="1" t="s">
        <v>41</v>
      </c>
      <c r="E633" s="3">
        <v>6975013</v>
      </c>
      <c r="F633" s="1">
        <v>3143.31365479945</v>
      </c>
      <c r="G633" s="1">
        <v>6</v>
      </c>
      <c r="H633" s="1">
        <v>3</v>
      </c>
      <c r="I633" s="1">
        <v>3</v>
      </c>
      <c r="J633" s="1">
        <v>3</v>
      </c>
      <c r="K633" s="1">
        <v>3</v>
      </c>
      <c r="M633" s="4">
        <v>2219</v>
      </c>
      <c r="N633" s="1">
        <v>1815</v>
      </c>
      <c r="O633" s="1">
        <v>6441</v>
      </c>
      <c r="P633" s="1">
        <v>4626</v>
      </c>
      <c r="Q633" s="1" t="s">
        <v>42</v>
      </c>
      <c r="S633" s="1" t="s">
        <v>42</v>
      </c>
      <c r="T633" s="1" t="s">
        <v>170</v>
      </c>
      <c r="U633" s="1">
        <v>25</v>
      </c>
      <c r="V633" s="5">
        <v>43664</v>
      </c>
      <c r="W633" s="5">
        <v>41852</v>
      </c>
      <c r="X633" s="1">
        <v>7200000</v>
      </c>
      <c r="Y633" s="1">
        <v>6850000</v>
      </c>
      <c r="Z633" s="5">
        <v>41877</v>
      </c>
      <c r="AA633" s="1">
        <v>6975013</v>
      </c>
      <c r="AB633" s="1" t="s">
        <v>446</v>
      </c>
      <c r="AC633" s="5">
        <v>42599</v>
      </c>
      <c r="AF633" s="1">
        <v>10007</v>
      </c>
      <c r="AJ633" s="1">
        <v>2016</v>
      </c>
      <c r="AK633" s="1" t="s">
        <v>73</v>
      </c>
      <c r="AL633" s="1">
        <v>157</v>
      </c>
    </row>
    <row r="634" spans="1:38" x14ac:dyDescent="0.2">
      <c r="A634" s="2" t="str">
        <f>HYPERLINK("https://www.compass.com/listing/30-park-place-unit-55b-manhattan-ny-10007/29357574516119969/","30 Park Pl, Unit 55B")</f>
        <v>30 Park Pl, Unit 55B</v>
      </c>
      <c r="B634" s="2" t="str">
        <f t="shared" si="113"/>
        <v>30 Park Pl</v>
      </c>
      <c r="C634" s="1" t="s">
        <v>40</v>
      </c>
      <c r="D634" s="1" t="s">
        <v>41</v>
      </c>
      <c r="E634" s="3">
        <v>6418625</v>
      </c>
      <c r="F634" s="1">
        <v>2900.4179846362399</v>
      </c>
      <c r="G634" s="1">
        <v>6</v>
      </c>
      <c r="H634" s="1">
        <v>3</v>
      </c>
      <c r="I634" s="1">
        <v>3</v>
      </c>
      <c r="J634" s="1">
        <v>3</v>
      </c>
      <c r="K634" s="1">
        <v>3</v>
      </c>
      <c r="M634" s="4">
        <v>2213</v>
      </c>
      <c r="N634" s="1">
        <v>1800</v>
      </c>
      <c r="O634" s="1">
        <v>6389</v>
      </c>
      <c r="P634" s="1">
        <v>4589</v>
      </c>
      <c r="Q634" s="1" t="s">
        <v>42</v>
      </c>
      <c r="S634" s="1" t="s">
        <v>42</v>
      </c>
      <c r="T634" s="1" t="s">
        <v>170</v>
      </c>
      <c r="U634" s="1">
        <v>64</v>
      </c>
      <c r="V634" s="5">
        <v>43673</v>
      </c>
      <c r="W634" s="5">
        <v>41838</v>
      </c>
      <c r="X634" s="1">
        <v>6500000</v>
      </c>
      <c r="Y634" s="1">
        <v>6418625</v>
      </c>
      <c r="Z634" s="5">
        <v>41902</v>
      </c>
      <c r="AA634" s="1">
        <v>6418625</v>
      </c>
      <c r="AB634" s="1" t="s">
        <v>447</v>
      </c>
      <c r="AC634" s="5">
        <v>42719</v>
      </c>
      <c r="AF634" s="1">
        <v>10007</v>
      </c>
      <c r="AJ634" s="1">
        <v>2016</v>
      </c>
      <c r="AK634" s="1" t="s">
        <v>73</v>
      </c>
      <c r="AL634" s="1">
        <v>157</v>
      </c>
    </row>
    <row r="635" spans="1:38" x14ac:dyDescent="0.2">
      <c r="A635" s="2" t="str">
        <f>HYPERLINK("https://www.compass.com/listing/100-barclay-street-unit-13f-manhattan-ny-10007/4852323156053992641/","100 Barclay St, Unit 13F")</f>
        <v>100 Barclay St, Unit 13F</v>
      </c>
      <c r="B635" s="2" t="str">
        <f t="shared" ref="B635:B636" si="114">HYPERLINK("https://www.compass.com/building/100-barclay-manhattan-ny/281896670466155525/","100 Barclay")</f>
        <v>100 Barclay</v>
      </c>
      <c r="C635" s="1" t="s">
        <v>40</v>
      </c>
      <c r="D635" s="1" t="s">
        <v>41</v>
      </c>
      <c r="E635" s="3">
        <v>4205083</v>
      </c>
      <c r="F635" s="1">
        <v>2073.5123274161701</v>
      </c>
      <c r="G635" s="1">
        <v>6</v>
      </c>
      <c r="H635" s="1">
        <v>3</v>
      </c>
      <c r="I635" s="1">
        <v>4</v>
      </c>
      <c r="J635" s="1">
        <v>3.5</v>
      </c>
      <c r="M635" s="4">
        <v>2028</v>
      </c>
      <c r="N635" s="1">
        <v>2531</v>
      </c>
      <c r="O635" s="1">
        <v>5014</v>
      </c>
      <c r="P635" s="1">
        <v>2483</v>
      </c>
      <c r="Q635" s="1" t="s">
        <v>42</v>
      </c>
      <c r="S635" s="1" t="s">
        <v>42</v>
      </c>
      <c r="T635" s="1" t="s">
        <v>170</v>
      </c>
      <c r="V635" s="5">
        <v>43641</v>
      </c>
      <c r="W635" s="5">
        <v>42288</v>
      </c>
      <c r="X635" s="1">
        <v>4299500</v>
      </c>
      <c r="Y635" s="1">
        <v>4299500</v>
      </c>
      <c r="Z635" s="5">
        <v>42288</v>
      </c>
      <c r="AA635" s="1">
        <v>4205083</v>
      </c>
      <c r="AB635" s="1" t="s">
        <v>448</v>
      </c>
      <c r="AC635" s="5">
        <v>42747</v>
      </c>
      <c r="AF635" s="1">
        <v>10007</v>
      </c>
      <c r="AI635" s="1" t="s">
        <v>45</v>
      </c>
      <c r="AJ635" s="1">
        <v>1930</v>
      </c>
      <c r="AK635" s="1" t="s">
        <v>46</v>
      </c>
      <c r="AL635" s="1">
        <v>156</v>
      </c>
    </row>
    <row r="636" spans="1:38" x14ac:dyDescent="0.2">
      <c r="A636" s="2" t="str">
        <f>HYPERLINK("https://www.compass.com/listing/100-barclay-street-unit-17k-manhattan-ny-10007/4852279371647422417/","100 Barclay St, Unit 17K")</f>
        <v>100 Barclay St, Unit 17K</v>
      </c>
      <c r="B636" s="2" t="str">
        <f t="shared" si="114"/>
        <v>100 Barclay</v>
      </c>
      <c r="C636" s="1" t="s">
        <v>40</v>
      </c>
      <c r="D636" s="1" t="s">
        <v>41</v>
      </c>
      <c r="E636" s="3">
        <v>3300000</v>
      </c>
      <c r="F636" s="1">
        <v>1911.93511008111</v>
      </c>
      <c r="G636" s="1">
        <v>4</v>
      </c>
      <c r="H636" s="1">
        <v>2</v>
      </c>
      <c r="I636" s="1">
        <v>3</v>
      </c>
      <c r="J636" s="1">
        <v>2.5</v>
      </c>
      <c r="K636" s="1">
        <v>2</v>
      </c>
      <c r="L636" s="1">
        <v>1</v>
      </c>
      <c r="M636" s="4">
        <v>1726</v>
      </c>
      <c r="N636" s="1">
        <v>2215</v>
      </c>
      <c r="O636" s="1">
        <v>4333</v>
      </c>
      <c r="P636" s="1">
        <v>2118</v>
      </c>
      <c r="Q636" s="1" t="s">
        <v>438</v>
      </c>
      <c r="S636" s="1" t="s">
        <v>438</v>
      </c>
      <c r="T636" s="1" t="s">
        <v>170</v>
      </c>
      <c r="V636" s="5">
        <v>44338</v>
      </c>
      <c r="W636" s="5">
        <v>42477</v>
      </c>
      <c r="X636" s="1">
        <v>3349500</v>
      </c>
      <c r="Y636" s="1">
        <v>3349500</v>
      </c>
      <c r="Z636" s="5">
        <v>42477</v>
      </c>
      <c r="AA636" s="1">
        <v>3300000</v>
      </c>
      <c r="AB636" s="1" t="s">
        <v>449</v>
      </c>
      <c r="AC636" s="5">
        <v>42619</v>
      </c>
      <c r="AF636" s="1">
        <v>10007</v>
      </c>
      <c r="AI636" s="1" t="s">
        <v>45</v>
      </c>
      <c r="AJ636" s="1">
        <v>1930</v>
      </c>
      <c r="AK636" s="1" t="s">
        <v>46</v>
      </c>
      <c r="AL636" s="1">
        <v>156</v>
      </c>
    </row>
    <row r="637" spans="1:38" x14ac:dyDescent="0.2">
      <c r="A637" s="2" t="str">
        <f>HYPERLINK("https://www.compass.com/listing/30-park-place-unit-65a-manhattan-ny-10007/803339170726417873/","30 Park Pl, Unit 65A")</f>
        <v>30 Park Pl, Unit 65A</v>
      </c>
      <c r="B637" s="2" t="str">
        <f>HYPERLINK("https://www.compass.com/building/30-park-pl-manhattan-ny-10007/281896912905317605/","30 Park Pl")</f>
        <v>30 Park Pl</v>
      </c>
      <c r="C637" s="1" t="s">
        <v>40</v>
      </c>
      <c r="D637" s="1" t="s">
        <v>41</v>
      </c>
      <c r="E637" s="3">
        <v>9300000</v>
      </c>
      <c r="F637" s="1">
        <v>2513.5135135135101</v>
      </c>
      <c r="G637" s="1">
        <v>9</v>
      </c>
      <c r="H637" s="1">
        <v>4</v>
      </c>
      <c r="I637" s="1">
        <v>6</v>
      </c>
      <c r="J637" s="1">
        <v>5.5</v>
      </c>
      <c r="K637" s="1">
        <v>5</v>
      </c>
      <c r="L637" s="1">
        <v>1</v>
      </c>
      <c r="M637" s="4">
        <v>3700</v>
      </c>
      <c r="N637" s="1">
        <v>3293</v>
      </c>
      <c r="O637" s="1">
        <v>11826</v>
      </c>
      <c r="P637" s="1">
        <v>8533</v>
      </c>
      <c r="Q637" s="1" t="s">
        <v>42</v>
      </c>
      <c r="S637" s="1" t="s">
        <v>42</v>
      </c>
      <c r="T637" s="1" t="s">
        <v>170</v>
      </c>
      <c r="U637" s="1">
        <v>230</v>
      </c>
      <c r="V637" s="5">
        <v>44063</v>
      </c>
      <c r="W637" s="5">
        <v>43647</v>
      </c>
      <c r="X637" s="1">
        <v>11100000</v>
      </c>
      <c r="Y637" s="1">
        <v>9500000</v>
      </c>
      <c r="Z637" s="5">
        <v>44021</v>
      </c>
      <c r="AA637" s="1">
        <v>9300000</v>
      </c>
      <c r="AB637" s="1" t="s">
        <v>337</v>
      </c>
      <c r="AC637" s="5">
        <v>44055</v>
      </c>
      <c r="AF637" s="1">
        <v>10007</v>
      </c>
      <c r="AJ637" s="1">
        <v>2016</v>
      </c>
      <c r="AK637" s="1" t="s">
        <v>73</v>
      </c>
      <c r="AL637" s="1">
        <v>157</v>
      </c>
    </row>
    <row r="638" spans="1:38" x14ac:dyDescent="0.2">
      <c r="A638" s="2" t="str">
        <f>HYPERLINK("https://www.compass.com/listing/100-barclay-street-unit-12s-manhattan-ny-10007/50873635384103505/","100 Barclay St, Unit 12S")</f>
        <v>100 Barclay St, Unit 12S</v>
      </c>
      <c r="B638" s="2" t="str">
        <f>HYPERLINK("https://www.compass.com/building/100-barclay-manhattan-ny/281896670466155525/","100 Barclay")</f>
        <v>100 Barclay</v>
      </c>
      <c r="C638" s="1" t="s">
        <v>40</v>
      </c>
      <c r="D638" s="1" t="s">
        <v>41</v>
      </c>
      <c r="E638" s="3">
        <v>2700000</v>
      </c>
      <c r="F638" s="1">
        <v>1477.0240700218801</v>
      </c>
      <c r="G638" s="1">
        <v>4</v>
      </c>
      <c r="H638" s="1">
        <v>1</v>
      </c>
      <c r="I638" s="1">
        <v>2</v>
      </c>
      <c r="J638" s="1">
        <v>2</v>
      </c>
      <c r="K638" s="1">
        <v>2</v>
      </c>
      <c r="M638" s="4">
        <v>1828</v>
      </c>
      <c r="N638" s="1">
        <v>2345</v>
      </c>
      <c r="O638" s="1">
        <v>4588</v>
      </c>
      <c r="P638" s="1">
        <v>2243</v>
      </c>
      <c r="Q638" s="1" t="s">
        <v>42</v>
      </c>
      <c r="S638" s="1" t="s">
        <v>42</v>
      </c>
      <c r="T638" s="1" t="s">
        <v>170</v>
      </c>
      <c r="U638" s="1">
        <v>24</v>
      </c>
      <c r="V638" s="5">
        <v>43663</v>
      </c>
      <c r="W638" s="5">
        <v>42720</v>
      </c>
      <c r="X638" s="1">
        <v>2995000</v>
      </c>
      <c r="Y638" s="1">
        <v>2995000</v>
      </c>
      <c r="Z638" s="5">
        <v>42788</v>
      </c>
      <c r="AA638" s="1">
        <v>2700000</v>
      </c>
      <c r="AB638" s="1" t="s">
        <v>450</v>
      </c>
      <c r="AC638" s="5">
        <v>42849</v>
      </c>
      <c r="AF638" s="1">
        <v>10007</v>
      </c>
      <c r="AI638" s="1" t="s">
        <v>45</v>
      </c>
      <c r="AJ638" s="1">
        <v>1930</v>
      </c>
      <c r="AK638" s="1" t="s">
        <v>73</v>
      </c>
      <c r="AL638" s="1">
        <v>156</v>
      </c>
    </row>
    <row r="639" spans="1:38" x14ac:dyDescent="0.2">
      <c r="A639" s="2" t="str">
        <f>HYPERLINK("https://www.compass.com/listing/30-park-place-unit-44c-manhattan-ny-10007/29357560465296321/","30 Park Pl, Unit 44C")</f>
        <v>30 Park Pl, Unit 44C</v>
      </c>
      <c r="B639" s="2" t="str">
        <f t="shared" ref="B639:B644" si="115">HYPERLINK("https://www.compass.com/building/30-park-pl-manhattan-ny-10007/281896912905317605/","30 Park Pl")</f>
        <v>30 Park Pl</v>
      </c>
      <c r="C639" s="1" t="s">
        <v>40</v>
      </c>
      <c r="D639" s="1" t="s">
        <v>41</v>
      </c>
      <c r="E639" s="3">
        <v>3161666</v>
      </c>
      <c r="F639" s="1">
        <v>2853.4891696750901</v>
      </c>
      <c r="G639" s="1">
        <v>3</v>
      </c>
      <c r="H639" s="1">
        <v>1</v>
      </c>
      <c r="I639" s="1">
        <v>1</v>
      </c>
      <c r="J639" s="1">
        <v>1</v>
      </c>
      <c r="K639" s="1">
        <v>1</v>
      </c>
      <c r="M639" s="4">
        <v>1108</v>
      </c>
      <c r="N639" s="1">
        <v>882</v>
      </c>
      <c r="O639" s="1">
        <v>3130</v>
      </c>
      <c r="P639" s="1">
        <v>2248</v>
      </c>
      <c r="Q639" s="1" t="s">
        <v>42</v>
      </c>
      <c r="S639" s="1" t="s">
        <v>42</v>
      </c>
      <c r="T639" s="1" t="s">
        <v>170</v>
      </c>
      <c r="U639" s="1">
        <v>6</v>
      </c>
      <c r="V639" s="5">
        <v>43675</v>
      </c>
      <c r="W639" s="5">
        <v>42085</v>
      </c>
      <c r="X639" s="1">
        <v>3105000</v>
      </c>
      <c r="Y639" s="1">
        <v>3105000</v>
      </c>
      <c r="Z639" s="5">
        <v>42109</v>
      </c>
      <c r="AA639" s="1">
        <v>3161666</v>
      </c>
      <c r="AB639" s="1" t="s">
        <v>451</v>
      </c>
      <c r="AC639" s="5">
        <v>42672</v>
      </c>
      <c r="AF639" s="1">
        <v>10007</v>
      </c>
      <c r="AJ639" s="1">
        <v>2016</v>
      </c>
      <c r="AK639" s="1" t="s">
        <v>73</v>
      </c>
      <c r="AL639" s="1">
        <v>157</v>
      </c>
    </row>
    <row r="640" spans="1:38" x14ac:dyDescent="0.2">
      <c r="A640" s="2" t="str">
        <f>HYPERLINK("https://www.compass.com/listing/30-park-place-unit-48c-manhattan-ny-10007/29357565381020689/","30 Park Pl, Unit 48C")</f>
        <v>30 Park Pl, Unit 48C</v>
      </c>
      <c r="B640" s="2" t="str">
        <f t="shared" si="115"/>
        <v>30 Park Pl</v>
      </c>
      <c r="C640" s="1" t="s">
        <v>40</v>
      </c>
      <c r="D640" s="1" t="s">
        <v>41</v>
      </c>
      <c r="E640" s="3">
        <v>3243126</v>
      </c>
      <c r="F640" s="1">
        <v>2927.00902527075</v>
      </c>
      <c r="G640" s="1">
        <v>3</v>
      </c>
      <c r="H640" s="1">
        <v>1</v>
      </c>
      <c r="I640" s="1">
        <v>1</v>
      </c>
      <c r="J640" s="1">
        <v>1</v>
      </c>
      <c r="K640" s="1">
        <v>1</v>
      </c>
      <c r="M640" s="4">
        <v>1108</v>
      </c>
      <c r="N640" s="1">
        <v>886</v>
      </c>
      <c r="O640" s="1">
        <v>3144</v>
      </c>
      <c r="P640" s="1">
        <v>2258</v>
      </c>
      <c r="Q640" s="1" t="s">
        <v>42</v>
      </c>
      <c r="S640" s="1" t="s">
        <v>42</v>
      </c>
      <c r="T640" s="1" t="s">
        <v>170</v>
      </c>
      <c r="U640" s="1">
        <v>1</v>
      </c>
      <c r="V640" s="5">
        <v>43675</v>
      </c>
      <c r="W640" s="5">
        <v>42108</v>
      </c>
      <c r="X640" s="1">
        <v>3185000</v>
      </c>
      <c r="Y640" s="1">
        <v>3185000</v>
      </c>
      <c r="Z640" s="5">
        <v>42109</v>
      </c>
      <c r="AA640" s="1">
        <v>3243126</v>
      </c>
      <c r="AB640" s="1" t="s">
        <v>452</v>
      </c>
      <c r="AC640" s="5">
        <v>42675</v>
      </c>
      <c r="AF640" s="1">
        <v>10007</v>
      </c>
      <c r="AJ640" s="1">
        <v>2016</v>
      </c>
      <c r="AK640" s="1" t="s">
        <v>73</v>
      </c>
      <c r="AL640" s="1">
        <v>157</v>
      </c>
    </row>
    <row r="641" spans="1:38" x14ac:dyDescent="0.2">
      <c r="A641" s="2" t="str">
        <f>HYPERLINK("https://www.compass.com/listing/30-park-place-unit-45e-manhattan-ny-10007/29357562428230625/","30 Park Pl, Unit 45E")</f>
        <v>30 Park Pl, Unit 45E</v>
      </c>
      <c r="B641" s="2" t="str">
        <f t="shared" si="115"/>
        <v>30 Park Pl</v>
      </c>
      <c r="C641" s="1" t="s">
        <v>40</v>
      </c>
      <c r="D641" s="1" t="s">
        <v>41</v>
      </c>
      <c r="E641" s="3">
        <v>5081068</v>
      </c>
      <c r="F641" s="1">
        <v>2832.2564102564102</v>
      </c>
      <c r="G641" s="1">
        <v>5</v>
      </c>
      <c r="H641" s="1">
        <v>3</v>
      </c>
      <c r="I641" s="1">
        <v>3</v>
      </c>
      <c r="J641" s="1">
        <v>2.5</v>
      </c>
      <c r="K641" s="1">
        <v>2</v>
      </c>
      <c r="L641" s="1">
        <v>1</v>
      </c>
      <c r="M641" s="4">
        <v>1794</v>
      </c>
      <c r="N641" s="1">
        <v>1449</v>
      </c>
      <c r="O641" s="1">
        <v>5143</v>
      </c>
      <c r="P641" s="1">
        <v>3694</v>
      </c>
      <c r="Q641" s="1" t="s">
        <v>42</v>
      </c>
      <c r="S641" s="1" t="s">
        <v>42</v>
      </c>
      <c r="T641" s="1" t="s">
        <v>170</v>
      </c>
      <c r="U641" s="1">
        <v>15</v>
      </c>
      <c r="V641" s="5">
        <v>43700</v>
      </c>
      <c r="W641" s="5">
        <v>41843</v>
      </c>
      <c r="X641" s="1">
        <v>5000000</v>
      </c>
      <c r="Y641" s="1">
        <v>5000000</v>
      </c>
      <c r="Z641" s="5">
        <v>41858</v>
      </c>
      <c r="AA641" s="1">
        <v>5081068</v>
      </c>
      <c r="AB641" s="1" t="s">
        <v>453</v>
      </c>
      <c r="AC641" s="5">
        <v>42591</v>
      </c>
      <c r="AF641" s="1">
        <v>10007</v>
      </c>
      <c r="AJ641" s="1">
        <v>2016</v>
      </c>
      <c r="AK641" s="1" t="s">
        <v>73</v>
      </c>
      <c r="AL641" s="1">
        <v>157</v>
      </c>
    </row>
    <row r="642" spans="1:38" x14ac:dyDescent="0.2">
      <c r="A642" s="2" t="str">
        <f>HYPERLINK("https://www.compass.com/listing/30-park-place-unit-46e-manhattan-ny-10007/29357563401309169/","30 Park Pl, Unit 46E")</f>
        <v>30 Park Pl, Unit 46E</v>
      </c>
      <c r="B642" s="2" t="str">
        <f t="shared" si="115"/>
        <v>30 Park Pl</v>
      </c>
      <c r="C642" s="1" t="s">
        <v>40</v>
      </c>
      <c r="D642" s="1" t="s">
        <v>41</v>
      </c>
      <c r="E642" s="3">
        <v>5142163</v>
      </c>
      <c r="F642" s="1">
        <v>2866.3115942028899</v>
      </c>
      <c r="G642" s="1">
        <v>5</v>
      </c>
      <c r="H642" s="1">
        <v>3</v>
      </c>
      <c r="I642" s="1">
        <v>2</v>
      </c>
      <c r="J642" s="1">
        <v>2</v>
      </c>
      <c r="K642" s="1">
        <v>2</v>
      </c>
      <c r="M642" s="4">
        <v>1794</v>
      </c>
      <c r="N642" s="1">
        <v>1452</v>
      </c>
      <c r="O642" s="1">
        <v>5153</v>
      </c>
      <c r="P642" s="1">
        <v>3701</v>
      </c>
      <c r="Q642" s="1" t="s">
        <v>42</v>
      </c>
      <c r="S642" s="1" t="s">
        <v>42</v>
      </c>
      <c r="T642" s="1" t="s">
        <v>170</v>
      </c>
      <c r="U642" s="1">
        <v>58</v>
      </c>
      <c r="V642" s="5">
        <v>43673</v>
      </c>
      <c r="W642" s="5">
        <v>41837</v>
      </c>
      <c r="X642" s="1">
        <v>5050000</v>
      </c>
      <c r="Y642" s="1">
        <v>5050000</v>
      </c>
      <c r="Z642" s="5">
        <v>41895</v>
      </c>
      <c r="AA642" s="1">
        <v>5142163</v>
      </c>
      <c r="AB642" s="1" t="s">
        <v>454</v>
      </c>
      <c r="AC642" s="5">
        <v>42615</v>
      </c>
      <c r="AF642" s="1">
        <v>10007</v>
      </c>
      <c r="AJ642" s="1">
        <v>2016</v>
      </c>
      <c r="AK642" s="1" t="s">
        <v>73</v>
      </c>
      <c r="AL642" s="1">
        <v>157</v>
      </c>
    </row>
    <row r="643" spans="1:38" x14ac:dyDescent="0.2">
      <c r="A643" s="2" t="str">
        <f>HYPERLINK("https://www.compass.com/listing/30-park-place-unit-47e-manhattan-ny-10007/29357564726614257/","30 Park Pl, Unit 47E")</f>
        <v>30 Park Pl, Unit 47E</v>
      </c>
      <c r="B643" s="2" t="str">
        <f t="shared" si="115"/>
        <v>30 Park Pl</v>
      </c>
      <c r="C643" s="1" t="s">
        <v>40</v>
      </c>
      <c r="D643" s="1" t="s">
        <v>41</v>
      </c>
      <c r="E643" s="3">
        <v>5600375</v>
      </c>
      <c r="F643" s="1">
        <v>3121.7251950947598</v>
      </c>
      <c r="G643" s="1">
        <v>5</v>
      </c>
      <c r="H643" s="1">
        <v>3</v>
      </c>
      <c r="I643" s="1">
        <v>2</v>
      </c>
      <c r="J643" s="1">
        <v>2</v>
      </c>
      <c r="K643" s="1">
        <v>2</v>
      </c>
      <c r="M643" s="4">
        <v>1794</v>
      </c>
      <c r="N643" s="1">
        <v>1454</v>
      </c>
      <c r="O643" s="1">
        <v>5161</v>
      </c>
      <c r="P643" s="1">
        <v>3707</v>
      </c>
      <c r="Q643" s="1" t="s">
        <v>42</v>
      </c>
      <c r="S643" s="1" t="s">
        <v>42</v>
      </c>
      <c r="T643" s="1" t="s">
        <v>170</v>
      </c>
      <c r="U643" s="1">
        <v>4</v>
      </c>
      <c r="V643" s="5">
        <v>43675</v>
      </c>
      <c r="W643" s="5">
        <v>42052</v>
      </c>
      <c r="X643" s="1">
        <v>5900000</v>
      </c>
      <c r="Y643" s="1">
        <v>5500000</v>
      </c>
      <c r="Z643" s="5">
        <v>42056</v>
      </c>
      <c r="AA643" s="1">
        <v>5600375</v>
      </c>
      <c r="AB643" s="1" t="s">
        <v>455</v>
      </c>
      <c r="AC643" s="5">
        <v>42654</v>
      </c>
      <c r="AF643" s="1">
        <v>10007</v>
      </c>
      <c r="AJ643" s="1">
        <v>2016</v>
      </c>
      <c r="AK643" s="1" t="s">
        <v>73</v>
      </c>
      <c r="AL643" s="1">
        <v>157</v>
      </c>
    </row>
    <row r="644" spans="1:38" x14ac:dyDescent="0.2">
      <c r="A644" s="2" t="str">
        <f>HYPERLINK("https://www.compass.com/listing/30-park-place-unit-41e-manhattan-ny-10007/29512132848626417/","30 Park Pl, Unit 41E")</f>
        <v>30 Park Pl, Unit 41E</v>
      </c>
      <c r="B644" s="2" t="str">
        <f t="shared" si="115"/>
        <v>30 Park Pl</v>
      </c>
      <c r="C644" s="1" t="s">
        <v>40</v>
      </c>
      <c r="D644" s="1" t="s">
        <v>41</v>
      </c>
      <c r="E644" s="3">
        <v>4687638</v>
      </c>
      <c r="F644" s="1">
        <v>2612.9531772575201</v>
      </c>
      <c r="G644" s="1">
        <v>5</v>
      </c>
      <c r="H644" s="1">
        <v>3</v>
      </c>
      <c r="I644" s="1">
        <v>2</v>
      </c>
      <c r="J644" s="1">
        <v>2</v>
      </c>
      <c r="K644" s="1">
        <v>2</v>
      </c>
      <c r="M644" s="4">
        <v>1794</v>
      </c>
      <c r="N644" s="1">
        <v>1439</v>
      </c>
      <c r="O644" s="1">
        <v>5107</v>
      </c>
      <c r="P644" s="1">
        <v>3668</v>
      </c>
      <c r="Q644" s="1" t="s">
        <v>155</v>
      </c>
      <c r="S644" s="1" t="s">
        <v>155</v>
      </c>
      <c r="T644" s="1" t="s">
        <v>170</v>
      </c>
      <c r="U644" s="1">
        <v>2</v>
      </c>
      <c r="V644" s="5">
        <v>43673</v>
      </c>
      <c r="W644" s="5">
        <v>41835</v>
      </c>
      <c r="X644" s="1">
        <v>4800000</v>
      </c>
      <c r="Y644" s="1">
        <v>4550000</v>
      </c>
      <c r="Z644" s="5">
        <v>41837</v>
      </c>
      <c r="AA644" s="1">
        <v>4687638</v>
      </c>
      <c r="AB644" s="1" t="s">
        <v>456</v>
      </c>
      <c r="AC644" s="5">
        <v>42605</v>
      </c>
      <c r="AF644" s="1">
        <v>10007</v>
      </c>
      <c r="AJ644" s="1">
        <v>2016</v>
      </c>
      <c r="AK644" s="1" t="s">
        <v>73</v>
      </c>
      <c r="AL644" s="1">
        <v>157</v>
      </c>
    </row>
    <row r="645" spans="1:38" x14ac:dyDescent="0.2">
      <c r="A645" s="2" t="str">
        <f>HYPERLINK("https://www.compass.com/listing/100-barclay-street-unit-11j-manhattan-ny-10007/4852282376438417473/","100 Barclay St, Unit 11J")</f>
        <v>100 Barclay St, Unit 11J</v>
      </c>
      <c r="B645" s="2" t="str">
        <f>HYPERLINK("https://www.compass.com/building/100-barclay-manhattan-ny/281896670466155525/","100 Barclay")</f>
        <v>100 Barclay</v>
      </c>
      <c r="C645" s="1" t="s">
        <v>40</v>
      </c>
      <c r="D645" s="1" t="s">
        <v>41</v>
      </c>
      <c r="E645" s="3">
        <v>1935000</v>
      </c>
      <c r="F645" s="1">
        <v>1835.8633776091001</v>
      </c>
      <c r="G645" s="1">
        <v>3</v>
      </c>
      <c r="H645" s="1">
        <v>1</v>
      </c>
      <c r="I645" s="1">
        <v>1</v>
      </c>
      <c r="J645" s="1">
        <v>1.5</v>
      </c>
      <c r="K645" s="1">
        <v>1</v>
      </c>
      <c r="L645" s="1">
        <v>1</v>
      </c>
      <c r="M645" s="4">
        <v>1054</v>
      </c>
      <c r="N645" s="1">
        <v>1456</v>
      </c>
      <c r="O645" s="1">
        <v>2848</v>
      </c>
      <c r="P645" s="1">
        <v>1392</v>
      </c>
      <c r="Q645" s="1" t="s">
        <v>42</v>
      </c>
      <c r="S645" s="1" t="s">
        <v>42</v>
      </c>
      <c r="T645" s="1" t="s">
        <v>170</v>
      </c>
      <c r="U645" s="1">
        <v>2</v>
      </c>
      <c r="V645" s="5">
        <v>43623</v>
      </c>
      <c r="W645" s="5">
        <v>42626</v>
      </c>
      <c r="X645" s="1">
        <v>2000000</v>
      </c>
      <c r="Y645" s="1">
        <v>2000000</v>
      </c>
      <c r="Z645" s="5">
        <v>42628</v>
      </c>
      <c r="AA645" s="1">
        <v>1935000</v>
      </c>
      <c r="AB645" s="1" t="s">
        <v>457</v>
      </c>
      <c r="AC645" s="5">
        <v>42800</v>
      </c>
      <c r="AF645" s="1">
        <v>10007</v>
      </c>
      <c r="AI645" s="1" t="s">
        <v>74</v>
      </c>
      <c r="AJ645" s="1">
        <v>1930</v>
      </c>
      <c r="AK645" s="1" t="s">
        <v>73</v>
      </c>
      <c r="AL645" s="1">
        <v>156</v>
      </c>
    </row>
    <row r="646" spans="1:38" x14ac:dyDescent="0.2">
      <c r="A646" s="2" t="str">
        <f>HYPERLINK("https://www.compass.com/listing/211-west-14th-street-unit-6a-manhattan-ny-10011/29514441351498129/","211 W 14th St, Unit 6A")</f>
        <v>211 W 14th St, Unit 6A</v>
      </c>
      <c r="B646" s="2" t="str">
        <f t="shared" ref="B646:B647" si="116">HYPERLINK("https://www.compass.com/building/dorsay-manhattan-ny/292801633543285477/","d'Orsay")</f>
        <v>d'Orsay</v>
      </c>
      <c r="C646" s="1" t="s">
        <v>99</v>
      </c>
      <c r="D646" s="1" t="s">
        <v>41</v>
      </c>
      <c r="E646" s="3">
        <v>3975000</v>
      </c>
      <c r="F646" s="1">
        <v>2320.4903677758298</v>
      </c>
      <c r="G646" s="1">
        <v>5</v>
      </c>
      <c r="H646" s="1">
        <v>3</v>
      </c>
      <c r="I646" s="1">
        <v>3</v>
      </c>
      <c r="J646" s="1">
        <v>2.5</v>
      </c>
      <c r="K646" s="1">
        <v>2</v>
      </c>
      <c r="L646" s="1">
        <v>1</v>
      </c>
      <c r="M646" s="4">
        <v>1713</v>
      </c>
      <c r="N646" s="1">
        <v>3385</v>
      </c>
      <c r="O646" s="1">
        <v>4701</v>
      </c>
      <c r="P646" s="1">
        <v>1316</v>
      </c>
      <c r="Q646" s="1" t="s">
        <v>42</v>
      </c>
      <c r="S646" s="1" t="s">
        <v>42</v>
      </c>
      <c r="T646" s="1" t="s">
        <v>170</v>
      </c>
      <c r="U646" s="1">
        <v>464</v>
      </c>
      <c r="V646" s="5">
        <v>43480</v>
      </c>
      <c r="W646" s="5">
        <v>42709</v>
      </c>
      <c r="X646" s="1">
        <v>4395000</v>
      </c>
      <c r="Y646" s="1">
        <v>4395000</v>
      </c>
      <c r="AA646" s="1">
        <v>3975000</v>
      </c>
      <c r="AB646" s="1" t="s">
        <v>458</v>
      </c>
      <c r="AC646" s="5">
        <v>43412</v>
      </c>
      <c r="AF646" s="1">
        <v>10011</v>
      </c>
      <c r="AI646" s="1" t="s">
        <v>53</v>
      </c>
      <c r="AJ646" s="1">
        <v>2018</v>
      </c>
      <c r="AK646" s="1" t="s">
        <v>73</v>
      </c>
      <c r="AL646" s="1">
        <v>21</v>
      </c>
    </row>
    <row r="647" spans="1:38" x14ac:dyDescent="0.2">
      <c r="A647" s="2" t="str">
        <f>HYPERLINK("https://www.compass.com/listing/211-west-14th-street-unit-6a-manhattan-ny-10011/803328853325625897/","211 W 14th St, Unit 6A")</f>
        <v>211 W 14th St, Unit 6A</v>
      </c>
      <c r="B647" s="2" t="str">
        <f t="shared" si="116"/>
        <v>d'Orsay</v>
      </c>
      <c r="C647" s="1" t="s">
        <v>99</v>
      </c>
      <c r="D647" s="1" t="s">
        <v>41</v>
      </c>
      <c r="E647" s="3">
        <v>3975000</v>
      </c>
      <c r="F647" s="1">
        <v>2320.4903677758298</v>
      </c>
      <c r="G647" s="1">
        <v>5</v>
      </c>
      <c r="H647" s="1">
        <v>3</v>
      </c>
      <c r="I647" s="1">
        <v>3</v>
      </c>
      <c r="J647" s="1">
        <v>2.5</v>
      </c>
      <c r="K647" s="1">
        <v>2</v>
      </c>
      <c r="L647" s="1">
        <v>1</v>
      </c>
      <c r="M647" s="4">
        <v>1713</v>
      </c>
      <c r="N647" s="1">
        <v>3387</v>
      </c>
      <c r="O647" s="1">
        <v>4926</v>
      </c>
      <c r="P647" s="1">
        <v>1539</v>
      </c>
      <c r="Q647" s="1" t="s">
        <v>42</v>
      </c>
      <c r="S647" s="1" t="s">
        <v>42</v>
      </c>
      <c r="T647" s="1" t="s">
        <v>170</v>
      </c>
      <c r="U647" s="1">
        <v>112</v>
      </c>
      <c r="V647" s="5">
        <v>43678</v>
      </c>
      <c r="W647" s="5">
        <v>43194</v>
      </c>
      <c r="X647" s="1">
        <v>4425000</v>
      </c>
      <c r="Y647" s="1">
        <v>4425000</v>
      </c>
      <c r="AA647" s="1">
        <v>3975000</v>
      </c>
      <c r="AB647" s="1" t="s">
        <v>458</v>
      </c>
      <c r="AC647" s="5">
        <v>43412</v>
      </c>
      <c r="AF647" s="1">
        <v>10011</v>
      </c>
      <c r="AI647" s="1" t="s">
        <v>281</v>
      </c>
      <c r="AJ647" s="1">
        <v>2018</v>
      </c>
      <c r="AK647" s="1" t="s">
        <v>73</v>
      </c>
      <c r="AL647" s="1">
        <v>21</v>
      </c>
    </row>
    <row r="648" spans="1:38" x14ac:dyDescent="0.2">
      <c r="A648" s="2" t="str">
        <f>HYPERLINK("https://www.compass.com/listing/100-barclay-street-unit-17c-manhattan-ny-10007/4852309401152786097/","100 Barclay St, Unit 17C")</f>
        <v>100 Barclay St, Unit 17C</v>
      </c>
      <c r="B648" s="2" t="str">
        <f t="shared" ref="B648:B649" si="117">HYPERLINK("https://www.compass.com/building/100-barclay-manhattan-ny/281896670466155525/","100 Barclay")</f>
        <v>100 Barclay</v>
      </c>
      <c r="C648" s="1" t="s">
        <v>40</v>
      </c>
      <c r="D648" s="1" t="s">
        <v>41</v>
      </c>
      <c r="E648" s="3">
        <v>4530703</v>
      </c>
      <c r="F648" s="1">
        <v>2284.7720625315101</v>
      </c>
      <c r="G648" s="1">
        <v>5</v>
      </c>
      <c r="H648" s="1">
        <v>3</v>
      </c>
      <c r="I648" s="1">
        <v>3</v>
      </c>
      <c r="J648" s="1">
        <v>3</v>
      </c>
      <c r="K648" s="1">
        <v>3</v>
      </c>
      <c r="M648" s="4">
        <v>1983</v>
      </c>
      <c r="N648" s="1">
        <v>2544</v>
      </c>
      <c r="O648" s="1">
        <v>4977</v>
      </c>
      <c r="P648" s="1">
        <v>2433</v>
      </c>
      <c r="Q648" s="1" t="s">
        <v>42</v>
      </c>
      <c r="S648" s="1" t="s">
        <v>42</v>
      </c>
      <c r="T648" s="1" t="s">
        <v>170</v>
      </c>
      <c r="U648" s="1">
        <v>14</v>
      </c>
      <c r="V648" s="5">
        <v>43623</v>
      </c>
      <c r="W648" s="5">
        <v>42790</v>
      </c>
      <c r="X648" s="1">
        <v>4449500</v>
      </c>
      <c r="Y648" s="1">
        <v>4449500</v>
      </c>
      <c r="Z648" s="5">
        <v>42804</v>
      </c>
      <c r="AA648" s="1">
        <v>4530703</v>
      </c>
      <c r="AB648" s="1" t="s">
        <v>459</v>
      </c>
      <c r="AC648" s="5">
        <v>42812</v>
      </c>
      <c r="AF648" s="1">
        <v>10007</v>
      </c>
      <c r="AI648" s="1" t="s">
        <v>45</v>
      </c>
      <c r="AJ648" s="1">
        <v>1930</v>
      </c>
      <c r="AK648" s="1" t="s">
        <v>73</v>
      </c>
      <c r="AL648" s="1">
        <v>156</v>
      </c>
    </row>
    <row r="649" spans="1:38" x14ac:dyDescent="0.2">
      <c r="A649" s="2" t="str">
        <f>HYPERLINK("https://www.compass.com/listing/100-barclay-street-unit-15c-manhattan-ny-10007/803371064860193577/","100 Barclay St, Unit 15C")</f>
        <v>100 Barclay St, Unit 15C</v>
      </c>
      <c r="B649" s="2" t="str">
        <f t="shared" si="117"/>
        <v>100 Barclay</v>
      </c>
      <c r="C649" s="1" t="s">
        <v>40</v>
      </c>
      <c r="D649" s="1" t="s">
        <v>41</v>
      </c>
      <c r="E649" s="3">
        <v>4388500</v>
      </c>
      <c r="F649" s="1">
        <v>2213.06101865859</v>
      </c>
      <c r="G649" s="1">
        <v>6</v>
      </c>
      <c r="H649" s="1">
        <v>3</v>
      </c>
      <c r="I649" s="1">
        <v>3</v>
      </c>
      <c r="J649" s="1">
        <v>3</v>
      </c>
      <c r="K649" s="1">
        <v>3</v>
      </c>
      <c r="M649" s="4">
        <v>1983</v>
      </c>
      <c r="N649" s="1">
        <v>2451</v>
      </c>
      <c r="O649" s="1">
        <v>5109</v>
      </c>
      <c r="P649" s="1">
        <v>2658</v>
      </c>
      <c r="Q649" s="1" t="s">
        <v>42</v>
      </c>
      <c r="S649" s="1" t="s">
        <v>42</v>
      </c>
      <c r="T649" s="1" t="s">
        <v>170</v>
      </c>
      <c r="V649" s="5">
        <v>43371</v>
      </c>
      <c r="W649" s="5">
        <v>42902</v>
      </c>
      <c r="X649" s="1">
        <v>4388500</v>
      </c>
      <c r="Y649" s="1">
        <v>4388500</v>
      </c>
      <c r="AA649" s="1">
        <v>4388500</v>
      </c>
      <c r="AB649" s="1" t="s">
        <v>181</v>
      </c>
      <c r="AC649" s="5">
        <v>42902</v>
      </c>
      <c r="AF649" s="1">
        <v>10007</v>
      </c>
      <c r="AI649" s="1" t="s">
        <v>45</v>
      </c>
      <c r="AJ649" s="1">
        <v>1930</v>
      </c>
      <c r="AK649" s="1" t="s">
        <v>73</v>
      </c>
      <c r="AL649" s="1">
        <v>156</v>
      </c>
    </row>
    <row r="650" spans="1:38" x14ac:dyDescent="0.2">
      <c r="A650" s="2" t="str">
        <f>HYPERLINK("https://www.compass.com/listing/30-park-place-unit-57b-manhattan-ny-10007/206527309111464705/","30 Park Pl, Unit 57B")</f>
        <v>30 Park Pl, Unit 57B</v>
      </c>
      <c r="B650" s="2" t="str">
        <f t="shared" ref="B650:B655" si="118">HYPERLINK("https://www.compass.com/building/30-park-pl-manhattan-ny-10007/281896912905317605/","30 Park Pl")</f>
        <v>30 Park Pl</v>
      </c>
      <c r="C650" s="1" t="s">
        <v>40</v>
      </c>
      <c r="D650" s="1" t="s">
        <v>41</v>
      </c>
      <c r="E650" s="3">
        <v>5065794</v>
      </c>
      <c r="F650" s="1">
        <v>2853.9684507042198</v>
      </c>
      <c r="G650" s="1">
        <v>4.5</v>
      </c>
      <c r="H650" s="1">
        <v>2</v>
      </c>
      <c r="I650" s="1">
        <v>2</v>
      </c>
      <c r="J650" s="1">
        <v>2.5</v>
      </c>
      <c r="K650" s="1">
        <v>2</v>
      </c>
      <c r="L650" s="1">
        <v>1</v>
      </c>
      <c r="M650" s="4">
        <v>1775</v>
      </c>
      <c r="N650" s="1">
        <v>1448</v>
      </c>
      <c r="O650" s="1">
        <v>5140</v>
      </c>
      <c r="P650" s="1">
        <v>3692</v>
      </c>
      <c r="Q650" s="1" t="s">
        <v>42</v>
      </c>
      <c r="S650" s="1" t="s">
        <v>42</v>
      </c>
      <c r="T650" s="1" t="s">
        <v>170</v>
      </c>
      <c r="U650" s="1">
        <v>19</v>
      </c>
      <c r="V650" s="5">
        <v>43676</v>
      </c>
      <c r="W650" s="5">
        <v>41852</v>
      </c>
      <c r="X650" s="1">
        <v>4975000</v>
      </c>
      <c r="Y650" s="1">
        <v>4975000</v>
      </c>
      <c r="Z650" s="5">
        <v>41871</v>
      </c>
      <c r="AA650" s="1">
        <v>5065794</v>
      </c>
      <c r="AB650" s="1" t="s">
        <v>460</v>
      </c>
      <c r="AC650" s="5">
        <v>42843</v>
      </c>
      <c r="AF650" s="1">
        <v>10007</v>
      </c>
      <c r="AJ650" s="1">
        <v>2016</v>
      </c>
      <c r="AK650" s="1" t="s">
        <v>73</v>
      </c>
      <c r="AL650" s="1">
        <v>157</v>
      </c>
    </row>
    <row r="651" spans="1:38" x14ac:dyDescent="0.2">
      <c r="A651" s="2" t="str">
        <f>HYPERLINK("https://www.compass.com/listing/30-park-place-unit-45b-manhattan-ny-10007/29357561731881153/","30 Park Pl, Unit 45B")</f>
        <v>30 Park Pl, Unit 45B</v>
      </c>
      <c r="B651" s="2" t="str">
        <f t="shared" si="118"/>
        <v>30 Park Pl</v>
      </c>
      <c r="C651" s="1" t="s">
        <v>40</v>
      </c>
      <c r="D651" s="1" t="s">
        <v>41</v>
      </c>
      <c r="E651" s="3">
        <v>5404385</v>
      </c>
      <c r="F651" s="1">
        <v>3247.8275240384601</v>
      </c>
      <c r="G651" s="1">
        <v>4</v>
      </c>
      <c r="H651" s="1">
        <v>2</v>
      </c>
      <c r="I651" s="1">
        <v>2</v>
      </c>
      <c r="J651" s="1">
        <v>2</v>
      </c>
      <c r="K651" s="1">
        <v>2</v>
      </c>
      <c r="M651" s="4">
        <v>1664</v>
      </c>
      <c r="N651" s="1">
        <v>1334</v>
      </c>
      <c r="O651" s="1">
        <v>4733</v>
      </c>
      <c r="P651" s="1">
        <v>3399</v>
      </c>
      <c r="Q651" s="1" t="s">
        <v>42</v>
      </c>
      <c r="S651" s="1" t="s">
        <v>42</v>
      </c>
      <c r="T651" s="1" t="s">
        <v>170</v>
      </c>
      <c r="V651" s="5">
        <v>43675</v>
      </c>
      <c r="W651" s="5">
        <v>42410</v>
      </c>
      <c r="X651" s="1">
        <v>5404385</v>
      </c>
      <c r="Y651" s="1">
        <v>5404385</v>
      </c>
      <c r="Z651" s="5">
        <v>42410</v>
      </c>
      <c r="AA651" s="1">
        <v>5404385</v>
      </c>
      <c r="AB651" s="1" t="s">
        <v>461</v>
      </c>
      <c r="AC651" s="5">
        <v>42660</v>
      </c>
      <c r="AF651" s="1">
        <v>10007</v>
      </c>
      <c r="AJ651" s="1">
        <v>2016</v>
      </c>
      <c r="AK651" s="1" t="s">
        <v>73</v>
      </c>
      <c r="AL651" s="1">
        <v>157</v>
      </c>
    </row>
    <row r="652" spans="1:38" x14ac:dyDescent="0.2">
      <c r="A652" s="2" t="str">
        <f>HYPERLINK("https://www.compass.com/listing/30-park-place-unit-59d-manhattan-ny-10007/29357580950179233/","30 Park Pl, Unit 59D")</f>
        <v>30 Park Pl, Unit 59D</v>
      </c>
      <c r="B652" s="2" t="str">
        <f t="shared" si="118"/>
        <v>30 Park Pl</v>
      </c>
      <c r="C652" s="1" t="s">
        <v>40</v>
      </c>
      <c r="D652" s="1" t="s">
        <v>41</v>
      </c>
      <c r="E652" s="3">
        <v>4689041</v>
      </c>
      <c r="F652" s="1">
        <v>3048.7912873862101</v>
      </c>
      <c r="G652" s="1">
        <v>4</v>
      </c>
      <c r="H652" s="1">
        <v>2</v>
      </c>
      <c r="I652" s="1">
        <v>2</v>
      </c>
      <c r="J652" s="1">
        <v>2.5</v>
      </c>
      <c r="K652" s="1">
        <v>2</v>
      </c>
      <c r="L652" s="1">
        <v>1</v>
      </c>
      <c r="M652" s="4">
        <v>1538</v>
      </c>
      <c r="N652" s="1">
        <v>1264</v>
      </c>
      <c r="O652" s="1">
        <v>4486</v>
      </c>
      <c r="P652" s="1">
        <v>3222</v>
      </c>
      <c r="Q652" s="1" t="s">
        <v>42</v>
      </c>
      <c r="S652" s="1" t="s">
        <v>42</v>
      </c>
      <c r="T652" s="1" t="s">
        <v>170</v>
      </c>
      <c r="U652" s="1">
        <v>13</v>
      </c>
      <c r="V652" s="5">
        <v>43662</v>
      </c>
      <c r="W652" s="5">
        <v>41914</v>
      </c>
      <c r="X652" s="1">
        <v>4905000</v>
      </c>
      <c r="Y652" s="1">
        <v>4605000</v>
      </c>
      <c r="Z652" s="5">
        <v>41927</v>
      </c>
      <c r="AA652" s="1">
        <v>4689041</v>
      </c>
      <c r="AB652" s="1" t="s">
        <v>462</v>
      </c>
      <c r="AC652" s="5">
        <v>42836</v>
      </c>
      <c r="AF652" s="1">
        <v>10007</v>
      </c>
      <c r="AJ652" s="1">
        <v>2016</v>
      </c>
      <c r="AK652" s="1" t="s">
        <v>73</v>
      </c>
      <c r="AL652" s="1">
        <v>157</v>
      </c>
    </row>
    <row r="653" spans="1:38" x14ac:dyDescent="0.2">
      <c r="A653" s="2" t="str">
        <f>HYPERLINK("https://www.compass.com/listing/30-park-place-unit-60c-manhattan-ny-10007/29357581956812209/","30 Park Pl, Unit 60C")</f>
        <v>30 Park Pl, Unit 60C</v>
      </c>
      <c r="B653" s="2" t="str">
        <f t="shared" si="118"/>
        <v>30 Park Pl</v>
      </c>
      <c r="C653" s="1" t="s">
        <v>40</v>
      </c>
      <c r="D653" s="1" t="s">
        <v>41</v>
      </c>
      <c r="E653" s="3">
        <v>5391634</v>
      </c>
      <c r="F653" s="1">
        <v>3494.25405055087</v>
      </c>
      <c r="G653" s="1">
        <v>4</v>
      </c>
      <c r="H653" s="1">
        <v>2</v>
      </c>
      <c r="I653" s="1">
        <v>2</v>
      </c>
      <c r="J653" s="1">
        <v>2</v>
      </c>
      <c r="K653" s="1">
        <v>2</v>
      </c>
      <c r="M653" s="4">
        <v>1543</v>
      </c>
      <c r="N653" s="1">
        <v>1243</v>
      </c>
      <c r="O653" s="1">
        <v>4412</v>
      </c>
      <c r="P653" s="1">
        <v>3169</v>
      </c>
      <c r="Q653" s="1" t="s">
        <v>42</v>
      </c>
      <c r="S653" s="1" t="s">
        <v>42</v>
      </c>
      <c r="T653" s="1" t="s">
        <v>170</v>
      </c>
      <c r="U653" s="1">
        <v>246</v>
      </c>
      <c r="V653" s="5">
        <v>43663</v>
      </c>
      <c r="W653" s="5">
        <v>41845</v>
      </c>
      <c r="X653" s="1">
        <v>4595000</v>
      </c>
      <c r="Y653" s="1">
        <v>5295000</v>
      </c>
      <c r="Z653" s="5">
        <v>42091</v>
      </c>
      <c r="AA653" s="1">
        <v>5391634</v>
      </c>
      <c r="AB653" s="1" t="s">
        <v>463</v>
      </c>
      <c r="AC653" s="5">
        <v>42768</v>
      </c>
      <c r="AF653" s="1">
        <v>10007</v>
      </c>
      <c r="AJ653" s="1">
        <v>2016</v>
      </c>
      <c r="AK653" s="1" t="s">
        <v>73</v>
      </c>
      <c r="AL653" s="1">
        <v>157</v>
      </c>
    </row>
    <row r="654" spans="1:38" x14ac:dyDescent="0.2">
      <c r="A654" s="2" t="str">
        <f>HYPERLINK("https://www.compass.com/listing/30-park-place-unit-61d-manhattan-ny-10007/29357583617759809/","30 Park Pl, Unit 61D")</f>
        <v>30 Park Pl, Unit 61D</v>
      </c>
      <c r="B654" s="2" t="str">
        <f t="shared" si="118"/>
        <v>30 Park Pl</v>
      </c>
      <c r="C654" s="1" t="s">
        <v>40</v>
      </c>
      <c r="D654" s="1" t="s">
        <v>41</v>
      </c>
      <c r="E654" s="3">
        <v>5075976</v>
      </c>
      <c r="F654" s="1">
        <v>3300.3745123537001</v>
      </c>
      <c r="G654" s="1">
        <v>4</v>
      </c>
      <c r="H654" s="1">
        <v>2</v>
      </c>
      <c r="I654" s="1">
        <v>2</v>
      </c>
      <c r="J654" s="1">
        <v>2</v>
      </c>
      <c r="K654" s="1">
        <v>2</v>
      </c>
      <c r="M654" s="4">
        <v>1538</v>
      </c>
      <c r="N654" s="1">
        <v>1268</v>
      </c>
      <c r="O654" s="1">
        <v>4501</v>
      </c>
      <c r="P654" s="1">
        <v>3233</v>
      </c>
      <c r="Q654" s="1" t="s">
        <v>42</v>
      </c>
      <c r="S654" s="1" t="s">
        <v>42</v>
      </c>
      <c r="T654" s="1" t="s">
        <v>170</v>
      </c>
      <c r="U654" s="1">
        <v>90</v>
      </c>
      <c r="V654" s="5">
        <v>43666</v>
      </c>
      <c r="W654" s="5">
        <v>41900</v>
      </c>
      <c r="X654" s="1">
        <v>4985000</v>
      </c>
      <c r="Y654" s="1">
        <v>4985000</v>
      </c>
      <c r="Z654" s="5">
        <v>41990</v>
      </c>
      <c r="AA654" s="1">
        <v>5075976</v>
      </c>
      <c r="AB654" s="1" t="s">
        <v>464</v>
      </c>
      <c r="AC654" s="5">
        <v>42763</v>
      </c>
      <c r="AF654" s="1">
        <v>10007</v>
      </c>
      <c r="AJ654" s="1">
        <v>2016</v>
      </c>
      <c r="AK654" s="1" t="s">
        <v>73</v>
      </c>
      <c r="AL654" s="1">
        <v>157</v>
      </c>
    </row>
    <row r="655" spans="1:38" x14ac:dyDescent="0.2">
      <c r="A655" s="2" t="str">
        <f>HYPERLINK("https://www.compass.com/listing/30-park-place-unit-62c-manhattan-ny-10007/29357584305720625/","30 Park Pl, Unit 62C")</f>
        <v>30 Park Pl, Unit 62C</v>
      </c>
      <c r="B655" s="2" t="str">
        <f t="shared" si="118"/>
        <v>30 Park Pl</v>
      </c>
      <c r="C655" s="1" t="s">
        <v>40</v>
      </c>
      <c r="D655" s="1" t="s">
        <v>41</v>
      </c>
      <c r="E655" s="3">
        <v>4760319</v>
      </c>
      <c r="F655" s="1">
        <v>3085.1062864549499</v>
      </c>
      <c r="G655" s="1">
        <v>4</v>
      </c>
      <c r="H655" s="1">
        <v>2</v>
      </c>
      <c r="I655" s="1">
        <v>2</v>
      </c>
      <c r="J655" s="1">
        <v>2.5</v>
      </c>
      <c r="K655" s="1">
        <v>2</v>
      </c>
      <c r="L655" s="1">
        <v>1</v>
      </c>
      <c r="M655" s="4">
        <v>1543</v>
      </c>
      <c r="N655" s="1">
        <v>1247</v>
      </c>
      <c r="O655" s="1">
        <v>4427</v>
      </c>
      <c r="P655" s="1">
        <v>3180</v>
      </c>
      <c r="Q655" s="1" t="s">
        <v>42</v>
      </c>
      <c r="S655" s="1" t="s">
        <v>42</v>
      </c>
      <c r="T655" s="1" t="s">
        <v>170</v>
      </c>
      <c r="U655" s="1">
        <v>8</v>
      </c>
      <c r="V655" s="5">
        <v>43668</v>
      </c>
      <c r="W655" s="5">
        <v>41940</v>
      </c>
      <c r="X655" s="1">
        <v>5075000</v>
      </c>
      <c r="Y655" s="1">
        <v>4675000</v>
      </c>
      <c r="Z655" s="5">
        <v>41948</v>
      </c>
      <c r="AA655" s="1">
        <v>4760319</v>
      </c>
      <c r="AB655" s="1" t="s">
        <v>465</v>
      </c>
      <c r="AC655" s="5">
        <v>42762</v>
      </c>
      <c r="AF655" s="1">
        <v>10007</v>
      </c>
      <c r="AJ655" s="1">
        <v>2016</v>
      </c>
      <c r="AK655" s="1" t="s">
        <v>73</v>
      </c>
      <c r="AL655" s="1">
        <v>157</v>
      </c>
    </row>
    <row r="656" spans="1:38" x14ac:dyDescent="0.2">
      <c r="A656" s="2" t="str">
        <f>HYPERLINK("https://www.compass.com/listing/100-barclay-street-unit-16h-manhattan-ny-10007/4852307657152794193/","100 Barclay St, Unit 16H")</f>
        <v>100 Barclay St, Unit 16H</v>
      </c>
      <c r="B656" s="2" t="str">
        <f t="shared" ref="B656:B660" si="119">HYPERLINK("https://www.compass.com/building/100-barclay-manhattan-ny/281896670466155525/","100 Barclay")</f>
        <v>100 Barclay</v>
      </c>
      <c r="C656" s="1" t="s">
        <v>40</v>
      </c>
      <c r="D656" s="1" t="s">
        <v>41</v>
      </c>
      <c r="E656" s="3">
        <v>2902013</v>
      </c>
      <c r="F656" s="1">
        <v>1631.2608206857701</v>
      </c>
      <c r="G656" s="1">
        <v>5</v>
      </c>
      <c r="H656" s="1">
        <v>2</v>
      </c>
      <c r="I656" s="1">
        <v>3</v>
      </c>
      <c r="J656" s="1">
        <v>3</v>
      </c>
      <c r="M656" s="4">
        <v>1779</v>
      </c>
      <c r="N656" s="1">
        <v>2283</v>
      </c>
      <c r="O656" s="1">
        <v>4466</v>
      </c>
      <c r="P656" s="1">
        <v>2183</v>
      </c>
      <c r="Q656" s="1" t="s">
        <v>42</v>
      </c>
      <c r="S656" s="1" t="s">
        <v>42</v>
      </c>
      <c r="T656" s="1" t="s">
        <v>170</v>
      </c>
      <c r="V656" s="5">
        <v>43668</v>
      </c>
      <c r="W656" s="5">
        <v>42477</v>
      </c>
      <c r="X656" s="1">
        <v>2952000</v>
      </c>
      <c r="Y656" s="1">
        <v>2952000</v>
      </c>
      <c r="Z656" s="5">
        <v>42477</v>
      </c>
      <c r="AA656" s="1">
        <v>2902013</v>
      </c>
      <c r="AB656" s="1" t="s">
        <v>466</v>
      </c>
      <c r="AC656" s="5">
        <v>42677</v>
      </c>
      <c r="AF656" s="1">
        <v>10007</v>
      </c>
      <c r="AI656" s="1" t="s">
        <v>45</v>
      </c>
      <c r="AJ656" s="1">
        <v>1930</v>
      </c>
      <c r="AK656" s="1" t="s">
        <v>73</v>
      </c>
      <c r="AL656" s="1">
        <v>156</v>
      </c>
    </row>
    <row r="657" spans="1:38" x14ac:dyDescent="0.2">
      <c r="A657" s="2" t="str">
        <f>HYPERLINK("https://www.compass.com/listing/100-barclay-street-unit-13q-manhattan-ny-10007/536223374203162097/","100 Barclay St, Unit 13Q")</f>
        <v>100 Barclay St, Unit 13Q</v>
      </c>
      <c r="B657" s="2" t="str">
        <f t="shared" si="119"/>
        <v>100 Barclay</v>
      </c>
      <c r="C657" s="1" t="s">
        <v>40</v>
      </c>
      <c r="D657" s="1" t="s">
        <v>41</v>
      </c>
      <c r="E657" s="3">
        <v>3995000</v>
      </c>
      <c r="F657" s="1">
        <v>1930.8844852585701</v>
      </c>
      <c r="G657" s="1">
        <v>4.5</v>
      </c>
      <c r="H657" s="1">
        <v>3</v>
      </c>
      <c r="I657" s="1">
        <v>4</v>
      </c>
      <c r="J657" s="1">
        <v>3.5</v>
      </c>
      <c r="K657" s="1">
        <v>3</v>
      </c>
      <c r="L657" s="1">
        <v>1</v>
      </c>
      <c r="M657" s="4">
        <v>2069</v>
      </c>
      <c r="N657" s="1">
        <v>2983</v>
      </c>
      <c r="O657" s="1">
        <v>6317</v>
      </c>
      <c r="P657" s="1">
        <v>3334</v>
      </c>
      <c r="Q657" s="1" t="s">
        <v>42</v>
      </c>
      <c r="S657" s="1" t="s">
        <v>42</v>
      </c>
      <c r="T657" s="1" t="s">
        <v>170</v>
      </c>
      <c r="U657" s="1">
        <v>66</v>
      </c>
      <c r="V657" s="5">
        <v>44230</v>
      </c>
      <c r="W657" s="5">
        <v>44103</v>
      </c>
      <c r="X657" s="1">
        <v>3995000</v>
      </c>
      <c r="Y657" s="1">
        <v>3995000</v>
      </c>
      <c r="Z657" s="5">
        <v>44170</v>
      </c>
      <c r="AA657" s="1">
        <v>3995000</v>
      </c>
      <c r="AB657" s="1" t="s">
        <v>467</v>
      </c>
      <c r="AC657" s="5">
        <v>44200</v>
      </c>
      <c r="AF657" s="1">
        <v>10007</v>
      </c>
      <c r="AI657" s="1" t="s">
        <v>45</v>
      </c>
      <c r="AJ657" s="1">
        <v>1930</v>
      </c>
      <c r="AK657" s="1" t="s">
        <v>73</v>
      </c>
      <c r="AL657" s="1">
        <v>156</v>
      </c>
    </row>
    <row r="658" spans="1:38" x14ac:dyDescent="0.2">
      <c r="A658" s="2" t="str">
        <f>HYPERLINK("https://www.compass.com/listing/100-barclay-street-unit-12k-manhattan-ny-10007/4854527434143310561/","100 Barclay St, Unit 12K")</f>
        <v>100 Barclay St, Unit 12K</v>
      </c>
      <c r="B658" s="2" t="str">
        <f t="shared" si="119"/>
        <v>100 Barclay</v>
      </c>
      <c r="C658" s="1" t="s">
        <v>40</v>
      </c>
      <c r="D658" s="1" t="s">
        <v>41</v>
      </c>
      <c r="E658" s="3">
        <v>3800000</v>
      </c>
      <c r="F658" s="1">
        <v>1690.3914590747299</v>
      </c>
      <c r="G658" s="1">
        <v>5</v>
      </c>
      <c r="H658" s="1">
        <v>3</v>
      </c>
      <c r="I658" s="1">
        <v>3</v>
      </c>
      <c r="J658" s="1">
        <v>3.5</v>
      </c>
      <c r="K658" s="1">
        <v>3</v>
      </c>
      <c r="L658" s="1">
        <v>1</v>
      </c>
      <c r="M658" s="4">
        <v>2248</v>
      </c>
      <c r="N658" s="1">
        <v>2779</v>
      </c>
      <c r="O658" s="1">
        <v>5797</v>
      </c>
      <c r="P658" s="1">
        <v>3018</v>
      </c>
      <c r="Q658" s="1" t="s">
        <v>42</v>
      </c>
      <c r="S658" s="1" t="s">
        <v>42</v>
      </c>
      <c r="T658" s="1" t="s">
        <v>170</v>
      </c>
      <c r="U658" s="1">
        <v>122</v>
      </c>
      <c r="V658" s="5">
        <v>43638</v>
      </c>
      <c r="W658" s="5">
        <v>42913</v>
      </c>
      <c r="X658" s="1">
        <v>4071000</v>
      </c>
      <c r="Y658" s="1">
        <v>4071000</v>
      </c>
      <c r="Z658" s="5">
        <v>43194</v>
      </c>
      <c r="AA658" s="1">
        <v>3800000</v>
      </c>
      <c r="AB658" s="1" t="s">
        <v>468</v>
      </c>
      <c r="AC658" s="5">
        <v>43221</v>
      </c>
      <c r="AF658" s="1">
        <v>10007</v>
      </c>
      <c r="AI658" s="1" t="s">
        <v>45</v>
      </c>
      <c r="AJ658" s="1">
        <v>1930</v>
      </c>
      <c r="AK658" s="1" t="s">
        <v>73</v>
      </c>
      <c r="AL658" s="1">
        <v>156</v>
      </c>
    </row>
    <row r="659" spans="1:38" x14ac:dyDescent="0.2">
      <c r="A659" s="2" t="str">
        <f>HYPERLINK("https://www.compass.com/listing/100-barclay-street-unit-17s-manhattan-ny-10007/4852308463172197345/","100 Barclay St, Unit 17S")</f>
        <v>100 Barclay St, Unit 17S</v>
      </c>
      <c r="B659" s="2" t="str">
        <f t="shared" si="119"/>
        <v>100 Barclay</v>
      </c>
      <c r="C659" s="1" t="s">
        <v>40</v>
      </c>
      <c r="D659" s="1" t="s">
        <v>41</v>
      </c>
      <c r="E659" s="3">
        <v>3175988</v>
      </c>
      <c r="F659" s="1">
        <v>1771.32598996095</v>
      </c>
      <c r="G659" s="1">
        <v>3</v>
      </c>
      <c r="H659" s="1">
        <v>1</v>
      </c>
      <c r="I659" s="1">
        <v>2</v>
      </c>
      <c r="J659" s="1">
        <v>2</v>
      </c>
      <c r="K659" s="1">
        <v>2</v>
      </c>
      <c r="M659" s="4">
        <v>1793</v>
      </c>
      <c r="N659" s="1">
        <v>2301</v>
      </c>
      <c r="O659" s="1">
        <v>4501</v>
      </c>
      <c r="P659" s="1">
        <v>2200</v>
      </c>
      <c r="Q659" s="1" t="s">
        <v>42</v>
      </c>
      <c r="S659" s="1" t="s">
        <v>42</v>
      </c>
      <c r="T659" s="1" t="s">
        <v>170</v>
      </c>
      <c r="U659" s="1">
        <v>14</v>
      </c>
      <c r="V659" s="5">
        <v>42719</v>
      </c>
      <c r="W659" s="5">
        <v>42677</v>
      </c>
      <c r="X659" s="1">
        <v>3150500</v>
      </c>
      <c r="Y659" s="1">
        <v>3150500</v>
      </c>
      <c r="AA659" s="1">
        <v>3175987.5</v>
      </c>
      <c r="AB659" s="1" t="s">
        <v>469</v>
      </c>
      <c r="AC659" s="5">
        <v>42706</v>
      </c>
      <c r="AF659" s="1">
        <v>10007</v>
      </c>
      <c r="AI659" s="1" t="s">
        <v>45</v>
      </c>
      <c r="AJ659" s="1">
        <v>1930</v>
      </c>
      <c r="AK659" s="1" t="s">
        <v>73</v>
      </c>
      <c r="AL659" s="1">
        <v>156</v>
      </c>
    </row>
    <row r="660" spans="1:38" x14ac:dyDescent="0.2">
      <c r="A660" s="2" t="str">
        <f>HYPERLINK("https://www.compass.com/listing/100-barclay-street-unit-15n-manhattan-ny-10007/4852326581349132305/","100 Barclay St, Unit 15N")</f>
        <v>100 Barclay St, Unit 15N</v>
      </c>
      <c r="B660" s="2" t="str">
        <f t="shared" si="119"/>
        <v>100 Barclay</v>
      </c>
      <c r="C660" s="1" t="s">
        <v>40</v>
      </c>
      <c r="D660" s="1" t="s">
        <v>41</v>
      </c>
      <c r="E660" s="3">
        <v>4076545</v>
      </c>
      <c r="F660" s="1">
        <v>2043.3811077694199</v>
      </c>
      <c r="G660" s="1">
        <v>7</v>
      </c>
      <c r="H660" s="1">
        <v>3</v>
      </c>
      <c r="I660" s="1">
        <v>3</v>
      </c>
      <c r="J660" s="1">
        <v>3</v>
      </c>
      <c r="M660" s="4">
        <v>1995</v>
      </c>
      <c r="N660" s="1">
        <v>2491</v>
      </c>
      <c r="O660" s="1">
        <v>4935</v>
      </c>
      <c r="P660" s="1">
        <v>2444</v>
      </c>
      <c r="Q660" s="1" t="s">
        <v>42</v>
      </c>
      <c r="S660" s="1" t="s">
        <v>42</v>
      </c>
      <c r="T660" s="1" t="s">
        <v>170</v>
      </c>
      <c r="U660" s="1">
        <v>56</v>
      </c>
      <c r="V660" s="5">
        <v>42488</v>
      </c>
      <c r="W660" s="5">
        <v>42118</v>
      </c>
      <c r="X660" s="1">
        <v>4396500</v>
      </c>
      <c r="Y660" s="1">
        <v>4396500</v>
      </c>
      <c r="AA660" s="1">
        <v>4076545.31</v>
      </c>
      <c r="AB660" s="1" t="s">
        <v>470</v>
      </c>
      <c r="AC660" s="5">
        <v>42395</v>
      </c>
      <c r="AF660" s="1">
        <v>10007</v>
      </c>
      <c r="AI660" s="1" t="s">
        <v>45</v>
      </c>
      <c r="AJ660" s="1">
        <v>1930</v>
      </c>
      <c r="AK660" s="1" t="s">
        <v>73</v>
      </c>
      <c r="AL660" s="1">
        <v>156</v>
      </c>
    </row>
    <row r="661" spans="1:38" x14ac:dyDescent="0.2">
      <c r="A661" s="2" t="str">
        <f>HYPERLINK("https://www.compass.com/listing/30-park-place-unit-75a-manhattan-ny-10007/29357595009489665/","30 Park Pl, Unit 75A")</f>
        <v>30 Park Pl, Unit 75A</v>
      </c>
      <c r="B661" s="2" t="str">
        <f t="shared" ref="B661:B663" si="120">HYPERLINK("https://www.compass.com/building/30-park-pl-manhattan-ny-10007/281896912905317605/","30 Park Pl")</f>
        <v>30 Park Pl</v>
      </c>
      <c r="C661" s="1" t="s">
        <v>40</v>
      </c>
      <c r="D661" s="1" t="s">
        <v>41</v>
      </c>
      <c r="E661" s="3">
        <v>19975438</v>
      </c>
      <c r="F661" s="1">
        <v>4473.7823068308999</v>
      </c>
      <c r="G661" s="1">
        <v>9</v>
      </c>
      <c r="H661" s="1">
        <v>5</v>
      </c>
      <c r="I661" s="1">
        <v>6</v>
      </c>
      <c r="J661" s="1">
        <v>6.5</v>
      </c>
      <c r="K661" s="1">
        <v>6</v>
      </c>
      <c r="L661" s="1">
        <v>1</v>
      </c>
      <c r="M661" s="4">
        <v>4465</v>
      </c>
      <c r="N661" s="1">
        <v>4058</v>
      </c>
      <c r="O661" s="1">
        <v>14403</v>
      </c>
      <c r="P661" s="1">
        <v>10345</v>
      </c>
      <c r="Q661" s="1" t="s">
        <v>42</v>
      </c>
      <c r="S661" s="1" t="s">
        <v>42</v>
      </c>
      <c r="T661" s="1" t="s">
        <v>170</v>
      </c>
      <c r="V661" s="5">
        <v>43662</v>
      </c>
      <c r="W661" s="5">
        <v>42704</v>
      </c>
      <c r="X661" s="1">
        <v>19750000</v>
      </c>
      <c r="Y661" s="1">
        <v>19750000</v>
      </c>
      <c r="Z661" s="5">
        <v>42704</v>
      </c>
      <c r="AA661" s="1">
        <v>19975438</v>
      </c>
      <c r="AB661" s="1" t="s">
        <v>471</v>
      </c>
      <c r="AC661" s="5">
        <v>42908</v>
      </c>
      <c r="AF661" s="1">
        <v>10007</v>
      </c>
      <c r="AI661" s="1" t="s">
        <v>258</v>
      </c>
      <c r="AJ661" s="1">
        <v>2016</v>
      </c>
      <c r="AK661" s="1" t="s">
        <v>73</v>
      </c>
      <c r="AL661" s="1">
        <v>157</v>
      </c>
    </row>
    <row r="662" spans="1:38" x14ac:dyDescent="0.2">
      <c r="A662" s="2" t="str">
        <f>HYPERLINK("https://www.compass.com/listing/30-park-place-unit-57a-manhattan-ny-10007/18882307985362289/","30 Park Pl, Unit 57A")</f>
        <v>30 Park Pl, Unit 57A</v>
      </c>
      <c r="B662" s="2" t="str">
        <f t="shared" si="120"/>
        <v>30 Park Pl</v>
      </c>
      <c r="C662" s="1" t="s">
        <v>40</v>
      </c>
      <c r="D662" s="1" t="s">
        <v>41</v>
      </c>
      <c r="E662" s="3">
        <v>6840000</v>
      </c>
      <c r="F662" s="1">
        <v>2433.2977588046901</v>
      </c>
      <c r="G662" s="1">
        <v>7</v>
      </c>
      <c r="H662" s="1">
        <v>4</v>
      </c>
      <c r="I662" s="1">
        <v>5</v>
      </c>
      <c r="J662" s="1">
        <v>4.5</v>
      </c>
      <c r="K662" s="1">
        <v>4</v>
      </c>
      <c r="L662" s="1">
        <v>1</v>
      </c>
      <c r="M662" s="4">
        <v>2811</v>
      </c>
      <c r="N662" s="1">
        <v>2533</v>
      </c>
      <c r="O662" s="1">
        <v>8833</v>
      </c>
      <c r="P662" s="1">
        <v>6300</v>
      </c>
      <c r="Q662" s="1" t="s">
        <v>42</v>
      </c>
      <c r="S662" s="1" t="s">
        <v>42</v>
      </c>
      <c r="T662" s="1" t="s">
        <v>170</v>
      </c>
      <c r="U662" s="1">
        <v>957</v>
      </c>
      <c r="V662" s="5">
        <v>44236</v>
      </c>
      <c r="W662" s="5">
        <v>41865</v>
      </c>
      <c r="X662" s="1">
        <v>9200000</v>
      </c>
      <c r="Y662" s="1">
        <v>7995000</v>
      </c>
      <c r="AA662" s="1">
        <v>6840000</v>
      </c>
      <c r="AB662" s="1" t="s">
        <v>472</v>
      </c>
      <c r="AC662" s="5">
        <v>44229</v>
      </c>
      <c r="AF662" s="1">
        <v>10007</v>
      </c>
      <c r="AI662" s="1" t="s">
        <v>84</v>
      </c>
      <c r="AJ662" s="1">
        <v>2016</v>
      </c>
      <c r="AK662" s="1" t="s">
        <v>73</v>
      </c>
      <c r="AL662" s="1">
        <v>157</v>
      </c>
    </row>
    <row r="663" spans="1:38" x14ac:dyDescent="0.2">
      <c r="A663" s="2" t="str">
        <f>HYPERLINK("https://www.compass.com/listing/30-park-place-unit-45c-manhattan-ny-10007/29357562059033713/","30 Park Pl, Unit 45C")</f>
        <v>30 Park Pl, Unit 45C</v>
      </c>
      <c r="B663" s="2" t="str">
        <f t="shared" si="120"/>
        <v>30 Park Pl</v>
      </c>
      <c r="C663" s="1" t="s">
        <v>40</v>
      </c>
      <c r="D663" s="1" t="s">
        <v>41</v>
      </c>
      <c r="E663" s="3">
        <v>3532727</v>
      </c>
      <c r="F663" s="1">
        <v>3188.3817689530601</v>
      </c>
      <c r="G663" s="1">
        <v>3</v>
      </c>
      <c r="H663" s="1">
        <v>1</v>
      </c>
      <c r="I663" s="1">
        <v>1</v>
      </c>
      <c r="J663" s="1">
        <v>1</v>
      </c>
      <c r="K663" s="1">
        <v>1</v>
      </c>
      <c r="M663" s="4">
        <v>1108</v>
      </c>
      <c r="N663" s="1">
        <v>2251</v>
      </c>
      <c r="O663" s="1">
        <v>3134</v>
      </c>
      <c r="P663" s="1">
        <v>883</v>
      </c>
      <c r="Q663" s="1" t="s">
        <v>42</v>
      </c>
      <c r="S663" s="1" t="s">
        <v>42</v>
      </c>
      <c r="T663" s="1" t="s">
        <v>170</v>
      </c>
      <c r="U663" s="1">
        <v>115</v>
      </c>
      <c r="V663" s="5">
        <v>43665</v>
      </c>
      <c r="W663" s="5">
        <v>42108</v>
      </c>
      <c r="X663" s="1">
        <v>3425000</v>
      </c>
      <c r="Y663" s="1">
        <v>3425000</v>
      </c>
      <c r="Z663" s="5">
        <v>42223</v>
      </c>
      <c r="AA663" s="1">
        <v>3532727</v>
      </c>
      <c r="AB663" s="1" t="s">
        <v>473</v>
      </c>
      <c r="AC663" s="5">
        <v>42662</v>
      </c>
      <c r="AF663" s="1">
        <v>10007</v>
      </c>
      <c r="AJ663" s="1">
        <v>2016</v>
      </c>
      <c r="AK663" s="1" t="s">
        <v>73</v>
      </c>
      <c r="AL663" s="1">
        <v>157</v>
      </c>
    </row>
    <row r="664" spans="1:38" x14ac:dyDescent="0.2">
      <c r="A664" s="2" t="str">
        <f>HYPERLINK("https://www.compass.com/listing/211-west-14th-street-unit-5a-manhattan-ny-10011/50128694244561009/","211 W 14th St, Unit 5A")</f>
        <v>211 W 14th St, Unit 5A</v>
      </c>
      <c r="B664" s="2" t="str">
        <f>HYPERLINK("https://www.compass.com/building/dorsay-manhattan-ny/292801633543285477/","d'Orsay")</f>
        <v>d'Orsay</v>
      </c>
      <c r="C664" s="1" t="s">
        <v>99</v>
      </c>
      <c r="D664" s="1" t="s">
        <v>41</v>
      </c>
      <c r="E664" s="3">
        <v>3850000</v>
      </c>
      <c r="F664" s="1">
        <v>2221.5810732833202</v>
      </c>
      <c r="G664" s="1">
        <v>5</v>
      </c>
      <c r="H664" s="1">
        <v>3</v>
      </c>
      <c r="I664" s="1">
        <v>3</v>
      </c>
      <c r="J664" s="1">
        <v>2.5</v>
      </c>
      <c r="K664" s="1">
        <v>2</v>
      </c>
      <c r="L664" s="1">
        <v>1</v>
      </c>
      <c r="M664" s="4">
        <v>1733</v>
      </c>
      <c r="N664" s="1">
        <v>3407.51</v>
      </c>
      <c r="O664" s="1">
        <v>5216.18</v>
      </c>
      <c r="P664" s="1">
        <v>1808.6666666666599</v>
      </c>
      <c r="Q664" s="1" t="s">
        <v>42</v>
      </c>
      <c r="S664" s="1" t="s">
        <v>42</v>
      </c>
      <c r="T664" s="1" t="s">
        <v>170</v>
      </c>
      <c r="U664" s="1">
        <v>260</v>
      </c>
      <c r="V664" s="5">
        <v>43694</v>
      </c>
      <c r="W664" s="5">
        <v>43322</v>
      </c>
      <c r="X664" s="1">
        <v>3875000</v>
      </c>
      <c r="Y664" s="1">
        <v>3875000</v>
      </c>
      <c r="Z664" s="5">
        <v>43582</v>
      </c>
      <c r="AA664" s="1">
        <v>3850000</v>
      </c>
      <c r="AB664" s="1" t="s">
        <v>474</v>
      </c>
      <c r="AC664" s="5">
        <v>43619</v>
      </c>
      <c r="AF664" s="1">
        <v>10011</v>
      </c>
      <c r="AI664" s="1" t="s">
        <v>53</v>
      </c>
      <c r="AJ664" s="1">
        <v>2018</v>
      </c>
      <c r="AK664" s="1" t="s">
        <v>73</v>
      </c>
      <c r="AL664" s="1">
        <v>21</v>
      </c>
    </row>
    <row r="665" spans="1:38" x14ac:dyDescent="0.2">
      <c r="A665" s="2" t="str">
        <f>HYPERLINK("https://www.compass.com/listing/100-barclay-street-unit-25d-manhattan-ny-10007/606448726216677065/","100 Barclay St, Unit 25D")</f>
        <v>100 Barclay St, Unit 25D</v>
      </c>
      <c r="B665" s="2" t="str">
        <f t="shared" ref="B665:B666" si="121">HYPERLINK("https://www.compass.com/building/100-barclay-manhattan-ny/281896670466155525/","100 Barclay")</f>
        <v>100 Barclay</v>
      </c>
      <c r="C665" s="1" t="s">
        <v>40</v>
      </c>
      <c r="D665" s="1" t="s">
        <v>41</v>
      </c>
      <c r="E665" s="3">
        <v>3900000</v>
      </c>
      <c r="F665" s="1">
        <v>1668.09238665526</v>
      </c>
      <c r="G665" s="1">
        <v>7</v>
      </c>
      <c r="H665" s="1">
        <v>3</v>
      </c>
      <c r="I665" s="1">
        <v>4</v>
      </c>
      <c r="J665" s="1">
        <v>3.5</v>
      </c>
      <c r="K665" s="1">
        <v>3</v>
      </c>
      <c r="L665" s="1">
        <v>1</v>
      </c>
      <c r="M665" s="4">
        <v>2338</v>
      </c>
      <c r="N665" s="1">
        <v>3408</v>
      </c>
      <c r="O665" s="1">
        <v>7173</v>
      </c>
      <c r="P665" s="1">
        <v>3765</v>
      </c>
      <c r="Q665" s="1" t="s">
        <v>42</v>
      </c>
      <c r="S665" s="1" t="s">
        <v>42</v>
      </c>
      <c r="T665" s="1" t="s">
        <v>170</v>
      </c>
      <c r="U665" s="1">
        <v>186</v>
      </c>
      <c r="V665" s="5">
        <v>44366</v>
      </c>
      <c r="W665" s="5">
        <v>44088</v>
      </c>
      <c r="X665" s="1">
        <v>4495000</v>
      </c>
      <c r="Y665" s="1">
        <v>4195000</v>
      </c>
      <c r="Z665" s="5">
        <v>44275</v>
      </c>
      <c r="AA665" s="1">
        <v>3900000</v>
      </c>
      <c r="AB665" s="1" t="s">
        <v>475</v>
      </c>
      <c r="AC665" s="5">
        <v>44358</v>
      </c>
      <c r="AF665" s="1">
        <v>10007</v>
      </c>
      <c r="AI665" s="1" t="s">
        <v>45</v>
      </c>
      <c r="AJ665" s="1">
        <v>1930</v>
      </c>
      <c r="AK665" s="1" t="s">
        <v>73</v>
      </c>
      <c r="AL665" s="1">
        <v>156</v>
      </c>
    </row>
    <row r="666" spans="1:38" x14ac:dyDescent="0.2">
      <c r="A666" s="2" t="str">
        <f>HYPERLINK("https://www.compass.com/listing/100-barclay-street-unit-14n-manhattan-ny-10007/4852288575997218785/","100 Barclay St, Unit 14N")</f>
        <v>100 Barclay St, Unit 14N</v>
      </c>
      <c r="B666" s="2" t="str">
        <f t="shared" si="121"/>
        <v>100 Barclay</v>
      </c>
      <c r="C666" s="1" t="s">
        <v>40</v>
      </c>
      <c r="D666" s="1" t="s">
        <v>41</v>
      </c>
      <c r="E666" s="3">
        <v>3550000</v>
      </c>
      <c r="F666" s="1">
        <v>1779.44862155388</v>
      </c>
      <c r="G666" s="1">
        <v>5</v>
      </c>
      <c r="H666" s="1">
        <v>3</v>
      </c>
      <c r="I666" s="1">
        <v>3</v>
      </c>
      <c r="J666" s="1">
        <v>3</v>
      </c>
      <c r="K666" s="1">
        <v>3</v>
      </c>
      <c r="M666" s="4">
        <v>1995</v>
      </c>
      <c r="N666" s="1">
        <v>2560</v>
      </c>
      <c r="O666" s="1">
        <v>5008</v>
      </c>
      <c r="P666" s="1">
        <v>2448</v>
      </c>
      <c r="Q666" s="1" t="s">
        <v>42</v>
      </c>
      <c r="S666" s="1" t="s">
        <v>42</v>
      </c>
      <c r="T666" s="1" t="s">
        <v>170</v>
      </c>
      <c r="U666" s="1">
        <v>116</v>
      </c>
      <c r="V666" s="5">
        <v>43641</v>
      </c>
      <c r="W666" s="5">
        <v>42643</v>
      </c>
      <c r="X666" s="1">
        <v>3975000</v>
      </c>
      <c r="Y666" s="1">
        <v>3975000</v>
      </c>
      <c r="Z666" s="5">
        <v>42759</v>
      </c>
      <c r="AA666" s="1">
        <v>3550000</v>
      </c>
      <c r="AB666" s="1" t="s">
        <v>476</v>
      </c>
      <c r="AC666" s="5">
        <v>42856</v>
      </c>
      <c r="AF666" s="1">
        <v>10007</v>
      </c>
      <c r="AI666" s="1" t="s">
        <v>45</v>
      </c>
      <c r="AJ666" s="1">
        <v>1930</v>
      </c>
      <c r="AK666" s="1" t="s">
        <v>73</v>
      </c>
      <c r="AL666" s="1">
        <v>156</v>
      </c>
    </row>
    <row r="667" spans="1:38" x14ac:dyDescent="0.2">
      <c r="A667" s="2" t="str">
        <f>HYPERLINK("https://www.compass.com/listing/30-park-place-unit-65c-manhattan-ny-10007/29357587493391713/","30 Park Pl, Unit 65C")</f>
        <v>30 Park Pl, Unit 65C</v>
      </c>
      <c r="B667" s="2" t="str">
        <f t="shared" ref="B667:B669" si="122">HYPERLINK("https://www.compass.com/building/30-park-pl-manhattan-ny-10007/281896912905317605/","30 Park Pl")</f>
        <v>30 Park Pl</v>
      </c>
      <c r="C667" s="1" t="s">
        <v>40</v>
      </c>
      <c r="D667" s="1" t="s">
        <v>41</v>
      </c>
      <c r="E667" s="3">
        <v>5345813</v>
      </c>
      <c r="F667" s="1">
        <v>2945.3515151515098</v>
      </c>
      <c r="G667" s="1">
        <v>5</v>
      </c>
      <c r="H667" s="1">
        <v>3</v>
      </c>
      <c r="I667" s="1">
        <v>3</v>
      </c>
      <c r="J667" s="1">
        <v>3</v>
      </c>
      <c r="K667" s="1">
        <v>3</v>
      </c>
      <c r="M667" s="4">
        <v>1815</v>
      </c>
      <c r="N667" s="1">
        <v>1479</v>
      </c>
      <c r="O667" s="1">
        <v>5249</v>
      </c>
      <c r="P667" s="1">
        <v>3770</v>
      </c>
      <c r="Q667" s="1" t="s">
        <v>42</v>
      </c>
      <c r="S667" s="1" t="s">
        <v>42</v>
      </c>
      <c r="T667" s="1" t="s">
        <v>170</v>
      </c>
      <c r="U667" s="1">
        <v>19</v>
      </c>
      <c r="V667" s="5">
        <v>43663</v>
      </c>
      <c r="W667" s="5">
        <v>41838</v>
      </c>
      <c r="X667" s="1">
        <v>5400000</v>
      </c>
      <c r="Y667" s="1">
        <v>5250000</v>
      </c>
      <c r="Z667" s="5">
        <v>41857</v>
      </c>
      <c r="AA667" s="1">
        <v>5345813</v>
      </c>
      <c r="AB667" s="1" t="s">
        <v>477</v>
      </c>
      <c r="AC667" s="5">
        <v>42810</v>
      </c>
      <c r="AF667" s="1">
        <v>10007</v>
      </c>
      <c r="AJ667" s="1">
        <v>2016</v>
      </c>
      <c r="AK667" s="1" t="s">
        <v>73</v>
      </c>
      <c r="AL667" s="1">
        <v>157</v>
      </c>
    </row>
    <row r="668" spans="1:38" x14ac:dyDescent="0.2">
      <c r="A668" s="2" t="str">
        <f>HYPERLINK("https://www.compass.com/listing/30-park-place-unit-68c-manhattan-ny-10007/29357590211202609/","30 Park Pl, Unit 68C")</f>
        <v>30 Park Pl, Unit 68C</v>
      </c>
      <c r="B668" s="2" t="str">
        <f t="shared" si="122"/>
        <v>30 Park Pl</v>
      </c>
      <c r="C668" s="1" t="s">
        <v>40</v>
      </c>
      <c r="D668" s="1" t="s">
        <v>41</v>
      </c>
      <c r="E668" s="3">
        <v>5854938</v>
      </c>
      <c r="F668" s="1">
        <v>3225.8611570247899</v>
      </c>
      <c r="G668" s="1">
        <v>5</v>
      </c>
      <c r="H668" s="1">
        <v>3</v>
      </c>
      <c r="I668" s="1">
        <v>3</v>
      </c>
      <c r="J668" s="1">
        <v>3</v>
      </c>
      <c r="K668" s="1">
        <v>3</v>
      </c>
      <c r="M668" s="4">
        <v>1815</v>
      </c>
      <c r="N668" s="1">
        <v>1487</v>
      </c>
      <c r="O668" s="1">
        <v>5278</v>
      </c>
      <c r="P668" s="1">
        <v>3791</v>
      </c>
      <c r="Q668" s="1" t="s">
        <v>42</v>
      </c>
      <c r="S668" s="1" t="s">
        <v>42</v>
      </c>
      <c r="T668" s="1" t="s">
        <v>170</v>
      </c>
      <c r="U668" s="1">
        <v>57</v>
      </c>
      <c r="V668" s="5">
        <v>43662</v>
      </c>
      <c r="W668" s="5">
        <v>41866</v>
      </c>
      <c r="X668" s="1">
        <v>5550000</v>
      </c>
      <c r="Y668" s="1">
        <v>5750000</v>
      </c>
      <c r="Z668" s="5">
        <v>41923</v>
      </c>
      <c r="AA668" s="1">
        <v>5854938</v>
      </c>
      <c r="AB668" s="1" t="s">
        <v>478</v>
      </c>
      <c r="AC668" s="5">
        <v>42837</v>
      </c>
      <c r="AF668" s="1">
        <v>10007</v>
      </c>
      <c r="AJ668" s="1">
        <v>2016</v>
      </c>
      <c r="AK668" s="1" t="s">
        <v>73</v>
      </c>
      <c r="AL668" s="1">
        <v>157</v>
      </c>
    </row>
    <row r="669" spans="1:38" x14ac:dyDescent="0.2">
      <c r="A669" s="2" t="str">
        <f>HYPERLINK("https://www.compass.com/listing/30-park-place-unit-70c-manhattan-ny-10007/29357591226224193/","30 Park Pl, Unit 70C")</f>
        <v>30 Park Pl, Unit 70C</v>
      </c>
      <c r="B669" s="2" t="str">
        <f t="shared" si="122"/>
        <v>30 Park Pl</v>
      </c>
      <c r="C669" s="1" t="s">
        <v>40</v>
      </c>
      <c r="D669" s="1" t="s">
        <v>41</v>
      </c>
      <c r="E669" s="3">
        <v>5600375</v>
      </c>
      <c r="F669" s="1">
        <v>3085.6060606060601</v>
      </c>
      <c r="G669" s="1">
        <v>5</v>
      </c>
      <c r="H669" s="1">
        <v>3</v>
      </c>
      <c r="I669" s="1">
        <v>3</v>
      </c>
      <c r="J669" s="1">
        <v>3</v>
      </c>
      <c r="K669" s="1">
        <v>3</v>
      </c>
      <c r="M669" s="4">
        <v>1815</v>
      </c>
      <c r="N669" s="1">
        <v>1492</v>
      </c>
      <c r="O669" s="1">
        <v>5296</v>
      </c>
      <c r="P669" s="1">
        <v>3804</v>
      </c>
      <c r="Q669" s="1" t="s">
        <v>42</v>
      </c>
      <c r="S669" s="1" t="s">
        <v>42</v>
      </c>
      <c r="T669" s="1" t="s">
        <v>170</v>
      </c>
      <c r="U669" s="1">
        <v>15</v>
      </c>
      <c r="V669" s="5">
        <v>43663</v>
      </c>
      <c r="W669" s="5">
        <v>41845</v>
      </c>
      <c r="X669" s="1">
        <v>5650000</v>
      </c>
      <c r="Y669" s="1">
        <v>5500000</v>
      </c>
      <c r="Z669" s="5">
        <v>41860</v>
      </c>
      <c r="AA669" s="1">
        <v>5600375</v>
      </c>
      <c r="AB669" s="1" t="s">
        <v>479</v>
      </c>
      <c r="AC669" s="5">
        <v>42822</v>
      </c>
      <c r="AF669" s="1">
        <v>10007</v>
      </c>
      <c r="AJ669" s="1">
        <v>2016</v>
      </c>
      <c r="AK669" s="1" t="s">
        <v>73</v>
      </c>
      <c r="AL669" s="1">
        <v>157</v>
      </c>
    </row>
    <row r="670" spans="1:38" x14ac:dyDescent="0.2">
      <c r="A670" s="2" t="str">
        <f>HYPERLINK("https://www.compass.com/listing/100-barclay-street-unit-30b-manhattan-ny-10007/21776486520387569/","100 Barclay St, Unit 30B")</f>
        <v>100 Barclay St, Unit 30B</v>
      </c>
      <c r="B670" s="2" t="str">
        <f t="shared" ref="B670:B678" si="123">HYPERLINK("https://www.compass.com/building/100-barclay-manhattan-ny/281896670466155525/","100 Barclay")</f>
        <v>100 Barclay</v>
      </c>
      <c r="C670" s="1" t="s">
        <v>40</v>
      </c>
      <c r="D670" s="1" t="s">
        <v>41</v>
      </c>
      <c r="E670" s="3">
        <v>6951348</v>
      </c>
      <c r="F670" s="1">
        <v>2417.01947148817</v>
      </c>
      <c r="G670" s="1">
        <v>6</v>
      </c>
      <c r="H670" s="1">
        <v>3</v>
      </c>
      <c r="I670" s="1">
        <v>4</v>
      </c>
      <c r="J670" s="1">
        <v>4</v>
      </c>
      <c r="K670" s="1">
        <v>4</v>
      </c>
      <c r="M670" s="4">
        <v>2876</v>
      </c>
      <c r="N670" s="1">
        <v>3555</v>
      </c>
      <c r="O670" s="1">
        <v>7420</v>
      </c>
      <c r="P670" s="1">
        <v>3865</v>
      </c>
      <c r="Q670" s="1" t="s">
        <v>42</v>
      </c>
      <c r="S670" s="1" t="s">
        <v>42</v>
      </c>
      <c r="T670" s="1" t="s">
        <v>170</v>
      </c>
      <c r="U670" s="1">
        <v>3</v>
      </c>
      <c r="V670" s="5">
        <v>43630</v>
      </c>
      <c r="W670" s="5">
        <v>43320</v>
      </c>
      <c r="X670" s="1">
        <v>7350000</v>
      </c>
      <c r="Y670" s="1">
        <v>7350000</v>
      </c>
      <c r="Z670" s="5">
        <v>43323</v>
      </c>
      <c r="AA670" s="1">
        <v>6951348</v>
      </c>
      <c r="AB670" s="1" t="s">
        <v>480</v>
      </c>
      <c r="AC670" s="5">
        <v>43374</v>
      </c>
      <c r="AF670" s="1">
        <v>10007</v>
      </c>
      <c r="AI670" s="1" t="s">
        <v>45</v>
      </c>
      <c r="AJ670" s="1">
        <v>1930</v>
      </c>
      <c r="AK670" s="1" t="s">
        <v>73</v>
      </c>
      <c r="AL670" s="1">
        <v>156</v>
      </c>
    </row>
    <row r="671" spans="1:38" x14ac:dyDescent="0.2">
      <c r="A671" s="2" t="str">
        <f>HYPERLINK("https://www.compass.com/listing/100-barclay-street-unit-14d-manhattan-ny-10007/25002984190585665/","100 Barclay St, Unit 14D")</f>
        <v>100 Barclay St, Unit 14D</v>
      </c>
      <c r="B671" s="2" t="str">
        <f t="shared" si="123"/>
        <v>100 Barclay</v>
      </c>
      <c r="C671" s="1" t="s">
        <v>40</v>
      </c>
      <c r="D671" s="1" t="s">
        <v>41</v>
      </c>
      <c r="E671" s="3">
        <v>6075000</v>
      </c>
      <c r="F671" s="1">
        <v>1952.7483124397299</v>
      </c>
      <c r="G671" s="1">
        <v>8</v>
      </c>
      <c r="H671" s="1">
        <v>4</v>
      </c>
      <c r="I671" s="1">
        <v>5</v>
      </c>
      <c r="J671" s="1">
        <v>5</v>
      </c>
      <c r="K671" s="1">
        <v>5</v>
      </c>
      <c r="M671" s="4">
        <v>3111</v>
      </c>
      <c r="N671" s="1">
        <v>4622</v>
      </c>
      <c r="O671" s="1">
        <v>8870</v>
      </c>
      <c r="P671" s="1">
        <v>4248</v>
      </c>
      <c r="Q671" s="1" t="s">
        <v>42</v>
      </c>
      <c r="S671" s="1" t="s">
        <v>42</v>
      </c>
      <c r="T671" s="1" t="s">
        <v>170</v>
      </c>
      <c r="U671" s="1">
        <v>38</v>
      </c>
      <c r="V671" s="5">
        <v>43697</v>
      </c>
      <c r="W671" s="5">
        <v>43600</v>
      </c>
      <c r="X671" s="1">
        <v>6450000</v>
      </c>
      <c r="Y671" s="1">
        <v>6450000</v>
      </c>
      <c r="Z671" s="5">
        <v>43638</v>
      </c>
      <c r="AA671" s="1">
        <v>6075000</v>
      </c>
      <c r="AB671" s="1" t="s">
        <v>481</v>
      </c>
      <c r="AC671" s="5">
        <v>43642</v>
      </c>
      <c r="AF671" s="1">
        <v>10007</v>
      </c>
      <c r="AI671" s="1" t="s">
        <v>74</v>
      </c>
      <c r="AJ671" s="1">
        <v>1930</v>
      </c>
      <c r="AK671" s="1" t="s">
        <v>73</v>
      </c>
      <c r="AL671" s="1">
        <v>156</v>
      </c>
    </row>
    <row r="672" spans="1:38" x14ac:dyDescent="0.2">
      <c r="A672" s="2" t="str">
        <f>HYPERLINK("https://www.compass.com/listing/100-barclay-street-unit-phb-manhattan-ny-10007/4852276263584268785/","100 Barclay St, Unit PHB")</f>
        <v>100 Barclay St, Unit PHB</v>
      </c>
      <c r="B672" s="2" t="str">
        <f t="shared" si="123"/>
        <v>100 Barclay</v>
      </c>
      <c r="C672" s="1" t="s">
        <v>40</v>
      </c>
      <c r="D672" s="1" t="s">
        <v>41</v>
      </c>
      <c r="E672" s="3">
        <v>11193750</v>
      </c>
      <c r="F672" s="1">
        <v>2596.5553235908101</v>
      </c>
      <c r="G672" s="1">
        <v>8</v>
      </c>
      <c r="H672" s="1">
        <v>5</v>
      </c>
      <c r="I672" s="1">
        <v>5</v>
      </c>
      <c r="J672" s="1">
        <v>5.5</v>
      </c>
      <c r="K672" s="1">
        <v>5</v>
      </c>
      <c r="L672" s="1">
        <v>1</v>
      </c>
      <c r="M672" s="4">
        <v>4311</v>
      </c>
      <c r="N672" s="1">
        <v>5760</v>
      </c>
      <c r="O672" s="1">
        <v>11268</v>
      </c>
      <c r="P672" s="1">
        <v>5508</v>
      </c>
      <c r="Q672" s="1" t="s">
        <v>42</v>
      </c>
      <c r="S672" s="1" t="s">
        <v>42</v>
      </c>
      <c r="T672" s="1" t="s">
        <v>170</v>
      </c>
      <c r="V672" s="5">
        <v>43677</v>
      </c>
      <c r="W672" s="5">
        <v>42807</v>
      </c>
      <c r="X672" s="1">
        <v>13200000</v>
      </c>
      <c r="Y672" s="1">
        <v>13200000</v>
      </c>
      <c r="Z672" s="5">
        <v>42807</v>
      </c>
      <c r="AA672" s="1">
        <v>11193750</v>
      </c>
      <c r="AB672" s="1" t="s">
        <v>181</v>
      </c>
      <c r="AC672" s="5">
        <v>42908</v>
      </c>
      <c r="AF672" s="1">
        <v>10007</v>
      </c>
      <c r="AI672" s="1" t="s">
        <v>74</v>
      </c>
      <c r="AJ672" s="1">
        <v>1930</v>
      </c>
      <c r="AK672" s="1" t="s">
        <v>73</v>
      </c>
      <c r="AL672" s="1">
        <v>156</v>
      </c>
    </row>
    <row r="673" spans="1:38" x14ac:dyDescent="0.2">
      <c r="A673" s="2" t="str">
        <f>HYPERLINK("https://www.compass.com/listing/100-barclay-street-unit-23b-manhattan-ny-10007/4852276922039680801/","100 Barclay St, Unit 23B")</f>
        <v>100 Barclay St, Unit 23B</v>
      </c>
      <c r="B673" s="2" t="str">
        <f t="shared" si="123"/>
        <v>100 Barclay</v>
      </c>
      <c r="C673" s="1" t="s">
        <v>40</v>
      </c>
      <c r="D673" s="1" t="s">
        <v>41</v>
      </c>
      <c r="E673" s="3">
        <v>6250000</v>
      </c>
      <c r="F673" s="1">
        <v>2177.7003484320499</v>
      </c>
      <c r="G673" s="1">
        <v>5</v>
      </c>
      <c r="H673" s="1">
        <v>4</v>
      </c>
      <c r="I673" s="1">
        <v>4</v>
      </c>
      <c r="J673" s="1">
        <v>4</v>
      </c>
      <c r="K673" s="1">
        <v>4</v>
      </c>
      <c r="M673" s="4">
        <v>2870</v>
      </c>
      <c r="N673" s="1">
        <v>3682</v>
      </c>
      <c r="O673" s="1">
        <v>7203</v>
      </c>
      <c r="P673" s="1">
        <v>3521</v>
      </c>
      <c r="Q673" s="1" t="s">
        <v>42</v>
      </c>
      <c r="S673" s="1" t="s">
        <v>42</v>
      </c>
      <c r="T673" s="1" t="s">
        <v>170</v>
      </c>
      <c r="U673" s="1">
        <v>115</v>
      </c>
      <c r="V673" s="5">
        <v>42937</v>
      </c>
      <c r="W673" s="5">
        <v>42628</v>
      </c>
      <c r="X673" s="1">
        <v>6825000</v>
      </c>
      <c r="Y673" s="1">
        <v>6825000</v>
      </c>
      <c r="AA673" s="1">
        <v>6250000</v>
      </c>
      <c r="AB673" s="1" t="s">
        <v>482</v>
      </c>
      <c r="AC673" s="5">
        <v>42922</v>
      </c>
      <c r="AF673" s="1">
        <v>10007</v>
      </c>
      <c r="AI673" s="1" t="s">
        <v>45</v>
      </c>
      <c r="AJ673" s="1">
        <v>1930</v>
      </c>
      <c r="AK673" s="1" t="s">
        <v>73</v>
      </c>
      <c r="AL673" s="1">
        <v>156</v>
      </c>
    </row>
    <row r="674" spans="1:38" x14ac:dyDescent="0.2">
      <c r="A674" s="2" t="str">
        <f>HYPERLINK("https://www.compass.com/listing/100-barclay-street-unit-27a-manhattan-ny-10007/4852278479116310209/","100 Barclay St, Unit 27A")</f>
        <v>100 Barclay St, Unit 27A</v>
      </c>
      <c r="B674" s="2" t="str">
        <f t="shared" si="123"/>
        <v>100 Barclay</v>
      </c>
      <c r="C674" s="1" t="s">
        <v>40</v>
      </c>
      <c r="D674" s="1" t="s">
        <v>41</v>
      </c>
      <c r="E674" s="3">
        <v>6700000</v>
      </c>
      <c r="F674" s="1">
        <v>2252.1008403361302</v>
      </c>
      <c r="G674" s="1">
        <v>7</v>
      </c>
      <c r="H674" s="1">
        <v>3</v>
      </c>
      <c r="I674" s="1">
        <v>4</v>
      </c>
      <c r="J674" s="1">
        <v>4</v>
      </c>
      <c r="K674" s="1">
        <v>4</v>
      </c>
      <c r="M674" s="4">
        <v>2975</v>
      </c>
      <c r="N674" s="1">
        <v>3817</v>
      </c>
      <c r="O674" s="1">
        <v>7467</v>
      </c>
      <c r="P674" s="1">
        <v>3650</v>
      </c>
      <c r="Q674" s="1" t="s">
        <v>42</v>
      </c>
      <c r="S674" s="1" t="s">
        <v>42</v>
      </c>
      <c r="T674" s="1" t="s">
        <v>170</v>
      </c>
      <c r="V674" s="5">
        <v>43623</v>
      </c>
      <c r="W674" s="5">
        <v>42922</v>
      </c>
      <c r="X674" s="1">
        <v>7175000</v>
      </c>
      <c r="Y674" s="1">
        <v>7175000</v>
      </c>
      <c r="Z674" s="5">
        <v>42922</v>
      </c>
      <c r="AA674" s="1">
        <v>6700000</v>
      </c>
      <c r="AB674" s="1" t="s">
        <v>483</v>
      </c>
      <c r="AC674" s="5">
        <v>42937</v>
      </c>
      <c r="AF674" s="1">
        <v>10007</v>
      </c>
      <c r="AI674" s="1" t="s">
        <v>45</v>
      </c>
      <c r="AJ674" s="1">
        <v>1930</v>
      </c>
      <c r="AK674" s="1" t="s">
        <v>73</v>
      </c>
      <c r="AL674" s="1">
        <v>156</v>
      </c>
    </row>
    <row r="675" spans="1:38" x14ac:dyDescent="0.2">
      <c r="A675" s="2" t="str">
        <f>HYPERLINK("https://www.compass.com/listing/100-barclay-street-unit-28c-manhattan-ny-10007/4852279248217449185/","100 Barclay St, Unit 28C")</f>
        <v>100 Barclay St, Unit 28C</v>
      </c>
      <c r="B675" s="2" t="str">
        <f t="shared" si="123"/>
        <v>100 Barclay</v>
      </c>
      <c r="C675" s="1" t="s">
        <v>40</v>
      </c>
      <c r="D675" s="1" t="s">
        <v>41</v>
      </c>
      <c r="E675" s="3">
        <v>6150000</v>
      </c>
      <c r="F675" s="1">
        <v>2267.69911504424</v>
      </c>
      <c r="G675" s="1">
        <v>7</v>
      </c>
      <c r="H675" s="1">
        <v>4</v>
      </c>
      <c r="I675" s="1">
        <v>4</v>
      </c>
      <c r="J675" s="1">
        <v>4</v>
      </c>
      <c r="K675" s="1">
        <v>4</v>
      </c>
      <c r="M675" s="4">
        <v>2712</v>
      </c>
      <c r="N675" s="1">
        <v>3480</v>
      </c>
      <c r="O675" s="1">
        <v>6808</v>
      </c>
      <c r="P675" s="1">
        <v>3328</v>
      </c>
      <c r="Q675" s="1" t="s">
        <v>42</v>
      </c>
      <c r="S675" s="1" t="s">
        <v>42</v>
      </c>
      <c r="T675" s="1" t="s">
        <v>170</v>
      </c>
      <c r="U675" s="1">
        <v>40</v>
      </c>
      <c r="V675" s="5">
        <v>42880</v>
      </c>
      <c r="W675" s="5">
        <v>42754</v>
      </c>
      <c r="X675" s="1">
        <v>6750000</v>
      </c>
      <c r="Y675" s="1">
        <v>6750000</v>
      </c>
      <c r="Z675" s="5">
        <v>42795</v>
      </c>
      <c r="AA675" s="1">
        <v>6150000</v>
      </c>
      <c r="AB675" s="1" t="s">
        <v>484</v>
      </c>
      <c r="AC675" s="5">
        <v>42870</v>
      </c>
      <c r="AF675" s="1">
        <v>10007</v>
      </c>
      <c r="AI675" s="1" t="s">
        <v>45</v>
      </c>
      <c r="AJ675" s="1">
        <v>1930</v>
      </c>
      <c r="AK675" s="1" t="s">
        <v>73</v>
      </c>
      <c r="AL675" s="1">
        <v>156</v>
      </c>
    </row>
    <row r="676" spans="1:38" x14ac:dyDescent="0.2">
      <c r="A676" s="2" t="str">
        <f>HYPERLINK("https://www.compass.com/listing/100-barclay-street-unit-21b-manhattan-ny-10007/803356898925062305/","100 Barclay St, Unit 21B")</f>
        <v>100 Barclay St, Unit 21B</v>
      </c>
      <c r="B676" s="2" t="str">
        <f t="shared" si="123"/>
        <v>100 Barclay</v>
      </c>
      <c r="C676" s="1" t="s">
        <v>40</v>
      </c>
      <c r="D676" s="1" t="s">
        <v>41</v>
      </c>
      <c r="E676" s="3">
        <v>6650000</v>
      </c>
      <c r="F676" s="1">
        <v>2317.88079470198</v>
      </c>
      <c r="G676" s="1">
        <v>6</v>
      </c>
      <c r="H676" s="1">
        <v>3</v>
      </c>
      <c r="I676" s="1">
        <v>4</v>
      </c>
      <c r="J676" s="1">
        <v>4</v>
      </c>
      <c r="K676" s="1">
        <v>4</v>
      </c>
      <c r="M676" s="4">
        <v>2869</v>
      </c>
      <c r="N676" s="1">
        <v>4507</v>
      </c>
      <c r="O676" s="1">
        <v>9456.93</v>
      </c>
      <c r="P676" s="1">
        <v>4949.9166666666597</v>
      </c>
      <c r="Q676" s="1" t="s">
        <v>42</v>
      </c>
      <c r="S676" s="1" t="s">
        <v>42</v>
      </c>
      <c r="T676" s="1" t="s">
        <v>170</v>
      </c>
      <c r="U676" s="1">
        <v>201</v>
      </c>
      <c r="V676" s="5">
        <v>44220</v>
      </c>
      <c r="W676" s="5">
        <v>43956</v>
      </c>
      <c r="X676" s="1">
        <v>7895000</v>
      </c>
      <c r="Y676" s="1">
        <v>6990000</v>
      </c>
      <c r="Z676" s="5">
        <v>44206</v>
      </c>
      <c r="AA676" s="1">
        <v>6650000</v>
      </c>
      <c r="AB676" s="1" t="s">
        <v>485</v>
      </c>
      <c r="AC676" s="5">
        <v>44222</v>
      </c>
      <c r="AF676" s="1">
        <v>10007</v>
      </c>
      <c r="AI676" s="1" t="s">
        <v>88</v>
      </c>
      <c r="AJ676" s="1">
        <v>1930</v>
      </c>
      <c r="AK676" s="1" t="s">
        <v>73</v>
      </c>
      <c r="AL676" s="1">
        <v>156</v>
      </c>
    </row>
    <row r="677" spans="1:38" x14ac:dyDescent="0.2">
      <c r="A677" s="2" t="str">
        <f>HYPERLINK("https://www.compass.com/listing/100-barclay-street-unit-17j-manhattan-ny-10007/4852288504383681633/","100 Barclay St, Unit 17J")</f>
        <v>100 Barclay St, Unit 17J</v>
      </c>
      <c r="B677" s="2" t="str">
        <f t="shared" si="123"/>
        <v>100 Barclay</v>
      </c>
      <c r="C677" s="1" t="s">
        <v>40</v>
      </c>
      <c r="D677" s="1" t="s">
        <v>41</v>
      </c>
      <c r="E677" s="3">
        <v>1960131</v>
      </c>
      <c r="F677" s="1">
        <v>1654.11898734177</v>
      </c>
      <c r="G677" s="1">
        <v>3</v>
      </c>
      <c r="H677" s="1">
        <v>1</v>
      </c>
      <c r="I677" s="1">
        <v>2</v>
      </c>
      <c r="J677" s="1">
        <v>2</v>
      </c>
      <c r="K677" s="1">
        <v>2</v>
      </c>
      <c r="M677" s="4">
        <v>1185</v>
      </c>
      <c r="N677" s="1">
        <v>1520</v>
      </c>
      <c r="O677" s="1">
        <v>2974</v>
      </c>
      <c r="P677" s="1">
        <v>1454</v>
      </c>
      <c r="Q677" s="1" t="s">
        <v>42</v>
      </c>
      <c r="S677" s="1" t="s">
        <v>42</v>
      </c>
      <c r="T677" s="1" t="s">
        <v>170</v>
      </c>
      <c r="U677" s="1">
        <v>2</v>
      </c>
      <c r="V677" s="5">
        <v>43623</v>
      </c>
      <c r="W677" s="5">
        <v>42572</v>
      </c>
      <c r="X677" s="1">
        <v>2100000</v>
      </c>
      <c r="Y677" s="1">
        <v>2100000</v>
      </c>
      <c r="Z677" s="5">
        <v>42574</v>
      </c>
      <c r="AA677" s="1">
        <v>1960131</v>
      </c>
      <c r="AB677" s="1" t="s">
        <v>486</v>
      </c>
      <c r="AC677" s="5">
        <v>42629</v>
      </c>
      <c r="AF677" s="1">
        <v>10007</v>
      </c>
      <c r="AI677" s="1" t="s">
        <v>45</v>
      </c>
      <c r="AJ677" s="1">
        <v>1930</v>
      </c>
      <c r="AK677" s="1" t="s">
        <v>73</v>
      </c>
      <c r="AL677" s="1">
        <v>156</v>
      </c>
    </row>
    <row r="678" spans="1:38" x14ac:dyDescent="0.2">
      <c r="A678" s="2" t="str">
        <f>HYPERLINK("https://www.compass.com/listing/100-barclay-street-unit-11h-manhattan-ny-10007/29513628134672097/","100 Barclay St, Unit 11H")</f>
        <v>100 Barclay St, Unit 11H</v>
      </c>
      <c r="B678" s="2" t="str">
        <f t="shared" si="123"/>
        <v>100 Barclay</v>
      </c>
      <c r="C678" s="1" t="s">
        <v>40</v>
      </c>
      <c r="D678" s="1" t="s">
        <v>41</v>
      </c>
      <c r="E678" s="3">
        <v>3105663</v>
      </c>
      <c r="F678" s="1">
        <v>1794.1438474869999</v>
      </c>
      <c r="G678" s="1">
        <v>5</v>
      </c>
      <c r="H678" s="1">
        <v>2</v>
      </c>
      <c r="I678" s="1">
        <v>3</v>
      </c>
      <c r="J678" s="1">
        <v>3</v>
      </c>
      <c r="M678" s="4">
        <v>1731</v>
      </c>
      <c r="N678" s="1">
        <v>2387</v>
      </c>
      <c r="O678" s="1">
        <v>4670</v>
      </c>
      <c r="P678" s="1">
        <v>2283</v>
      </c>
      <c r="Q678" s="1" t="s">
        <v>42</v>
      </c>
      <c r="S678" s="1" t="s">
        <v>42</v>
      </c>
      <c r="T678" s="1" t="s">
        <v>170</v>
      </c>
      <c r="V678" s="5">
        <v>43664</v>
      </c>
      <c r="W678" s="5">
        <v>42477</v>
      </c>
      <c r="X678" s="1">
        <v>3114500</v>
      </c>
      <c r="Y678" s="1">
        <v>3114500</v>
      </c>
      <c r="Z678" s="5">
        <v>42477</v>
      </c>
      <c r="AA678" s="1">
        <v>3105663</v>
      </c>
      <c r="AB678" s="1" t="s">
        <v>487</v>
      </c>
      <c r="AC678" s="5">
        <v>42803</v>
      </c>
      <c r="AF678" s="1">
        <v>10007</v>
      </c>
      <c r="AI678" s="1" t="s">
        <v>88</v>
      </c>
      <c r="AJ678" s="1">
        <v>1930</v>
      </c>
      <c r="AK678" s="1" t="s">
        <v>73</v>
      </c>
      <c r="AL678" s="1">
        <v>156</v>
      </c>
    </row>
    <row r="679" spans="1:38" x14ac:dyDescent="0.2">
      <c r="A679" s="2" t="str">
        <f>HYPERLINK("https://www.compass.com/listing/211-west-14th-street-unit-7-manhattan-ny-10011/106223354805008033/","211 W 14th St, Unit 7")</f>
        <v>211 W 14th St, Unit 7</v>
      </c>
      <c r="B679" s="2" t="str">
        <f>HYPERLINK("https://www.compass.com/building/dorsay-manhattan-ny/292801633543285477/","d'Orsay")</f>
        <v>d'Orsay</v>
      </c>
      <c r="C679" s="1" t="s">
        <v>99</v>
      </c>
      <c r="D679" s="1" t="s">
        <v>41</v>
      </c>
      <c r="E679" s="3">
        <v>7636875</v>
      </c>
      <c r="F679" s="1">
        <v>2752.0270270270198</v>
      </c>
      <c r="G679" s="1">
        <v>6</v>
      </c>
      <c r="H679" s="1">
        <v>3</v>
      </c>
      <c r="I679" s="1">
        <v>4</v>
      </c>
      <c r="J679" s="1">
        <v>3.5</v>
      </c>
      <c r="K679" s="1">
        <v>3</v>
      </c>
      <c r="L679" s="1">
        <v>1</v>
      </c>
      <c r="M679" s="4">
        <v>2775</v>
      </c>
      <c r="N679" s="1">
        <v>5752.11</v>
      </c>
      <c r="O679" s="1">
        <v>8805.2799999999897</v>
      </c>
      <c r="P679" s="1">
        <v>3053.1666666666601</v>
      </c>
      <c r="Q679" s="1" t="s">
        <v>42</v>
      </c>
      <c r="S679" s="1" t="s">
        <v>42</v>
      </c>
      <c r="T679" s="1" t="s">
        <v>170</v>
      </c>
      <c r="U679" s="1">
        <v>145</v>
      </c>
      <c r="V679" s="5">
        <v>43644</v>
      </c>
      <c r="W679" s="5">
        <v>43399</v>
      </c>
      <c r="X679" s="1">
        <v>8150000</v>
      </c>
      <c r="Y679" s="1">
        <v>7950000</v>
      </c>
      <c r="Z679" s="5">
        <v>43544</v>
      </c>
      <c r="AA679" s="1">
        <v>7636875</v>
      </c>
      <c r="AB679" s="1" t="s">
        <v>488</v>
      </c>
      <c r="AC679" s="5">
        <v>43563</v>
      </c>
      <c r="AF679" s="1">
        <v>10011</v>
      </c>
      <c r="AI679" s="1" t="s">
        <v>95</v>
      </c>
      <c r="AJ679" s="1">
        <v>2018</v>
      </c>
      <c r="AK679" s="1" t="s">
        <v>73</v>
      </c>
      <c r="AL679" s="1">
        <v>21</v>
      </c>
    </row>
    <row r="680" spans="1:38" x14ac:dyDescent="0.2">
      <c r="A680" s="2" t="str">
        <f>HYPERLINK("https://www.compass.com/listing/100-barclay-street-unit-13l-manhattan-ny-10007/4852288413593770017/","100 Barclay St, Unit 13L")</f>
        <v>100 Barclay St, Unit 13L</v>
      </c>
      <c r="B680" s="2" t="str">
        <f>HYPERLINK("https://www.compass.com/building/100-barclay-manhattan-ny/281896670466155525/","100 Barclay")</f>
        <v>100 Barclay</v>
      </c>
      <c r="C680" s="1" t="s">
        <v>40</v>
      </c>
      <c r="D680" s="1" t="s">
        <v>41</v>
      </c>
      <c r="E680" s="3">
        <v>3977366</v>
      </c>
      <c r="F680" s="1">
        <v>1789.99369936993</v>
      </c>
      <c r="G680" s="1">
        <v>5</v>
      </c>
      <c r="H680" s="1">
        <v>3</v>
      </c>
      <c r="I680" s="1">
        <v>3</v>
      </c>
      <c r="J680" s="1">
        <v>3.5</v>
      </c>
      <c r="K680" s="1">
        <v>3</v>
      </c>
      <c r="L680" s="1">
        <v>1</v>
      </c>
      <c r="M680" s="4">
        <v>2222</v>
      </c>
      <c r="N680" s="1">
        <v>2747</v>
      </c>
      <c r="O680" s="1">
        <v>5730</v>
      </c>
      <c r="P680" s="1">
        <v>2983</v>
      </c>
      <c r="Q680" s="1" t="s">
        <v>42</v>
      </c>
      <c r="S680" s="1" t="s">
        <v>42</v>
      </c>
      <c r="T680" s="1" t="s">
        <v>170</v>
      </c>
      <c r="U680" s="1">
        <v>20</v>
      </c>
      <c r="V680" s="5">
        <v>43623</v>
      </c>
      <c r="W680" s="5">
        <v>42760</v>
      </c>
      <c r="X680" s="1">
        <v>4295000</v>
      </c>
      <c r="Y680" s="1">
        <v>4295000</v>
      </c>
      <c r="Z680" s="5">
        <v>42892</v>
      </c>
      <c r="AA680" s="1">
        <v>3977366</v>
      </c>
      <c r="AB680" s="1" t="s">
        <v>489</v>
      </c>
      <c r="AC680" s="5">
        <v>42984</v>
      </c>
      <c r="AF680" s="1">
        <v>10007</v>
      </c>
      <c r="AI680" s="1" t="s">
        <v>45</v>
      </c>
      <c r="AJ680" s="1">
        <v>1930</v>
      </c>
      <c r="AK680" s="1" t="s">
        <v>73</v>
      </c>
      <c r="AL680" s="1">
        <v>156</v>
      </c>
    </row>
    <row r="681" spans="1:38" x14ac:dyDescent="0.2">
      <c r="A681" s="2" t="str">
        <f>HYPERLINK("https://www.compass.com/listing/30-park-place-unit-50e-manhattan-ny-10007/129780692136564561/","30 Park Pl, Unit 50E")</f>
        <v>30 Park Pl, Unit 50E</v>
      </c>
      <c r="B681" s="2" t="str">
        <f>HYPERLINK("https://www.compass.com/building/30-park-pl-manhattan-ny-10007/281896912905317605/","30 Park Pl")</f>
        <v>30 Park Pl</v>
      </c>
      <c r="C681" s="1" t="s">
        <v>40</v>
      </c>
      <c r="D681" s="1" t="s">
        <v>41</v>
      </c>
      <c r="E681" s="3">
        <v>4750000</v>
      </c>
      <c r="F681" s="1">
        <v>2647.7146042363402</v>
      </c>
      <c r="G681" s="1">
        <v>6</v>
      </c>
      <c r="H681" s="1">
        <v>3</v>
      </c>
      <c r="I681" s="1">
        <v>3</v>
      </c>
      <c r="J681" s="1">
        <v>2.5</v>
      </c>
      <c r="M681" s="4">
        <v>1794</v>
      </c>
      <c r="N681" s="1">
        <v>1462</v>
      </c>
      <c r="O681" s="1">
        <v>5453</v>
      </c>
      <c r="P681" s="1">
        <v>3991</v>
      </c>
      <c r="Q681" s="1" t="s">
        <v>42</v>
      </c>
      <c r="S681" s="1" t="s">
        <v>42</v>
      </c>
      <c r="T681" s="1" t="s">
        <v>170</v>
      </c>
      <c r="U681" s="1">
        <v>45</v>
      </c>
      <c r="V681" s="5">
        <v>43548</v>
      </c>
      <c r="W681" s="5">
        <v>43429</v>
      </c>
      <c r="X681" s="1">
        <v>5680000</v>
      </c>
      <c r="Y681" s="1">
        <v>5300000</v>
      </c>
      <c r="AA681" s="1">
        <v>4750000</v>
      </c>
      <c r="AB681" s="1" t="s">
        <v>490</v>
      </c>
      <c r="AC681" s="5">
        <v>43546</v>
      </c>
      <c r="AF681" s="1">
        <v>10007</v>
      </c>
      <c r="AI681" s="1" t="s">
        <v>491</v>
      </c>
      <c r="AJ681" s="1">
        <v>2016</v>
      </c>
      <c r="AK681" s="1" t="s">
        <v>46</v>
      </c>
      <c r="AL681" s="1">
        <v>157</v>
      </c>
    </row>
    <row r="682" spans="1:38" x14ac:dyDescent="0.2">
      <c r="A682" s="2" t="str">
        <f>HYPERLINK("https://www.compass.com/listing/100-barclay-street-unit-12l-manhattan-ny-10007/4852308596660125649/","100 Barclay St, Unit 12L")</f>
        <v>100 Barclay St, Unit 12L</v>
      </c>
      <c r="B682" s="2" t="str">
        <f>HYPERLINK("https://www.compass.com/building/100-barclay-manhattan-ny/281896670466155525/","100 Barclay")</f>
        <v>100 Barclay</v>
      </c>
      <c r="C682" s="1" t="s">
        <v>40</v>
      </c>
      <c r="D682" s="1" t="s">
        <v>41</v>
      </c>
      <c r="E682" s="3">
        <v>4123913</v>
      </c>
      <c r="F682" s="1">
        <v>1855.9464446444599</v>
      </c>
      <c r="G682" s="1">
        <v>6</v>
      </c>
      <c r="H682" s="1">
        <v>3</v>
      </c>
      <c r="I682" s="1">
        <v>4</v>
      </c>
      <c r="J682" s="1">
        <v>3.5</v>
      </c>
      <c r="K682" s="1">
        <v>3</v>
      </c>
      <c r="L682" s="1">
        <v>1</v>
      </c>
      <c r="M682" s="4">
        <v>2222</v>
      </c>
      <c r="N682" s="1">
        <v>2851</v>
      </c>
      <c r="O682" s="1">
        <v>5577</v>
      </c>
      <c r="P682" s="1">
        <v>2726</v>
      </c>
      <c r="Q682" s="1" t="s">
        <v>42</v>
      </c>
      <c r="S682" s="1" t="s">
        <v>42</v>
      </c>
      <c r="T682" s="1" t="s">
        <v>170</v>
      </c>
      <c r="V682" s="5">
        <v>44225</v>
      </c>
      <c r="W682" s="5">
        <v>42462</v>
      </c>
      <c r="X682" s="1">
        <v>4185000</v>
      </c>
      <c r="Y682" s="1">
        <v>4185000</v>
      </c>
      <c r="Z682" s="5">
        <v>42462</v>
      </c>
      <c r="AA682" s="1">
        <v>4123913</v>
      </c>
      <c r="AB682" s="1" t="s">
        <v>492</v>
      </c>
      <c r="AC682" s="5">
        <v>42753</v>
      </c>
      <c r="AF682" s="1">
        <v>10007</v>
      </c>
      <c r="AI682" s="1" t="s">
        <v>45</v>
      </c>
      <c r="AJ682" s="1">
        <v>1930</v>
      </c>
      <c r="AK682" s="1" t="s">
        <v>73</v>
      </c>
      <c r="AL682" s="1">
        <v>156</v>
      </c>
    </row>
    <row r="683" spans="1:38" x14ac:dyDescent="0.2">
      <c r="A683" s="2" t="str">
        <f>HYPERLINK("https://www.compass.com/listing/211-west-14th-street-unit-6b-manhattan-ny-10011/197699881249277569/","211 W 14th St, Unit 6B")</f>
        <v>211 W 14th St, Unit 6B</v>
      </c>
      <c r="B683" s="2" t="str">
        <f t="shared" ref="B683:B684" si="124">HYPERLINK("https://www.compass.com/building/dorsay-manhattan-ny/292801633543285477/","d'Orsay")</f>
        <v>d'Orsay</v>
      </c>
      <c r="C683" s="1" t="s">
        <v>99</v>
      </c>
      <c r="D683" s="1" t="s">
        <v>41</v>
      </c>
      <c r="E683" s="3">
        <v>3026952</v>
      </c>
      <c r="F683" s="1">
        <v>2224.06465833945</v>
      </c>
      <c r="G683" s="1">
        <v>4</v>
      </c>
      <c r="H683" s="1">
        <v>2</v>
      </c>
      <c r="I683" s="1">
        <v>3</v>
      </c>
      <c r="J683" s="1">
        <v>2.5</v>
      </c>
      <c r="K683" s="1">
        <v>2</v>
      </c>
      <c r="L683" s="1">
        <v>1</v>
      </c>
      <c r="M683" s="4">
        <v>1361</v>
      </c>
      <c r="N683" s="1">
        <v>2689</v>
      </c>
      <c r="O683" s="1">
        <v>3876</v>
      </c>
      <c r="P683" s="1">
        <v>1187</v>
      </c>
      <c r="Q683" s="1" t="s">
        <v>42</v>
      </c>
      <c r="S683" s="1" t="s">
        <v>42</v>
      </c>
      <c r="T683" s="1" t="s">
        <v>170</v>
      </c>
      <c r="U683" s="1">
        <v>9</v>
      </c>
      <c r="V683" s="5">
        <v>43648</v>
      </c>
      <c r="W683" s="5">
        <v>43527</v>
      </c>
      <c r="X683" s="1">
        <v>3085000</v>
      </c>
      <c r="Y683" s="1">
        <v>3085000</v>
      </c>
      <c r="Z683" s="5">
        <v>43536</v>
      </c>
      <c r="AA683" s="1">
        <v>3026952</v>
      </c>
      <c r="AB683" s="1" t="s">
        <v>493</v>
      </c>
      <c r="AC683" s="5">
        <v>43545</v>
      </c>
      <c r="AF683" s="1">
        <v>10011</v>
      </c>
      <c r="AI683" s="1" t="s">
        <v>53</v>
      </c>
      <c r="AJ683" s="1">
        <v>2018</v>
      </c>
      <c r="AK683" s="1" t="s">
        <v>73</v>
      </c>
      <c r="AL683" s="1">
        <v>21</v>
      </c>
    </row>
    <row r="684" spans="1:38" x14ac:dyDescent="0.2">
      <c r="A684" s="2" t="str">
        <f>HYPERLINK("https://www.compass.com/listing/211-west-14th-street-unit-2a-manhattan-ny-10011/50128693128977873/","211 W 14th St, Unit 2A")</f>
        <v>211 W 14th St, Unit 2A</v>
      </c>
      <c r="B684" s="2" t="str">
        <f t="shared" si="124"/>
        <v>d'Orsay</v>
      </c>
      <c r="C684" s="1" t="s">
        <v>99</v>
      </c>
      <c r="D684" s="1" t="s">
        <v>41</v>
      </c>
      <c r="E684" s="3">
        <v>3768813</v>
      </c>
      <c r="F684" s="1">
        <v>2037.1959459459399</v>
      </c>
      <c r="G684" s="1">
        <v>5</v>
      </c>
      <c r="H684" s="1">
        <v>3</v>
      </c>
      <c r="I684" s="1">
        <v>4</v>
      </c>
      <c r="J684" s="1">
        <v>3.5</v>
      </c>
      <c r="K684" s="1">
        <v>3</v>
      </c>
      <c r="L684" s="1">
        <v>1</v>
      </c>
      <c r="M684" s="4">
        <v>1850</v>
      </c>
      <c r="N684" s="1">
        <v>3680.97</v>
      </c>
      <c r="O684" s="1">
        <v>6290.08</v>
      </c>
      <c r="P684" s="1">
        <v>2609.0833333333298</v>
      </c>
      <c r="Q684" s="1" t="s">
        <v>42</v>
      </c>
      <c r="S684" s="1" t="s">
        <v>42</v>
      </c>
      <c r="T684" s="1" t="s">
        <v>170</v>
      </c>
      <c r="U684" s="1">
        <v>88</v>
      </c>
      <c r="V684" s="5">
        <v>43710</v>
      </c>
      <c r="W684" s="5">
        <v>43571</v>
      </c>
      <c r="X684" s="1">
        <v>3850000</v>
      </c>
      <c r="Y684" s="1">
        <v>3850000</v>
      </c>
      <c r="Z684" s="5">
        <v>43659</v>
      </c>
      <c r="AA684" s="1">
        <v>3768812.5</v>
      </c>
      <c r="AB684" s="1" t="s">
        <v>494</v>
      </c>
      <c r="AC684" s="5">
        <v>43697</v>
      </c>
      <c r="AF684" s="1">
        <v>10011</v>
      </c>
      <c r="AI684" s="1" t="s">
        <v>95</v>
      </c>
      <c r="AJ684" s="1">
        <v>2018</v>
      </c>
      <c r="AK684" s="1" t="s">
        <v>73</v>
      </c>
      <c r="AL684" s="1">
        <v>21</v>
      </c>
    </row>
    <row r="685" spans="1:38" x14ac:dyDescent="0.2">
      <c r="A685" s="2" t="str">
        <f>HYPERLINK("https://www.compass.com/listing/100-barclay-street-unit-16j-manhattan-ny-10007/753720273033964985/","100 Barclay St, Unit 16J")</f>
        <v>100 Barclay St, Unit 16J</v>
      </c>
      <c r="B685" s="2" t="str">
        <f t="shared" ref="B685:B690" si="125">HYPERLINK("https://www.compass.com/building/100-barclay-manhattan-ny/281896670466155525/","100 Barclay")</f>
        <v>100 Barclay</v>
      </c>
      <c r="C685" s="1" t="s">
        <v>40</v>
      </c>
      <c r="D685" s="1" t="s">
        <v>41</v>
      </c>
      <c r="E685" s="3">
        <v>1995000</v>
      </c>
      <c r="F685" s="1">
        <v>1545.3137103020899</v>
      </c>
      <c r="G685" s="1">
        <v>3.5</v>
      </c>
      <c r="H685" s="1">
        <v>1</v>
      </c>
      <c r="I685" s="1">
        <v>2</v>
      </c>
      <c r="J685" s="1">
        <v>2</v>
      </c>
      <c r="K685" s="1">
        <v>2</v>
      </c>
      <c r="M685" s="4">
        <v>1291</v>
      </c>
      <c r="N685" s="1">
        <v>1708</v>
      </c>
      <c r="O685" s="1">
        <v>3282</v>
      </c>
      <c r="P685" s="1">
        <v>1574</v>
      </c>
      <c r="Q685" s="1" t="s">
        <v>42</v>
      </c>
      <c r="S685" s="1" t="s">
        <v>42</v>
      </c>
      <c r="T685" s="1" t="s">
        <v>170</v>
      </c>
      <c r="U685" s="1">
        <v>38</v>
      </c>
      <c r="V685" s="5">
        <v>44398</v>
      </c>
      <c r="W685" s="5">
        <v>44291</v>
      </c>
      <c r="X685" s="1">
        <v>1995000</v>
      </c>
      <c r="Y685" s="1">
        <v>1995000</v>
      </c>
      <c r="Z685" s="5">
        <v>44330</v>
      </c>
      <c r="AA685" s="1">
        <v>1995000</v>
      </c>
      <c r="AB685" s="1" t="s">
        <v>495</v>
      </c>
      <c r="AC685" s="5">
        <v>44392</v>
      </c>
      <c r="AF685" s="1">
        <v>10007</v>
      </c>
      <c r="AI685" s="1" t="s">
        <v>45</v>
      </c>
      <c r="AJ685" s="1">
        <v>1930</v>
      </c>
      <c r="AK685" s="1" t="s">
        <v>73</v>
      </c>
      <c r="AL685" s="1">
        <v>156</v>
      </c>
    </row>
    <row r="686" spans="1:38" x14ac:dyDescent="0.2">
      <c r="A686" s="2" t="str">
        <f>HYPERLINK("https://www.compass.com/listing/100-barclay-street-unit-14h-manhattan-ny-10007/4852264243195550401/","100 Barclay St, Unit 14H")</f>
        <v>100 Barclay St, Unit 14H</v>
      </c>
      <c r="B686" s="2" t="str">
        <f t="shared" si="125"/>
        <v>100 Barclay</v>
      </c>
      <c r="C686" s="1" t="s">
        <v>40</v>
      </c>
      <c r="D686" s="1" t="s">
        <v>41</v>
      </c>
      <c r="E686" s="3">
        <v>2800188</v>
      </c>
      <c r="F686" s="1">
        <v>1574.02360876897</v>
      </c>
      <c r="G686" s="1">
        <v>5</v>
      </c>
      <c r="H686" s="1">
        <v>3</v>
      </c>
      <c r="I686" s="1">
        <v>3</v>
      </c>
      <c r="J686" s="1">
        <v>3</v>
      </c>
      <c r="K686" s="1">
        <v>3</v>
      </c>
      <c r="M686" s="4">
        <v>1779</v>
      </c>
      <c r="N686" s="1">
        <v>2283</v>
      </c>
      <c r="O686" s="1">
        <v>4466</v>
      </c>
      <c r="P686" s="1">
        <v>2183</v>
      </c>
      <c r="Q686" s="1" t="s">
        <v>438</v>
      </c>
      <c r="S686" s="1" t="s">
        <v>438</v>
      </c>
      <c r="T686" s="1" t="s">
        <v>170</v>
      </c>
      <c r="V686" s="5">
        <v>44394</v>
      </c>
      <c r="W686" s="5">
        <v>42477</v>
      </c>
      <c r="X686" s="1">
        <v>2852000</v>
      </c>
      <c r="Y686" s="1">
        <v>2852000</v>
      </c>
      <c r="Z686" s="5">
        <v>42477</v>
      </c>
      <c r="AA686" s="1">
        <v>2800188</v>
      </c>
      <c r="AB686" s="1" t="s">
        <v>496</v>
      </c>
      <c r="AC686" s="5">
        <v>42696</v>
      </c>
      <c r="AF686" s="1">
        <v>10007</v>
      </c>
      <c r="AI686" s="1" t="s">
        <v>45</v>
      </c>
      <c r="AJ686" s="1">
        <v>1930</v>
      </c>
      <c r="AK686" s="1" t="s">
        <v>73</v>
      </c>
      <c r="AL686" s="1">
        <v>156</v>
      </c>
    </row>
    <row r="687" spans="1:38" x14ac:dyDescent="0.2">
      <c r="A687" s="2" t="str">
        <f>HYPERLINK("https://www.compass.com/listing/100-barclay-street-unit-17h-manhattan-ny-10007/70920628550559409/","100 Barclay St, Unit 17H")</f>
        <v>100 Barclay St, Unit 17H</v>
      </c>
      <c r="B687" s="2" t="str">
        <f t="shared" si="125"/>
        <v>100 Barclay</v>
      </c>
      <c r="C687" s="1" t="s">
        <v>40</v>
      </c>
      <c r="D687" s="1" t="s">
        <v>41</v>
      </c>
      <c r="E687" s="3">
        <v>3205451</v>
      </c>
      <c r="F687" s="1">
        <v>1801.8274311410901</v>
      </c>
      <c r="G687" s="1">
        <v>5</v>
      </c>
      <c r="H687" s="1">
        <v>2</v>
      </c>
      <c r="I687" s="1">
        <v>3</v>
      </c>
      <c r="J687" s="1">
        <v>3</v>
      </c>
      <c r="M687" s="4">
        <v>1779</v>
      </c>
      <c r="N687" s="1">
        <v>2283</v>
      </c>
      <c r="O687" s="1">
        <v>4466</v>
      </c>
      <c r="P687" s="1">
        <v>2183</v>
      </c>
      <c r="Q687" s="1" t="s">
        <v>42</v>
      </c>
      <c r="S687" s="1" t="s">
        <v>42</v>
      </c>
      <c r="T687" s="1" t="s">
        <v>170</v>
      </c>
      <c r="V687" s="5">
        <v>43675</v>
      </c>
      <c r="W687" s="5">
        <v>42477</v>
      </c>
      <c r="X687" s="1">
        <v>3202000</v>
      </c>
      <c r="Y687" s="1">
        <v>3202000</v>
      </c>
      <c r="Z687" s="5">
        <v>42477</v>
      </c>
      <c r="AA687" s="1">
        <v>3205451</v>
      </c>
      <c r="AB687" s="1" t="s">
        <v>497</v>
      </c>
      <c r="AC687" s="5">
        <v>42648</v>
      </c>
      <c r="AF687" s="1">
        <v>10007</v>
      </c>
      <c r="AI687" s="1" t="s">
        <v>45</v>
      </c>
      <c r="AJ687" s="1">
        <v>1930</v>
      </c>
      <c r="AK687" s="1" t="s">
        <v>73</v>
      </c>
      <c r="AL687" s="1">
        <v>156</v>
      </c>
    </row>
    <row r="688" spans="1:38" x14ac:dyDescent="0.2">
      <c r="A688" s="2" t="str">
        <f>HYPERLINK("https://www.compass.com/listing/100-barclay-street-unit-19b-manhattan-ny-10007/4852285166254564177/","100 Barclay St, Unit 19B")</f>
        <v>100 Barclay St, Unit 19B</v>
      </c>
      <c r="B688" s="2" t="str">
        <f t="shared" si="125"/>
        <v>100 Barclay</v>
      </c>
      <c r="C688" s="1" t="s">
        <v>40</v>
      </c>
      <c r="D688" s="1" t="s">
        <v>41</v>
      </c>
      <c r="E688" s="3">
        <v>8655125</v>
      </c>
      <c r="F688" s="1">
        <v>2369.9685104052501</v>
      </c>
      <c r="G688" s="1">
        <v>7</v>
      </c>
      <c r="H688" s="1">
        <v>4</v>
      </c>
      <c r="I688" s="1">
        <v>4</v>
      </c>
      <c r="J688" s="1">
        <v>4.5</v>
      </c>
      <c r="K688" s="1">
        <v>4</v>
      </c>
      <c r="L688" s="1">
        <v>1</v>
      </c>
      <c r="M688" s="4">
        <v>3652</v>
      </c>
      <c r="N688" s="1">
        <v>4961</v>
      </c>
      <c r="O688" s="1">
        <v>9705</v>
      </c>
      <c r="P688" s="1">
        <v>4744</v>
      </c>
      <c r="Q688" s="1" t="s">
        <v>42</v>
      </c>
      <c r="S688" s="1" t="s">
        <v>42</v>
      </c>
      <c r="T688" s="1" t="s">
        <v>170</v>
      </c>
      <c r="U688" s="1">
        <v>53</v>
      </c>
      <c r="V688" s="5">
        <v>42962</v>
      </c>
      <c r="W688" s="5">
        <v>42757</v>
      </c>
      <c r="X688" s="1">
        <v>9850000</v>
      </c>
      <c r="Y688" s="1">
        <v>9850000</v>
      </c>
      <c r="AA688" s="1">
        <v>8655125</v>
      </c>
      <c r="AB688" s="1" t="s">
        <v>498</v>
      </c>
      <c r="AC688" s="5">
        <v>43027</v>
      </c>
      <c r="AF688" s="1">
        <v>10007</v>
      </c>
      <c r="AI688" s="1" t="s">
        <v>74</v>
      </c>
      <c r="AJ688" s="1">
        <v>1930</v>
      </c>
      <c r="AK688" s="1" t="s">
        <v>73</v>
      </c>
      <c r="AL688" s="1">
        <v>156</v>
      </c>
    </row>
    <row r="689" spans="1:38" x14ac:dyDescent="0.2">
      <c r="A689" s="2" t="str">
        <f>HYPERLINK("https://www.compass.com/listing/100-barclay-street-unit-19d-manhattan-ny-10007/4859523530330486625/","100 Barclay St, Unit 19D")</f>
        <v>100 Barclay St, Unit 19D</v>
      </c>
      <c r="B689" s="2" t="str">
        <f t="shared" si="125"/>
        <v>100 Barclay</v>
      </c>
      <c r="C689" s="1" t="s">
        <v>40</v>
      </c>
      <c r="D689" s="1" t="s">
        <v>41</v>
      </c>
      <c r="E689" s="3">
        <v>7425000</v>
      </c>
      <c r="F689" s="1">
        <v>2165.9859976662701</v>
      </c>
      <c r="G689" s="1">
        <v>8</v>
      </c>
      <c r="H689" s="1">
        <v>4</v>
      </c>
      <c r="I689" s="1">
        <v>4</v>
      </c>
      <c r="J689" s="1">
        <v>4.5</v>
      </c>
      <c r="K689" s="1">
        <v>4</v>
      </c>
      <c r="L689" s="1">
        <v>1</v>
      </c>
      <c r="M689" s="4">
        <v>3428</v>
      </c>
      <c r="N689" s="1">
        <v>4566</v>
      </c>
      <c r="O689" s="1">
        <v>9522</v>
      </c>
      <c r="P689" s="1">
        <v>4956</v>
      </c>
      <c r="Q689" s="1" t="s">
        <v>42</v>
      </c>
      <c r="S689" s="1" t="s">
        <v>42</v>
      </c>
      <c r="T689" s="1" t="s">
        <v>170</v>
      </c>
      <c r="U689" s="1">
        <v>84</v>
      </c>
      <c r="V689" s="5">
        <v>43623</v>
      </c>
      <c r="W689" s="5">
        <v>43019</v>
      </c>
      <c r="X689" s="1">
        <v>8500000</v>
      </c>
      <c r="Y689" s="1">
        <v>7995000</v>
      </c>
      <c r="Z689" s="5">
        <v>43103</v>
      </c>
      <c r="AA689" s="1">
        <v>7425000</v>
      </c>
      <c r="AB689" s="1" t="s">
        <v>499</v>
      </c>
      <c r="AC689" s="5">
        <v>43182</v>
      </c>
      <c r="AF689" s="1">
        <v>10007</v>
      </c>
      <c r="AI689" s="1" t="s">
        <v>88</v>
      </c>
      <c r="AJ689" s="1">
        <v>1930</v>
      </c>
      <c r="AK689" s="1" t="s">
        <v>73</v>
      </c>
      <c r="AL689" s="1">
        <v>156</v>
      </c>
    </row>
    <row r="690" spans="1:38" x14ac:dyDescent="0.2">
      <c r="A690" s="2" t="str">
        <f>HYPERLINK("https://www.compass.com/listing/100-barclay-street-unit-23b-manhattan-ny-10007/803331467492841625/","100 Barclay St, Unit 23B")</f>
        <v>100 Barclay St, Unit 23B</v>
      </c>
      <c r="B690" s="2" t="str">
        <f t="shared" si="125"/>
        <v>100 Barclay</v>
      </c>
      <c r="C690" s="1" t="s">
        <v>40</v>
      </c>
      <c r="D690" s="1" t="s">
        <v>41</v>
      </c>
      <c r="E690" s="3">
        <v>6250000</v>
      </c>
      <c r="F690" s="1">
        <v>2177.7003484320499</v>
      </c>
      <c r="G690" s="1">
        <v>5</v>
      </c>
      <c r="H690" s="1">
        <v>4</v>
      </c>
      <c r="I690" s="1">
        <v>4</v>
      </c>
      <c r="J690" s="1">
        <v>4</v>
      </c>
      <c r="K690" s="1">
        <v>4</v>
      </c>
      <c r="M690" s="4">
        <v>2870</v>
      </c>
      <c r="N690" s="1">
        <v>3682</v>
      </c>
      <c r="O690" s="1">
        <v>7203</v>
      </c>
      <c r="P690" s="1">
        <v>3521</v>
      </c>
      <c r="Q690" s="1" t="s">
        <v>42</v>
      </c>
      <c r="S690" s="1" t="s">
        <v>42</v>
      </c>
      <c r="T690" s="1" t="s">
        <v>170</v>
      </c>
      <c r="V690" s="5">
        <v>42931</v>
      </c>
      <c r="W690" s="5">
        <v>42874</v>
      </c>
      <c r="X690" s="1">
        <v>6825000</v>
      </c>
      <c r="Y690" s="1">
        <v>6825000</v>
      </c>
      <c r="Z690" s="5">
        <v>42874</v>
      </c>
      <c r="AA690" s="1">
        <v>6250000</v>
      </c>
      <c r="AB690" s="1" t="s">
        <v>482</v>
      </c>
      <c r="AC690" s="5">
        <v>42922</v>
      </c>
      <c r="AF690" s="1">
        <v>10007</v>
      </c>
      <c r="AI690" s="1" t="s">
        <v>45</v>
      </c>
      <c r="AJ690" s="1">
        <v>1930</v>
      </c>
      <c r="AK690" s="1" t="s">
        <v>73</v>
      </c>
      <c r="AL690" s="1">
        <v>156</v>
      </c>
    </row>
    <row r="691" spans="1:38" x14ac:dyDescent="0.2">
      <c r="A691" s="2" t="str">
        <f>HYPERLINK("https://www.compass.com/listing/211-west-14th-street-unit-ph-manhattan-ny-10011/216796324937446577/","211 W 14th St, Unit PH")</f>
        <v>211 W 14th St, Unit PH</v>
      </c>
      <c r="B691" s="2" t="str">
        <f>HYPERLINK("https://www.compass.com/building/dorsay-manhattan-ny/292801633543285477/","d'Orsay")</f>
        <v>d'Orsay</v>
      </c>
      <c r="C691" s="1" t="s">
        <v>99</v>
      </c>
      <c r="D691" s="1" t="s">
        <v>41</v>
      </c>
      <c r="E691" s="3">
        <v>8415000</v>
      </c>
      <c r="F691" s="1">
        <v>3171.88088955899</v>
      </c>
      <c r="G691" s="1">
        <v>6</v>
      </c>
      <c r="H691" s="1">
        <v>3</v>
      </c>
      <c r="I691" s="1">
        <v>4</v>
      </c>
      <c r="J691" s="1">
        <v>3.5</v>
      </c>
      <c r="K691" s="1">
        <v>3</v>
      </c>
      <c r="L691" s="1">
        <v>1</v>
      </c>
      <c r="M691" s="4">
        <v>2653</v>
      </c>
      <c r="N691" s="1">
        <v>6023.84</v>
      </c>
      <c r="O691" s="1">
        <v>9221.26</v>
      </c>
      <c r="P691" s="1">
        <v>3197.4166666666601</v>
      </c>
      <c r="Q691" s="1" t="s">
        <v>42</v>
      </c>
      <c r="S691" s="1" t="s">
        <v>42</v>
      </c>
      <c r="T691" s="1" t="s">
        <v>170</v>
      </c>
      <c r="U691" s="1">
        <v>91</v>
      </c>
      <c r="V691" s="5">
        <v>43736</v>
      </c>
      <c r="W691" s="5">
        <v>43551</v>
      </c>
      <c r="X691" s="1">
        <v>8950000</v>
      </c>
      <c r="Y691" s="1">
        <v>8950000</v>
      </c>
      <c r="Z691" s="5">
        <v>43642</v>
      </c>
      <c r="AA691" s="1">
        <v>8415000</v>
      </c>
      <c r="AB691" s="1" t="s">
        <v>500</v>
      </c>
      <c r="AC691" s="5">
        <v>43644</v>
      </c>
      <c r="AF691" s="1">
        <v>10011</v>
      </c>
      <c r="AI691" s="1" t="s">
        <v>95</v>
      </c>
      <c r="AJ691" s="1">
        <v>2018</v>
      </c>
      <c r="AK691" s="1" t="s">
        <v>73</v>
      </c>
      <c r="AL691" s="1">
        <v>21</v>
      </c>
    </row>
    <row r="692" spans="1:38" x14ac:dyDescent="0.2">
      <c r="A692" s="2" t="str">
        <f>HYPERLINK("https://www.compass.com/listing/30-park-place-unit-66b-manhattan-ny-10007/29357588122439185/","30 Park Pl, Unit 66B")</f>
        <v>30 Park Pl, Unit 66B</v>
      </c>
      <c r="B692" s="2" t="str">
        <f t="shared" ref="B692:B693" si="126">HYPERLINK("https://www.compass.com/building/30-park-pl-manhattan-ny-10007/281896912905317605/","30 Park Pl")</f>
        <v>30 Park Pl</v>
      </c>
      <c r="C692" s="1" t="s">
        <v>40</v>
      </c>
      <c r="D692" s="1" t="s">
        <v>41</v>
      </c>
      <c r="E692" s="3">
        <v>8527107</v>
      </c>
      <c r="F692" s="1">
        <v>3241.0136830102601</v>
      </c>
      <c r="G692" s="1">
        <v>5.5</v>
      </c>
      <c r="H692" s="1">
        <v>3</v>
      </c>
      <c r="I692" s="1">
        <v>3</v>
      </c>
      <c r="J692" s="1">
        <v>3.5</v>
      </c>
      <c r="K692" s="1">
        <v>3</v>
      </c>
      <c r="L692" s="1">
        <v>1</v>
      </c>
      <c r="M692" s="4">
        <v>2631</v>
      </c>
      <c r="N692" s="1">
        <v>2185</v>
      </c>
      <c r="O692" s="1">
        <v>7755</v>
      </c>
      <c r="P692" s="1">
        <v>5570</v>
      </c>
      <c r="Q692" s="1" t="s">
        <v>42</v>
      </c>
      <c r="S692" s="1" t="s">
        <v>42</v>
      </c>
      <c r="T692" s="1" t="s">
        <v>170</v>
      </c>
      <c r="U692" s="1">
        <v>55</v>
      </c>
      <c r="V692" s="5">
        <v>43663</v>
      </c>
      <c r="W692" s="5">
        <v>42502</v>
      </c>
      <c r="X692" s="1">
        <v>8450000</v>
      </c>
      <c r="Y692" s="1">
        <v>8450000</v>
      </c>
      <c r="Z692" s="5">
        <v>42704</v>
      </c>
      <c r="AA692" s="1">
        <v>8527107</v>
      </c>
      <c r="AB692" s="1" t="s">
        <v>501</v>
      </c>
      <c r="AC692" s="5">
        <v>42822</v>
      </c>
      <c r="AF692" s="1">
        <v>10007</v>
      </c>
      <c r="AJ692" s="1">
        <v>2016</v>
      </c>
      <c r="AK692" s="1" t="s">
        <v>73</v>
      </c>
      <c r="AL692" s="1">
        <v>157</v>
      </c>
    </row>
    <row r="693" spans="1:38" x14ac:dyDescent="0.2">
      <c r="A693" s="2" t="str">
        <f>HYPERLINK("https://www.compass.com/listing/30-park-place-unit-72b-manhattan-ny-10007/29357592526556593/","30 Park Pl, Unit 72B")</f>
        <v>30 Park Pl, Unit 72B</v>
      </c>
      <c r="B693" s="2" t="str">
        <f t="shared" si="126"/>
        <v>30 Park Pl</v>
      </c>
      <c r="C693" s="1" t="s">
        <v>40</v>
      </c>
      <c r="D693" s="1" t="s">
        <v>41</v>
      </c>
      <c r="E693" s="3">
        <v>8400125</v>
      </c>
      <c r="F693" s="1">
        <v>3192.7499049790899</v>
      </c>
      <c r="G693" s="1">
        <v>5.5</v>
      </c>
      <c r="H693" s="1">
        <v>3</v>
      </c>
      <c r="I693" s="1">
        <v>3</v>
      </c>
      <c r="J693" s="1">
        <v>3.5</v>
      </c>
      <c r="K693" s="1">
        <v>3</v>
      </c>
      <c r="L693" s="1">
        <v>1</v>
      </c>
      <c r="M693" s="4">
        <v>2631</v>
      </c>
      <c r="N693" s="1">
        <v>2201</v>
      </c>
      <c r="O693" s="1">
        <v>7811</v>
      </c>
      <c r="P693" s="1">
        <v>5610</v>
      </c>
      <c r="Q693" s="1" t="s">
        <v>42</v>
      </c>
      <c r="S693" s="1" t="s">
        <v>42</v>
      </c>
      <c r="T693" s="1" t="s">
        <v>170</v>
      </c>
      <c r="U693" s="1">
        <v>26</v>
      </c>
      <c r="V693" s="5">
        <v>43662</v>
      </c>
      <c r="W693" s="5">
        <v>41964</v>
      </c>
      <c r="X693" s="1">
        <v>8500000</v>
      </c>
      <c r="Y693" s="1">
        <v>8400125</v>
      </c>
      <c r="Z693" s="5">
        <v>41990</v>
      </c>
      <c r="AA693" s="1">
        <v>8400125</v>
      </c>
      <c r="AB693" s="1" t="s">
        <v>502</v>
      </c>
      <c r="AC693" s="5">
        <v>42849</v>
      </c>
      <c r="AF693" s="1">
        <v>10007</v>
      </c>
      <c r="AJ693" s="1">
        <v>2016</v>
      </c>
      <c r="AK693" s="1" t="s">
        <v>73</v>
      </c>
      <c r="AL693" s="1">
        <v>157</v>
      </c>
    </row>
    <row r="694" spans="1:38" x14ac:dyDescent="0.2">
      <c r="A694" s="2" t="str">
        <f>HYPERLINK("https://www.compass.com/listing/100-barclay-street-unit-15a-manhattan-ny-10007/177538146286729041/","100 Barclay St, Unit 15A")</f>
        <v>100 Barclay St, Unit 15A</v>
      </c>
      <c r="B694" s="2" t="str">
        <f t="shared" ref="B694:B695" si="127">HYPERLINK("https://www.compass.com/building/100-barclay-manhattan-ny/281896670466155525/","100 Barclay")</f>
        <v>100 Barclay</v>
      </c>
      <c r="C694" s="1" t="s">
        <v>40</v>
      </c>
      <c r="D694" s="1" t="s">
        <v>41</v>
      </c>
      <c r="E694" s="3">
        <v>5270000</v>
      </c>
      <c r="F694" s="1">
        <v>1978.9710852421999</v>
      </c>
      <c r="G694" s="1">
        <v>8</v>
      </c>
      <c r="H694" s="1">
        <v>4</v>
      </c>
      <c r="I694" s="1">
        <v>5</v>
      </c>
      <c r="J694" s="1">
        <v>4.5</v>
      </c>
      <c r="K694" s="1">
        <v>4</v>
      </c>
      <c r="L694" s="1">
        <v>1</v>
      </c>
      <c r="M694" s="4">
        <v>2663</v>
      </c>
      <c r="N694" s="1">
        <v>3348</v>
      </c>
      <c r="O694" s="1">
        <v>6875</v>
      </c>
      <c r="P694" s="1">
        <v>3527</v>
      </c>
      <c r="Q694" s="1" t="s">
        <v>42</v>
      </c>
      <c r="S694" s="1" t="s">
        <v>42</v>
      </c>
      <c r="T694" s="1" t="s">
        <v>170</v>
      </c>
      <c r="U694" s="1">
        <v>4</v>
      </c>
      <c r="V694" s="5">
        <v>43670</v>
      </c>
      <c r="W694" s="5">
        <v>43497</v>
      </c>
      <c r="X694" s="1">
        <v>5325000</v>
      </c>
      <c r="Y694" s="1">
        <v>5325000</v>
      </c>
      <c r="Z694" s="5">
        <v>43501</v>
      </c>
      <c r="AA694" s="1">
        <v>5270000</v>
      </c>
      <c r="AB694" s="1" t="s">
        <v>503</v>
      </c>
      <c r="AC694" s="5">
        <v>43524</v>
      </c>
      <c r="AF694" s="1">
        <v>10007</v>
      </c>
      <c r="AI694" s="1" t="s">
        <v>45</v>
      </c>
      <c r="AJ694" s="1">
        <v>1930</v>
      </c>
      <c r="AK694" s="1" t="s">
        <v>73</v>
      </c>
      <c r="AL694" s="1">
        <v>156</v>
      </c>
    </row>
    <row r="695" spans="1:38" x14ac:dyDescent="0.2">
      <c r="A695" s="2" t="str">
        <f>HYPERLINK("https://www.compass.com/listing/100-barclay-street-unit-22b-manhattan-ny-10007/254395101718117985/","100 Barclay St, Unit 22B")</f>
        <v>100 Barclay St, Unit 22B</v>
      </c>
      <c r="B695" s="2" t="str">
        <f t="shared" si="127"/>
        <v>100 Barclay</v>
      </c>
      <c r="C695" s="1" t="s">
        <v>40</v>
      </c>
      <c r="D695" s="1" t="s">
        <v>41</v>
      </c>
      <c r="E695" s="3">
        <v>5753113</v>
      </c>
      <c r="F695" s="1">
        <v>2004.56881533101</v>
      </c>
      <c r="G695" s="1">
        <v>7</v>
      </c>
      <c r="H695" s="1">
        <v>4</v>
      </c>
      <c r="I695" s="1">
        <v>4</v>
      </c>
      <c r="J695" s="1">
        <v>4</v>
      </c>
      <c r="K695" s="1">
        <v>4</v>
      </c>
      <c r="M695" s="4">
        <v>2870</v>
      </c>
      <c r="N695" s="1">
        <v>4138</v>
      </c>
      <c r="O695" s="1">
        <v>7939</v>
      </c>
      <c r="P695" s="1">
        <v>3801</v>
      </c>
      <c r="Q695" s="1" t="s">
        <v>42</v>
      </c>
      <c r="S695" s="1" t="s">
        <v>42</v>
      </c>
      <c r="T695" s="1" t="s">
        <v>170</v>
      </c>
      <c r="U695" s="1">
        <v>40</v>
      </c>
      <c r="V695" s="5">
        <v>43806</v>
      </c>
      <c r="W695" s="5">
        <v>43603</v>
      </c>
      <c r="X695" s="1">
        <v>6300000</v>
      </c>
      <c r="Y695" s="1">
        <v>6300000</v>
      </c>
      <c r="Z695" s="5">
        <v>43643</v>
      </c>
      <c r="AA695" s="1">
        <v>5753112.5</v>
      </c>
      <c r="AB695" s="1" t="s">
        <v>504</v>
      </c>
      <c r="AC695" s="5">
        <v>43643</v>
      </c>
      <c r="AF695" s="1">
        <v>10007</v>
      </c>
      <c r="AI695" s="1" t="s">
        <v>45</v>
      </c>
      <c r="AJ695" s="1">
        <v>1930</v>
      </c>
      <c r="AK695" s="1" t="s">
        <v>73</v>
      </c>
      <c r="AL695" s="1">
        <v>156</v>
      </c>
    </row>
    <row r="696" spans="1:38" x14ac:dyDescent="0.2">
      <c r="A696" s="2" t="str">
        <f>HYPERLINK("https://www.compass.com/listing/30-park-place-unit-71a-manhattan-ny-10007/18882321147033809/","30 Park Pl, Unit 71A")</f>
        <v>30 Park Pl, Unit 71A</v>
      </c>
      <c r="B696" s="2" t="str">
        <f t="shared" ref="B696:B697" si="128">HYPERLINK("https://www.compass.com/building/30-park-pl-manhattan-ny-10007/281896912905317605/","30 Park Pl")</f>
        <v>30 Park Pl</v>
      </c>
      <c r="C696" s="1" t="s">
        <v>40</v>
      </c>
      <c r="D696" s="1" t="s">
        <v>41</v>
      </c>
      <c r="E696" s="3">
        <v>11345000</v>
      </c>
      <c r="F696" s="1">
        <v>3067.0451473371099</v>
      </c>
      <c r="G696" s="1">
        <v>8</v>
      </c>
      <c r="H696" s="1">
        <v>4</v>
      </c>
      <c r="I696" s="1">
        <v>6</v>
      </c>
      <c r="J696" s="1">
        <v>5.5</v>
      </c>
      <c r="K696" s="1">
        <v>5</v>
      </c>
      <c r="L696" s="1">
        <v>1</v>
      </c>
      <c r="M696" s="4">
        <v>3699</v>
      </c>
      <c r="N696" s="1">
        <v>3332</v>
      </c>
      <c r="O696" s="1">
        <v>11866</v>
      </c>
      <c r="P696" s="1">
        <v>8534</v>
      </c>
      <c r="Q696" s="1" t="s">
        <v>42</v>
      </c>
      <c r="S696" s="1" t="s">
        <v>42</v>
      </c>
      <c r="T696" s="1" t="s">
        <v>170</v>
      </c>
      <c r="U696" s="1">
        <v>141</v>
      </c>
      <c r="V696" s="5">
        <v>43739</v>
      </c>
      <c r="W696" s="5">
        <v>43496</v>
      </c>
      <c r="X696" s="1">
        <v>13060000</v>
      </c>
      <c r="Y696" s="1">
        <v>13060000</v>
      </c>
      <c r="Z696" s="5">
        <v>43637</v>
      </c>
      <c r="AA696" s="1">
        <v>11345000</v>
      </c>
      <c r="AB696" s="1" t="s">
        <v>505</v>
      </c>
      <c r="AC696" s="5">
        <v>43643</v>
      </c>
      <c r="AF696" s="1">
        <v>10007</v>
      </c>
      <c r="AJ696" s="1">
        <v>2016</v>
      </c>
      <c r="AK696" s="1" t="s">
        <v>73</v>
      </c>
      <c r="AL696" s="1">
        <v>157</v>
      </c>
    </row>
    <row r="697" spans="1:38" x14ac:dyDescent="0.2">
      <c r="A697" s="2" t="str">
        <f>HYPERLINK("https://www.compass.com/listing/30-park-place-unit-69b-manhattan-ny-10007/29512135264470049/","30 Park Pl, Unit 69B")</f>
        <v>30 Park Pl, Unit 69B</v>
      </c>
      <c r="B697" s="2" t="str">
        <f t="shared" si="128"/>
        <v>30 Park Pl</v>
      </c>
      <c r="C697" s="1" t="s">
        <v>40</v>
      </c>
      <c r="D697" s="1" t="s">
        <v>41</v>
      </c>
      <c r="E697" s="3">
        <v>8000000</v>
      </c>
      <c r="F697" s="1">
        <v>3040.6689471683699</v>
      </c>
      <c r="G697" s="1">
        <v>6</v>
      </c>
      <c r="H697" s="1">
        <v>3</v>
      </c>
      <c r="I697" s="1">
        <v>4</v>
      </c>
      <c r="J697" s="1">
        <v>3.5</v>
      </c>
      <c r="K697" s="1">
        <v>3</v>
      </c>
      <c r="L697" s="1">
        <v>1</v>
      </c>
      <c r="M697" s="4">
        <v>2631</v>
      </c>
      <c r="N697" s="1">
        <v>2193</v>
      </c>
      <c r="O697" s="1">
        <v>7783</v>
      </c>
      <c r="P697" s="1">
        <v>5590</v>
      </c>
      <c r="Q697" s="1" t="s">
        <v>42</v>
      </c>
      <c r="S697" s="1" t="s">
        <v>42</v>
      </c>
      <c r="T697" s="1" t="s">
        <v>170</v>
      </c>
      <c r="U697" s="1">
        <v>52</v>
      </c>
      <c r="V697" s="5">
        <v>43731</v>
      </c>
      <c r="W697" s="5">
        <v>43310</v>
      </c>
      <c r="X697" s="1">
        <v>8600000</v>
      </c>
      <c r="Y697" s="1">
        <v>8000000</v>
      </c>
      <c r="Z697" s="5">
        <v>43362</v>
      </c>
      <c r="AA697" s="1">
        <v>8000000</v>
      </c>
      <c r="AB697" s="1" t="s">
        <v>506</v>
      </c>
      <c r="AC697" s="5">
        <v>43446</v>
      </c>
      <c r="AF697" s="1">
        <v>10007</v>
      </c>
      <c r="AJ697" s="1">
        <v>2016</v>
      </c>
      <c r="AK697" s="1" t="s">
        <v>73</v>
      </c>
      <c r="AL697" s="1">
        <v>157</v>
      </c>
    </row>
    <row r="698" spans="1:38" x14ac:dyDescent="0.2">
      <c r="A698" s="2" t="str">
        <f>HYPERLINK("https://www.compass.com/listing/100-barclay-street-unit-12e-manhattan-ny-10007/4852265624161751169/","100 Barclay St, Unit 12E")</f>
        <v>100 Barclay St, Unit 12E</v>
      </c>
      <c r="B698" s="2" t="str">
        <f t="shared" ref="B698:B702" si="129">HYPERLINK("https://www.compass.com/building/100-barclay-manhattan-ny/281896670466155525/","100 Barclay")</f>
        <v>100 Barclay</v>
      </c>
      <c r="C698" s="1" t="s">
        <v>40</v>
      </c>
      <c r="D698" s="1" t="s">
        <v>41</v>
      </c>
      <c r="E698" s="3">
        <v>2785932</v>
      </c>
      <c r="F698" s="1">
        <v>1832.85</v>
      </c>
      <c r="G698" s="1">
        <v>5</v>
      </c>
      <c r="H698" s="1">
        <v>2</v>
      </c>
      <c r="I698" s="1">
        <v>2</v>
      </c>
      <c r="J698" s="1">
        <v>2</v>
      </c>
      <c r="K698" s="1">
        <v>2</v>
      </c>
      <c r="M698" s="4">
        <v>1520</v>
      </c>
      <c r="N698" s="1">
        <v>1950</v>
      </c>
      <c r="O698" s="1">
        <v>3815</v>
      </c>
      <c r="P698" s="1">
        <v>1865</v>
      </c>
      <c r="Q698" s="1" t="s">
        <v>438</v>
      </c>
      <c r="S698" s="1" t="s">
        <v>438</v>
      </c>
      <c r="T698" s="1" t="s">
        <v>170</v>
      </c>
      <c r="U698" s="1">
        <v>444</v>
      </c>
      <c r="V698" s="5">
        <v>44414</v>
      </c>
      <c r="W698" s="5">
        <v>42032</v>
      </c>
      <c r="Y698" s="1">
        <v>2803500</v>
      </c>
      <c r="Z698" s="5">
        <v>42477</v>
      </c>
      <c r="AA698" s="1">
        <v>2785932</v>
      </c>
      <c r="AB698" s="1" t="s">
        <v>507</v>
      </c>
      <c r="AC698" s="5">
        <v>42752</v>
      </c>
      <c r="AF698" s="1">
        <v>10007</v>
      </c>
      <c r="AI698" s="1" t="s">
        <v>45</v>
      </c>
      <c r="AJ698" s="1">
        <v>1930</v>
      </c>
      <c r="AK698" s="1" t="s">
        <v>73</v>
      </c>
      <c r="AL698" s="1">
        <v>156</v>
      </c>
    </row>
    <row r="699" spans="1:38" x14ac:dyDescent="0.2">
      <c r="A699" s="2" t="str">
        <f>HYPERLINK("https://www.compass.com/listing/100-barclay-street-unit-23d-manhattan-ny-10007/4852262018016621841/","100 Barclay St, Unit 23D")</f>
        <v>100 Barclay St, Unit 23D</v>
      </c>
      <c r="B699" s="2" t="str">
        <f t="shared" si="129"/>
        <v>100 Barclay</v>
      </c>
      <c r="C699" s="1" t="s">
        <v>40</v>
      </c>
      <c r="D699" s="1" t="s">
        <v>41</v>
      </c>
      <c r="E699" s="3">
        <v>5045938</v>
      </c>
      <c r="F699" s="1">
        <v>2158.2284003421701</v>
      </c>
      <c r="G699" s="1">
        <v>7</v>
      </c>
      <c r="H699" s="1">
        <v>3</v>
      </c>
      <c r="I699" s="1">
        <v>4</v>
      </c>
      <c r="J699" s="1">
        <v>3.5</v>
      </c>
      <c r="M699" s="4">
        <v>2338</v>
      </c>
      <c r="N699" s="1">
        <v>2921</v>
      </c>
      <c r="O699" s="1">
        <v>5786</v>
      </c>
      <c r="P699" s="1">
        <v>2865</v>
      </c>
      <c r="Q699" s="1" t="s">
        <v>42</v>
      </c>
      <c r="S699" s="1" t="s">
        <v>42</v>
      </c>
      <c r="T699" s="1" t="s">
        <v>170</v>
      </c>
      <c r="U699" s="1">
        <v>125</v>
      </c>
      <c r="V699" s="5">
        <v>43623</v>
      </c>
      <c r="W699" s="5">
        <v>42120</v>
      </c>
      <c r="X699" s="1">
        <v>5200000</v>
      </c>
      <c r="Y699" s="1">
        <v>5200000</v>
      </c>
      <c r="Z699" s="5">
        <v>42245</v>
      </c>
      <c r="AA699" s="1">
        <v>5045938</v>
      </c>
      <c r="AB699" s="1" t="s">
        <v>508</v>
      </c>
      <c r="AC699" s="5">
        <v>42537</v>
      </c>
      <c r="AF699" s="1">
        <v>10007</v>
      </c>
      <c r="AI699" s="1" t="s">
        <v>45</v>
      </c>
      <c r="AJ699" s="1">
        <v>1930</v>
      </c>
      <c r="AK699" s="1" t="s">
        <v>73</v>
      </c>
      <c r="AL699" s="1">
        <v>156</v>
      </c>
    </row>
    <row r="700" spans="1:38" x14ac:dyDescent="0.2">
      <c r="A700" s="2" t="str">
        <f>HYPERLINK("https://www.compass.com/listing/100-barclay-street-unit-28d-manhattan-ny-10007/4852279279540514593/","100 Barclay St, Unit 28D")</f>
        <v>100 Barclay St, Unit 28D</v>
      </c>
      <c r="B700" s="2" t="str">
        <f t="shared" si="129"/>
        <v>100 Barclay</v>
      </c>
      <c r="C700" s="1" t="s">
        <v>40</v>
      </c>
      <c r="D700" s="1" t="s">
        <v>41</v>
      </c>
      <c r="E700" s="3">
        <v>5498550</v>
      </c>
      <c r="F700" s="1">
        <v>2351.8177929854501</v>
      </c>
      <c r="G700" s="1">
        <v>7</v>
      </c>
      <c r="H700" s="1">
        <v>3</v>
      </c>
      <c r="I700" s="1">
        <v>4</v>
      </c>
      <c r="J700" s="1">
        <v>3.5</v>
      </c>
      <c r="M700" s="4">
        <v>2338</v>
      </c>
      <c r="N700" s="1">
        <v>2921</v>
      </c>
      <c r="O700" s="1">
        <v>5786</v>
      </c>
      <c r="P700" s="1">
        <v>2865</v>
      </c>
      <c r="Q700" s="1" t="s">
        <v>42</v>
      </c>
      <c r="S700" s="1" t="s">
        <v>42</v>
      </c>
      <c r="T700" s="1" t="s">
        <v>170</v>
      </c>
      <c r="V700" s="5">
        <v>43623</v>
      </c>
      <c r="W700" s="5">
        <v>42333</v>
      </c>
      <c r="X700" s="1">
        <v>5450000</v>
      </c>
      <c r="Y700" s="1">
        <v>5450000</v>
      </c>
      <c r="Z700" s="5">
        <v>42333</v>
      </c>
      <c r="AA700" s="1">
        <v>5498550</v>
      </c>
      <c r="AB700" s="1" t="s">
        <v>509</v>
      </c>
      <c r="AC700" s="5">
        <v>42506</v>
      </c>
      <c r="AF700" s="1">
        <v>10007</v>
      </c>
      <c r="AI700" s="1" t="s">
        <v>45</v>
      </c>
      <c r="AJ700" s="1">
        <v>1930</v>
      </c>
      <c r="AK700" s="1" t="s">
        <v>46</v>
      </c>
      <c r="AL700" s="1">
        <v>156</v>
      </c>
    </row>
    <row r="701" spans="1:38" x14ac:dyDescent="0.2">
      <c r="A701" s="2" t="str">
        <f>HYPERLINK("https://www.compass.com/listing/100-barclay-street-unit-25d-manhattan-ny-10007/4852282279214459521/","100 Barclay St, Unit 25D")</f>
        <v>100 Barclay St, Unit 25D</v>
      </c>
      <c r="B701" s="2" t="str">
        <f t="shared" si="129"/>
        <v>100 Barclay</v>
      </c>
      <c r="C701" s="1" t="s">
        <v>40</v>
      </c>
      <c r="D701" s="1" t="s">
        <v>41</v>
      </c>
      <c r="E701" s="3">
        <v>4887600</v>
      </c>
      <c r="F701" s="1">
        <v>2090.5047048759602</v>
      </c>
      <c r="G701" s="1">
        <v>7</v>
      </c>
      <c r="H701" s="1">
        <v>3</v>
      </c>
      <c r="I701" s="1">
        <v>4</v>
      </c>
      <c r="J701" s="1">
        <v>4</v>
      </c>
      <c r="K701" s="1">
        <v>4</v>
      </c>
      <c r="M701" s="4">
        <v>2338</v>
      </c>
      <c r="N701" s="1">
        <v>2921</v>
      </c>
      <c r="O701" s="1">
        <v>5786</v>
      </c>
      <c r="P701" s="1">
        <v>2865</v>
      </c>
      <c r="Q701" s="1" t="s">
        <v>42</v>
      </c>
      <c r="S701" s="1" t="s">
        <v>42</v>
      </c>
      <c r="T701" s="1" t="s">
        <v>170</v>
      </c>
      <c r="U701" s="1">
        <v>555</v>
      </c>
      <c r="V701" s="5">
        <v>44225</v>
      </c>
      <c r="W701" s="5">
        <v>42119</v>
      </c>
      <c r="X701" s="1">
        <v>5300000</v>
      </c>
      <c r="Y701" s="1">
        <v>5300000</v>
      </c>
      <c r="AA701" s="1">
        <v>4887600</v>
      </c>
      <c r="AB701" s="1" t="s">
        <v>510</v>
      </c>
      <c r="AC701" s="5">
        <v>42674</v>
      </c>
      <c r="AF701" s="1">
        <v>10007</v>
      </c>
      <c r="AI701" s="1" t="s">
        <v>45</v>
      </c>
      <c r="AJ701" s="1">
        <v>1930</v>
      </c>
      <c r="AK701" s="1" t="s">
        <v>73</v>
      </c>
      <c r="AL701" s="1">
        <v>156</v>
      </c>
    </row>
    <row r="702" spans="1:38" x14ac:dyDescent="0.2">
      <c r="A702" s="2" t="str">
        <f>HYPERLINK("https://www.compass.com/listing/100-barclay-street-unit-11l-manhattan-ny-10007/4852308965163277073/","100 Barclay St, Unit 11L")</f>
        <v>100 Barclay St, Unit 11L</v>
      </c>
      <c r="B702" s="2" t="str">
        <f t="shared" si="129"/>
        <v>100 Barclay</v>
      </c>
      <c r="C702" s="1" t="s">
        <v>40</v>
      </c>
      <c r="D702" s="1" t="s">
        <v>41</v>
      </c>
      <c r="E702" s="3">
        <v>4926802</v>
      </c>
      <c r="F702" s="1">
        <v>2218.2809545249802</v>
      </c>
      <c r="G702" s="1">
        <v>6</v>
      </c>
      <c r="H702" s="1">
        <v>3</v>
      </c>
      <c r="I702" s="1">
        <v>4</v>
      </c>
      <c r="J702" s="1">
        <v>3.5</v>
      </c>
      <c r="M702" s="4">
        <v>2221</v>
      </c>
      <c r="N702" s="1">
        <v>2986</v>
      </c>
      <c r="O702" s="1">
        <v>5915</v>
      </c>
      <c r="P702" s="1">
        <v>2929</v>
      </c>
      <c r="Q702" s="1" t="s">
        <v>42</v>
      </c>
      <c r="S702" s="1" t="s">
        <v>42</v>
      </c>
      <c r="T702" s="1" t="s">
        <v>170</v>
      </c>
      <c r="V702" s="5">
        <v>43623</v>
      </c>
      <c r="W702" s="5">
        <v>42187</v>
      </c>
      <c r="X702" s="1">
        <v>4900000</v>
      </c>
      <c r="Y702" s="1">
        <v>4900000</v>
      </c>
      <c r="Z702" s="5">
        <v>42187</v>
      </c>
      <c r="AA702" s="1">
        <v>4926802</v>
      </c>
      <c r="AB702" s="1" t="s">
        <v>511</v>
      </c>
      <c r="AC702" s="5">
        <v>42804</v>
      </c>
      <c r="AF702" s="1">
        <v>10007</v>
      </c>
      <c r="AI702" s="1" t="s">
        <v>45</v>
      </c>
      <c r="AJ702" s="1">
        <v>1930</v>
      </c>
      <c r="AK702" s="1" t="s">
        <v>46</v>
      </c>
      <c r="AL702" s="1">
        <v>156</v>
      </c>
    </row>
    <row r="703" spans="1:38" x14ac:dyDescent="0.2">
      <c r="A703" s="2" t="str">
        <f>HYPERLINK("https://www.compass.com/listing/30-park-place-unit-65b-manhattan-ny-10007/29357587107417601/","30 Park Pl, Unit 65B")</f>
        <v>30 Park Pl, Unit 65B</v>
      </c>
      <c r="B703" s="2" t="str">
        <f t="shared" ref="B703:B704" si="130">HYPERLINK("https://www.compass.com/building/30-park-pl-manhattan-ny-10007/281896912905317605/","30 Park Pl")</f>
        <v>30 Park Pl</v>
      </c>
      <c r="C703" s="1" t="s">
        <v>40</v>
      </c>
      <c r="D703" s="1" t="s">
        <v>41</v>
      </c>
      <c r="E703" s="3">
        <v>7450000</v>
      </c>
      <c r="F703" s="1">
        <v>2831.6229570505502</v>
      </c>
      <c r="G703" s="1">
        <v>5</v>
      </c>
      <c r="H703" s="1">
        <v>3</v>
      </c>
      <c r="I703" s="1">
        <v>3</v>
      </c>
      <c r="J703" s="1">
        <v>3.5</v>
      </c>
      <c r="K703" s="1">
        <v>3</v>
      </c>
      <c r="L703" s="1">
        <v>1</v>
      </c>
      <c r="M703" s="4">
        <v>2631</v>
      </c>
      <c r="N703" s="1">
        <v>2183</v>
      </c>
      <c r="O703" s="1">
        <v>7747</v>
      </c>
      <c r="P703" s="1">
        <v>5564</v>
      </c>
      <c r="Q703" s="1" t="s">
        <v>42</v>
      </c>
      <c r="S703" s="1" t="s">
        <v>42</v>
      </c>
      <c r="T703" s="1" t="s">
        <v>170</v>
      </c>
      <c r="U703" s="1">
        <v>4</v>
      </c>
      <c r="V703" s="5">
        <v>43650</v>
      </c>
      <c r="W703" s="5">
        <v>43142</v>
      </c>
      <c r="X703" s="1">
        <v>8100000</v>
      </c>
      <c r="Y703" s="1">
        <v>7450000</v>
      </c>
      <c r="Z703" s="5">
        <v>43146</v>
      </c>
      <c r="AA703" s="1">
        <v>7450000</v>
      </c>
      <c r="AB703" s="1" t="s">
        <v>512</v>
      </c>
      <c r="AC703" s="5">
        <v>43168</v>
      </c>
      <c r="AF703" s="1">
        <v>10007</v>
      </c>
      <c r="AJ703" s="1">
        <v>2016</v>
      </c>
      <c r="AK703" s="1" t="s">
        <v>73</v>
      </c>
      <c r="AL703" s="1">
        <v>157</v>
      </c>
    </row>
    <row r="704" spans="1:38" x14ac:dyDescent="0.2">
      <c r="A704" s="2" t="str">
        <f>HYPERLINK("https://www.compass.com/listing/30-park-place-unit-61b-manhattan-ny-10007/50851494064359201/","30 Park Pl, Unit 61B")</f>
        <v>30 Park Pl, Unit 61B</v>
      </c>
      <c r="B704" s="2" t="str">
        <f t="shared" si="130"/>
        <v>30 Park Pl</v>
      </c>
      <c r="C704" s="1" t="s">
        <v>40</v>
      </c>
      <c r="D704" s="1" t="s">
        <v>41</v>
      </c>
      <c r="E704" s="3">
        <v>7129575</v>
      </c>
      <c r="F704" s="1">
        <v>3221.6787166741901</v>
      </c>
      <c r="G704" s="1">
        <v>6</v>
      </c>
      <c r="H704" s="1">
        <v>3</v>
      </c>
      <c r="I704" s="1">
        <v>3</v>
      </c>
      <c r="J704" s="1">
        <v>3</v>
      </c>
      <c r="K704" s="1">
        <v>3</v>
      </c>
      <c r="M704" s="4">
        <v>2213</v>
      </c>
      <c r="N704" s="1">
        <v>1816</v>
      </c>
      <c r="O704" s="1">
        <v>6445</v>
      </c>
      <c r="P704" s="1">
        <v>4629</v>
      </c>
      <c r="Q704" s="1" t="s">
        <v>42</v>
      </c>
      <c r="S704" s="1" t="s">
        <v>42</v>
      </c>
      <c r="T704" s="1" t="s">
        <v>170</v>
      </c>
      <c r="U704" s="1">
        <v>476</v>
      </c>
      <c r="V704" s="5">
        <v>43666</v>
      </c>
      <c r="W704" s="5">
        <v>41936</v>
      </c>
      <c r="X704" s="1">
        <v>7100000</v>
      </c>
      <c r="Y704" s="1">
        <v>7100000</v>
      </c>
      <c r="Z704" s="5">
        <v>42704</v>
      </c>
      <c r="AA704" s="1">
        <v>7129575</v>
      </c>
      <c r="AB704" s="1" t="s">
        <v>513</v>
      </c>
      <c r="AC704" s="5">
        <v>42752</v>
      </c>
      <c r="AF704" s="1">
        <v>10007</v>
      </c>
      <c r="AJ704" s="1">
        <v>2016</v>
      </c>
      <c r="AK704" s="1" t="s">
        <v>73</v>
      </c>
      <c r="AL704" s="1">
        <v>157</v>
      </c>
    </row>
    <row r="705" spans="1:38" x14ac:dyDescent="0.2">
      <c r="A705" s="2" t="str">
        <f>HYPERLINK("https://www.compass.com/listing/100-barclay-street-unit-11r-manhattan-ny-10007/18882291510133729/","100 Barclay St, Unit 11R")</f>
        <v>100 Barclay St, Unit 11R</v>
      </c>
      <c r="B705" s="2" t="str">
        <f>HYPERLINK("https://www.compass.com/building/100-barclay-manhattan-ny/281896670466155525/","100 Barclay")</f>
        <v>100 Barclay</v>
      </c>
      <c r="C705" s="1" t="s">
        <v>40</v>
      </c>
      <c r="D705" s="1" t="s">
        <v>41</v>
      </c>
      <c r="E705" s="3">
        <v>4700000</v>
      </c>
      <c r="F705" s="1">
        <v>2248.8038277511901</v>
      </c>
      <c r="G705" s="1">
        <v>5</v>
      </c>
      <c r="H705" s="1">
        <v>3</v>
      </c>
      <c r="I705" s="1">
        <v>3</v>
      </c>
      <c r="J705" s="1">
        <v>3</v>
      </c>
      <c r="K705" s="1">
        <v>3</v>
      </c>
      <c r="M705" s="4">
        <v>2090</v>
      </c>
      <c r="N705" s="1">
        <v>2995</v>
      </c>
      <c r="O705" s="1">
        <v>6245</v>
      </c>
      <c r="P705" s="1">
        <v>3250</v>
      </c>
      <c r="Q705" s="1" t="s">
        <v>42</v>
      </c>
      <c r="S705" s="1" t="s">
        <v>42</v>
      </c>
      <c r="T705" s="1" t="s">
        <v>170</v>
      </c>
      <c r="U705" s="1">
        <v>13</v>
      </c>
      <c r="V705" s="5">
        <v>43644</v>
      </c>
      <c r="W705" s="5">
        <v>43328</v>
      </c>
      <c r="X705" s="1">
        <v>5407000</v>
      </c>
      <c r="Y705" s="1">
        <v>5407000</v>
      </c>
      <c r="Z705" s="5">
        <v>43341</v>
      </c>
      <c r="AA705" s="1">
        <v>4700000</v>
      </c>
      <c r="AB705" s="1" t="s">
        <v>514</v>
      </c>
      <c r="AC705" s="5">
        <v>43399</v>
      </c>
      <c r="AF705" s="1">
        <v>10007</v>
      </c>
      <c r="AI705" s="1" t="s">
        <v>74</v>
      </c>
      <c r="AJ705" s="1">
        <v>1930</v>
      </c>
      <c r="AK705" s="1" t="s">
        <v>73</v>
      </c>
      <c r="AL705" s="1">
        <v>156</v>
      </c>
    </row>
    <row r="706" spans="1:38" x14ac:dyDescent="0.2">
      <c r="A706" s="2" t="str">
        <f>HYPERLINK("https://www.compass.com/listing/30-park-place-unit-63c-manhattan-ny-10007/29357584993488353/","30 Park Pl, Unit 63C")</f>
        <v>30 Park Pl, Unit 63C</v>
      </c>
      <c r="B706" s="2" t="str">
        <f>HYPERLINK("https://www.compass.com/building/30-park-pl-manhattan-ny-10007/281896912905317605/","30 Park Pl")</f>
        <v>30 Park Pl</v>
      </c>
      <c r="C706" s="1" t="s">
        <v>40</v>
      </c>
      <c r="D706" s="1" t="s">
        <v>41</v>
      </c>
      <c r="E706" s="3">
        <v>6022949</v>
      </c>
      <c r="F706" s="1">
        <v>3903.4018146467902</v>
      </c>
      <c r="G706" s="1">
        <v>4</v>
      </c>
      <c r="H706" s="1">
        <v>2</v>
      </c>
      <c r="I706" s="1">
        <v>2</v>
      </c>
      <c r="J706" s="1">
        <v>2</v>
      </c>
      <c r="K706" s="1">
        <v>2</v>
      </c>
      <c r="M706" s="4">
        <v>1543</v>
      </c>
      <c r="N706" s="1">
        <v>1249</v>
      </c>
      <c r="O706" s="1">
        <v>4434</v>
      </c>
      <c r="P706" s="1">
        <v>3185</v>
      </c>
      <c r="Q706" s="1" t="s">
        <v>42</v>
      </c>
      <c r="S706" s="1" t="s">
        <v>42</v>
      </c>
      <c r="T706" s="1" t="s">
        <v>170</v>
      </c>
      <c r="U706" s="1">
        <v>28</v>
      </c>
      <c r="V706" s="5">
        <v>43663</v>
      </c>
      <c r="W706" s="5">
        <v>42109</v>
      </c>
      <c r="X706" s="1">
        <v>5915000</v>
      </c>
      <c r="Y706" s="1">
        <v>5915000</v>
      </c>
      <c r="Z706" s="5">
        <v>42137</v>
      </c>
      <c r="AA706" s="1">
        <v>6022949</v>
      </c>
      <c r="AB706" s="1" t="s">
        <v>515</v>
      </c>
      <c r="AC706" s="5">
        <v>42780</v>
      </c>
      <c r="AF706" s="1">
        <v>10007</v>
      </c>
      <c r="AJ706" s="1">
        <v>2016</v>
      </c>
      <c r="AK706" s="1" t="s">
        <v>73</v>
      </c>
      <c r="AL706" s="1">
        <v>157</v>
      </c>
    </row>
    <row r="707" spans="1:38" x14ac:dyDescent="0.2">
      <c r="A707" s="2" t="str">
        <f>HYPERLINK("https://www.compass.com/listing/100-barclay-street-unit-25d-manhattan-ny-10007/801630173258539809/","100 Barclay St, Unit 25D")</f>
        <v>100 Barclay St, Unit 25D</v>
      </c>
      <c r="B707" s="2" t="str">
        <f>HYPERLINK("https://www.compass.com/building/100-barclay-manhattan-ny/281896670466155525/","100 Barclay")</f>
        <v>100 Barclay</v>
      </c>
      <c r="C707" s="1" t="s">
        <v>40</v>
      </c>
      <c r="D707" s="1" t="s">
        <v>41</v>
      </c>
      <c r="E707" s="3">
        <v>4887600</v>
      </c>
      <c r="F707" s="1">
        <v>2090.5047048759602</v>
      </c>
      <c r="G707" s="1">
        <v>5</v>
      </c>
      <c r="H707" s="1">
        <v>3</v>
      </c>
      <c r="I707" s="1">
        <v>3</v>
      </c>
      <c r="J707" s="1">
        <v>3.5</v>
      </c>
      <c r="K707" s="1">
        <v>3</v>
      </c>
      <c r="L707" s="1">
        <v>1</v>
      </c>
      <c r="M707" s="4">
        <v>2338</v>
      </c>
      <c r="N707" s="1">
        <v>3000</v>
      </c>
      <c r="O707" s="1">
        <v>5869</v>
      </c>
      <c r="P707" s="1">
        <v>2869</v>
      </c>
      <c r="Q707" s="1" t="s">
        <v>42</v>
      </c>
      <c r="S707" s="1" t="s">
        <v>42</v>
      </c>
      <c r="T707" s="1" t="s">
        <v>170</v>
      </c>
      <c r="U707" s="1">
        <v>3</v>
      </c>
      <c r="V707" s="5">
        <v>43020</v>
      </c>
      <c r="W707" s="5">
        <v>42640</v>
      </c>
      <c r="X707" s="1">
        <v>5300000</v>
      </c>
      <c r="Y707" s="1">
        <v>5300000</v>
      </c>
      <c r="Z707" s="5">
        <v>42643</v>
      </c>
      <c r="AA707" s="1">
        <v>4887600</v>
      </c>
      <c r="AB707" s="1" t="s">
        <v>510</v>
      </c>
      <c r="AC707" s="5">
        <v>42674</v>
      </c>
      <c r="AF707" s="1">
        <v>10007</v>
      </c>
      <c r="AI707" s="1" t="s">
        <v>45</v>
      </c>
      <c r="AJ707" s="1">
        <v>1930</v>
      </c>
      <c r="AK707" s="1" t="s">
        <v>73</v>
      </c>
      <c r="AL707" s="1">
        <v>156</v>
      </c>
    </row>
    <row r="708" spans="1:38" x14ac:dyDescent="0.2">
      <c r="A708" s="2" t="str">
        <f>HYPERLINK("https://www.compass.com/listing/30-park-place-unit-52a-manhattan-ny-10007/29357569885605105/","30 Park Pl, Unit 52A")</f>
        <v>30 Park Pl, Unit 52A</v>
      </c>
      <c r="B708" s="2" t="str">
        <f t="shared" ref="B708:B715" si="131">HYPERLINK("https://www.compass.com/building/30-park-pl-manhattan-ny-10007/281896912905317605/","30 Park Pl")</f>
        <v>30 Park Pl</v>
      </c>
      <c r="C708" s="1" t="s">
        <v>40</v>
      </c>
      <c r="D708" s="1" t="s">
        <v>41</v>
      </c>
      <c r="E708" s="3">
        <v>8858775</v>
      </c>
      <c r="F708" s="1">
        <v>3160.4620049946402</v>
      </c>
      <c r="G708" s="1">
        <v>7</v>
      </c>
      <c r="H708" s="1">
        <v>4</v>
      </c>
      <c r="I708" s="1">
        <v>4</v>
      </c>
      <c r="J708" s="1">
        <v>4</v>
      </c>
      <c r="K708" s="1">
        <v>4</v>
      </c>
      <c r="M708" s="4">
        <v>2803</v>
      </c>
      <c r="N708" s="1">
        <v>2316</v>
      </c>
      <c r="O708" s="1">
        <v>8220</v>
      </c>
      <c r="P708" s="1">
        <v>5904</v>
      </c>
      <c r="Q708" s="1" t="s">
        <v>42</v>
      </c>
      <c r="S708" s="1" t="s">
        <v>42</v>
      </c>
      <c r="T708" s="1" t="s">
        <v>170</v>
      </c>
      <c r="U708" s="1">
        <v>857</v>
      </c>
      <c r="V708" s="5">
        <v>43672</v>
      </c>
      <c r="W708" s="5">
        <v>41845</v>
      </c>
      <c r="X708" s="1">
        <v>8700000</v>
      </c>
      <c r="Y708" s="1">
        <v>8700000</v>
      </c>
      <c r="AA708" s="1">
        <v>8858775</v>
      </c>
      <c r="AB708" s="1" t="s">
        <v>516</v>
      </c>
      <c r="AC708" s="5">
        <v>42702</v>
      </c>
      <c r="AF708" s="1">
        <v>10007</v>
      </c>
      <c r="AJ708" s="1">
        <v>2016</v>
      </c>
      <c r="AK708" s="1" t="s">
        <v>73</v>
      </c>
      <c r="AL708" s="1">
        <v>157</v>
      </c>
    </row>
    <row r="709" spans="1:38" x14ac:dyDescent="0.2">
      <c r="A709" s="2" t="str">
        <f>HYPERLINK("https://www.compass.com/listing/30-park-place-unit-58a-manhattan-ny-10007/29357577921894881/","30 Park Pl, Unit 58A")</f>
        <v>30 Park Pl, Unit 58A</v>
      </c>
      <c r="B709" s="2" t="str">
        <f t="shared" si="131"/>
        <v>30 Park Pl</v>
      </c>
      <c r="C709" s="1" t="s">
        <v>40</v>
      </c>
      <c r="D709" s="1" t="s">
        <v>41</v>
      </c>
      <c r="E709" s="3">
        <v>9673375</v>
      </c>
      <c r="F709" s="1">
        <v>3441.25755958733</v>
      </c>
      <c r="G709" s="1">
        <v>6.5</v>
      </c>
      <c r="H709" s="1">
        <v>4</v>
      </c>
      <c r="I709" s="1">
        <v>4</v>
      </c>
      <c r="J709" s="1">
        <v>4</v>
      </c>
      <c r="K709" s="1">
        <v>4</v>
      </c>
      <c r="M709" s="4">
        <v>2811</v>
      </c>
      <c r="N709" s="1">
        <v>2353</v>
      </c>
      <c r="O709" s="1">
        <v>8350</v>
      </c>
      <c r="P709" s="1">
        <v>5997</v>
      </c>
      <c r="Q709" s="1" t="s">
        <v>42</v>
      </c>
      <c r="S709" s="1" t="s">
        <v>42</v>
      </c>
      <c r="T709" s="1" t="s">
        <v>170</v>
      </c>
      <c r="U709" s="1">
        <v>51</v>
      </c>
      <c r="V709" s="5">
        <v>43668</v>
      </c>
      <c r="W709" s="5">
        <v>42096</v>
      </c>
      <c r="X709" s="1">
        <v>9500000</v>
      </c>
      <c r="Y709" s="1">
        <v>9500000</v>
      </c>
      <c r="Z709" s="5">
        <v>42147</v>
      </c>
      <c r="AA709" s="1">
        <v>9673375</v>
      </c>
      <c r="AB709" s="1" t="s">
        <v>517</v>
      </c>
      <c r="AC709" s="5">
        <v>42752</v>
      </c>
      <c r="AF709" s="1">
        <v>10007</v>
      </c>
      <c r="AJ709" s="1">
        <v>2016</v>
      </c>
      <c r="AK709" s="1" t="s">
        <v>73</v>
      </c>
      <c r="AL709" s="1">
        <v>157</v>
      </c>
    </row>
    <row r="710" spans="1:38" x14ac:dyDescent="0.2">
      <c r="A710" s="2" t="str">
        <f>HYPERLINK("https://www.compass.com/listing/30-park-place-unit-59a-manhattan-ny-10007/29357579272457617/","30 Park Pl, Unit 59A")</f>
        <v>30 Park Pl, Unit 59A</v>
      </c>
      <c r="B710" s="2" t="str">
        <f t="shared" si="131"/>
        <v>30 Park Pl</v>
      </c>
      <c r="C710" s="1" t="s">
        <v>40</v>
      </c>
      <c r="D710" s="1" t="s">
        <v>41</v>
      </c>
      <c r="E710" s="3">
        <v>8900000</v>
      </c>
      <c r="F710" s="1">
        <v>3166.1330487371001</v>
      </c>
      <c r="G710" s="1">
        <v>7</v>
      </c>
      <c r="H710" s="1">
        <v>4</v>
      </c>
      <c r="I710" s="1">
        <v>4</v>
      </c>
      <c r="J710" s="1">
        <v>4.5</v>
      </c>
      <c r="K710" s="1">
        <v>4</v>
      </c>
      <c r="L710" s="1">
        <v>1</v>
      </c>
      <c r="M710" s="4">
        <v>2811</v>
      </c>
      <c r="N710" s="1">
        <v>2358</v>
      </c>
      <c r="O710" s="1">
        <v>8369</v>
      </c>
      <c r="P710" s="1">
        <v>6011</v>
      </c>
      <c r="Q710" s="1" t="s">
        <v>42</v>
      </c>
      <c r="S710" s="1" t="s">
        <v>42</v>
      </c>
      <c r="T710" s="1" t="s">
        <v>170</v>
      </c>
      <c r="U710" s="1">
        <v>265</v>
      </c>
      <c r="V710" s="5">
        <v>43605</v>
      </c>
      <c r="W710" s="5">
        <v>42146</v>
      </c>
      <c r="X710" s="1">
        <v>9600000</v>
      </c>
      <c r="Y710" s="1">
        <v>8900000</v>
      </c>
      <c r="Z710" s="5">
        <v>42846</v>
      </c>
      <c r="AA710" s="1">
        <v>8900000</v>
      </c>
      <c r="AB710" s="1" t="s">
        <v>518</v>
      </c>
      <c r="AC710" s="5">
        <v>42962</v>
      </c>
      <c r="AF710" s="1">
        <v>10007</v>
      </c>
      <c r="AJ710" s="1">
        <v>2016</v>
      </c>
      <c r="AK710" s="1" t="s">
        <v>73</v>
      </c>
      <c r="AL710" s="1">
        <v>157</v>
      </c>
    </row>
    <row r="711" spans="1:38" x14ac:dyDescent="0.2">
      <c r="A711" s="2" t="str">
        <f>HYPERLINK("https://www.compass.com/listing/30-park-place-unit-61a-manhattan-ny-10007/29357582560795185/","30 Park Pl, Unit 61A")</f>
        <v>30 Park Pl, Unit 61A</v>
      </c>
      <c r="B711" s="2" t="str">
        <f t="shared" si="131"/>
        <v>30 Park Pl</v>
      </c>
      <c r="C711" s="1" t="s">
        <v>40</v>
      </c>
      <c r="D711" s="1" t="s">
        <v>41</v>
      </c>
      <c r="E711" s="3">
        <v>9745200</v>
      </c>
      <c r="F711" s="1">
        <v>3466.8089647812099</v>
      </c>
      <c r="G711" s="1">
        <v>7</v>
      </c>
      <c r="H711" s="1">
        <v>4</v>
      </c>
      <c r="I711" s="1">
        <v>4</v>
      </c>
      <c r="J711" s="1">
        <v>4.5</v>
      </c>
      <c r="K711" s="1">
        <v>4</v>
      </c>
      <c r="L711" s="1">
        <v>1</v>
      </c>
      <c r="M711" s="4">
        <v>2811</v>
      </c>
      <c r="N711" s="1">
        <v>2368</v>
      </c>
      <c r="O711" s="1">
        <v>8406</v>
      </c>
      <c r="P711" s="1">
        <v>6038</v>
      </c>
      <c r="Q711" s="1" t="s">
        <v>42</v>
      </c>
      <c r="S711" s="1" t="s">
        <v>42</v>
      </c>
      <c r="T711" s="1" t="s">
        <v>170</v>
      </c>
      <c r="U711" s="1">
        <v>2</v>
      </c>
      <c r="V711" s="5">
        <v>43663</v>
      </c>
      <c r="W711" s="5">
        <v>41900</v>
      </c>
      <c r="X711" s="1">
        <v>9600000</v>
      </c>
      <c r="Y711" s="1">
        <v>9600000</v>
      </c>
      <c r="Z711" s="5">
        <v>41902</v>
      </c>
      <c r="AA711" s="1">
        <v>9745200</v>
      </c>
      <c r="AB711" s="1" t="s">
        <v>519</v>
      </c>
      <c r="AC711" s="5">
        <v>42767</v>
      </c>
      <c r="AF711" s="1">
        <v>10007</v>
      </c>
      <c r="AJ711" s="1">
        <v>2016</v>
      </c>
      <c r="AK711" s="1" t="s">
        <v>73</v>
      </c>
      <c r="AL711" s="1">
        <v>157</v>
      </c>
    </row>
    <row r="712" spans="1:38" x14ac:dyDescent="0.2">
      <c r="A712" s="2" t="str">
        <f>HYPERLINK("https://www.compass.com/listing/30-park-place-unit-76a-manhattan-ny-10007/29357595689061873/","30 Park Pl, Unit 76A")</f>
        <v>30 Park Pl, Unit 76A</v>
      </c>
      <c r="B712" s="2" t="str">
        <f t="shared" si="131"/>
        <v>30 Park Pl</v>
      </c>
      <c r="C712" s="1" t="s">
        <v>40</v>
      </c>
      <c r="D712" s="1" t="s">
        <v>41</v>
      </c>
      <c r="E712" s="3">
        <v>17210250</v>
      </c>
      <c r="F712" s="1">
        <v>4355.9225512528401</v>
      </c>
      <c r="G712" s="1">
        <v>8</v>
      </c>
      <c r="H712" s="1">
        <v>4</v>
      </c>
      <c r="I712" s="1">
        <v>4</v>
      </c>
      <c r="J712" s="1">
        <v>4.5</v>
      </c>
      <c r="K712" s="1">
        <v>4</v>
      </c>
      <c r="L712" s="1">
        <v>1</v>
      </c>
      <c r="M712" s="4">
        <v>3951</v>
      </c>
      <c r="N712" s="1">
        <v>3566</v>
      </c>
      <c r="O712" s="1">
        <v>12656</v>
      </c>
      <c r="P712" s="1">
        <v>9090</v>
      </c>
      <c r="Q712" s="1" t="s">
        <v>42</v>
      </c>
      <c r="S712" s="1" t="s">
        <v>42</v>
      </c>
      <c r="T712" s="1" t="s">
        <v>170</v>
      </c>
      <c r="U712" s="1">
        <v>1</v>
      </c>
      <c r="V712" s="5">
        <v>43663</v>
      </c>
      <c r="W712" s="5">
        <v>41914</v>
      </c>
      <c r="X712" s="1">
        <v>18500000</v>
      </c>
      <c r="Y712" s="1">
        <v>17000000</v>
      </c>
      <c r="Z712" s="5">
        <v>41915</v>
      </c>
      <c r="AA712" s="1">
        <v>17210250</v>
      </c>
      <c r="AB712" s="1" t="s">
        <v>520</v>
      </c>
      <c r="AC712" s="5">
        <v>42817</v>
      </c>
      <c r="AF712" s="1">
        <v>10007</v>
      </c>
      <c r="AJ712" s="1">
        <v>2016</v>
      </c>
      <c r="AK712" s="1" t="s">
        <v>73</v>
      </c>
      <c r="AL712" s="1">
        <v>157</v>
      </c>
    </row>
    <row r="713" spans="1:38" x14ac:dyDescent="0.2">
      <c r="A713" s="2" t="str">
        <f>HYPERLINK("https://www.compass.com/listing/30-park-place-unit-63b-manhattan-ny-10007/29512133930756897/","30 Park Pl, Unit 63B")</f>
        <v>30 Park Pl, Unit 63B</v>
      </c>
      <c r="B713" s="2" t="str">
        <f t="shared" si="131"/>
        <v>30 Park Pl</v>
      </c>
      <c r="C713" s="1" t="s">
        <v>40</v>
      </c>
      <c r="D713" s="1" t="s">
        <v>41</v>
      </c>
      <c r="E713" s="3">
        <v>6300000</v>
      </c>
      <c r="F713" s="1">
        <v>2846.8142792589201</v>
      </c>
      <c r="G713" s="1">
        <v>5</v>
      </c>
      <c r="H713" s="1">
        <v>3</v>
      </c>
      <c r="I713" s="1">
        <v>4</v>
      </c>
      <c r="J713" s="1">
        <v>3.5</v>
      </c>
      <c r="K713" s="1">
        <v>3</v>
      </c>
      <c r="L713" s="1">
        <v>1</v>
      </c>
      <c r="M713" s="4">
        <v>2213</v>
      </c>
      <c r="N713" s="1">
        <v>1821</v>
      </c>
      <c r="O713" s="1">
        <v>6504</v>
      </c>
      <c r="P713" s="1">
        <v>4683</v>
      </c>
      <c r="Q713" s="1" t="s">
        <v>42</v>
      </c>
      <c r="S713" s="1" t="s">
        <v>42</v>
      </c>
      <c r="T713" s="1" t="s">
        <v>170</v>
      </c>
      <c r="U713" s="1">
        <v>90</v>
      </c>
      <c r="V713" s="5">
        <v>43780</v>
      </c>
      <c r="W713" s="5">
        <v>43259</v>
      </c>
      <c r="X713" s="1">
        <v>7200000</v>
      </c>
      <c r="Y713" s="1">
        <v>6300000</v>
      </c>
      <c r="Z713" s="5">
        <v>43349</v>
      </c>
      <c r="AA713" s="1">
        <v>6300000</v>
      </c>
      <c r="AB713" s="1" t="s">
        <v>521</v>
      </c>
      <c r="AC713" s="5">
        <v>43441</v>
      </c>
      <c r="AF713" s="1">
        <v>10007</v>
      </c>
      <c r="AJ713" s="1">
        <v>2016</v>
      </c>
      <c r="AK713" s="1" t="s">
        <v>73</v>
      </c>
      <c r="AL713" s="1">
        <v>157</v>
      </c>
    </row>
    <row r="714" spans="1:38" x14ac:dyDescent="0.2">
      <c r="A714" s="2" t="str">
        <f>HYPERLINK("https://www.compass.com/listing/30-park-place-unit-63a-manhattan-ny-10007/71638007651845185/","30 Park Pl, Unit 63A")</f>
        <v>30 Park Pl, Unit 63A</v>
      </c>
      <c r="B714" s="2" t="str">
        <f t="shared" si="131"/>
        <v>30 Park Pl</v>
      </c>
      <c r="C714" s="1" t="s">
        <v>40</v>
      </c>
      <c r="D714" s="1" t="s">
        <v>41</v>
      </c>
      <c r="E714" s="3">
        <v>8454563</v>
      </c>
      <c r="F714" s="1">
        <v>3016.2550838387401</v>
      </c>
      <c r="G714" s="1">
        <v>7</v>
      </c>
      <c r="H714" s="1">
        <v>4</v>
      </c>
      <c r="I714" s="1">
        <v>5</v>
      </c>
      <c r="J714" s="1">
        <v>4.5</v>
      </c>
      <c r="K714" s="1">
        <v>4</v>
      </c>
      <c r="L714" s="1">
        <v>1</v>
      </c>
      <c r="M714" s="4">
        <v>2803</v>
      </c>
      <c r="N714" s="1">
        <v>2374</v>
      </c>
      <c r="O714" s="1">
        <v>8425</v>
      </c>
      <c r="P714" s="1">
        <v>6051</v>
      </c>
      <c r="Q714" s="1" t="s">
        <v>42</v>
      </c>
      <c r="S714" s="1" t="s">
        <v>42</v>
      </c>
      <c r="T714" s="1" t="s">
        <v>170</v>
      </c>
      <c r="V714" s="5">
        <v>43694</v>
      </c>
      <c r="W714" s="5">
        <v>43349</v>
      </c>
      <c r="X714" s="1">
        <v>10000000</v>
      </c>
      <c r="Y714" s="1">
        <v>8450000</v>
      </c>
      <c r="Z714" s="5">
        <v>43349</v>
      </c>
      <c r="AA714" s="1">
        <v>8454563</v>
      </c>
      <c r="AB714" s="1" t="s">
        <v>522</v>
      </c>
      <c r="AC714" s="5">
        <v>43435</v>
      </c>
      <c r="AF714" s="1">
        <v>10007</v>
      </c>
      <c r="AJ714" s="1">
        <v>2016</v>
      </c>
      <c r="AK714" s="1" t="s">
        <v>73</v>
      </c>
      <c r="AL714" s="1">
        <v>157</v>
      </c>
    </row>
    <row r="715" spans="1:38" x14ac:dyDescent="0.2">
      <c r="A715" s="2" t="str">
        <f>HYPERLINK("https://www.compass.com/listing/30-park-place-unit-40d-manhattan-ny-10007/29357554853222481/","30 Park Pl, Unit 40D")</f>
        <v>30 Park Pl, Unit 40D</v>
      </c>
      <c r="B715" s="2" t="str">
        <f t="shared" si="131"/>
        <v>30 Park Pl</v>
      </c>
      <c r="C715" s="1" t="s">
        <v>40</v>
      </c>
      <c r="D715" s="1" t="s">
        <v>41</v>
      </c>
      <c r="E715" s="3">
        <v>5091250</v>
      </c>
      <c r="F715" s="1">
        <v>2247.7924944812298</v>
      </c>
      <c r="G715" s="1">
        <v>5.5</v>
      </c>
      <c r="H715" s="1">
        <v>3</v>
      </c>
      <c r="I715" s="1">
        <v>3</v>
      </c>
      <c r="J715" s="1">
        <v>3</v>
      </c>
      <c r="K715" s="1">
        <v>3</v>
      </c>
      <c r="M715" s="4">
        <v>2265</v>
      </c>
      <c r="N715" s="1">
        <v>1777</v>
      </c>
      <c r="O715" s="1">
        <v>6308</v>
      </c>
      <c r="P715" s="1">
        <v>4531</v>
      </c>
      <c r="Q715" s="1" t="s">
        <v>42</v>
      </c>
      <c r="S715" s="1" t="s">
        <v>42</v>
      </c>
      <c r="T715" s="1" t="s">
        <v>170</v>
      </c>
      <c r="V715" s="5">
        <v>43672</v>
      </c>
      <c r="W715" s="5">
        <v>41831</v>
      </c>
      <c r="X715" s="1">
        <v>5650000</v>
      </c>
      <c r="Y715" s="1">
        <v>5000000</v>
      </c>
      <c r="Z715" s="5">
        <v>41831</v>
      </c>
      <c r="AA715" s="1">
        <v>5091250</v>
      </c>
      <c r="AB715" s="1" t="s">
        <v>523</v>
      </c>
      <c r="AC715" s="5">
        <v>42684</v>
      </c>
      <c r="AF715" s="1">
        <v>10007</v>
      </c>
      <c r="AJ715" s="1">
        <v>2016</v>
      </c>
      <c r="AK715" s="1" t="s">
        <v>73</v>
      </c>
      <c r="AL715" s="1">
        <v>157</v>
      </c>
    </row>
    <row r="716" spans="1:38" x14ac:dyDescent="0.2">
      <c r="A716" s="2" t="str">
        <f>HYPERLINK("https://www.compass.com/listing/100-barclay-street-unit-15s-manhattan-ny-10007/4852308594571361793/","100 Barclay St, Unit 15S")</f>
        <v>100 Barclay St, Unit 15S</v>
      </c>
      <c r="B716" s="2" t="str">
        <f t="shared" ref="B716:B718" si="132">HYPERLINK("https://www.compass.com/building/100-barclay-manhattan-ny/281896670466155525/","100 Barclay")</f>
        <v>100 Barclay</v>
      </c>
      <c r="C716" s="1" t="s">
        <v>40</v>
      </c>
      <c r="D716" s="1" t="s">
        <v>41</v>
      </c>
      <c r="E716" s="3">
        <v>3309312</v>
      </c>
      <c r="F716" s="1">
        <v>1810.3457330415699</v>
      </c>
      <c r="G716" s="1">
        <v>4</v>
      </c>
      <c r="H716" s="1">
        <v>1</v>
      </c>
      <c r="I716" s="1">
        <v>2</v>
      </c>
      <c r="J716" s="1">
        <v>2</v>
      </c>
      <c r="M716" s="4">
        <v>1828</v>
      </c>
      <c r="N716" s="1">
        <v>2345</v>
      </c>
      <c r="O716" s="1">
        <v>4588</v>
      </c>
      <c r="P716" s="1">
        <v>2243</v>
      </c>
      <c r="Q716" s="1" t="s">
        <v>42</v>
      </c>
      <c r="S716" s="1" t="s">
        <v>42</v>
      </c>
      <c r="T716" s="1" t="s">
        <v>170</v>
      </c>
      <c r="V716" s="5">
        <v>43623</v>
      </c>
      <c r="W716" s="5">
        <v>42477</v>
      </c>
      <c r="X716" s="1">
        <v>3356500</v>
      </c>
      <c r="Y716" s="1">
        <v>3356500</v>
      </c>
      <c r="Z716" s="5">
        <v>42477</v>
      </c>
      <c r="AA716" s="1">
        <v>3309312</v>
      </c>
      <c r="AB716" s="1" t="s">
        <v>524</v>
      </c>
      <c r="AC716" s="5">
        <v>42675</v>
      </c>
      <c r="AF716" s="1">
        <v>10007</v>
      </c>
      <c r="AI716" s="1" t="s">
        <v>45</v>
      </c>
      <c r="AJ716" s="1">
        <v>1930</v>
      </c>
      <c r="AK716" s="1" t="s">
        <v>73</v>
      </c>
      <c r="AL716" s="1">
        <v>156</v>
      </c>
    </row>
    <row r="717" spans="1:38" x14ac:dyDescent="0.2">
      <c r="A717" s="2" t="str">
        <f>HYPERLINK("https://www.compass.com/listing/100-barclay-street-unit-16s-manhattan-ny-10007/4852308656563162737/","100 Barclay St, Unit 16S")</f>
        <v>100 Barclay St, Unit 16S</v>
      </c>
      <c r="B717" s="2" t="str">
        <f t="shared" si="132"/>
        <v>100 Barclay</v>
      </c>
      <c r="C717" s="1" t="s">
        <v>40</v>
      </c>
      <c r="D717" s="1" t="s">
        <v>41</v>
      </c>
      <c r="E717" s="3">
        <v>3074605</v>
      </c>
      <c r="F717" s="1">
        <v>1681.9502188183801</v>
      </c>
      <c r="G717" s="1">
        <v>4</v>
      </c>
      <c r="H717" s="1">
        <v>1</v>
      </c>
      <c r="I717" s="1">
        <v>2</v>
      </c>
      <c r="J717" s="1">
        <v>2</v>
      </c>
      <c r="M717" s="4">
        <v>1828</v>
      </c>
      <c r="N717" s="1">
        <v>2345</v>
      </c>
      <c r="O717" s="1">
        <v>4588</v>
      </c>
      <c r="P717" s="1">
        <v>2243</v>
      </c>
      <c r="Q717" s="1" t="s">
        <v>42</v>
      </c>
      <c r="S717" s="1" t="s">
        <v>42</v>
      </c>
      <c r="T717" s="1" t="s">
        <v>170</v>
      </c>
      <c r="V717" s="5">
        <v>43623</v>
      </c>
      <c r="W717" s="5">
        <v>42477</v>
      </c>
      <c r="X717" s="1">
        <v>3156500</v>
      </c>
      <c r="Y717" s="1">
        <v>3156500</v>
      </c>
      <c r="Z717" s="5">
        <v>42477</v>
      </c>
      <c r="AA717" s="1">
        <v>3074605</v>
      </c>
      <c r="AB717" s="1" t="s">
        <v>525</v>
      </c>
      <c r="AC717" s="5">
        <v>42685</v>
      </c>
      <c r="AF717" s="1">
        <v>10007</v>
      </c>
      <c r="AI717" s="1" t="s">
        <v>45</v>
      </c>
      <c r="AJ717" s="1">
        <v>1930</v>
      </c>
      <c r="AK717" s="1" t="s">
        <v>73</v>
      </c>
      <c r="AL717" s="1">
        <v>156</v>
      </c>
    </row>
    <row r="718" spans="1:38" x14ac:dyDescent="0.2">
      <c r="A718" s="2" t="str">
        <f>HYPERLINK("https://www.compass.com/listing/100-barclay-street-unit-12r-manhattan-ny-10007/4852275055490509665/","100 Barclay St, Unit 12R")</f>
        <v>100 Barclay St, Unit 12R</v>
      </c>
      <c r="B718" s="2" t="str">
        <f t="shared" si="132"/>
        <v>100 Barclay</v>
      </c>
      <c r="C718" s="1" t="s">
        <v>40</v>
      </c>
      <c r="D718" s="1" t="s">
        <v>41</v>
      </c>
      <c r="E718" s="3">
        <v>4092000</v>
      </c>
      <c r="F718" s="1">
        <v>1905.02793296089</v>
      </c>
      <c r="G718" s="1">
        <v>6</v>
      </c>
      <c r="H718" s="1">
        <v>3</v>
      </c>
      <c r="I718" s="1">
        <v>3</v>
      </c>
      <c r="J718" s="1">
        <v>3</v>
      </c>
      <c r="K718" s="1">
        <v>3</v>
      </c>
      <c r="M718" s="4">
        <v>2148</v>
      </c>
      <c r="N718" s="1">
        <v>2756</v>
      </c>
      <c r="O718" s="1">
        <v>5392</v>
      </c>
      <c r="P718" s="1">
        <v>2636</v>
      </c>
      <c r="Q718" s="1" t="s">
        <v>42</v>
      </c>
      <c r="S718" s="1" t="s">
        <v>42</v>
      </c>
      <c r="T718" s="1" t="s">
        <v>170</v>
      </c>
      <c r="U718" s="1">
        <v>19</v>
      </c>
      <c r="V718" s="5">
        <v>43623</v>
      </c>
      <c r="W718" s="5">
        <v>42784</v>
      </c>
      <c r="X718" s="1">
        <v>4485000</v>
      </c>
      <c r="Y718" s="1">
        <v>4485000</v>
      </c>
      <c r="Z718" s="5">
        <v>42803</v>
      </c>
      <c r="AA718" s="1">
        <v>4092000</v>
      </c>
      <c r="AB718" s="1" t="s">
        <v>526</v>
      </c>
      <c r="AC718" s="5">
        <v>42913</v>
      </c>
      <c r="AF718" s="1">
        <v>10007</v>
      </c>
      <c r="AI718" s="1" t="s">
        <v>45</v>
      </c>
      <c r="AJ718" s="1">
        <v>1930</v>
      </c>
      <c r="AK718" s="1" t="s">
        <v>73</v>
      </c>
      <c r="AL718" s="1">
        <v>156</v>
      </c>
    </row>
    <row r="719" spans="1:38" x14ac:dyDescent="0.2">
      <c r="A719" s="2" t="str">
        <f>HYPERLINK("https://www.compass.com/listing/211-west-14th-street-unit-7-manhattan-ny-10011/803304337652766833/","211 W 14th St, Unit 7")</f>
        <v>211 W 14th St, Unit 7</v>
      </c>
      <c r="B719" s="2" t="str">
        <f>HYPERLINK("https://www.compass.com/building/dorsay-manhattan-ny/292801633543285477/","d'Orsay")</f>
        <v>d'Orsay</v>
      </c>
      <c r="C719" s="1" t="s">
        <v>99</v>
      </c>
      <c r="D719" s="1" t="s">
        <v>41</v>
      </c>
      <c r="E719" s="3">
        <v>7636875</v>
      </c>
      <c r="F719" s="1">
        <v>2752.0270270270198</v>
      </c>
      <c r="G719" s="1">
        <v>6</v>
      </c>
      <c r="H719" s="1">
        <v>4</v>
      </c>
      <c r="I719" s="1">
        <v>5</v>
      </c>
      <c r="J719" s="1">
        <v>4.5</v>
      </c>
      <c r="K719" s="1">
        <v>4</v>
      </c>
      <c r="L719" s="1">
        <v>1</v>
      </c>
      <c r="M719" s="4">
        <v>2775</v>
      </c>
      <c r="N719" s="1">
        <v>5752</v>
      </c>
      <c r="O719" s="1">
        <v>7988</v>
      </c>
      <c r="P719" s="1">
        <v>2236</v>
      </c>
      <c r="Q719" s="1" t="s">
        <v>42</v>
      </c>
      <c r="S719" s="1" t="s">
        <v>42</v>
      </c>
      <c r="T719" s="1" t="s">
        <v>170</v>
      </c>
      <c r="U719" s="1">
        <v>707</v>
      </c>
      <c r="V719" s="5">
        <v>43480</v>
      </c>
      <c r="W719" s="5">
        <v>42466</v>
      </c>
      <c r="X719" s="1">
        <v>8550000</v>
      </c>
      <c r="Y719" s="1">
        <v>8750000</v>
      </c>
      <c r="AA719" s="1">
        <v>7636875</v>
      </c>
      <c r="AB719" s="1" t="s">
        <v>488</v>
      </c>
      <c r="AC719" s="5">
        <v>43563</v>
      </c>
      <c r="AF719" s="1">
        <v>10011</v>
      </c>
      <c r="AI719" s="1" t="s">
        <v>52</v>
      </c>
      <c r="AJ719" s="1">
        <v>2018</v>
      </c>
      <c r="AK719" s="1" t="s">
        <v>73</v>
      </c>
      <c r="AL719" s="1">
        <v>21</v>
      </c>
    </row>
    <row r="720" spans="1:38" x14ac:dyDescent="0.2">
      <c r="A720" s="2" t="str">
        <f>HYPERLINK("https://www.compass.com/listing/30-park-place-unit-ph80-manhattan-ny-10007/29357597039532849/","30 Park Pl, Unit PH80")</f>
        <v>30 Park Pl, Unit PH80</v>
      </c>
      <c r="B720" s="2" t="str">
        <f>HYPERLINK("https://www.compass.com/building/30-park-pl-manhattan-ny-10007/281896912905317605/","30 Park Pl")</f>
        <v>30 Park Pl</v>
      </c>
      <c r="C720" s="1" t="s">
        <v>40</v>
      </c>
      <c r="D720" s="1" t="s">
        <v>41</v>
      </c>
      <c r="E720" s="3">
        <v>32643671</v>
      </c>
      <c r="F720" s="1">
        <v>5261.7135718891004</v>
      </c>
      <c r="G720" s="1">
        <v>11</v>
      </c>
      <c r="H720" s="1">
        <v>6</v>
      </c>
      <c r="I720" s="1">
        <v>7</v>
      </c>
      <c r="J720" s="1">
        <v>7.5</v>
      </c>
      <c r="K720" s="1">
        <v>7</v>
      </c>
      <c r="L720" s="1">
        <v>1</v>
      </c>
      <c r="M720" s="4">
        <v>6204</v>
      </c>
      <c r="N720" s="1">
        <v>6059</v>
      </c>
      <c r="O720" s="1">
        <v>21503</v>
      </c>
      <c r="P720" s="1">
        <v>15444</v>
      </c>
      <c r="Q720" s="1" t="s">
        <v>42</v>
      </c>
      <c r="S720" s="1" t="s">
        <v>42</v>
      </c>
      <c r="T720" s="1" t="s">
        <v>170</v>
      </c>
      <c r="V720" s="5">
        <v>43642</v>
      </c>
      <c r="W720" s="5">
        <v>42713</v>
      </c>
      <c r="X720" s="1">
        <v>32058600</v>
      </c>
      <c r="Y720" s="1">
        <v>32058600</v>
      </c>
      <c r="Z720" s="5">
        <v>42713</v>
      </c>
      <c r="AA720" s="1">
        <v>32643671</v>
      </c>
      <c r="AB720" s="1" t="s">
        <v>527</v>
      </c>
      <c r="AC720" s="5">
        <v>43208</v>
      </c>
      <c r="AF720" s="1">
        <v>10007</v>
      </c>
      <c r="AI720" s="1" t="s">
        <v>258</v>
      </c>
      <c r="AJ720" s="1">
        <v>2016</v>
      </c>
      <c r="AK720" s="1" t="s">
        <v>73</v>
      </c>
      <c r="AL720" s="1">
        <v>157</v>
      </c>
    </row>
    <row r="721" spans="1:38" x14ac:dyDescent="0.2">
      <c r="A721" s="2" t="str">
        <f>HYPERLINK("https://www.compass.com/listing/100-barclay-street-unit-16n-manhattan-ny-10007/4852283303195063057/","100 Barclay St, Unit 16N")</f>
        <v>100 Barclay St, Unit 16N</v>
      </c>
      <c r="B721" s="2" t="str">
        <f t="shared" ref="B721:B725" si="133">HYPERLINK("https://www.compass.com/building/100-barclay-manhattan-ny/281896670466155525/","100 Barclay")</f>
        <v>100 Barclay</v>
      </c>
      <c r="C721" s="1" t="s">
        <v>40</v>
      </c>
      <c r="D721" s="1" t="s">
        <v>41</v>
      </c>
      <c r="E721" s="3">
        <v>3575000</v>
      </c>
      <c r="F721" s="1">
        <v>1801.9153225806399</v>
      </c>
      <c r="G721" s="1">
        <v>7</v>
      </c>
      <c r="H721" s="1">
        <v>3</v>
      </c>
      <c r="I721" s="1">
        <v>3</v>
      </c>
      <c r="J721" s="1">
        <v>3</v>
      </c>
      <c r="K721" s="1">
        <v>3</v>
      </c>
      <c r="M721" s="4">
        <v>1984</v>
      </c>
      <c r="N721" s="1">
        <v>2546</v>
      </c>
      <c r="O721" s="1">
        <v>4980</v>
      </c>
      <c r="P721" s="1">
        <v>2434</v>
      </c>
      <c r="Q721" s="1" t="s">
        <v>42</v>
      </c>
      <c r="S721" s="1" t="s">
        <v>42</v>
      </c>
      <c r="T721" s="1" t="s">
        <v>170</v>
      </c>
      <c r="V721" s="5">
        <v>43606</v>
      </c>
      <c r="W721" s="5">
        <v>42768</v>
      </c>
      <c r="X721" s="1">
        <v>3900000</v>
      </c>
      <c r="Y721" s="1">
        <v>3900000</v>
      </c>
      <c r="Z721" s="5">
        <v>42769</v>
      </c>
      <c r="AA721" s="1">
        <v>3575000</v>
      </c>
      <c r="AB721" s="1" t="s">
        <v>414</v>
      </c>
      <c r="AC721" s="5">
        <v>42902</v>
      </c>
      <c r="AF721" s="1">
        <v>10007</v>
      </c>
      <c r="AI721" s="1" t="s">
        <v>45</v>
      </c>
      <c r="AJ721" s="1">
        <v>1930</v>
      </c>
      <c r="AK721" s="1" t="s">
        <v>73</v>
      </c>
      <c r="AL721" s="1">
        <v>156</v>
      </c>
    </row>
    <row r="722" spans="1:38" x14ac:dyDescent="0.2">
      <c r="A722" s="2" t="str">
        <f>HYPERLINK("https://www.compass.com/listing/100-barclay-street-unit-14s-manhattan-ny-10007/4852263251611756785/","100 Barclay St, Unit 14S")</f>
        <v>100 Barclay St, Unit 14S</v>
      </c>
      <c r="B722" s="2" t="str">
        <f t="shared" si="133"/>
        <v>100 Barclay</v>
      </c>
      <c r="C722" s="1" t="s">
        <v>40</v>
      </c>
      <c r="D722" s="1" t="s">
        <v>41</v>
      </c>
      <c r="E722" s="3">
        <v>2672906</v>
      </c>
      <c r="F722" s="1">
        <v>1462.2024070021801</v>
      </c>
      <c r="G722" s="1">
        <v>4</v>
      </c>
      <c r="H722" s="1">
        <v>1</v>
      </c>
      <c r="I722" s="1">
        <v>2</v>
      </c>
      <c r="J722" s="1">
        <v>2</v>
      </c>
      <c r="M722" s="4">
        <v>1828</v>
      </c>
      <c r="N722" s="1">
        <v>2345</v>
      </c>
      <c r="O722" s="1">
        <v>4588</v>
      </c>
      <c r="P722" s="1">
        <v>2243</v>
      </c>
      <c r="Q722" s="1" t="s">
        <v>42</v>
      </c>
      <c r="S722" s="1" t="s">
        <v>42</v>
      </c>
      <c r="T722" s="1" t="s">
        <v>170</v>
      </c>
      <c r="V722" s="5">
        <v>43623</v>
      </c>
      <c r="W722" s="5">
        <v>42477</v>
      </c>
      <c r="X722" s="1">
        <v>2731500</v>
      </c>
      <c r="Y722" s="1">
        <v>2731500</v>
      </c>
      <c r="Z722" s="5">
        <v>42477</v>
      </c>
      <c r="AA722" s="1">
        <v>2672906</v>
      </c>
      <c r="AB722" s="1" t="s">
        <v>528</v>
      </c>
      <c r="AC722" s="5">
        <v>42698</v>
      </c>
      <c r="AF722" s="1">
        <v>10007</v>
      </c>
      <c r="AI722" s="1" t="s">
        <v>45</v>
      </c>
      <c r="AJ722" s="1">
        <v>1930</v>
      </c>
      <c r="AK722" s="1" t="s">
        <v>73</v>
      </c>
      <c r="AL722" s="1">
        <v>156</v>
      </c>
    </row>
    <row r="723" spans="1:38" x14ac:dyDescent="0.2">
      <c r="A723" s="2" t="str">
        <f>HYPERLINK("https://www.compass.com/listing/100-barclay-street-unit-29d-manhattan-ny-10007/4852264157531078785/","100 Barclay St, Unit 29D")</f>
        <v>100 Barclay St, Unit 29D</v>
      </c>
      <c r="B723" s="2" t="str">
        <f t="shared" si="133"/>
        <v>100 Barclay</v>
      </c>
      <c r="C723" s="1" t="s">
        <v>40</v>
      </c>
      <c r="D723" s="1" t="s">
        <v>41</v>
      </c>
      <c r="E723" s="3">
        <v>5376360</v>
      </c>
      <c r="F723" s="1">
        <v>2299.55517536355</v>
      </c>
      <c r="G723" s="1">
        <v>6</v>
      </c>
      <c r="H723" s="1">
        <v>3</v>
      </c>
      <c r="I723" s="1">
        <v>3</v>
      </c>
      <c r="J723" s="1">
        <v>3</v>
      </c>
      <c r="K723" s="1">
        <v>3</v>
      </c>
      <c r="M723" s="4">
        <v>2338</v>
      </c>
      <c r="N723" s="1">
        <v>3000</v>
      </c>
      <c r="O723" s="1">
        <v>5869</v>
      </c>
      <c r="P723" s="1">
        <v>2869</v>
      </c>
      <c r="Q723" s="1" t="s">
        <v>42</v>
      </c>
      <c r="S723" s="1" t="s">
        <v>42</v>
      </c>
      <c r="T723" s="1" t="s">
        <v>170</v>
      </c>
      <c r="U723" s="1">
        <v>95</v>
      </c>
      <c r="V723" s="5">
        <v>43623</v>
      </c>
      <c r="W723" s="5">
        <v>42644</v>
      </c>
      <c r="X723" s="1">
        <v>5500000</v>
      </c>
      <c r="Y723" s="1">
        <v>5500000</v>
      </c>
      <c r="Z723" s="5">
        <v>42739</v>
      </c>
      <c r="AA723" s="1">
        <v>5376360</v>
      </c>
      <c r="AB723" s="1" t="s">
        <v>529</v>
      </c>
      <c r="AC723" s="5">
        <v>42752</v>
      </c>
      <c r="AF723" s="1">
        <v>10007</v>
      </c>
      <c r="AI723" s="1" t="s">
        <v>45</v>
      </c>
      <c r="AJ723" s="1">
        <v>1930</v>
      </c>
      <c r="AK723" s="1" t="s">
        <v>73</v>
      </c>
      <c r="AL723" s="1">
        <v>156</v>
      </c>
    </row>
    <row r="724" spans="1:38" x14ac:dyDescent="0.2">
      <c r="A724" s="2" t="str">
        <f>HYPERLINK("https://www.compass.com/listing/100-barclay-street-unit-29b-manhattan-ny-10007/4852279220887362081/","100 Barclay St, Unit 29B")</f>
        <v>100 Barclay St, Unit 29B</v>
      </c>
      <c r="B724" s="2" t="str">
        <f t="shared" si="133"/>
        <v>100 Barclay</v>
      </c>
      <c r="C724" s="1" t="s">
        <v>40</v>
      </c>
      <c r="D724" s="1" t="s">
        <v>41</v>
      </c>
      <c r="E724" s="3">
        <v>8196913</v>
      </c>
      <c r="F724" s="1">
        <v>2856.0672473867498</v>
      </c>
      <c r="G724" s="1">
        <v>7</v>
      </c>
      <c r="H724" s="1">
        <v>3</v>
      </c>
      <c r="I724" s="1">
        <v>4</v>
      </c>
      <c r="J724" s="1">
        <v>4</v>
      </c>
      <c r="M724" s="4">
        <v>2870</v>
      </c>
      <c r="N724" s="1">
        <v>3584</v>
      </c>
      <c r="O724" s="1">
        <v>7100</v>
      </c>
      <c r="P724" s="1">
        <v>3516</v>
      </c>
      <c r="Q724" s="1" t="s">
        <v>42</v>
      </c>
      <c r="S724" s="1" t="s">
        <v>42</v>
      </c>
      <c r="T724" s="1" t="s">
        <v>170</v>
      </c>
      <c r="V724" s="5">
        <v>43623</v>
      </c>
      <c r="W724" s="5">
        <v>42182</v>
      </c>
      <c r="X724" s="1">
        <v>8050000</v>
      </c>
      <c r="Y724" s="1">
        <v>8050000</v>
      </c>
      <c r="Z724" s="5">
        <v>42182</v>
      </c>
      <c r="AA724" s="1">
        <v>8196913</v>
      </c>
      <c r="AB724" s="1" t="s">
        <v>530</v>
      </c>
      <c r="AC724" s="5">
        <v>42523</v>
      </c>
      <c r="AF724" s="1">
        <v>10007</v>
      </c>
      <c r="AI724" s="1" t="s">
        <v>45</v>
      </c>
      <c r="AJ724" s="1">
        <v>1930</v>
      </c>
      <c r="AK724" s="1" t="s">
        <v>46</v>
      </c>
      <c r="AL724" s="1">
        <v>156</v>
      </c>
    </row>
    <row r="725" spans="1:38" x14ac:dyDescent="0.2">
      <c r="A725" s="2" t="str">
        <f>HYPERLINK("https://www.compass.com/listing/100-barclay-street-unit-28c-manhattan-ny-10007/803359696769667361/","100 Barclay St, Unit 28C")</f>
        <v>100 Barclay St, Unit 28C</v>
      </c>
      <c r="B725" s="2" t="str">
        <f t="shared" si="133"/>
        <v>100 Barclay</v>
      </c>
      <c r="C725" s="1" t="s">
        <v>40</v>
      </c>
      <c r="D725" s="1" t="s">
        <v>41</v>
      </c>
      <c r="E725" s="3">
        <v>6150000</v>
      </c>
      <c r="F725" s="1">
        <v>2267.69911504424</v>
      </c>
      <c r="G725" s="1">
        <v>5</v>
      </c>
      <c r="H725" s="1">
        <v>4</v>
      </c>
      <c r="I725" s="1">
        <v>4</v>
      </c>
      <c r="J725" s="1">
        <v>4</v>
      </c>
      <c r="M725" s="4">
        <v>2712</v>
      </c>
      <c r="N725" s="1">
        <v>3480</v>
      </c>
      <c r="O725" s="1">
        <v>6808</v>
      </c>
      <c r="P725" s="1">
        <v>3328</v>
      </c>
      <c r="Q725" s="1" t="s">
        <v>42</v>
      </c>
      <c r="S725" s="1" t="s">
        <v>42</v>
      </c>
      <c r="T725" s="1" t="s">
        <v>170</v>
      </c>
      <c r="V725" s="5">
        <v>42978</v>
      </c>
      <c r="W725" s="5">
        <v>42194</v>
      </c>
      <c r="X725" s="1">
        <v>7075000</v>
      </c>
      <c r="Y725" s="1">
        <v>7075000</v>
      </c>
      <c r="Z725" s="5">
        <v>42195</v>
      </c>
      <c r="AA725" s="1">
        <v>6150000</v>
      </c>
      <c r="AB725" s="1" t="s">
        <v>484</v>
      </c>
      <c r="AC725" s="5">
        <v>42870</v>
      </c>
      <c r="AF725" s="1">
        <v>10007</v>
      </c>
      <c r="AI725" s="1" t="s">
        <v>45</v>
      </c>
      <c r="AJ725" s="1">
        <v>1930</v>
      </c>
      <c r="AK725" s="1" t="s">
        <v>46</v>
      </c>
      <c r="AL725" s="1">
        <v>156</v>
      </c>
    </row>
    <row r="726" spans="1:38" x14ac:dyDescent="0.2">
      <c r="A726" s="2" t="str">
        <f>HYPERLINK("https://www.compass.com/listing/30-park-place-unit-45a-manhattan-ny-10007/29357561413209041/","30 Park Pl, Unit 45A")</f>
        <v>30 Park Pl, Unit 45A</v>
      </c>
      <c r="B726" s="2" t="str">
        <f t="shared" ref="B726:B734" si="134">HYPERLINK("https://www.compass.com/building/30-park-pl-manhattan-ny-10007/281896912905317605/","30 Park Pl")</f>
        <v>30 Park Pl</v>
      </c>
      <c r="C726" s="1" t="s">
        <v>40</v>
      </c>
      <c r="D726" s="1" t="s">
        <v>41</v>
      </c>
      <c r="E726" s="3">
        <v>6619538</v>
      </c>
      <c r="F726" s="1">
        <v>2983.11762054979</v>
      </c>
      <c r="G726" s="1">
        <v>6</v>
      </c>
      <c r="H726" s="1">
        <v>3</v>
      </c>
      <c r="I726" s="1">
        <v>3</v>
      </c>
      <c r="J726" s="1">
        <v>3</v>
      </c>
      <c r="K726" s="1">
        <v>3</v>
      </c>
      <c r="M726" s="4">
        <v>2219</v>
      </c>
      <c r="N726" s="1">
        <v>1810</v>
      </c>
      <c r="O726" s="1">
        <v>6423</v>
      </c>
      <c r="P726" s="1">
        <v>4613</v>
      </c>
      <c r="Q726" s="1" t="s">
        <v>42</v>
      </c>
      <c r="S726" s="1" t="s">
        <v>42</v>
      </c>
      <c r="T726" s="1" t="s">
        <v>170</v>
      </c>
      <c r="U726" s="1">
        <v>19</v>
      </c>
      <c r="V726" s="5">
        <v>43665</v>
      </c>
      <c r="W726" s="5">
        <v>41845</v>
      </c>
      <c r="X726" s="1">
        <v>6550000</v>
      </c>
      <c r="Y726" s="1">
        <v>6550000</v>
      </c>
      <c r="Z726" s="5">
        <v>41864</v>
      </c>
      <c r="AA726" s="1">
        <v>6619538</v>
      </c>
      <c r="AB726" s="1" t="s">
        <v>531</v>
      </c>
      <c r="AC726" s="5">
        <v>42600</v>
      </c>
      <c r="AF726" s="1">
        <v>10007</v>
      </c>
      <c r="AJ726" s="1">
        <v>2016</v>
      </c>
      <c r="AK726" s="1" t="s">
        <v>73</v>
      </c>
      <c r="AL726" s="1">
        <v>157</v>
      </c>
    </row>
    <row r="727" spans="1:38" x14ac:dyDescent="0.2">
      <c r="A727" s="2" t="str">
        <f>HYPERLINK("https://www.compass.com/listing/30-park-place-unit-50d-manhattan-ny-10007/29357568635705649/","30 Park Pl, Unit 50D")</f>
        <v>30 Park Pl, Unit 50D</v>
      </c>
      <c r="B727" s="2" t="str">
        <f t="shared" si="134"/>
        <v>30 Park Pl</v>
      </c>
      <c r="C727" s="1" t="s">
        <v>40</v>
      </c>
      <c r="D727" s="1" t="s">
        <v>41</v>
      </c>
      <c r="E727" s="3">
        <v>6262238</v>
      </c>
      <c r="F727" s="1">
        <v>2764.7849889624699</v>
      </c>
      <c r="G727" s="1">
        <v>6</v>
      </c>
      <c r="H727" s="1">
        <v>3</v>
      </c>
      <c r="I727" s="1">
        <v>3</v>
      </c>
      <c r="J727" s="1">
        <v>3</v>
      </c>
      <c r="K727" s="1">
        <v>3</v>
      </c>
      <c r="M727" s="4">
        <v>2265</v>
      </c>
      <c r="N727" s="1">
        <v>1804</v>
      </c>
      <c r="O727" s="1">
        <v>6401</v>
      </c>
      <c r="P727" s="1">
        <v>4597</v>
      </c>
      <c r="Q727" s="1" t="s">
        <v>42</v>
      </c>
      <c r="S727" s="1" t="s">
        <v>42</v>
      </c>
      <c r="T727" s="1" t="s">
        <v>170</v>
      </c>
      <c r="U727" s="1">
        <v>1</v>
      </c>
      <c r="V727" s="5">
        <v>43672</v>
      </c>
      <c r="W727" s="5">
        <v>41885</v>
      </c>
      <c r="X727" s="1">
        <v>6450000</v>
      </c>
      <c r="Y727" s="1">
        <v>6150000</v>
      </c>
      <c r="Z727" s="5">
        <v>41886</v>
      </c>
      <c r="AA727" s="1">
        <v>6262238</v>
      </c>
      <c r="AB727" s="1" t="s">
        <v>532</v>
      </c>
      <c r="AC727" s="5">
        <v>42691</v>
      </c>
      <c r="AF727" s="1">
        <v>10007</v>
      </c>
      <c r="AJ727" s="1">
        <v>2016</v>
      </c>
      <c r="AK727" s="1" t="s">
        <v>73</v>
      </c>
      <c r="AL727" s="1">
        <v>157</v>
      </c>
    </row>
    <row r="728" spans="1:38" x14ac:dyDescent="0.2">
      <c r="A728" s="2" t="str">
        <f>HYPERLINK("https://www.compass.com/listing/30-park-place-unit-53b-manhattan-ny-10007/29357571588495713/","30 Park Pl, Unit 53B")</f>
        <v>30 Park Pl, Unit 53B</v>
      </c>
      <c r="B728" s="2" t="str">
        <f t="shared" si="134"/>
        <v>30 Park Pl</v>
      </c>
      <c r="C728" s="1" t="s">
        <v>40</v>
      </c>
      <c r="D728" s="1" t="s">
        <v>41</v>
      </c>
      <c r="E728" s="3">
        <v>6250000</v>
      </c>
      <c r="F728" s="1">
        <v>2824.2205151378198</v>
      </c>
      <c r="G728" s="1">
        <v>6</v>
      </c>
      <c r="H728" s="1">
        <v>3</v>
      </c>
      <c r="I728" s="1">
        <v>3</v>
      </c>
      <c r="J728" s="1">
        <v>3</v>
      </c>
      <c r="K728" s="1">
        <v>3</v>
      </c>
      <c r="M728" s="4">
        <v>2213</v>
      </c>
      <c r="N728" s="1">
        <v>1795</v>
      </c>
      <c r="O728" s="1">
        <v>6371</v>
      </c>
      <c r="P728" s="1">
        <v>4576</v>
      </c>
      <c r="Q728" s="1" t="s">
        <v>42</v>
      </c>
      <c r="S728" s="1" t="s">
        <v>42</v>
      </c>
      <c r="T728" s="1" t="s">
        <v>170</v>
      </c>
      <c r="U728" s="1">
        <v>15</v>
      </c>
      <c r="V728" s="5">
        <v>43663</v>
      </c>
      <c r="W728" s="5">
        <v>41845</v>
      </c>
      <c r="X728" s="1">
        <v>6400000</v>
      </c>
      <c r="Y728" s="1">
        <v>6250000</v>
      </c>
      <c r="Z728" s="5">
        <v>41860</v>
      </c>
      <c r="AA728" s="1">
        <v>6250000</v>
      </c>
      <c r="AB728" s="1" t="s">
        <v>533</v>
      </c>
      <c r="AC728" s="5">
        <v>42795</v>
      </c>
      <c r="AF728" s="1">
        <v>10007</v>
      </c>
      <c r="AJ728" s="1">
        <v>2016</v>
      </c>
      <c r="AK728" s="1" t="s">
        <v>73</v>
      </c>
      <c r="AL728" s="1">
        <v>157</v>
      </c>
    </row>
    <row r="729" spans="1:38" x14ac:dyDescent="0.2">
      <c r="A729" s="2" t="str">
        <f>HYPERLINK("https://www.compass.com/listing/30-park-place-unit-58b-manhattan-ny-10007/29357578249047425/","30 Park Pl, Unit 58B")</f>
        <v>30 Park Pl, Unit 58B</v>
      </c>
      <c r="B729" s="2" t="str">
        <f t="shared" si="134"/>
        <v>30 Park Pl</v>
      </c>
      <c r="C729" s="1" t="s">
        <v>40</v>
      </c>
      <c r="D729" s="1" t="s">
        <v>41</v>
      </c>
      <c r="E729" s="3">
        <v>6771363</v>
      </c>
      <c r="F729" s="1">
        <v>3059.8115680072301</v>
      </c>
      <c r="G729" s="1">
        <v>6</v>
      </c>
      <c r="H729" s="1">
        <v>3</v>
      </c>
      <c r="I729" s="1">
        <v>3</v>
      </c>
      <c r="J729" s="1">
        <v>3</v>
      </c>
      <c r="K729" s="1">
        <v>3</v>
      </c>
      <c r="M729" s="4">
        <v>2213</v>
      </c>
      <c r="N729" s="1">
        <v>1808</v>
      </c>
      <c r="O729" s="1">
        <v>6418</v>
      </c>
      <c r="P729" s="1">
        <v>4610</v>
      </c>
      <c r="Q729" s="1" t="s">
        <v>42</v>
      </c>
      <c r="S729" s="1" t="s">
        <v>42</v>
      </c>
      <c r="T729" s="1" t="s">
        <v>170</v>
      </c>
      <c r="U729" s="1">
        <v>9</v>
      </c>
      <c r="V729" s="5">
        <v>43668</v>
      </c>
      <c r="W729" s="5">
        <v>41857</v>
      </c>
      <c r="X729" s="1">
        <v>6650000</v>
      </c>
      <c r="Y729" s="1">
        <v>6650000</v>
      </c>
      <c r="Z729" s="5">
        <v>41866</v>
      </c>
      <c r="AA729" s="1">
        <v>6771363</v>
      </c>
      <c r="AB729" s="1" t="s">
        <v>534</v>
      </c>
      <c r="AC729" s="5">
        <v>42760</v>
      </c>
      <c r="AF729" s="1">
        <v>10007</v>
      </c>
      <c r="AJ729" s="1">
        <v>2016</v>
      </c>
      <c r="AK729" s="1" t="s">
        <v>73</v>
      </c>
      <c r="AL729" s="1">
        <v>157</v>
      </c>
    </row>
    <row r="730" spans="1:38" x14ac:dyDescent="0.2">
      <c r="A730" s="2" t="str">
        <f>HYPERLINK("https://www.compass.com/listing/30-park-place-unit-59b-manhattan-ny-10007/29357579608100081/","30 Park Pl, Unit 59B")</f>
        <v>30 Park Pl, Unit 59B</v>
      </c>
      <c r="B730" s="2" t="str">
        <f t="shared" si="134"/>
        <v>30 Park Pl</v>
      </c>
      <c r="C730" s="1" t="s">
        <v>40</v>
      </c>
      <c r="D730" s="1" t="s">
        <v>41</v>
      </c>
      <c r="E730" s="3">
        <v>6975013</v>
      </c>
      <c r="F730" s="1">
        <v>3151.8359692724798</v>
      </c>
      <c r="G730" s="1">
        <v>6</v>
      </c>
      <c r="H730" s="1">
        <v>3</v>
      </c>
      <c r="I730" s="1">
        <v>3</v>
      </c>
      <c r="J730" s="1">
        <v>3</v>
      </c>
      <c r="K730" s="1">
        <v>3</v>
      </c>
      <c r="M730" s="4">
        <v>2213</v>
      </c>
      <c r="N730" s="1">
        <v>1811</v>
      </c>
      <c r="O730" s="1">
        <v>6427</v>
      </c>
      <c r="P730" s="1">
        <v>4616</v>
      </c>
      <c r="Q730" s="1" t="s">
        <v>42</v>
      </c>
      <c r="S730" s="1" t="s">
        <v>42</v>
      </c>
      <c r="T730" s="1" t="s">
        <v>170</v>
      </c>
      <c r="U730" s="1">
        <v>42</v>
      </c>
      <c r="V730" s="5">
        <v>43664</v>
      </c>
      <c r="W730" s="5">
        <v>41919</v>
      </c>
      <c r="X730" s="1">
        <v>6850000</v>
      </c>
      <c r="Y730" s="1">
        <v>6850000</v>
      </c>
      <c r="Z730" s="5">
        <v>41961</v>
      </c>
      <c r="AA730" s="1">
        <v>6975013</v>
      </c>
      <c r="AB730" s="1" t="s">
        <v>535</v>
      </c>
      <c r="AC730" s="5">
        <v>42760</v>
      </c>
      <c r="AF730" s="1">
        <v>10007</v>
      </c>
      <c r="AJ730" s="1">
        <v>2016</v>
      </c>
      <c r="AK730" s="1" t="s">
        <v>73</v>
      </c>
      <c r="AL730" s="1">
        <v>157</v>
      </c>
    </row>
    <row r="731" spans="1:38" x14ac:dyDescent="0.2">
      <c r="A731" s="2" t="str">
        <f>HYPERLINK("https://www.compass.com/listing/30-park-place-unit-62b-manhattan-ny-10007/29357583953300945/","30 Park Pl, Unit 62B")</f>
        <v>30 Park Pl, Unit 62B</v>
      </c>
      <c r="B731" s="2" t="str">
        <f t="shared" si="134"/>
        <v>30 Park Pl</v>
      </c>
      <c r="C731" s="1" t="s">
        <v>40</v>
      </c>
      <c r="D731" s="1" t="s">
        <v>41</v>
      </c>
      <c r="E731" s="3">
        <v>7150000</v>
      </c>
      <c r="F731" s="1">
        <v>3230.9082693176601</v>
      </c>
      <c r="G731" s="1">
        <v>5.5</v>
      </c>
      <c r="H731" s="1">
        <v>3</v>
      </c>
      <c r="I731" s="1">
        <v>3</v>
      </c>
      <c r="J731" s="1">
        <v>3</v>
      </c>
      <c r="K731" s="1">
        <v>3</v>
      </c>
      <c r="M731" s="4">
        <v>2213</v>
      </c>
      <c r="N731" s="1">
        <v>1819</v>
      </c>
      <c r="O731" s="1">
        <v>6456</v>
      </c>
      <c r="P731" s="1">
        <v>4637</v>
      </c>
      <c r="Q731" s="1" t="s">
        <v>42</v>
      </c>
      <c r="S731" s="1" t="s">
        <v>42</v>
      </c>
      <c r="T731" s="1" t="s">
        <v>170</v>
      </c>
      <c r="V731" s="5">
        <v>43664</v>
      </c>
      <c r="W731" s="5">
        <v>42420</v>
      </c>
      <c r="X731" s="1">
        <v>7150000</v>
      </c>
      <c r="Y731" s="1">
        <v>7150000</v>
      </c>
      <c r="Z731" s="5">
        <v>42420</v>
      </c>
      <c r="AA731" s="1">
        <v>7150000</v>
      </c>
      <c r="AB731" s="1" t="s">
        <v>536</v>
      </c>
      <c r="AC731" s="5">
        <v>42765</v>
      </c>
      <c r="AF731" s="1">
        <v>10007</v>
      </c>
      <c r="AJ731" s="1">
        <v>2016</v>
      </c>
      <c r="AK731" s="1" t="s">
        <v>73</v>
      </c>
      <c r="AL731" s="1">
        <v>157</v>
      </c>
    </row>
    <row r="732" spans="1:38" x14ac:dyDescent="0.2">
      <c r="A732" s="2" t="str">
        <f>HYPERLINK("https://www.compass.com/listing/30-park-place-unit-71c-manhattan-ny-10007/29357591872150225/","30 Park Pl, Unit 71C")</f>
        <v>30 Park Pl, Unit 71C</v>
      </c>
      <c r="B732" s="2" t="str">
        <f t="shared" si="134"/>
        <v>30 Park Pl</v>
      </c>
      <c r="C732" s="1" t="s">
        <v>40</v>
      </c>
      <c r="D732" s="1" t="s">
        <v>41</v>
      </c>
      <c r="E732" s="3">
        <v>6567713</v>
      </c>
      <c r="F732" s="1">
        <v>3618.5743801652802</v>
      </c>
      <c r="G732" s="1">
        <v>5</v>
      </c>
      <c r="H732" s="1">
        <v>3</v>
      </c>
      <c r="I732" s="1">
        <v>3</v>
      </c>
      <c r="J732" s="1">
        <v>3</v>
      </c>
      <c r="K732" s="1">
        <v>3</v>
      </c>
      <c r="M732" s="4">
        <v>1815</v>
      </c>
      <c r="N732" s="1">
        <v>1495</v>
      </c>
      <c r="O732" s="1">
        <v>5305</v>
      </c>
      <c r="P732" s="1">
        <v>3810</v>
      </c>
      <c r="Q732" s="1" t="s">
        <v>42</v>
      </c>
      <c r="S732" s="1" t="s">
        <v>42</v>
      </c>
      <c r="T732" s="1" t="s">
        <v>170</v>
      </c>
      <c r="U732" s="1">
        <v>141</v>
      </c>
      <c r="V732" s="5">
        <v>43606</v>
      </c>
      <c r="W732" s="5">
        <v>41995</v>
      </c>
      <c r="X732" s="1">
        <v>6450000</v>
      </c>
      <c r="Y732" s="1">
        <v>6450000</v>
      </c>
      <c r="Z732" s="5">
        <v>42136</v>
      </c>
      <c r="AA732" s="1">
        <v>6567712.5</v>
      </c>
      <c r="AB732" s="1" t="s">
        <v>537</v>
      </c>
      <c r="AC732" s="5">
        <v>42852</v>
      </c>
      <c r="AF732" s="1">
        <v>10007</v>
      </c>
      <c r="AJ732" s="1">
        <v>2016</v>
      </c>
      <c r="AK732" s="1" t="s">
        <v>73</v>
      </c>
      <c r="AL732" s="1">
        <v>157</v>
      </c>
    </row>
    <row r="733" spans="1:38" x14ac:dyDescent="0.2">
      <c r="A733" s="2" t="str">
        <f>HYPERLINK("https://www.compass.com/listing/30-park-place-unit-72c-manhattan-ny-10007/29357592870394593/","30 Park Pl, Unit 72C")</f>
        <v>30 Park Pl, Unit 72C</v>
      </c>
      <c r="B733" s="2" t="str">
        <f t="shared" si="134"/>
        <v>30 Park Pl</v>
      </c>
      <c r="C733" s="1" t="s">
        <v>40</v>
      </c>
      <c r="D733" s="1" t="s">
        <v>41</v>
      </c>
      <c r="E733" s="3">
        <v>6313150</v>
      </c>
      <c r="F733" s="1">
        <v>3478.3195592286502</v>
      </c>
      <c r="G733" s="1">
        <v>5</v>
      </c>
      <c r="H733" s="1">
        <v>3</v>
      </c>
      <c r="I733" s="1">
        <v>3</v>
      </c>
      <c r="J733" s="1">
        <v>3</v>
      </c>
      <c r="K733" s="1">
        <v>3</v>
      </c>
      <c r="M733" s="4">
        <v>1815</v>
      </c>
      <c r="N733" s="1">
        <v>1498</v>
      </c>
      <c r="O733" s="1">
        <v>5316</v>
      </c>
      <c r="P733" s="1">
        <v>3818</v>
      </c>
      <c r="Q733" s="1" t="s">
        <v>42</v>
      </c>
      <c r="S733" s="1" t="s">
        <v>42</v>
      </c>
      <c r="T733" s="1" t="s">
        <v>170</v>
      </c>
      <c r="U733" s="1">
        <v>96</v>
      </c>
      <c r="V733" s="5">
        <v>43663</v>
      </c>
      <c r="W733" s="5">
        <v>41914</v>
      </c>
      <c r="X733" s="1">
        <v>6200000</v>
      </c>
      <c r="Y733" s="1">
        <v>6200000</v>
      </c>
      <c r="Z733" s="5">
        <v>42010</v>
      </c>
      <c r="AA733" s="1">
        <v>6313150</v>
      </c>
      <c r="AB733" s="1" t="s">
        <v>538</v>
      </c>
      <c r="AC733" s="5">
        <v>42857</v>
      </c>
      <c r="AF733" s="1">
        <v>10007</v>
      </c>
      <c r="AJ733" s="1">
        <v>2016</v>
      </c>
      <c r="AK733" s="1" t="s">
        <v>73</v>
      </c>
      <c r="AL733" s="1">
        <v>157</v>
      </c>
    </row>
    <row r="734" spans="1:38" x14ac:dyDescent="0.2">
      <c r="A734" s="2" t="str">
        <f>HYPERLINK("https://www.compass.com/listing/30-park-place-unit-73c-manhattan-ny-10007/29357593994468081/","30 Park Pl, Unit 73C")</f>
        <v>30 Park Pl, Unit 73C</v>
      </c>
      <c r="B734" s="2" t="str">
        <f t="shared" si="134"/>
        <v>30 Park Pl</v>
      </c>
      <c r="C734" s="1" t="s">
        <v>40</v>
      </c>
      <c r="D734" s="1" t="s">
        <v>41</v>
      </c>
      <c r="E734" s="3">
        <v>6670000</v>
      </c>
      <c r="F734" s="1">
        <v>3674.9311294765798</v>
      </c>
      <c r="G734" s="1">
        <v>5</v>
      </c>
      <c r="H734" s="1">
        <v>3</v>
      </c>
      <c r="I734" s="1">
        <v>3</v>
      </c>
      <c r="J734" s="1">
        <v>3</v>
      </c>
      <c r="K734" s="1">
        <v>3</v>
      </c>
      <c r="M734" s="4">
        <v>1815</v>
      </c>
      <c r="N734" s="1">
        <v>1500</v>
      </c>
      <c r="O734" s="1">
        <v>5324</v>
      </c>
      <c r="P734" s="1">
        <v>3824</v>
      </c>
      <c r="Q734" s="1" t="s">
        <v>42</v>
      </c>
      <c r="S734" s="1" t="s">
        <v>42</v>
      </c>
      <c r="T734" s="1" t="s">
        <v>170</v>
      </c>
      <c r="U734" s="1">
        <v>625</v>
      </c>
      <c r="V734" s="5">
        <v>43670</v>
      </c>
      <c r="W734" s="5">
        <v>42227</v>
      </c>
      <c r="X734" s="1">
        <v>6850000</v>
      </c>
      <c r="Y734" s="1">
        <v>6670000</v>
      </c>
      <c r="AA734" s="1">
        <v>6670000</v>
      </c>
      <c r="AB734" s="1" t="s">
        <v>539</v>
      </c>
      <c r="AC734" s="5">
        <v>42852</v>
      </c>
      <c r="AF734" s="1">
        <v>10007</v>
      </c>
      <c r="AJ734" s="1">
        <v>2016</v>
      </c>
      <c r="AK734" s="1" t="s">
        <v>73</v>
      </c>
      <c r="AL734" s="1">
        <v>157</v>
      </c>
    </row>
    <row r="735" spans="1:38" x14ac:dyDescent="0.2">
      <c r="A735" s="2" t="str">
        <f>HYPERLINK("https://www.compass.com/listing/100-barclay-street-unit-11q-manhattan-ny-10007/18882319670638641/","100 Barclay St, Unit 11Q")</f>
        <v>100 Barclay St, Unit 11Q</v>
      </c>
      <c r="B735" s="2" t="str">
        <f t="shared" ref="B735:B740" si="135">HYPERLINK("https://www.compass.com/building/100-barclay-manhattan-ny/281896670466155525/","100 Barclay")</f>
        <v>100 Barclay</v>
      </c>
      <c r="C735" s="1" t="s">
        <v>40</v>
      </c>
      <c r="D735" s="1" t="s">
        <v>41</v>
      </c>
      <c r="E735" s="3">
        <v>4750000</v>
      </c>
      <c r="F735" s="1">
        <v>2302.4721279689702</v>
      </c>
      <c r="G735" s="1">
        <v>5</v>
      </c>
      <c r="H735" s="1">
        <v>3</v>
      </c>
      <c r="I735" s="1">
        <v>4</v>
      </c>
      <c r="J735" s="1">
        <v>3.5</v>
      </c>
      <c r="K735" s="1">
        <v>3</v>
      </c>
      <c r="L735" s="1">
        <v>1</v>
      </c>
      <c r="M735" s="4">
        <v>2063</v>
      </c>
      <c r="N735" s="1">
        <v>2739</v>
      </c>
      <c r="O735" s="1">
        <v>5624</v>
      </c>
      <c r="P735" s="1">
        <v>2885</v>
      </c>
      <c r="Q735" s="1" t="s">
        <v>42</v>
      </c>
      <c r="S735" s="1" t="s">
        <v>42</v>
      </c>
      <c r="T735" s="1" t="s">
        <v>170</v>
      </c>
      <c r="U735" s="1">
        <v>108</v>
      </c>
      <c r="V735" s="5">
        <v>43670</v>
      </c>
      <c r="W735" s="5">
        <v>43365</v>
      </c>
      <c r="X735" s="1">
        <v>5175000</v>
      </c>
      <c r="Y735" s="1">
        <v>4995000</v>
      </c>
      <c r="Z735" s="5">
        <v>43473</v>
      </c>
      <c r="AA735" s="1">
        <v>4750000</v>
      </c>
      <c r="AB735" s="1" t="s">
        <v>540</v>
      </c>
      <c r="AC735" s="5">
        <v>43490</v>
      </c>
      <c r="AF735" s="1">
        <v>10007</v>
      </c>
      <c r="AI735" s="1" t="s">
        <v>541</v>
      </c>
      <c r="AJ735" s="1">
        <v>1930</v>
      </c>
      <c r="AK735" s="1" t="s">
        <v>73</v>
      </c>
      <c r="AL735" s="1">
        <v>156</v>
      </c>
    </row>
    <row r="736" spans="1:38" x14ac:dyDescent="0.2">
      <c r="A736" s="2" t="str">
        <f>HYPERLINK("https://www.compass.com/listing/100-barclay-street-unit-16p-manhattan-ny-10007/4771238350428328913/","100 Barclay St, Unit 16P")</f>
        <v>100 Barclay St, Unit 16P</v>
      </c>
      <c r="B736" s="2" t="str">
        <f t="shared" si="135"/>
        <v>100 Barclay</v>
      </c>
      <c r="C736" s="1" t="s">
        <v>40</v>
      </c>
      <c r="D736" s="1" t="s">
        <v>41</v>
      </c>
      <c r="E736" s="3">
        <v>6400000</v>
      </c>
      <c r="F736" s="1">
        <v>2115.70247933884</v>
      </c>
      <c r="G736" s="1">
        <v>7</v>
      </c>
      <c r="H736" s="1">
        <v>4</v>
      </c>
      <c r="I736" s="1">
        <v>5</v>
      </c>
      <c r="J736" s="1">
        <v>5</v>
      </c>
      <c r="K736" s="1">
        <v>5</v>
      </c>
      <c r="M736" s="4">
        <v>3025</v>
      </c>
      <c r="N736" s="1">
        <v>3786</v>
      </c>
      <c r="O736" s="1">
        <v>7895</v>
      </c>
      <c r="P736" s="1">
        <v>4109</v>
      </c>
      <c r="Q736" s="1" t="s">
        <v>42</v>
      </c>
      <c r="S736" s="1" t="s">
        <v>42</v>
      </c>
      <c r="T736" s="1" t="s">
        <v>170</v>
      </c>
      <c r="U736" s="1">
        <v>86</v>
      </c>
      <c r="V736" s="5">
        <v>43623</v>
      </c>
      <c r="W736" s="5">
        <v>42864</v>
      </c>
      <c r="X736" s="1">
        <v>7000000</v>
      </c>
      <c r="Y736" s="1">
        <v>7000000</v>
      </c>
      <c r="Z736" s="5">
        <v>43022</v>
      </c>
      <c r="AA736" s="1">
        <v>6400000</v>
      </c>
      <c r="AB736" s="1" t="s">
        <v>542</v>
      </c>
      <c r="AC736" s="5">
        <v>43088</v>
      </c>
      <c r="AF736" s="1">
        <v>10007</v>
      </c>
      <c r="AI736" s="1" t="s">
        <v>74</v>
      </c>
      <c r="AJ736" s="1">
        <v>1930</v>
      </c>
      <c r="AK736" s="1" t="s">
        <v>73</v>
      </c>
      <c r="AL736" s="1">
        <v>156</v>
      </c>
    </row>
    <row r="737" spans="1:38" x14ac:dyDescent="0.2">
      <c r="A737" s="2" t="str">
        <f>HYPERLINK("https://www.compass.com/listing/100-barclay-street-unit-17p-manhattan-ny-10007/803303943765660201/","100 Barclay St, Unit 17P")</f>
        <v>100 Barclay St, Unit 17P</v>
      </c>
      <c r="B737" s="2" t="str">
        <f t="shared" si="135"/>
        <v>100 Barclay</v>
      </c>
      <c r="C737" s="1" t="s">
        <v>40</v>
      </c>
      <c r="D737" s="1" t="s">
        <v>41</v>
      </c>
      <c r="E737" s="3">
        <v>6995000</v>
      </c>
      <c r="F737" s="1">
        <v>2312.39669421487</v>
      </c>
      <c r="G737" s="1">
        <v>6</v>
      </c>
      <c r="H737" s="1">
        <v>4</v>
      </c>
      <c r="I737" s="1">
        <v>5</v>
      </c>
      <c r="J737" s="1">
        <v>5</v>
      </c>
      <c r="K737" s="1">
        <v>5</v>
      </c>
      <c r="M737" s="4">
        <v>3025</v>
      </c>
      <c r="N737" s="1">
        <v>3739</v>
      </c>
      <c r="O737" s="1">
        <v>7801</v>
      </c>
      <c r="P737" s="1">
        <v>4062</v>
      </c>
      <c r="Q737" s="1" t="s">
        <v>42</v>
      </c>
      <c r="S737" s="1" t="s">
        <v>42</v>
      </c>
      <c r="T737" s="1" t="s">
        <v>170</v>
      </c>
      <c r="V737" s="5">
        <v>43077</v>
      </c>
      <c r="W737" s="5">
        <v>42902</v>
      </c>
      <c r="X737" s="1">
        <v>6995000</v>
      </c>
      <c r="Y737" s="1">
        <v>6995000</v>
      </c>
      <c r="AB737" s="1" t="s">
        <v>181</v>
      </c>
      <c r="AC737" s="5">
        <v>42902</v>
      </c>
      <c r="AF737" s="1">
        <v>10007</v>
      </c>
      <c r="AI737" s="1" t="s">
        <v>45</v>
      </c>
      <c r="AJ737" s="1">
        <v>1930</v>
      </c>
      <c r="AK737" s="1" t="s">
        <v>73</v>
      </c>
      <c r="AL737" s="1">
        <v>156</v>
      </c>
    </row>
    <row r="738" spans="1:38" x14ac:dyDescent="0.2">
      <c r="A738" s="2" t="str">
        <f>HYPERLINK("https://www.compass.com/listing/100-barclay-street-unit-14a-manhattan-ny-10007/29513629107750673/","100 Barclay St, Unit 14A")</f>
        <v>100 Barclay St, Unit 14A</v>
      </c>
      <c r="B738" s="2" t="str">
        <f t="shared" si="135"/>
        <v>100 Barclay</v>
      </c>
      <c r="C738" s="1" t="s">
        <v>40</v>
      </c>
      <c r="D738" s="1" t="s">
        <v>41</v>
      </c>
      <c r="E738" s="3">
        <v>5600000</v>
      </c>
      <c r="F738" s="1">
        <v>2102.8914757791899</v>
      </c>
      <c r="G738" s="1">
        <v>7</v>
      </c>
      <c r="H738" s="1">
        <v>4</v>
      </c>
      <c r="I738" s="1">
        <v>5</v>
      </c>
      <c r="J738" s="1">
        <v>4.5</v>
      </c>
      <c r="M738" s="4">
        <v>2663</v>
      </c>
      <c r="N738" s="1">
        <v>3417</v>
      </c>
      <c r="O738" s="1">
        <v>6684</v>
      </c>
      <c r="P738" s="1">
        <v>3267</v>
      </c>
      <c r="Q738" s="1" t="s">
        <v>42</v>
      </c>
      <c r="S738" s="1" t="s">
        <v>42</v>
      </c>
      <c r="T738" s="1" t="s">
        <v>170</v>
      </c>
      <c r="V738" s="5">
        <v>43623</v>
      </c>
      <c r="W738" s="5">
        <v>42459</v>
      </c>
      <c r="X738" s="1">
        <v>6046500</v>
      </c>
      <c r="Y738" s="1">
        <v>6046500</v>
      </c>
      <c r="Z738" s="5">
        <v>42459</v>
      </c>
      <c r="AA738" s="1">
        <v>5600000</v>
      </c>
      <c r="AB738" s="1" t="s">
        <v>181</v>
      </c>
      <c r="AC738" s="5">
        <v>42704</v>
      </c>
      <c r="AF738" s="1">
        <v>10007</v>
      </c>
      <c r="AI738" s="1" t="s">
        <v>45</v>
      </c>
      <c r="AJ738" s="1">
        <v>1930</v>
      </c>
      <c r="AK738" s="1" t="s">
        <v>73</v>
      </c>
      <c r="AL738" s="1">
        <v>156</v>
      </c>
    </row>
    <row r="739" spans="1:38" x14ac:dyDescent="0.2">
      <c r="A739" s="2" t="str">
        <f>HYPERLINK("https://www.compass.com/listing/100-barclay-street-unit-24d-manhattan-ny-10007/4852282221358226289/","100 Barclay St, Unit 24D")</f>
        <v>100 Barclay St, Unit 24D</v>
      </c>
      <c r="B739" s="2" t="str">
        <f t="shared" si="135"/>
        <v>100 Barclay</v>
      </c>
      <c r="C739" s="1" t="s">
        <v>40</v>
      </c>
      <c r="D739" s="1" t="s">
        <v>41</v>
      </c>
      <c r="E739" s="3">
        <v>5078522</v>
      </c>
      <c r="F739" s="1">
        <v>2172.1650983746699</v>
      </c>
      <c r="G739" s="1">
        <v>5</v>
      </c>
      <c r="H739" s="1">
        <v>3</v>
      </c>
      <c r="I739" s="1">
        <v>3</v>
      </c>
      <c r="J739" s="1">
        <v>3.5</v>
      </c>
      <c r="K739" s="1">
        <v>3</v>
      </c>
      <c r="L739" s="1">
        <v>1</v>
      </c>
      <c r="M739" s="4">
        <v>2338</v>
      </c>
      <c r="N739" s="1">
        <v>3000</v>
      </c>
      <c r="O739" s="1">
        <v>5869</v>
      </c>
      <c r="P739" s="1">
        <v>2869</v>
      </c>
      <c r="Q739" s="1" t="s">
        <v>42</v>
      </c>
      <c r="S739" s="1" t="s">
        <v>42</v>
      </c>
      <c r="T739" s="1" t="s">
        <v>170</v>
      </c>
      <c r="U739" s="1">
        <v>148</v>
      </c>
      <c r="V739" s="5">
        <v>43623</v>
      </c>
      <c r="W739" s="5">
        <v>42493</v>
      </c>
      <c r="X739" s="1">
        <v>5250000</v>
      </c>
      <c r="Y739" s="1">
        <v>5250000</v>
      </c>
      <c r="Z739" s="5">
        <v>42641</v>
      </c>
      <c r="AA739" s="1">
        <v>5078522</v>
      </c>
      <c r="AB739" s="1" t="s">
        <v>543</v>
      </c>
      <c r="AC739" s="5">
        <v>42663</v>
      </c>
      <c r="AF739" s="1">
        <v>10007</v>
      </c>
      <c r="AI739" s="1" t="s">
        <v>45</v>
      </c>
      <c r="AJ739" s="1">
        <v>1930</v>
      </c>
      <c r="AK739" s="1" t="s">
        <v>73</v>
      </c>
      <c r="AL739" s="1">
        <v>156</v>
      </c>
    </row>
    <row r="740" spans="1:38" x14ac:dyDescent="0.2">
      <c r="A740" s="2" t="str">
        <f>HYPERLINK("https://www.compass.com/listing/100-barclay-street-unit-11c-manhattan-ny-10007/4852309073367938801/","100 Barclay St, Unit 11C")</f>
        <v>100 Barclay St, Unit 11C</v>
      </c>
      <c r="B740" s="2" t="str">
        <f t="shared" si="135"/>
        <v>100 Barclay</v>
      </c>
      <c r="C740" s="1" t="s">
        <v>40</v>
      </c>
      <c r="D740" s="1" t="s">
        <v>41</v>
      </c>
      <c r="E740" s="3">
        <v>1934675</v>
      </c>
      <c r="F740" s="1">
        <v>1840.7944814462401</v>
      </c>
      <c r="G740" s="1">
        <v>4</v>
      </c>
      <c r="H740" s="1">
        <v>1</v>
      </c>
      <c r="I740" s="1">
        <v>1</v>
      </c>
      <c r="J740" s="1">
        <v>1</v>
      </c>
      <c r="M740" s="4">
        <v>1051</v>
      </c>
      <c r="N740" s="1">
        <v>1430</v>
      </c>
      <c r="O740" s="1">
        <v>2798</v>
      </c>
      <c r="P740" s="1">
        <v>1368</v>
      </c>
      <c r="Q740" s="1" t="s">
        <v>42</v>
      </c>
      <c r="S740" s="1" t="s">
        <v>42</v>
      </c>
      <c r="T740" s="1" t="s">
        <v>170</v>
      </c>
      <c r="V740" s="5">
        <v>43629</v>
      </c>
      <c r="W740" s="5">
        <v>42477</v>
      </c>
      <c r="X740" s="1">
        <v>1964500</v>
      </c>
      <c r="Y740" s="1">
        <v>1964500</v>
      </c>
      <c r="Z740" s="5">
        <v>42477</v>
      </c>
      <c r="AA740" s="1">
        <v>1934675</v>
      </c>
      <c r="AB740" s="1" t="s">
        <v>544</v>
      </c>
      <c r="AC740" s="5">
        <v>42797</v>
      </c>
      <c r="AF740" s="1">
        <v>10007</v>
      </c>
      <c r="AI740" s="1" t="s">
        <v>88</v>
      </c>
      <c r="AJ740" s="1">
        <v>1930</v>
      </c>
      <c r="AK740" s="1" t="s">
        <v>46</v>
      </c>
      <c r="AL740" s="1">
        <v>156</v>
      </c>
    </row>
    <row r="741" spans="1:38" x14ac:dyDescent="0.2">
      <c r="A741" s="2" t="str">
        <f>HYPERLINK("https://www.compass.com/listing/211-west-14th-street-unit-th-manhattan-ny-10011/4703705670019479057/","211 W 14th St")</f>
        <v>211 W 14th St</v>
      </c>
      <c r="B741" s="2" t="str">
        <f>HYPERLINK("https://www.compass.com/building/dorsay-manhattan-ny/292801633543285477/","d'Orsay")</f>
        <v>d'Orsay</v>
      </c>
      <c r="C741" s="1" t="s">
        <v>99</v>
      </c>
      <c r="D741" s="1" t="s">
        <v>41</v>
      </c>
      <c r="E741" s="3">
        <v>4700000</v>
      </c>
      <c r="F741" s="1">
        <v>2258.5295530994699</v>
      </c>
      <c r="G741" s="1">
        <v>5.5</v>
      </c>
      <c r="H741" s="1">
        <v>3</v>
      </c>
      <c r="I741" s="1">
        <v>4</v>
      </c>
      <c r="J741" s="1">
        <v>3.5</v>
      </c>
      <c r="K741" s="1">
        <v>3</v>
      </c>
      <c r="L741" s="1">
        <v>1</v>
      </c>
      <c r="M741" s="4">
        <v>2081</v>
      </c>
      <c r="N741" s="1">
        <v>4564.3999999999996</v>
      </c>
      <c r="O741" s="1">
        <v>7799.7</v>
      </c>
      <c r="P741" s="1">
        <v>3235.3333333333298</v>
      </c>
      <c r="Q741" s="1" t="s">
        <v>42</v>
      </c>
      <c r="S741" s="1" t="s">
        <v>42</v>
      </c>
      <c r="T741" s="1" t="s">
        <v>170</v>
      </c>
      <c r="U741" s="1">
        <v>256</v>
      </c>
      <c r="V741" s="5">
        <v>43750</v>
      </c>
      <c r="W741" s="5">
        <v>43404</v>
      </c>
      <c r="X741" s="1">
        <v>5350000</v>
      </c>
      <c r="Y741" s="1">
        <v>4950000</v>
      </c>
      <c r="Z741" s="5">
        <v>43660</v>
      </c>
      <c r="AA741" s="1">
        <v>4700000</v>
      </c>
      <c r="AB741" s="1" t="s">
        <v>545</v>
      </c>
      <c r="AC741" s="5">
        <v>43682</v>
      </c>
      <c r="AF741" s="1">
        <v>10011</v>
      </c>
      <c r="AI741" s="1" t="s">
        <v>95</v>
      </c>
      <c r="AJ741" s="1">
        <v>2018</v>
      </c>
      <c r="AK741" s="1" t="s">
        <v>73</v>
      </c>
      <c r="AL741" s="1">
        <v>21</v>
      </c>
    </row>
    <row r="742" spans="1:38" x14ac:dyDescent="0.2">
      <c r="A742" s="2" t="str">
        <f>HYPERLINK("https://www.compass.com/listing/100-barclay-street-unit-14p-manhattan-ny-10007/4852275411821798625/","100 Barclay St, Unit 14P")</f>
        <v>100 Barclay St, Unit 14P</v>
      </c>
      <c r="B742" s="2" t="str">
        <f t="shared" ref="B742:B745" si="136">HYPERLINK("https://www.compass.com/building/100-barclay-manhattan-ny/281896670466155525/","100 Barclay")</f>
        <v>100 Barclay</v>
      </c>
      <c r="C742" s="1" t="s">
        <v>40</v>
      </c>
      <c r="D742" s="1" t="s">
        <v>41</v>
      </c>
      <c r="E742" s="3">
        <v>7400000</v>
      </c>
      <c r="F742" s="1">
        <v>2306.73316708229</v>
      </c>
      <c r="G742" s="1">
        <v>7</v>
      </c>
      <c r="H742" s="1">
        <v>4</v>
      </c>
      <c r="I742" s="1">
        <v>5</v>
      </c>
      <c r="J742" s="1">
        <v>5</v>
      </c>
      <c r="K742" s="1">
        <v>5</v>
      </c>
      <c r="M742" s="4">
        <v>3208</v>
      </c>
      <c r="N742" s="1">
        <v>4238</v>
      </c>
      <c r="O742" s="1">
        <v>8291</v>
      </c>
      <c r="P742" s="1">
        <v>4053</v>
      </c>
      <c r="Q742" s="1" t="s">
        <v>42</v>
      </c>
      <c r="S742" s="1" t="s">
        <v>42</v>
      </c>
      <c r="T742" s="1" t="s">
        <v>170</v>
      </c>
      <c r="V742" s="5">
        <v>43623</v>
      </c>
      <c r="W742" s="5">
        <v>42824</v>
      </c>
      <c r="X742" s="1">
        <v>7500000</v>
      </c>
      <c r="Y742" s="1">
        <v>7500000</v>
      </c>
      <c r="Z742" s="5">
        <v>42824</v>
      </c>
      <c r="AA742" s="1">
        <v>7400000</v>
      </c>
      <c r="AB742" s="1" t="s">
        <v>546</v>
      </c>
      <c r="AC742" s="5">
        <v>42915</v>
      </c>
      <c r="AF742" s="1">
        <v>10007</v>
      </c>
      <c r="AI742" s="1" t="s">
        <v>74</v>
      </c>
      <c r="AJ742" s="1">
        <v>1930</v>
      </c>
      <c r="AK742" s="1" t="s">
        <v>73</v>
      </c>
      <c r="AL742" s="1">
        <v>156</v>
      </c>
    </row>
    <row r="743" spans="1:38" x14ac:dyDescent="0.2">
      <c r="A743" s="2" t="str">
        <f>HYPERLINK("https://www.compass.com/listing/100-barclay-street-unit-19c-manhattan-ny-10007/18156364165617105/","100 Barclay St, Unit 19C")</f>
        <v>100 Barclay St, Unit 19C</v>
      </c>
      <c r="B743" s="2" t="str">
        <f t="shared" si="136"/>
        <v>100 Barclay</v>
      </c>
      <c r="C743" s="1" t="s">
        <v>40</v>
      </c>
      <c r="D743" s="1" t="s">
        <v>41</v>
      </c>
      <c r="E743" s="3">
        <v>7095060</v>
      </c>
      <c r="F743" s="1">
        <v>2203.4347826086901</v>
      </c>
      <c r="G743" s="1">
        <v>8.5</v>
      </c>
      <c r="H743" s="1">
        <v>4</v>
      </c>
      <c r="I743" s="1">
        <v>5</v>
      </c>
      <c r="J743" s="1">
        <v>4.5</v>
      </c>
      <c r="K743" s="1">
        <v>4</v>
      </c>
      <c r="L743" s="1">
        <v>1</v>
      </c>
      <c r="M743" s="4">
        <v>3220</v>
      </c>
      <c r="N743" s="1">
        <v>4308</v>
      </c>
      <c r="O743" s="1">
        <v>8842</v>
      </c>
      <c r="P743" s="1">
        <v>4534</v>
      </c>
      <c r="Q743" s="1" t="s">
        <v>42</v>
      </c>
      <c r="S743" s="1" t="s">
        <v>42</v>
      </c>
      <c r="T743" s="1" t="s">
        <v>170</v>
      </c>
      <c r="U743" s="1">
        <v>5</v>
      </c>
      <c r="V743" s="5">
        <v>43694</v>
      </c>
      <c r="W743" s="5">
        <v>43584</v>
      </c>
      <c r="X743" s="1">
        <v>7950000</v>
      </c>
      <c r="Y743" s="1">
        <v>7950000</v>
      </c>
      <c r="Z743" s="5">
        <v>43589</v>
      </c>
      <c r="AA743" s="1">
        <v>7095060</v>
      </c>
      <c r="AB743" s="1" t="s">
        <v>547</v>
      </c>
      <c r="AC743" s="5">
        <v>43634</v>
      </c>
      <c r="AF743" s="1">
        <v>10007</v>
      </c>
      <c r="AI743" s="1" t="s">
        <v>88</v>
      </c>
      <c r="AJ743" s="1">
        <v>1930</v>
      </c>
      <c r="AK743" s="1" t="s">
        <v>73</v>
      </c>
      <c r="AL743" s="1">
        <v>156</v>
      </c>
    </row>
    <row r="744" spans="1:38" x14ac:dyDescent="0.2">
      <c r="A744" s="2" t="str">
        <f>HYPERLINK("https://www.compass.com/listing/100-barclay-street-unit-20a-manhattan-ny-10007/29513632714897073/","100 Barclay St, Unit 20A")</f>
        <v>100 Barclay St, Unit 20A</v>
      </c>
      <c r="B744" s="2" t="str">
        <f t="shared" si="136"/>
        <v>100 Barclay</v>
      </c>
      <c r="C744" s="1" t="s">
        <v>40</v>
      </c>
      <c r="D744" s="1" t="s">
        <v>41</v>
      </c>
      <c r="E744" s="3">
        <v>8134238</v>
      </c>
      <c r="F744" s="1">
        <v>2050.4759263927399</v>
      </c>
      <c r="G744" s="1">
        <v>9</v>
      </c>
      <c r="H744" s="1">
        <v>4</v>
      </c>
      <c r="I744" s="1">
        <v>4</v>
      </c>
      <c r="J744" s="1">
        <v>4.5</v>
      </c>
      <c r="K744" s="1">
        <v>4</v>
      </c>
      <c r="L744" s="1">
        <v>1</v>
      </c>
      <c r="M744" s="4">
        <v>3967</v>
      </c>
      <c r="N744" s="1">
        <v>4904</v>
      </c>
      <c r="O744" s="1">
        <v>10231</v>
      </c>
      <c r="P744" s="1">
        <v>5327</v>
      </c>
      <c r="Q744" s="1" t="s">
        <v>42</v>
      </c>
      <c r="S744" s="1" t="s">
        <v>42</v>
      </c>
      <c r="T744" s="1" t="s">
        <v>170</v>
      </c>
      <c r="U744" s="1">
        <v>129</v>
      </c>
      <c r="V744" s="5">
        <v>43630</v>
      </c>
      <c r="W744" s="5">
        <v>42907</v>
      </c>
      <c r="X744" s="1">
        <v>10000000</v>
      </c>
      <c r="Y744" s="1">
        <v>10000000</v>
      </c>
      <c r="Z744" s="5">
        <v>43133</v>
      </c>
      <c r="AA744" s="1">
        <v>8134238</v>
      </c>
      <c r="AB744" s="1" t="s">
        <v>548</v>
      </c>
      <c r="AC744" s="5">
        <v>43325</v>
      </c>
      <c r="AF744" s="1">
        <v>10007</v>
      </c>
      <c r="AI744" s="1" t="s">
        <v>45</v>
      </c>
      <c r="AJ744" s="1">
        <v>1930</v>
      </c>
      <c r="AK744" s="1" t="s">
        <v>73</v>
      </c>
      <c r="AL744" s="1">
        <v>156</v>
      </c>
    </row>
    <row r="745" spans="1:38" x14ac:dyDescent="0.2">
      <c r="A745" s="2" t="str">
        <f>HYPERLINK("https://www.compass.com/listing/100-barclay-street-unit-19a-manhattan-ny-10007/4852265626166628849/","100 Barclay St, Unit 19A")</f>
        <v>100 Barclay St, Unit 19A</v>
      </c>
      <c r="B745" s="2" t="str">
        <f t="shared" si="136"/>
        <v>100 Barclay</v>
      </c>
      <c r="C745" s="1" t="s">
        <v>40</v>
      </c>
      <c r="D745" s="1" t="s">
        <v>41</v>
      </c>
      <c r="E745" s="3">
        <v>8807863</v>
      </c>
      <c r="F745" s="1">
        <v>2220.2830854550002</v>
      </c>
      <c r="G745" s="1">
        <v>9</v>
      </c>
      <c r="H745" s="1">
        <v>4</v>
      </c>
      <c r="I745" s="1">
        <v>4</v>
      </c>
      <c r="J745" s="1">
        <v>4.5</v>
      </c>
      <c r="K745" s="1">
        <v>4</v>
      </c>
      <c r="L745" s="1">
        <v>1</v>
      </c>
      <c r="M745" s="4">
        <v>3967</v>
      </c>
      <c r="N745" s="1">
        <v>5363</v>
      </c>
      <c r="O745" s="1">
        <v>10492</v>
      </c>
      <c r="P745" s="1">
        <v>5129</v>
      </c>
      <c r="Q745" s="1" t="s">
        <v>42</v>
      </c>
      <c r="S745" s="1" t="s">
        <v>42</v>
      </c>
      <c r="T745" s="1" t="s">
        <v>170</v>
      </c>
      <c r="U745" s="1">
        <v>79</v>
      </c>
      <c r="V745" s="5">
        <v>43623</v>
      </c>
      <c r="W745" s="5">
        <v>42679</v>
      </c>
      <c r="X745" s="1">
        <v>9985000</v>
      </c>
      <c r="Y745" s="1">
        <v>9985000</v>
      </c>
      <c r="Z745" s="5">
        <v>42758</v>
      </c>
      <c r="AA745" s="1">
        <v>8807863</v>
      </c>
      <c r="AB745" s="1" t="s">
        <v>549</v>
      </c>
      <c r="AC745" s="5">
        <v>42812</v>
      </c>
      <c r="AF745" s="1">
        <v>10007</v>
      </c>
      <c r="AI745" s="1" t="s">
        <v>432</v>
      </c>
      <c r="AJ745" s="1">
        <v>1930</v>
      </c>
      <c r="AK745" s="1" t="s">
        <v>73</v>
      </c>
      <c r="AL745" s="1">
        <v>156</v>
      </c>
    </row>
    <row r="746" spans="1:38" x14ac:dyDescent="0.2">
      <c r="A746" s="2" t="str">
        <f>HYPERLINK("https://www.compass.com/listing/30-park-place-unit-70b-manhattan-ny-10007/29357590907460289/","30 Park Pl, Unit 70B")</f>
        <v>30 Park Pl, Unit 70B</v>
      </c>
      <c r="B746" s="2" t="str">
        <f>HYPERLINK("https://www.compass.com/building/30-park-pl-manhattan-ny-10007/281896912905317605/","30 Park Pl")</f>
        <v>30 Park Pl</v>
      </c>
      <c r="C746" s="1" t="s">
        <v>40</v>
      </c>
      <c r="D746" s="1" t="s">
        <v>41</v>
      </c>
      <c r="E746" s="3">
        <v>8563500</v>
      </c>
      <c r="F746" s="1">
        <v>3254.8460661345498</v>
      </c>
      <c r="G746" s="1">
        <v>5.5</v>
      </c>
      <c r="H746" s="1">
        <v>3</v>
      </c>
      <c r="I746" s="1">
        <v>3</v>
      </c>
      <c r="J746" s="1">
        <v>3.5</v>
      </c>
      <c r="K746" s="1">
        <v>3</v>
      </c>
      <c r="L746" s="1">
        <v>1</v>
      </c>
      <c r="M746" s="4">
        <v>2631</v>
      </c>
      <c r="N746" s="1">
        <v>2196</v>
      </c>
      <c r="O746" s="1">
        <v>7793</v>
      </c>
      <c r="P746" s="1">
        <v>5597</v>
      </c>
      <c r="Q746" s="1" t="s">
        <v>42</v>
      </c>
      <c r="S746" s="1" t="s">
        <v>42</v>
      </c>
      <c r="T746" s="1" t="s">
        <v>170</v>
      </c>
      <c r="U746" s="1">
        <v>4</v>
      </c>
      <c r="V746" s="5">
        <v>43662</v>
      </c>
      <c r="W746" s="5">
        <v>42455</v>
      </c>
      <c r="X746" s="1">
        <v>8650000</v>
      </c>
      <c r="Y746" s="1">
        <v>8563500</v>
      </c>
      <c r="Z746" s="5">
        <v>42459</v>
      </c>
      <c r="AA746" s="1">
        <v>8563500</v>
      </c>
      <c r="AB746" s="1" t="s">
        <v>550</v>
      </c>
      <c r="AC746" s="5">
        <v>42877</v>
      </c>
      <c r="AF746" s="1">
        <v>10007</v>
      </c>
      <c r="AJ746" s="1">
        <v>2016</v>
      </c>
      <c r="AK746" s="1" t="s">
        <v>73</v>
      </c>
      <c r="AL746" s="1">
        <v>157</v>
      </c>
    </row>
    <row r="747" spans="1:38" x14ac:dyDescent="0.2">
      <c r="A747" s="2" t="str">
        <f>HYPERLINK("https://www.compass.com/listing/121-east-22nd-street-unit-n309-manhattan-ny-10010/165104141658562097/","121 E 22nd St, Unit N309")</f>
        <v>121 E 22nd St, Unit N309</v>
      </c>
      <c r="B747" s="2" t="str">
        <f>HYPERLINK("https://www.compass.com/building/121-e-22nd-manhattan-ny/292795784653461493/","121 E 22nd")</f>
        <v>121 E 22nd</v>
      </c>
      <c r="C747" s="1" t="s">
        <v>54</v>
      </c>
      <c r="D747" s="1" t="s">
        <v>41</v>
      </c>
      <c r="E747" s="3">
        <v>2510000</v>
      </c>
      <c r="F747" s="1">
        <v>1790.2995720399399</v>
      </c>
      <c r="G747" s="1">
        <v>4</v>
      </c>
      <c r="H747" s="1">
        <v>2</v>
      </c>
      <c r="I747" s="1">
        <v>2</v>
      </c>
      <c r="J747" s="1">
        <v>2</v>
      </c>
      <c r="K747" s="1">
        <v>2</v>
      </c>
      <c r="M747" s="4">
        <v>1402</v>
      </c>
      <c r="N747" s="1">
        <v>1530</v>
      </c>
      <c r="O747" s="1">
        <v>4249</v>
      </c>
      <c r="P747" s="1">
        <v>2719</v>
      </c>
      <c r="Q747" s="1" t="s">
        <v>42</v>
      </c>
      <c r="S747" s="1" t="s">
        <v>42</v>
      </c>
      <c r="T747" s="1" t="s">
        <v>170</v>
      </c>
      <c r="U747" s="1">
        <v>78</v>
      </c>
      <c r="V747" s="5">
        <v>44057</v>
      </c>
      <c r="W747" s="5">
        <v>43480</v>
      </c>
      <c r="X747" s="1">
        <v>2860000</v>
      </c>
      <c r="Y747" s="1">
        <v>2510000</v>
      </c>
      <c r="Z747" s="5">
        <v>43558</v>
      </c>
      <c r="AA747" s="1">
        <v>2510000</v>
      </c>
      <c r="AB747" s="1" t="s">
        <v>551</v>
      </c>
      <c r="AC747" s="5">
        <v>43587</v>
      </c>
      <c r="AF747" s="1">
        <v>10010</v>
      </c>
      <c r="AI747" s="1" t="s">
        <v>75</v>
      </c>
      <c r="AJ747" s="1">
        <v>2016</v>
      </c>
      <c r="AK747" s="1" t="s">
        <v>73</v>
      </c>
      <c r="AL747" s="1">
        <v>140</v>
      </c>
    </row>
    <row r="748" spans="1:38" x14ac:dyDescent="0.2">
      <c r="A748" s="2" t="str">
        <f>HYPERLINK("https://www.compass.com/listing/100-barclay-street-unit-15r-manhattan-ny-10007/4852308770379803169/","100 Barclay St, Unit 15R")</f>
        <v>100 Barclay St, Unit 15R</v>
      </c>
      <c r="B748" s="2" t="str">
        <f t="shared" ref="B748:B751" si="137">HYPERLINK("https://www.compass.com/building/100-barclay-manhattan-ny/281896670466155525/","100 Barclay")</f>
        <v>100 Barclay</v>
      </c>
      <c r="C748" s="1" t="s">
        <v>40</v>
      </c>
      <c r="D748" s="1" t="s">
        <v>41</v>
      </c>
      <c r="E748" s="3">
        <v>4582125</v>
      </c>
      <c r="F748" s="1">
        <v>2071.4850813743201</v>
      </c>
      <c r="G748" s="1">
        <v>7</v>
      </c>
      <c r="H748" s="1">
        <v>3</v>
      </c>
      <c r="I748" s="1">
        <v>3</v>
      </c>
      <c r="J748" s="1">
        <v>3</v>
      </c>
      <c r="M748" s="4">
        <v>2212</v>
      </c>
      <c r="N748" s="1">
        <v>2838</v>
      </c>
      <c r="O748" s="1">
        <v>5552</v>
      </c>
      <c r="P748" s="1">
        <v>2714</v>
      </c>
      <c r="Q748" s="1" t="s">
        <v>42</v>
      </c>
      <c r="S748" s="1" t="s">
        <v>42</v>
      </c>
      <c r="T748" s="1" t="s">
        <v>170</v>
      </c>
      <c r="V748" s="5">
        <v>43623</v>
      </c>
      <c r="W748" s="5">
        <v>42454</v>
      </c>
      <c r="X748" s="1">
        <v>4955500</v>
      </c>
      <c r="Y748" s="1">
        <v>4955500</v>
      </c>
      <c r="Z748" s="5">
        <v>42454</v>
      </c>
      <c r="AA748" s="1">
        <v>4582125</v>
      </c>
      <c r="AB748" s="1" t="s">
        <v>552</v>
      </c>
      <c r="AC748" s="5">
        <v>42676</v>
      </c>
      <c r="AF748" s="1">
        <v>10007</v>
      </c>
      <c r="AI748" s="1" t="s">
        <v>45</v>
      </c>
      <c r="AJ748" s="1">
        <v>1930</v>
      </c>
      <c r="AK748" s="1" t="s">
        <v>73</v>
      </c>
      <c r="AL748" s="1">
        <v>156</v>
      </c>
    </row>
    <row r="749" spans="1:38" x14ac:dyDescent="0.2">
      <c r="A749" s="2" t="str">
        <f>HYPERLINK("https://www.compass.com/listing/100-barclay-street-unit-15d-manhattan-ny-10007/4852308804093621009/","100 Barclay St, Unit 15D")</f>
        <v>100 Barclay St, Unit 15D</v>
      </c>
      <c r="B749" s="2" t="str">
        <f t="shared" si="137"/>
        <v>100 Barclay</v>
      </c>
      <c r="C749" s="1" t="s">
        <v>40</v>
      </c>
      <c r="D749" s="1" t="s">
        <v>41</v>
      </c>
      <c r="E749" s="3">
        <v>6335552</v>
      </c>
      <c r="F749" s="1">
        <v>2036.5001607200199</v>
      </c>
      <c r="G749" s="1">
        <v>9</v>
      </c>
      <c r="H749" s="1">
        <v>4</v>
      </c>
      <c r="I749" s="1">
        <v>5</v>
      </c>
      <c r="J749" s="1">
        <v>5</v>
      </c>
      <c r="M749" s="4">
        <v>3111</v>
      </c>
      <c r="N749" s="1">
        <v>3889</v>
      </c>
      <c r="O749" s="1">
        <v>7704</v>
      </c>
      <c r="P749" s="1">
        <v>3815</v>
      </c>
      <c r="Q749" s="1" t="s">
        <v>42</v>
      </c>
      <c r="S749" s="1" t="s">
        <v>42</v>
      </c>
      <c r="T749" s="1" t="s">
        <v>170</v>
      </c>
      <c r="U749" s="1">
        <v>83</v>
      </c>
      <c r="V749" s="5">
        <v>43664</v>
      </c>
      <c r="W749" s="5">
        <v>42120</v>
      </c>
      <c r="X749" s="1">
        <v>6493000</v>
      </c>
      <c r="Y749" s="1">
        <v>6493000</v>
      </c>
      <c r="Z749" s="5">
        <v>42241</v>
      </c>
      <c r="AA749" s="1">
        <v>6335552</v>
      </c>
      <c r="AB749" s="1" t="s">
        <v>553</v>
      </c>
      <c r="AC749" s="5">
        <v>42690</v>
      </c>
      <c r="AF749" s="1">
        <v>10007</v>
      </c>
      <c r="AI749" s="1" t="s">
        <v>45</v>
      </c>
      <c r="AJ749" s="1">
        <v>1930</v>
      </c>
      <c r="AK749" s="1" t="s">
        <v>73</v>
      </c>
      <c r="AL749" s="1">
        <v>156</v>
      </c>
    </row>
    <row r="750" spans="1:38" x14ac:dyDescent="0.2">
      <c r="A750" s="2" t="str">
        <f>HYPERLINK("https://www.compass.com/listing/100-barclay-street-unit-13d-manhattan-ny-10007/557276531624758241/","100 Barclay St, Unit 13D")</f>
        <v>100 Barclay St, Unit 13D</v>
      </c>
      <c r="B750" s="2" t="str">
        <f t="shared" si="137"/>
        <v>100 Barclay</v>
      </c>
      <c r="C750" s="1" t="s">
        <v>40</v>
      </c>
      <c r="D750" s="1" t="s">
        <v>41</v>
      </c>
      <c r="E750" s="3">
        <v>2610000</v>
      </c>
      <c r="F750" s="1">
        <v>1643.5768261964699</v>
      </c>
      <c r="G750" s="1">
        <v>5</v>
      </c>
      <c r="H750" s="1">
        <v>2</v>
      </c>
      <c r="I750" s="1">
        <v>3</v>
      </c>
      <c r="J750" s="1">
        <v>2.5</v>
      </c>
      <c r="K750" s="1">
        <v>2</v>
      </c>
      <c r="L750" s="1">
        <v>1</v>
      </c>
      <c r="M750" s="4">
        <v>1588</v>
      </c>
      <c r="N750" s="1">
        <v>2527</v>
      </c>
      <c r="O750" s="1">
        <v>4642</v>
      </c>
      <c r="P750" s="1">
        <v>2115</v>
      </c>
      <c r="Q750" s="1" t="s">
        <v>438</v>
      </c>
      <c r="S750" s="1" t="s">
        <v>438</v>
      </c>
      <c r="T750" s="1" t="s">
        <v>170</v>
      </c>
      <c r="U750" s="1">
        <v>335</v>
      </c>
      <c r="V750" s="5">
        <v>44369</v>
      </c>
      <c r="W750" s="5">
        <v>44019</v>
      </c>
      <c r="X750" s="1">
        <v>3150000</v>
      </c>
      <c r="Y750" s="1">
        <v>3150000</v>
      </c>
      <c r="AA750" s="1">
        <v>2610000</v>
      </c>
      <c r="AB750" s="1" t="s">
        <v>176</v>
      </c>
      <c r="AC750" s="5">
        <v>44354</v>
      </c>
      <c r="AF750" s="1">
        <v>10007</v>
      </c>
      <c r="AI750" s="1" t="s">
        <v>45</v>
      </c>
      <c r="AJ750" s="1">
        <v>1930</v>
      </c>
      <c r="AK750" s="1" t="s">
        <v>46</v>
      </c>
      <c r="AL750" s="1">
        <v>156</v>
      </c>
    </row>
    <row r="751" spans="1:38" x14ac:dyDescent="0.2">
      <c r="A751" s="2" t="str">
        <f>HYPERLINK("https://www.compass.com/listing/100-barclay-street-unit-12d-manhattan-ny-10007/50866895590625825/","100 Barclay St, Unit 12D")</f>
        <v>100 Barclay St, Unit 12D</v>
      </c>
      <c r="B751" s="2" t="str">
        <f t="shared" si="137"/>
        <v>100 Barclay</v>
      </c>
      <c r="C751" s="1" t="s">
        <v>40</v>
      </c>
      <c r="D751" s="1" t="s">
        <v>41</v>
      </c>
      <c r="E751" s="3">
        <v>2514059</v>
      </c>
      <c r="F751" s="1">
        <v>1839.10680321872</v>
      </c>
      <c r="G751" s="1">
        <v>4</v>
      </c>
      <c r="H751" s="1">
        <v>2</v>
      </c>
      <c r="I751" s="1">
        <v>2</v>
      </c>
      <c r="J751" s="1">
        <v>2</v>
      </c>
      <c r="K751" s="1">
        <v>2</v>
      </c>
      <c r="M751" s="4">
        <v>1367</v>
      </c>
      <c r="N751" s="1">
        <v>1754</v>
      </c>
      <c r="O751" s="1">
        <v>3431</v>
      </c>
      <c r="P751" s="1">
        <v>1677</v>
      </c>
      <c r="Q751" s="1" t="s">
        <v>438</v>
      </c>
      <c r="S751" s="1" t="s">
        <v>438</v>
      </c>
      <c r="T751" s="1" t="s">
        <v>170</v>
      </c>
      <c r="V751" s="5">
        <v>44362</v>
      </c>
      <c r="W751" s="5">
        <v>42477</v>
      </c>
      <c r="X751" s="1">
        <v>2550000</v>
      </c>
      <c r="Y751" s="1">
        <v>2550000</v>
      </c>
      <c r="Z751" s="5">
        <v>42477</v>
      </c>
      <c r="AA751" s="1">
        <v>2514059</v>
      </c>
      <c r="AB751" s="1" t="s">
        <v>554</v>
      </c>
      <c r="AC751" s="5">
        <v>42753</v>
      </c>
      <c r="AF751" s="1">
        <v>10007</v>
      </c>
      <c r="AI751" s="1" t="s">
        <v>45</v>
      </c>
      <c r="AJ751" s="1">
        <v>1930</v>
      </c>
      <c r="AK751" s="1" t="s">
        <v>73</v>
      </c>
      <c r="AL751" s="1">
        <v>156</v>
      </c>
    </row>
    <row r="752" spans="1:38" x14ac:dyDescent="0.2">
      <c r="A752" s="2" t="str">
        <f>HYPERLINK("https://www.compass.com/listing/30-park-place-unit-74abc-manhattan-ny-10007/4389331804426129/","30 Park Pl, Unit 74ABC")</f>
        <v>30 Park Pl, Unit 74ABC</v>
      </c>
      <c r="B752" s="2" t="str">
        <f>HYPERLINK("https://www.compass.com/building/30-park-pl-manhattan-ny-10007/281896912905317605/","30 Park Pl")</f>
        <v>30 Park Pl</v>
      </c>
      <c r="C752" s="1" t="s">
        <v>40</v>
      </c>
      <c r="D752" s="1" t="s">
        <v>41</v>
      </c>
      <c r="E752" s="3">
        <v>26642995</v>
      </c>
      <c r="F752" s="1">
        <v>3283.9880463453701</v>
      </c>
      <c r="G752" s="1">
        <v>19.5</v>
      </c>
      <c r="H752" s="1">
        <v>10</v>
      </c>
      <c r="I752" s="1">
        <v>11</v>
      </c>
      <c r="J752" s="1">
        <v>11.5</v>
      </c>
      <c r="K752" s="1">
        <v>11</v>
      </c>
      <c r="L752" s="1">
        <v>1</v>
      </c>
      <c r="M752" s="4">
        <v>8113</v>
      </c>
      <c r="N752" s="1">
        <v>6884</v>
      </c>
      <c r="O752" s="1">
        <v>24432</v>
      </c>
      <c r="P752" s="1">
        <v>17548</v>
      </c>
      <c r="Q752" s="1" t="s">
        <v>42</v>
      </c>
      <c r="S752" s="1" t="s">
        <v>42</v>
      </c>
      <c r="T752" s="1" t="s">
        <v>170</v>
      </c>
      <c r="V752" s="5">
        <v>43642</v>
      </c>
      <c r="W752" s="5">
        <v>43132</v>
      </c>
      <c r="X752" s="1">
        <v>26165475</v>
      </c>
      <c r="Y752" s="1">
        <v>26165475</v>
      </c>
      <c r="Z752" s="5">
        <v>43132</v>
      </c>
      <c r="AA752" s="1">
        <v>26642995.02</v>
      </c>
      <c r="AB752" s="1" t="s">
        <v>555</v>
      </c>
      <c r="AC752" s="5">
        <v>43214</v>
      </c>
      <c r="AF752" s="1">
        <v>10007</v>
      </c>
      <c r="AI752" s="1" t="s">
        <v>142</v>
      </c>
      <c r="AJ752" s="1">
        <v>2016</v>
      </c>
      <c r="AK752" s="1" t="s">
        <v>73</v>
      </c>
      <c r="AL752" s="1">
        <v>157</v>
      </c>
    </row>
    <row r="753" spans="1:38" x14ac:dyDescent="0.2">
      <c r="A753" s="2" t="str">
        <f>HYPERLINK("https://www.compass.com/listing/100-barclay-street-unit-15h-manhattan-ny-10007/801630091637649665/","100 Barclay St, Unit 15H")</f>
        <v>100 Barclay St, Unit 15H</v>
      </c>
      <c r="B753" s="2" t="str">
        <f t="shared" ref="B753:B757" si="138">HYPERLINK("https://www.compass.com/building/100-barclay-manhattan-ny/281896670466155525/","100 Barclay")</f>
        <v>100 Barclay</v>
      </c>
      <c r="C753" s="1" t="s">
        <v>40</v>
      </c>
      <c r="D753" s="1" t="s">
        <v>41</v>
      </c>
      <c r="E753" s="3">
        <v>3103626</v>
      </c>
      <c r="F753" s="1">
        <v>1744.59021922428</v>
      </c>
      <c r="G753" s="1">
        <v>7</v>
      </c>
      <c r="H753" s="1">
        <v>2</v>
      </c>
      <c r="I753" s="1">
        <v>3</v>
      </c>
      <c r="J753" s="1">
        <v>3</v>
      </c>
      <c r="K753" s="1">
        <v>3</v>
      </c>
      <c r="M753" s="4">
        <v>1779</v>
      </c>
      <c r="N753" s="1">
        <v>2283</v>
      </c>
      <c r="O753" s="1">
        <v>4466</v>
      </c>
      <c r="P753" s="1">
        <v>2183</v>
      </c>
      <c r="Q753" s="1" t="s">
        <v>438</v>
      </c>
      <c r="S753" s="1" t="s">
        <v>438</v>
      </c>
      <c r="T753" s="1" t="s">
        <v>170</v>
      </c>
      <c r="V753" s="5">
        <v>44384</v>
      </c>
      <c r="W753" s="5">
        <v>42475</v>
      </c>
      <c r="X753" s="1">
        <v>3150000</v>
      </c>
      <c r="Y753" s="1">
        <v>3150000</v>
      </c>
      <c r="Z753" s="5">
        <v>42476</v>
      </c>
      <c r="AA753" s="1">
        <v>3103626</v>
      </c>
      <c r="AB753" s="1" t="s">
        <v>177</v>
      </c>
      <c r="AC753" s="5">
        <v>42773</v>
      </c>
      <c r="AF753" s="1">
        <v>10007</v>
      </c>
      <c r="AI753" s="1" t="s">
        <v>45</v>
      </c>
      <c r="AJ753" s="1">
        <v>1930</v>
      </c>
      <c r="AK753" s="1" t="s">
        <v>46</v>
      </c>
      <c r="AL753" s="1">
        <v>156</v>
      </c>
    </row>
    <row r="754" spans="1:38" x14ac:dyDescent="0.2">
      <c r="A754" s="2" t="str">
        <f>HYPERLINK("https://www.compass.com/listing/100-barclay-street-unit-13d-manhattan-ny-10007/4852270770606316577/","100 Barclay St, Unit 13D")</f>
        <v>100 Barclay St, Unit 13D</v>
      </c>
      <c r="B754" s="2" t="str">
        <f t="shared" si="138"/>
        <v>100 Barclay</v>
      </c>
      <c r="C754" s="1" t="s">
        <v>40</v>
      </c>
      <c r="D754" s="1" t="s">
        <v>41</v>
      </c>
      <c r="E754" s="3">
        <v>3139265</v>
      </c>
      <c r="F754" s="1">
        <v>1976.86712846347</v>
      </c>
      <c r="G754" s="1">
        <v>4</v>
      </c>
      <c r="H754" s="1">
        <v>2</v>
      </c>
      <c r="I754" s="1">
        <v>3</v>
      </c>
      <c r="J754" s="1">
        <v>2.5</v>
      </c>
      <c r="K754" s="1">
        <v>2</v>
      </c>
      <c r="L754" s="1">
        <v>1</v>
      </c>
      <c r="M754" s="4">
        <v>1588</v>
      </c>
      <c r="N754" s="1">
        <v>1983</v>
      </c>
      <c r="O754" s="1">
        <v>3928</v>
      </c>
      <c r="P754" s="1">
        <v>1945</v>
      </c>
      <c r="Q754" s="1" t="s">
        <v>438</v>
      </c>
      <c r="S754" s="1" t="s">
        <v>438</v>
      </c>
      <c r="T754" s="1" t="s">
        <v>170</v>
      </c>
      <c r="V754" s="5">
        <v>44359</v>
      </c>
      <c r="W754" s="5">
        <v>42152</v>
      </c>
      <c r="X754" s="1">
        <v>3176000</v>
      </c>
      <c r="Y754" s="1">
        <v>3176000</v>
      </c>
      <c r="Z754" s="5">
        <v>42152</v>
      </c>
      <c r="AA754" s="1">
        <v>3139265</v>
      </c>
      <c r="AB754" s="1" t="s">
        <v>556</v>
      </c>
      <c r="AC754" s="5">
        <v>42754</v>
      </c>
      <c r="AF754" s="1">
        <v>10007</v>
      </c>
      <c r="AI754" s="1" t="s">
        <v>303</v>
      </c>
      <c r="AJ754" s="1">
        <v>1930</v>
      </c>
      <c r="AK754" s="1" t="s">
        <v>73</v>
      </c>
      <c r="AL754" s="1">
        <v>156</v>
      </c>
    </row>
    <row r="755" spans="1:38" x14ac:dyDescent="0.2">
      <c r="A755" s="2" t="str">
        <f>HYPERLINK("https://www.compass.com/listing/100-barclay-street-unit-22d-manhattan-ny-10007/4852262774492894753/","100 Barclay St, Unit 22D")</f>
        <v>100 Barclay St, Unit 22D</v>
      </c>
      <c r="B755" s="2" t="str">
        <f t="shared" si="138"/>
        <v>100 Barclay</v>
      </c>
      <c r="C755" s="1" t="s">
        <v>40</v>
      </c>
      <c r="D755" s="1" t="s">
        <v>41</v>
      </c>
      <c r="E755" s="3">
        <v>5100000</v>
      </c>
      <c r="F755" s="1">
        <v>2181.35158254918</v>
      </c>
      <c r="G755" s="1">
        <v>7</v>
      </c>
      <c r="H755" s="1">
        <v>3</v>
      </c>
      <c r="I755" s="1">
        <v>4</v>
      </c>
      <c r="J755" s="1">
        <v>3.5</v>
      </c>
      <c r="M755" s="4">
        <v>2338</v>
      </c>
      <c r="N755" s="1">
        <v>3000</v>
      </c>
      <c r="O755" s="1">
        <v>5869</v>
      </c>
      <c r="P755" s="1">
        <v>2869</v>
      </c>
      <c r="Q755" s="1" t="s">
        <v>42</v>
      </c>
      <c r="S755" s="1" t="s">
        <v>42</v>
      </c>
      <c r="T755" s="1" t="s">
        <v>170</v>
      </c>
      <c r="U755" s="1">
        <v>453</v>
      </c>
      <c r="V755" s="5">
        <v>42810</v>
      </c>
      <c r="W755" s="5">
        <v>42033</v>
      </c>
      <c r="X755" s="1">
        <v>5200000</v>
      </c>
      <c r="Y755" s="1">
        <v>5200000</v>
      </c>
      <c r="Z755" s="5">
        <v>42487</v>
      </c>
      <c r="AA755" s="1">
        <v>5100000</v>
      </c>
      <c r="AB755" s="1" t="s">
        <v>557</v>
      </c>
      <c r="AC755" s="5">
        <v>42536</v>
      </c>
      <c r="AF755" s="1">
        <v>10007</v>
      </c>
      <c r="AI755" s="1" t="s">
        <v>45</v>
      </c>
      <c r="AJ755" s="1">
        <v>1930</v>
      </c>
      <c r="AK755" s="1" t="s">
        <v>46</v>
      </c>
      <c r="AL755" s="1">
        <v>156</v>
      </c>
    </row>
    <row r="756" spans="1:38" x14ac:dyDescent="0.2">
      <c r="A756" s="2" t="str">
        <f>HYPERLINK("https://www.compass.com/listing/100-barclay-street-unit-26a-manhattan-ny-10007/44889321832008129/","100 Barclay St, Unit 26A")</f>
        <v>100 Barclay St, Unit 26A</v>
      </c>
      <c r="B756" s="2" t="str">
        <f t="shared" si="138"/>
        <v>100 Barclay</v>
      </c>
      <c r="C756" s="1" t="s">
        <v>40</v>
      </c>
      <c r="D756" s="1" t="s">
        <v>41</v>
      </c>
      <c r="E756" s="3">
        <v>6174000</v>
      </c>
      <c r="F756" s="1">
        <v>2075.2941176470499</v>
      </c>
      <c r="G756" s="1">
        <v>8</v>
      </c>
      <c r="H756" s="1">
        <v>4</v>
      </c>
      <c r="I756" s="1">
        <v>4</v>
      </c>
      <c r="J756" s="1">
        <v>4</v>
      </c>
      <c r="K756" s="1">
        <v>4</v>
      </c>
      <c r="M756" s="4">
        <v>2975</v>
      </c>
      <c r="N756" s="1">
        <v>3678</v>
      </c>
      <c r="O756" s="1">
        <v>7670</v>
      </c>
      <c r="P756" s="1">
        <v>3992</v>
      </c>
      <c r="Q756" s="1" t="s">
        <v>42</v>
      </c>
      <c r="S756" s="1" t="s">
        <v>42</v>
      </c>
      <c r="T756" s="1" t="s">
        <v>170</v>
      </c>
      <c r="U756" s="1">
        <v>1</v>
      </c>
      <c r="V756" s="5">
        <v>44417</v>
      </c>
      <c r="W756" s="5">
        <v>43860</v>
      </c>
      <c r="Y756" s="1">
        <v>6700000</v>
      </c>
      <c r="Z756" s="5">
        <v>43861</v>
      </c>
      <c r="AA756" s="1">
        <v>6174000</v>
      </c>
      <c r="AB756" s="1" t="s">
        <v>558</v>
      </c>
      <c r="AC756" s="5">
        <v>43949</v>
      </c>
      <c r="AF756" s="1">
        <v>10007</v>
      </c>
      <c r="AI756" s="1" t="s">
        <v>45</v>
      </c>
      <c r="AJ756" s="1">
        <v>1930</v>
      </c>
      <c r="AK756" s="1" t="s">
        <v>73</v>
      </c>
      <c r="AL756" s="1">
        <v>156</v>
      </c>
    </row>
    <row r="757" spans="1:38" x14ac:dyDescent="0.2">
      <c r="A757" s="2" t="str">
        <f>HYPERLINK("https://www.compass.com/listing/100-barclay-street-unit-29a-manhattan-ny-10007/4852279215099221425/","100 Barclay St, Unit 29A")</f>
        <v>100 Barclay St, Unit 29A</v>
      </c>
      <c r="B757" s="2" t="str">
        <f t="shared" si="138"/>
        <v>100 Barclay</v>
      </c>
      <c r="C757" s="1" t="s">
        <v>40</v>
      </c>
      <c r="D757" s="1" t="s">
        <v>41</v>
      </c>
      <c r="E757" s="3">
        <v>8604213</v>
      </c>
      <c r="F757" s="1">
        <v>2880.55339805825</v>
      </c>
      <c r="G757" s="1">
        <v>8</v>
      </c>
      <c r="H757" s="1">
        <v>3</v>
      </c>
      <c r="I757" s="1">
        <v>4</v>
      </c>
      <c r="J757" s="1">
        <v>4</v>
      </c>
      <c r="K757" s="1">
        <v>4</v>
      </c>
      <c r="M757" s="4">
        <v>2987</v>
      </c>
      <c r="N757" s="1">
        <v>3730</v>
      </c>
      <c r="O757" s="1">
        <v>7389</v>
      </c>
      <c r="P757" s="1">
        <v>3659</v>
      </c>
      <c r="Q757" s="1" t="s">
        <v>42</v>
      </c>
      <c r="S757" s="1" t="s">
        <v>42</v>
      </c>
      <c r="T757" s="1" t="s">
        <v>170</v>
      </c>
      <c r="V757" s="5">
        <v>44225</v>
      </c>
      <c r="W757" s="5">
        <v>42154</v>
      </c>
      <c r="X757" s="1">
        <v>8450000</v>
      </c>
      <c r="Y757" s="1">
        <v>8450000</v>
      </c>
      <c r="Z757" s="5">
        <v>42154</v>
      </c>
      <c r="AA757" s="1">
        <v>8604213</v>
      </c>
      <c r="AB757" s="1" t="s">
        <v>559</v>
      </c>
      <c r="AC757" s="5">
        <v>42500</v>
      </c>
      <c r="AF757" s="1">
        <v>10007</v>
      </c>
      <c r="AI757" s="1" t="s">
        <v>45</v>
      </c>
      <c r="AJ757" s="1">
        <v>1930</v>
      </c>
      <c r="AK757" s="1" t="s">
        <v>46</v>
      </c>
      <c r="AL757" s="1">
        <v>156</v>
      </c>
    </row>
    <row r="758" spans="1:38" x14ac:dyDescent="0.2">
      <c r="A758" s="2" t="str">
        <f>HYPERLINK("https://www.compass.com/listing/121-east-22nd-street-unit-n409-manhattan-ny-10010/221706889635858241/","121 E 22nd St, Unit N409")</f>
        <v>121 E 22nd St, Unit N409</v>
      </c>
      <c r="B758" s="2" t="str">
        <f t="shared" ref="B758:B759" si="139">HYPERLINK("https://www.compass.com/building/121-e-22nd-manhattan-ny/292795784653461493/","121 E 22nd")</f>
        <v>121 E 22nd</v>
      </c>
      <c r="C758" s="1" t="s">
        <v>54</v>
      </c>
      <c r="D758" s="1" t="s">
        <v>41</v>
      </c>
      <c r="E758" s="3">
        <v>2637267</v>
      </c>
      <c r="F758" s="1">
        <v>1881.0748930099801</v>
      </c>
      <c r="G758" s="1">
        <v>4</v>
      </c>
      <c r="H758" s="1">
        <v>2</v>
      </c>
      <c r="I758" s="1">
        <v>2</v>
      </c>
      <c r="J758" s="1">
        <v>2</v>
      </c>
      <c r="K758" s="1">
        <v>2</v>
      </c>
      <c r="M758" s="4">
        <v>1402</v>
      </c>
      <c r="N758" s="1">
        <v>1507</v>
      </c>
      <c r="O758" s="1">
        <v>4183</v>
      </c>
      <c r="P758" s="1">
        <v>2676</v>
      </c>
      <c r="Q758" s="1" t="s">
        <v>42</v>
      </c>
      <c r="S758" s="1" t="s">
        <v>42</v>
      </c>
      <c r="T758" s="1" t="s">
        <v>170</v>
      </c>
      <c r="U758" s="1">
        <v>34</v>
      </c>
      <c r="V758" s="5">
        <v>44334</v>
      </c>
      <c r="W758" s="5">
        <v>43558</v>
      </c>
      <c r="X758" s="1">
        <v>2590000</v>
      </c>
      <c r="Y758" s="1">
        <v>2590000</v>
      </c>
      <c r="Z758" s="5">
        <v>43592</v>
      </c>
      <c r="AA758" s="1">
        <v>2637267</v>
      </c>
      <c r="AB758" s="1" t="s">
        <v>560</v>
      </c>
      <c r="AC758" s="5">
        <v>43643</v>
      </c>
      <c r="AF758" s="1">
        <v>10010</v>
      </c>
      <c r="AI758" s="1" t="s">
        <v>91</v>
      </c>
      <c r="AJ758" s="1">
        <v>2016</v>
      </c>
      <c r="AK758" s="1" t="s">
        <v>73</v>
      </c>
      <c r="AL758" s="1">
        <v>140</v>
      </c>
    </row>
    <row r="759" spans="1:38" x14ac:dyDescent="0.2">
      <c r="A759" s="2" t="str">
        <f>HYPERLINK("https://www.compass.com/listing/121-east-22nd-street-unit-n206-manhattan-ny-10010/34697595846685905/","121 E 22nd St, Unit N206")</f>
        <v>121 E 22nd St, Unit N206</v>
      </c>
      <c r="B759" s="2" t="str">
        <f t="shared" si="139"/>
        <v>121 E 22nd</v>
      </c>
      <c r="C759" s="1" t="s">
        <v>54</v>
      </c>
      <c r="D759" s="1" t="s">
        <v>41</v>
      </c>
      <c r="E759" s="3">
        <v>2596538</v>
      </c>
      <c r="F759" s="1">
        <v>2008.1500386697601</v>
      </c>
      <c r="G759" s="1">
        <v>4</v>
      </c>
      <c r="H759" s="1">
        <v>2</v>
      </c>
      <c r="I759" s="1">
        <v>2</v>
      </c>
      <c r="J759" s="1">
        <v>2</v>
      </c>
      <c r="K759" s="1">
        <v>2</v>
      </c>
      <c r="M759" s="4">
        <v>1293</v>
      </c>
      <c r="N759" s="1">
        <v>1297</v>
      </c>
      <c r="O759" s="1">
        <v>3580</v>
      </c>
      <c r="P759" s="1">
        <v>2283</v>
      </c>
      <c r="Q759" s="1" t="s">
        <v>42</v>
      </c>
      <c r="S759" s="1" t="s">
        <v>42</v>
      </c>
      <c r="T759" s="1" t="s">
        <v>170</v>
      </c>
      <c r="V759" s="5">
        <v>44373</v>
      </c>
      <c r="W759" s="5">
        <v>43315</v>
      </c>
      <c r="X759" s="1">
        <v>2550000</v>
      </c>
      <c r="Y759" s="1">
        <v>2550000</v>
      </c>
      <c r="Z759" s="5">
        <v>43315</v>
      </c>
      <c r="AA759" s="1">
        <v>2596538</v>
      </c>
      <c r="AB759" s="1" t="s">
        <v>561</v>
      </c>
      <c r="AC759" s="5">
        <v>43550</v>
      </c>
      <c r="AF759" s="1">
        <v>10010</v>
      </c>
      <c r="AI759" s="1" t="s">
        <v>75</v>
      </c>
      <c r="AJ759" s="1">
        <v>2016</v>
      </c>
      <c r="AK759" s="1" t="s">
        <v>73</v>
      </c>
      <c r="AL759" s="1">
        <v>140</v>
      </c>
    </row>
    <row r="760" spans="1:38" x14ac:dyDescent="0.2">
      <c r="A760" s="2" t="str">
        <f>HYPERLINK("https://www.compass.com/listing/30-park-place-unit-ph78a-manhattan-ny-10007/29357596695694849/","30 Park Pl, Unit PH78A")</f>
        <v>30 Park Pl, Unit PH78A</v>
      </c>
      <c r="B760" s="2" t="str">
        <f>HYPERLINK("https://www.compass.com/building/30-park-pl-manhattan-ny-10007/281896912905317605/","30 Park Pl")</f>
        <v>30 Park Pl</v>
      </c>
      <c r="C760" s="1" t="s">
        <v>40</v>
      </c>
      <c r="D760" s="1" t="s">
        <v>41</v>
      </c>
      <c r="E760" s="3">
        <v>30000000</v>
      </c>
      <c r="F760" s="1">
        <v>4896.3603721233803</v>
      </c>
      <c r="G760" s="1">
        <v>10</v>
      </c>
      <c r="H760" s="1">
        <v>5</v>
      </c>
      <c r="I760" s="1">
        <v>6</v>
      </c>
      <c r="J760" s="1">
        <v>6.5</v>
      </c>
      <c r="K760" s="1">
        <v>6</v>
      </c>
      <c r="L760" s="1">
        <v>1</v>
      </c>
      <c r="M760" s="4">
        <v>6127</v>
      </c>
      <c r="N760" s="1">
        <v>5745</v>
      </c>
      <c r="O760" s="1">
        <v>20391</v>
      </c>
      <c r="P760" s="1">
        <v>14646</v>
      </c>
      <c r="Q760" s="1" t="s">
        <v>42</v>
      </c>
      <c r="S760" s="1" t="s">
        <v>42</v>
      </c>
      <c r="T760" s="1" t="s">
        <v>170</v>
      </c>
      <c r="U760" s="1">
        <v>363</v>
      </c>
      <c r="V760" s="5">
        <v>43662</v>
      </c>
      <c r="W760" s="5">
        <v>42440</v>
      </c>
      <c r="X760" s="1">
        <v>32500000</v>
      </c>
      <c r="Y760" s="1">
        <v>30000000</v>
      </c>
      <c r="Z760" s="5">
        <v>42803</v>
      </c>
      <c r="AA760" s="1">
        <v>30000000</v>
      </c>
      <c r="AB760" s="1" t="s">
        <v>562</v>
      </c>
      <c r="AC760" s="5">
        <v>42846</v>
      </c>
      <c r="AF760" s="1">
        <v>10007</v>
      </c>
      <c r="AI760" s="1" t="s">
        <v>258</v>
      </c>
      <c r="AJ760" s="1">
        <v>2016</v>
      </c>
      <c r="AK760" s="1" t="s">
        <v>73</v>
      </c>
      <c r="AL760" s="1">
        <v>157</v>
      </c>
    </row>
    <row r="761" spans="1:38" x14ac:dyDescent="0.2">
      <c r="A761" s="2" t="str">
        <f>HYPERLINK("https://www.compass.com/listing/100-barclay-street-unit-12j-manhattan-ny-10007/4852264068829946577/","100 Barclay St, Unit 12J")</f>
        <v>100 Barclay St, Unit 12J</v>
      </c>
      <c r="B761" s="2" t="str">
        <f t="shared" ref="B761:B765" si="140">HYPERLINK("https://www.compass.com/building/100-barclay-manhattan-ny/281896670466155525/","100 Barclay")</f>
        <v>100 Barclay</v>
      </c>
      <c r="C761" s="1" t="s">
        <v>40</v>
      </c>
      <c r="D761" s="1" t="s">
        <v>41</v>
      </c>
      <c r="E761" s="3">
        <v>1425550</v>
      </c>
      <c r="F761" s="1">
        <v>1352.5142314990501</v>
      </c>
      <c r="G761" s="1">
        <v>4</v>
      </c>
      <c r="H761" s="1">
        <v>1</v>
      </c>
      <c r="I761" s="1">
        <v>2</v>
      </c>
      <c r="J761" s="1">
        <v>1.5</v>
      </c>
      <c r="K761" s="1">
        <v>1</v>
      </c>
      <c r="L761" s="1">
        <v>1</v>
      </c>
      <c r="M761" s="4">
        <v>1054</v>
      </c>
      <c r="N761" s="1">
        <v>1352</v>
      </c>
      <c r="O761" s="1">
        <v>2645</v>
      </c>
      <c r="P761" s="1">
        <v>1293</v>
      </c>
      <c r="Q761" s="1" t="s">
        <v>438</v>
      </c>
      <c r="S761" s="1" t="s">
        <v>438</v>
      </c>
      <c r="T761" s="1" t="s">
        <v>170</v>
      </c>
      <c r="V761" s="5">
        <v>44338</v>
      </c>
      <c r="W761" s="5">
        <v>42477</v>
      </c>
      <c r="X761" s="1">
        <v>1502000</v>
      </c>
      <c r="Y761" s="1">
        <v>1502000</v>
      </c>
      <c r="Z761" s="5">
        <v>42477</v>
      </c>
      <c r="AA761" s="1">
        <v>1425550</v>
      </c>
      <c r="AB761" s="1" t="s">
        <v>563</v>
      </c>
      <c r="AC761" s="5">
        <v>42746</v>
      </c>
      <c r="AF761" s="1">
        <v>10007</v>
      </c>
      <c r="AI761" s="1" t="s">
        <v>45</v>
      </c>
      <c r="AJ761" s="1">
        <v>1930</v>
      </c>
      <c r="AK761" s="1" t="s">
        <v>73</v>
      </c>
      <c r="AL761" s="1">
        <v>156</v>
      </c>
    </row>
    <row r="762" spans="1:38" x14ac:dyDescent="0.2">
      <c r="A762" s="2" t="str">
        <f>HYPERLINK("https://www.compass.com/listing/100-barclay-street-unit-17p-manhattan-ny-10007/783177096342499593/","100 Barclay St, Unit 17P")</f>
        <v>100 Barclay St, Unit 17P</v>
      </c>
      <c r="B762" s="2" t="str">
        <f t="shared" si="140"/>
        <v>100 Barclay</v>
      </c>
      <c r="C762" s="1" t="s">
        <v>40</v>
      </c>
      <c r="D762" s="1" t="s">
        <v>41</v>
      </c>
      <c r="E762" s="3">
        <v>6180250</v>
      </c>
      <c r="F762" s="1">
        <v>2043.0578512396601</v>
      </c>
      <c r="G762" s="1">
        <v>6</v>
      </c>
      <c r="H762" s="1">
        <v>4</v>
      </c>
      <c r="I762" s="1">
        <v>5</v>
      </c>
      <c r="J762" s="1">
        <v>5</v>
      </c>
      <c r="K762" s="1">
        <v>5</v>
      </c>
      <c r="M762" s="4">
        <v>3025</v>
      </c>
      <c r="N762" s="1">
        <v>3881</v>
      </c>
      <c r="O762" s="1">
        <v>7593</v>
      </c>
      <c r="P762" s="1">
        <v>3712</v>
      </c>
      <c r="Q762" s="1" t="s">
        <v>42</v>
      </c>
      <c r="S762" s="1" t="s">
        <v>42</v>
      </c>
      <c r="T762" s="1" t="s">
        <v>170</v>
      </c>
      <c r="U762" s="1">
        <v>122</v>
      </c>
      <c r="V762" s="5">
        <v>42962</v>
      </c>
      <c r="W762" s="5">
        <v>42660</v>
      </c>
      <c r="X762" s="1">
        <v>6995000</v>
      </c>
      <c r="Y762" s="1">
        <v>6995000</v>
      </c>
      <c r="AA762" s="1">
        <v>6180250</v>
      </c>
      <c r="AB762" s="1" t="s">
        <v>564</v>
      </c>
      <c r="AC762" s="5">
        <v>43076</v>
      </c>
      <c r="AF762" s="1">
        <v>10007</v>
      </c>
      <c r="AI762" s="1" t="s">
        <v>45</v>
      </c>
      <c r="AJ762" s="1">
        <v>1930</v>
      </c>
      <c r="AK762" s="1" t="s">
        <v>73</v>
      </c>
      <c r="AL762" s="1">
        <v>156</v>
      </c>
    </row>
    <row r="763" spans="1:38" x14ac:dyDescent="0.2">
      <c r="A763" s="2" t="str">
        <f>HYPERLINK("https://www.compass.com/listing/100-barclay-street-unit-15h-manhattan-ny-10007/745741511123495905/","100 Barclay St, Unit 15H")</f>
        <v>100 Barclay St, Unit 15H</v>
      </c>
      <c r="B763" s="2" t="str">
        <f t="shared" si="140"/>
        <v>100 Barclay</v>
      </c>
      <c r="C763" s="1" t="s">
        <v>40</v>
      </c>
      <c r="D763" s="1" t="s">
        <v>41</v>
      </c>
      <c r="E763" s="3">
        <v>3150000</v>
      </c>
      <c r="F763" s="1">
        <v>1770.6576728499101</v>
      </c>
      <c r="G763" s="1">
        <v>4.5</v>
      </c>
      <c r="H763" s="1">
        <v>2</v>
      </c>
      <c r="I763" s="1">
        <v>3</v>
      </c>
      <c r="J763" s="1">
        <v>3</v>
      </c>
      <c r="K763" s="1">
        <v>3</v>
      </c>
      <c r="M763" s="4">
        <v>1779</v>
      </c>
      <c r="N763" s="1">
        <v>2856</v>
      </c>
      <c r="O763" s="1">
        <v>5404</v>
      </c>
      <c r="P763" s="1">
        <v>2548</v>
      </c>
      <c r="Q763" s="1" t="s">
        <v>438</v>
      </c>
      <c r="S763" s="1" t="s">
        <v>438</v>
      </c>
      <c r="T763" s="1" t="s">
        <v>170</v>
      </c>
      <c r="U763" s="1">
        <v>121</v>
      </c>
      <c r="V763" s="5">
        <v>44419</v>
      </c>
      <c r="W763" s="5">
        <v>44286</v>
      </c>
      <c r="X763" s="1">
        <v>3150000</v>
      </c>
      <c r="Y763" s="1">
        <v>3150000</v>
      </c>
      <c r="AA763" s="1">
        <v>3150000</v>
      </c>
      <c r="AB763" s="1" t="s">
        <v>181</v>
      </c>
      <c r="AC763" s="5">
        <v>44407</v>
      </c>
      <c r="AF763" s="1">
        <v>10007</v>
      </c>
      <c r="AI763" s="1" t="s">
        <v>45</v>
      </c>
      <c r="AJ763" s="1">
        <v>1930</v>
      </c>
      <c r="AK763" s="1" t="s">
        <v>46</v>
      </c>
      <c r="AL763" s="1">
        <v>156</v>
      </c>
    </row>
    <row r="764" spans="1:38" x14ac:dyDescent="0.2">
      <c r="A764" s="2" t="str">
        <f>HYPERLINK("https://www.compass.com/listing/100-barclay-street-unit-17l-manhattan-ny-10007/4852262079807096977/","100 Barclay St, Unit 17L")</f>
        <v>100 Barclay St, Unit 17L</v>
      </c>
      <c r="B764" s="2" t="str">
        <f t="shared" si="140"/>
        <v>100 Barclay</v>
      </c>
      <c r="C764" s="1" t="s">
        <v>40</v>
      </c>
      <c r="D764" s="1" t="s">
        <v>41</v>
      </c>
      <c r="E764" s="3">
        <v>4429387</v>
      </c>
      <c r="F764" s="1">
        <v>2146.0208333333298</v>
      </c>
      <c r="G764" s="1">
        <v>6</v>
      </c>
      <c r="H764" s="1">
        <v>3</v>
      </c>
      <c r="I764" s="1">
        <v>3</v>
      </c>
      <c r="J764" s="1">
        <v>3</v>
      </c>
      <c r="K764" s="1">
        <v>3</v>
      </c>
      <c r="M764" s="4">
        <v>2064</v>
      </c>
      <c r="N764" s="1">
        <v>2577</v>
      </c>
      <c r="O764" s="1">
        <v>5105</v>
      </c>
      <c r="P764" s="1">
        <v>2528</v>
      </c>
      <c r="Q764" s="1" t="s">
        <v>438</v>
      </c>
      <c r="S764" s="1" t="s">
        <v>438</v>
      </c>
      <c r="T764" s="1" t="s">
        <v>170</v>
      </c>
      <c r="V764" s="5">
        <v>44338</v>
      </c>
      <c r="W764" s="5">
        <v>42173</v>
      </c>
      <c r="X764" s="1">
        <v>4461000</v>
      </c>
      <c r="Y764" s="1">
        <v>4461000</v>
      </c>
      <c r="Z764" s="5">
        <v>42173</v>
      </c>
      <c r="AA764" s="1">
        <v>4429387</v>
      </c>
      <c r="AB764" s="1" t="s">
        <v>565</v>
      </c>
      <c r="AC764" s="5">
        <v>42650</v>
      </c>
      <c r="AF764" s="1">
        <v>10007</v>
      </c>
      <c r="AI764" s="1" t="s">
        <v>45</v>
      </c>
      <c r="AJ764" s="1">
        <v>1930</v>
      </c>
      <c r="AK764" s="1" t="s">
        <v>46</v>
      </c>
      <c r="AL764" s="1">
        <v>156</v>
      </c>
    </row>
    <row r="765" spans="1:38" x14ac:dyDescent="0.2">
      <c r="A765" s="2" t="str">
        <f>HYPERLINK("https://www.compass.com/listing/100-barclay-street-unit-phc-manhattan-ny-10007/761649639601196129/","100 Barclay St, Unit PHC")</f>
        <v>100 Barclay St, Unit PHC</v>
      </c>
      <c r="B765" s="2" t="str">
        <f t="shared" si="140"/>
        <v>100 Barclay</v>
      </c>
      <c r="C765" s="1" t="s">
        <v>40</v>
      </c>
      <c r="D765" s="1" t="s">
        <v>41</v>
      </c>
      <c r="E765" s="3">
        <v>12500000</v>
      </c>
      <c r="F765" s="1">
        <v>2938.4109073812801</v>
      </c>
      <c r="G765" s="1">
        <v>8</v>
      </c>
      <c r="H765" s="1">
        <v>4</v>
      </c>
      <c r="I765" s="1">
        <v>5</v>
      </c>
      <c r="J765" s="1">
        <v>4.5</v>
      </c>
      <c r="K765" s="1">
        <v>4</v>
      </c>
      <c r="L765" s="1">
        <v>1</v>
      </c>
      <c r="M765" s="4">
        <v>4254</v>
      </c>
      <c r="N765" s="1">
        <v>6389</v>
      </c>
      <c r="O765" s="1">
        <v>13409</v>
      </c>
      <c r="P765" s="1">
        <v>7020</v>
      </c>
      <c r="Q765" s="1" t="s">
        <v>42</v>
      </c>
      <c r="S765" s="1" t="s">
        <v>42</v>
      </c>
      <c r="T765" s="1" t="s">
        <v>170</v>
      </c>
      <c r="U765" s="1">
        <v>55</v>
      </c>
      <c r="V765" s="5">
        <v>44398</v>
      </c>
      <c r="W765" s="5">
        <v>44302</v>
      </c>
      <c r="X765" s="1">
        <v>12500000</v>
      </c>
      <c r="Y765" s="1">
        <v>12500000</v>
      </c>
      <c r="Z765" s="5">
        <v>44358</v>
      </c>
      <c r="AA765" s="1">
        <v>12500000</v>
      </c>
      <c r="AB765" s="1" t="s">
        <v>181</v>
      </c>
      <c r="AC765" s="5">
        <v>44390</v>
      </c>
      <c r="AF765" s="1">
        <v>10007</v>
      </c>
      <c r="AI765" s="1" t="s">
        <v>364</v>
      </c>
      <c r="AJ765" s="1">
        <v>1930</v>
      </c>
      <c r="AK765" s="1" t="s">
        <v>73</v>
      </c>
      <c r="AL765" s="1">
        <v>156</v>
      </c>
    </row>
    <row r="766" spans="1:38" x14ac:dyDescent="0.2">
      <c r="A766" s="2" t="str">
        <f>HYPERLINK("https://www.compass.com/listing/30-park-place-unit-ph77b-manhattan-ny-10007/29026660162533569/","30 Park Pl, Unit PH77B")</f>
        <v>30 Park Pl, Unit PH77B</v>
      </c>
      <c r="B766" s="2" t="str">
        <f>HYPERLINK("https://www.compass.com/building/30-park-pl-manhattan-ny-10007/281896912905317605/","30 Park Pl")</f>
        <v>30 Park Pl</v>
      </c>
      <c r="C766" s="1" t="s">
        <v>40</v>
      </c>
      <c r="D766" s="1" t="s">
        <v>41</v>
      </c>
      <c r="E766" s="3">
        <v>13750000</v>
      </c>
      <c r="F766" s="1">
        <v>4333.4383863851199</v>
      </c>
      <c r="G766" s="1">
        <v>6</v>
      </c>
      <c r="H766" s="1">
        <v>3</v>
      </c>
      <c r="I766" s="1">
        <v>5</v>
      </c>
      <c r="J766" s="1">
        <v>4.5</v>
      </c>
      <c r="K766" s="1">
        <v>4</v>
      </c>
      <c r="L766" s="1">
        <v>1</v>
      </c>
      <c r="M766" s="4">
        <v>3173</v>
      </c>
      <c r="N766" s="1">
        <v>2810</v>
      </c>
      <c r="O766" s="1">
        <v>10036</v>
      </c>
      <c r="P766" s="1">
        <v>7226</v>
      </c>
      <c r="Q766" s="1" t="s">
        <v>42</v>
      </c>
      <c r="S766" s="1" t="s">
        <v>42</v>
      </c>
      <c r="T766" s="1" t="s">
        <v>170</v>
      </c>
      <c r="U766" s="1">
        <v>1424</v>
      </c>
      <c r="V766" s="5">
        <v>43637</v>
      </c>
      <c r="W766" s="5">
        <v>42115</v>
      </c>
      <c r="X766" s="1">
        <v>18875000</v>
      </c>
      <c r="Y766" s="1">
        <v>16450000</v>
      </c>
      <c r="Z766" s="5">
        <v>43540</v>
      </c>
      <c r="AA766" s="1">
        <v>13750000</v>
      </c>
      <c r="AB766" s="1" t="s">
        <v>566</v>
      </c>
      <c r="AC766" s="5">
        <v>43600</v>
      </c>
      <c r="AF766" s="1">
        <v>10007</v>
      </c>
      <c r="AI766" s="1" t="s">
        <v>142</v>
      </c>
      <c r="AJ766" s="1">
        <v>2016</v>
      </c>
      <c r="AK766" s="1" t="s">
        <v>73</v>
      </c>
      <c r="AL766" s="1">
        <v>157</v>
      </c>
    </row>
    <row r="767" spans="1:38" x14ac:dyDescent="0.2">
      <c r="A767" s="2" t="str">
        <f>HYPERLINK("https://www.compass.com/listing/100-barclay-street-unit-22d-manhattan-ny-10007/803344638471325841/","100 Barclay St, Unit 22D")</f>
        <v>100 Barclay St, Unit 22D</v>
      </c>
      <c r="B767" s="2" t="str">
        <f t="shared" ref="B767:B773" si="141">HYPERLINK("https://www.compass.com/building/100-barclay-manhattan-ny/281896670466155525/","100 Barclay")</f>
        <v>100 Barclay</v>
      </c>
      <c r="C767" s="1" t="s">
        <v>40</v>
      </c>
      <c r="D767" s="1" t="s">
        <v>41</v>
      </c>
      <c r="E767" s="3">
        <v>5100000</v>
      </c>
      <c r="F767" s="1">
        <v>2181.35158254918</v>
      </c>
      <c r="G767" s="1">
        <v>7</v>
      </c>
      <c r="H767" s="1">
        <v>3</v>
      </c>
      <c r="I767" s="1">
        <v>3</v>
      </c>
      <c r="J767" s="1">
        <v>3</v>
      </c>
      <c r="K767" s="1">
        <v>3</v>
      </c>
      <c r="M767" s="4">
        <v>2338</v>
      </c>
      <c r="N767" s="1">
        <v>3000</v>
      </c>
      <c r="O767" s="1">
        <v>5869</v>
      </c>
      <c r="P767" s="1">
        <v>2869</v>
      </c>
      <c r="Q767" s="1" t="s">
        <v>42</v>
      </c>
      <c r="S767" s="1" t="s">
        <v>42</v>
      </c>
      <c r="T767" s="1" t="s">
        <v>170</v>
      </c>
      <c r="U767" s="1">
        <v>16</v>
      </c>
      <c r="V767" s="5">
        <v>42645</v>
      </c>
      <c r="W767" s="5">
        <v>42476</v>
      </c>
      <c r="X767" s="1">
        <v>5200000</v>
      </c>
      <c r="Y767" s="1">
        <v>5200000</v>
      </c>
      <c r="AA767" s="1">
        <v>5100000</v>
      </c>
      <c r="AB767" s="1" t="s">
        <v>557</v>
      </c>
      <c r="AC767" s="5">
        <v>42536</v>
      </c>
      <c r="AF767" s="1">
        <v>10007</v>
      </c>
      <c r="AI767" s="1" t="s">
        <v>45</v>
      </c>
      <c r="AJ767" s="1">
        <v>1930</v>
      </c>
      <c r="AK767" s="1" t="s">
        <v>73</v>
      </c>
      <c r="AL767" s="1">
        <v>156</v>
      </c>
    </row>
    <row r="768" spans="1:38" x14ac:dyDescent="0.2">
      <c r="A768" s="2" t="str">
        <f>HYPERLINK("https://www.compass.com/listing/100-barclay-street-unit-30d-manhattan-ny-10007/4852282018152585873/","100 Barclay St, Unit 30D")</f>
        <v>100 Barclay St, Unit 30D</v>
      </c>
      <c r="B768" s="2" t="str">
        <f t="shared" si="141"/>
        <v>100 Barclay</v>
      </c>
      <c r="C768" s="1" t="s">
        <v>40</v>
      </c>
      <c r="D768" s="1" t="s">
        <v>41</v>
      </c>
      <c r="E768" s="3">
        <v>5450000</v>
      </c>
      <c r="F768" s="1">
        <v>2362.37537928045</v>
      </c>
      <c r="G768" s="1">
        <v>6</v>
      </c>
      <c r="H768" s="1">
        <v>3</v>
      </c>
      <c r="I768" s="1">
        <v>3</v>
      </c>
      <c r="J768" s="1">
        <v>3.5</v>
      </c>
      <c r="K768" s="1">
        <v>3</v>
      </c>
      <c r="L768" s="1">
        <v>1</v>
      </c>
      <c r="M768" s="4">
        <v>2307</v>
      </c>
      <c r="N768" s="1">
        <v>2960</v>
      </c>
      <c r="O768" s="1">
        <v>5791</v>
      </c>
      <c r="P768" s="1">
        <v>2831</v>
      </c>
      <c r="Q768" s="1" t="s">
        <v>42</v>
      </c>
      <c r="S768" s="1" t="s">
        <v>42</v>
      </c>
      <c r="T768" s="1" t="s">
        <v>170</v>
      </c>
      <c r="U768" s="1">
        <v>27</v>
      </c>
      <c r="V768" s="5">
        <v>43623</v>
      </c>
      <c r="W768" s="5">
        <v>42739</v>
      </c>
      <c r="X768" s="1">
        <v>5550000</v>
      </c>
      <c r="Y768" s="1">
        <v>5550000</v>
      </c>
      <c r="Z768" s="5">
        <v>42766</v>
      </c>
      <c r="AA768" s="1">
        <v>5450000</v>
      </c>
      <c r="AB768" s="1" t="s">
        <v>567</v>
      </c>
      <c r="AC768" s="5">
        <v>42825</v>
      </c>
      <c r="AF768" s="1">
        <v>10007</v>
      </c>
      <c r="AI768" s="1" t="s">
        <v>45</v>
      </c>
      <c r="AJ768" s="1">
        <v>1930</v>
      </c>
      <c r="AK768" s="1" t="s">
        <v>73</v>
      </c>
      <c r="AL768" s="1">
        <v>156</v>
      </c>
    </row>
    <row r="769" spans="1:38" x14ac:dyDescent="0.2">
      <c r="A769" s="2" t="str">
        <f>HYPERLINK("https://www.compass.com/listing/100-barclay-street-unit-26d-manhattan-ny-10007/4852261395657407233/","100 Barclay St, Unit 26D")</f>
        <v>100 Barclay St, Unit 26D</v>
      </c>
      <c r="B769" s="2" t="str">
        <f t="shared" si="141"/>
        <v>100 Barclay</v>
      </c>
      <c r="C769" s="1" t="s">
        <v>40</v>
      </c>
      <c r="D769" s="1" t="s">
        <v>41</v>
      </c>
      <c r="E769" s="3">
        <v>5177000</v>
      </c>
      <c r="F769" s="1">
        <v>2214.2857142857101</v>
      </c>
      <c r="G769" s="1">
        <v>6</v>
      </c>
      <c r="H769" s="1">
        <v>3</v>
      </c>
      <c r="I769" s="1">
        <v>4</v>
      </c>
      <c r="J769" s="1">
        <v>3.5</v>
      </c>
      <c r="M769" s="4">
        <v>2338</v>
      </c>
      <c r="N769" s="1">
        <v>3000</v>
      </c>
      <c r="O769" s="1">
        <v>5869</v>
      </c>
      <c r="P769" s="1">
        <v>2869</v>
      </c>
      <c r="Q769" s="1" t="s">
        <v>42</v>
      </c>
      <c r="S769" s="1" t="s">
        <v>42</v>
      </c>
      <c r="T769" s="1" t="s">
        <v>170</v>
      </c>
      <c r="V769" s="5">
        <v>43623</v>
      </c>
      <c r="W769" s="5">
        <v>42448</v>
      </c>
      <c r="X769" s="1">
        <v>5350000</v>
      </c>
      <c r="Y769" s="1">
        <v>5350000</v>
      </c>
      <c r="Z769" s="5">
        <v>42448</v>
      </c>
      <c r="AA769" s="1">
        <v>5177000</v>
      </c>
      <c r="AB769" s="1" t="s">
        <v>568</v>
      </c>
      <c r="AC769" s="5">
        <v>42551</v>
      </c>
      <c r="AF769" s="1">
        <v>10007</v>
      </c>
      <c r="AI769" s="1" t="s">
        <v>45</v>
      </c>
      <c r="AJ769" s="1">
        <v>1930</v>
      </c>
      <c r="AK769" s="1" t="s">
        <v>46</v>
      </c>
      <c r="AL769" s="1">
        <v>156</v>
      </c>
    </row>
    <row r="770" spans="1:38" x14ac:dyDescent="0.2">
      <c r="A770" s="2" t="str">
        <f>HYPERLINK("https://www.compass.com/listing/100-barclay-street-unit-27d-manhattan-ny-10007/4852279367721553105/","100 Barclay St, Unit 27D")</f>
        <v>100 Barclay St, Unit 27D</v>
      </c>
      <c r="B770" s="2" t="str">
        <f t="shared" si="141"/>
        <v>100 Barclay</v>
      </c>
      <c r="C770" s="1" t="s">
        <v>40</v>
      </c>
      <c r="D770" s="1" t="s">
        <v>41</v>
      </c>
      <c r="E770" s="3">
        <v>5300000</v>
      </c>
      <c r="F770" s="1">
        <v>2266.8947818648398</v>
      </c>
      <c r="G770" s="1">
        <v>7</v>
      </c>
      <c r="H770" s="1">
        <v>3</v>
      </c>
      <c r="I770" s="1">
        <v>4</v>
      </c>
      <c r="J770" s="1">
        <v>3.5</v>
      </c>
      <c r="M770" s="4">
        <v>2338</v>
      </c>
      <c r="N770" s="1">
        <v>3000</v>
      </c>
      <c r="O770" s="1">
        <v>5869</v>
      </c>
      <c r="P770" s="1">
        <v>2869</v>
      </c>
      <c r="Q770" s="1" t="s">
        <v>42</v>
      </c>
      <c r="S770" s="1" t="s">
        <v>42</v>
      </c>
      <c r="T770" s="1" t="s">
        <v>170</v>
      </c>
      <c r="V770" s="5">
        <v>43623</v>
      </c>
      <c r="W770" s="5">
        <v>42488</v>
      </c>
      <c r="X770" s="1">
        <v>5400000</v>
      </c>
      <c r="Y770" s="1">
        <v>5400000</v>
      </c>
      <c r="Z770" s="5">
        <v>42488</v>
      </c>
      <c r="AA770" s="1">
        <v>5300000</v>
      </c>
      <c r="AB770" s="1" t="s">
        <v>569</v>
      </c>
      <c r="AC770" s="5">
        <v>42543</v>
      </c>
      <c r="AF770" s="1">
        <v>10007</v>
      </c>
      <c r="AI770" s="1" t="s">
        <v>45</v>
      </c>
      <c r="AJ770" s="1">
        <v>1930</v>
      </c>
      <c r="AK770" s="1" t="s">
        <v>46</v>
      </c>
      <c r="AL770" s="1">
        <v>156</v>
      </c>
    </row>
    <row r="771" spans="1:38" x14ac:dyDescent="0.2">
      <c r="A771" s="2" t="str">
        <f>HYPERLINK("https://www.compass.com/listing/100-barclay-street-unit-13r-manhattan-ny-10007/69425827871246977/","100 Barclay St, Unit 13R")</f>
        <v>100 Barclay St, Unit 13R</v>
      </c>
      <c r="B771" s="2" t="str">
        <f t="shared" si="141"/>
        <v>100 Barclay</v>
      </c>
      <c r="C771" s="1" t="s">
        <v>40</v>
      </c>
      <c r="D771" s="1" t="s">
        <v>41</v>
      </c>
      <c r="E771" s="3">
        <v>3575000</v>
      </c>
      <c r="F771" s="1">
        <v>1632.4200913242</v>
      </c>
      <c r="G771" s="1">
        <v>7</v>
      </c>
      <c r="H771" s="1">
        <v>3</v>
      </c>
      <c r="I771" s="1">
        <v>3</v>
      </c>
      <c r="J771" s="1">
        <v>3</v>
      </c>
      <c r="K771" s="1">
        <v>3</v>
      </c>
      <c r="M771" s="4">
        <v>2190</v>
      </c>
      <c r="N771" s="1">
        <v>2810</v>
      </c>
      <c r="O771" s="1">
        <v>5497</v>
      </c>
      <c r="P771" s="1">
        <v>2687</v>
      </c>
      <c r="Q771" s="1" t="s">
        <v>42</v>
      </c>
      <c r="S771" s="1" t="s">
        <v>42</v>
      </c>
      <c r="T771" s="1" t="s">
        <v>170</v>
      </c>
      <c r="U771" s="1">
        <v>204</v>
      </c>
      <c r="V771" s="5">
        <v>43643</v>
      </c>
      <c r="W771" s="5">
        <v>43348</v>
      </c>
      <c r="X771" s="1">
        <v>4650000</v>
      </c>
      <c r="Y771" s="1">
        <v>3500000</v>
      </c>
      <c r="Z771" s="5">
        <v>43552</v>
      </c>
      <c r="AA771" s="1">
        <v>3575000</v>
      </c>
      <c r="AB771" s="1" t="s">
        <v>570</v>
      </c>
      <c r="AC771" s="5">
        <v>43599</v>
      </c>
      <c r="AF771" s="1">
        <v>10007</v>
      </c>
      <c r="AI771" s="1" t="s">
        <v>45</v>
      </c>
      <c r="AJ771" s="1">
        <v>1930</v>
      </c>
      <c r="AK771" s="1" t="s">
        <v>73</v>
      </c>
      <c r="AL771" s="1">
        <v>156</v>
      </c>
    </row>
    <row r="772" spans="1:38" x14ac:dyDescent="0.2">
      <c r="A772" s="2" t="str">
        <f>HYPERLINK("https://www.compass.com/listing/100-barclay-street-unit-17r-manhattan-ny-10007/50859463124528961/","100 Barclay St, Unit 17R")</f>
        <v>100 Barclay St, Unit 17R</v>
      </c>
      <c r="B772" s="2" t="str">
        <f t="shared" si="141"/>
        <v>100 Barclay</v>
      </c>
      <c r="C772" s="1" t="s">
        <v>40</v>
      </c>
      <c r="D772" s="1" t="s">
        <v>41</v>
      </c>
      <c r="E772" s="3">
        <v>4734862</v>
      </c>
      <c r="F772" s="1">
        <v>2241.8854166666601</v>
      </c>
      <c r="G772" s="1">
        <v>5</v>
      </c>
      <c r="H772" s="1">
        <v>3</v>
      </c>
      <c r="I772" s="1">
        <v>3</v>
      </c>
      <c r="J772" s="1">
        <v>3</v>
      </c>
      <c r="K772" s="1">
        <v>3</v>
      </c>
      <c r="M772" s="4">
        <v>2112</v>
      </c>
      <c r="N772" s="1">
        <v>2637</v>
      </c>
      <c r="O772" s="1">
        <v>5224</v>
      </c>
      <c r="P772" s="1">
        <v>2587</v>
      </c>
      <c r="Q772" s="1" t="s">
        <v>438</v>
      </c>
      <c r="S772" s="1" t="s">
        <v>438</v>
      </c>
      <c r="T772" s="1" t="s">
        <v>170</v>
      </c>
      <c r="V772" s="5">
        <v>44338</v>
      </c>
      <c r="W772" s="5">
        <v>42208</v>
      </c>
      <c r="X772" s="1">
        <v>4726500</v>
      </c>
      <c r="Y772" s="1">
        <v>4726500</v>
      </c>
      <c r="Z772" s="5">
        <v>42208</v>
      </c>
      <c r="AA772" s="1">
        <v>4734862</v>
      </c>
      <c r="AB772" s="1" t="s">
        <v>571</v>
      </c>
      <c r="AC772" s="5">
        <v>42621</v>
      </c>
      <c r="AF772" s="1">
        <v>10007</v>
      </c>
      <c r="AI772" s="1" t="s">
        <v>45</v>
      </c>
      <c r="AJ772" s="1">
        <v>1930</v>
      </c>
      <c r="AK772" s="1" t="s">
        <v>46</v>
      </c>
      <c r="AL772" s="1">
        <v>156</v>
      </c>
    </row>
    <row r="773" spans="1:38" x14ac:dyDescent="0.2">
      <c r="A773" s="2" t="str">
        <f>HYPERLINK("https://www.compass.com/listing/100-barclay-street-unit-19b-manhattan-ny-10007/4852285166262952801/","100 Barclay St, Unit 19B")</f>
        <v>100 Barclay St, Unit 19B</v>
      </c>
      <c r="B773" s="2" t="str">
        <f t="shared" si="141"/>
        <v>100 Barclay</v>
      </c>
      <c r="C773" s="1" t="s">
        <v>40</v>
      </c>
      <c r="D773" s="1" t="s">
        <v>41</v>
      </c>
      <c r="E773" s="3">
        <v>8655125</v>
      </c>
      <c r="F773" s="1">
        <v>2369.9685104052501</v>
      </c>
      <c r="G773" s="1">
        <v>8.5</v>
      </c>
      <c r="H773" s="1">
        <v>4</v>
      </c>
      <c r="I773" s="1">
        <v>4</v>
      </c>
      <c r="J773" s="1">
        <v>4.5</v>
      </c>
      <c r="K773" s="1">
        <v>4</v>
      </c>
      <c r="L773" s="1">
        <v>1</v>
      </c>
      <c r="M773" s="4">
        <v>3652</v>
      </c>
      <c r="N773" s="1">
        <v>4779</v>
      </c>
      <c r="O773" s="1">
        <v>9967</v>
      </c>
      <c r="P773" s="1">
        <v>5188</v>
      </c>
      <c r="Q773" s="1" t="s">
        <v>42</v>
      </c>
      <c r="S773" s="1" t="s">
        <v>42</v>
      </c>
      <c r="T773" s="1" t="s">
        <v>170</v>
      </c>
      <c r="V773" s="5">
        <v>43641</v>
      </c>
      <c r="W773" s="5">
        <v>43019</v>
      </c>
      <c r="X773" s="1">
        <v>9850000</v>
      </c>
      <c r="Y773" s="1">
        <v>9850000</v>
      </c>
      <c r="Z773" s="5">
        <v>43019</v>
      </c>
      <c r="AA773" s="1">
        <v>8655125</v>
      </c>
      <c r="AB773" s="1" t="s">
        <v>498</v>
      </c>
      <c r="AC773" s="5">
        <v>43027</v>
      </c>
      <c r="AF773" s="1">
        <v>10007</v>
      </c>
      <c r="AI773" s="1" t="s">
        <v>88</v>
      </c>
      <c r="AJ773" s="1">
        <v>1930</v>
      </c>
      <c r="AK773" s="1" t="s">
        <v>73</v>
      </c>
      <c r="AL773" s="1">
        <v>156</v>
      </c>
    </row>
    <row r="774" spans="1:38" x14ac:dyDescent="0.2">
      <c r="A774" s="2" t="str">
        <f>HYPERLINK("https://www.compass.com/listing/121-east-22nd-street-unit-n401-manhattan-ny-10010/713690785433049857/","121 E 22nd St, Unit N401")</f>
        <v>121 E 22nd St, Unit N401</v>
      </c>
      <c r="B774" s="2" t="str">
        <f t="shared" ref="B774:B775" si="142">HYPERLINK("https://www.compass.com/building/121-e-22nd-manhattan-ny/292795784653461493/","121 E 22nd")</f>
        <v>121 E 22nd</v>
      </c>
      <c r="C774" s="1" t="s">
        <v>54</v>
      </c>
      <c r="D774" s="1" t="s">
        <v>41</v>
      </c>
      <c r="E774" s="3">
        <v>2250000</v>
      </c>
      <c r="F774" s="1">
        <v>1667.9021497405399</v>
      </c>
      <c r="G774" s="1">
        <v>3.5</v>
      </c>
      <c r="H774" s="1">
        <v>2</v>
      </c>
      <c r="I774" s="1">
        <v>3</v>
      </c>
      <c r="J774" s="1">
        <v>2.5</v>
      </c>
      <c r="K774" s="1">
        <v>2</v>
      </c>
      <c r="L774" s="1">
        <v>1</v>
      </c>
      <c r="M774" s="4">
        <v>1349</v>
      </c>
      <c r="N774" s="1">
        <v>1429</v>
      </c>
      <c r="O774" s="1">
        <v>4294</v>
      </c>
      <c r="P774" s="1">
        <v>2865</v>
      </c>
      <c r="Q774" s="1" t="s">
        <v>42</v>
      </c>
      <c r="S774" s="1" t="s">
        <v>42</v>
      </c>
      <c r="T774" s="1" t="s">
        <v>170</v>
      </c>
      <c r="U774" s="1">
        <v>68</v>
      </c>
      <c r="V774" s="5">
        <v>44329</v>
      </c>
      <c r="W774" s="5">
        <v>44237</v>
      </c>
      <c r="X774" s="1">
        <v>2760000</v>
      </c>
      <c r="Y774" s="1">
        <v>2760000</v>
      </c>
      <c r="Z774" s="5">
        <v>44306</v>
      </c>
      <c r="AA774" s="1">
        <v>2250000</v>
      </c>
      <c r="AB774" s="1" t="s">
        <v>572</v>
      </c>
      <c r="AC774" s="5">
        <v>44327</v>
      </c>
      <c r="AF774" s="1">
        <v>10010</v>
      </c>
      <c r="AI774" s="1" t="s">
        <v>78</v>
      </c>
      <c r="AJ774" s="1">
        <v>2016</v>
      </c>
      <c r="AK774" s="1" t="s">
        <v>73</v>
      </c>
      <c r="AL774" s="1">
        <v>140</v>
      </c>
    </row>
    <row r="775" spans="1:38" x14ac:dyDescent="0.2">
      <c r="A775" s="2" t="str">
        <f>HYPERLINK("https://www.compass.com/listing/121-east-22nd-street-unit-n301-manhattan-ny-10010/381154986794016177/","121 E 22nd St, Unit N301")</f>
        <v>121 E 22nd St, Unit N301</v>
      </c>
      <c r="B775" s="2" t="str">
        <f t="shared" si="142"/>
        <v>121 E 22nd</v>
      </c>
      <c r="C775" s="1" t="s">
        <v>54</v>
      </c>
      <c r="D775" s="1" t="s">
        <v>41</v>
      </c>
      <c r="E775" s="3">
        <v>2288211</v>
      </c>
      <c r="F775" s="1">
        <v>1696.22787249814</v>
      </c>
      <c r="G775" s="1">
        <v>4</v>
      </c>
      <c r="H775" s="1">
        <v>2</v>
      </c>
      <c r="I775" s="1">
        <v>3</v>
      </c>
      <c r="J775" s="1">
        <v>2.5</v>
      </c>
      <c r="K775" s="1">
        <v>2</v>
      </c>
      <c r="L775" s="1">
        <v>1</v>
      </c>
      <c r="M775" s="4">
        <v>1349</v>
      </c>
      <c r="N775" s="1">
        <v>1409</v>
      </c>
      <c r="O775" s="1">
        <v>4230</v>
      </c>
      <c r="P775" s="1">
        <v>2821</v>
      </c>
      <c r="Q775" s="1" t="s">
        <v>42</v>
      </c>
      <c r="S775" s="1" t="s">
        <v>42</v>
      </c>
      <c r="T775" s="1" t="s">
        <v>170</v>
      </c>
      <c r="U775" s="1">
        <v>365</v>
      </c>
      <c r="V775" s="5">
        <v>44321</v>
      </c>
      <c r="W775" s="5">
        <v>43778</v>
      </c>
      <c r="X775" s="1">
        <v>2725000</v>
      </c>
      <c r="Y775" s="1">
        <v>2600000</v>
      </c>
      <c r="Z775" s="5">
        <v>44238</v>
      </c>
      <c r="AA775" s="1">
        <v>2288211.4</v>
      </c>
      <c r="AB775" s="1" t="s">
        <v>573</v>
      </c>
      <c r="AC775" s="5">
        <v>44308</v>
      </c>
      <c r="AF775" s="1">
        <v>10010</v>
      </c>
      <c r="AI775" s="1" t="s">
        <v>78</v>
      </c>
      <c r="AJ775" s="1">
        <v>2016</v>
      </c>
      <c r="AK775" s="1" t="s">
        <v>73</v>
      </c>
      <c r="AL775" s="1">
        <v>140</v>
      </c>
    </row>
    <row r="776" spans="1:38" x14ac:dyDescent="0.2">
      <c r="A776" s="2" t="str">
        <f>HYPERLINK("https://www.compass.com/listing/100-barclay-street-unit-15p-manhattan-ny-10007/4852275408046924369/","100 Barclay St, Unit 15P")</f>
        <v>100 Barclay St, Unit 15P</v>
      </c>
      <c r="B776" s="2" t="str">
        <f t="shared" ref="B776:B781" si="143">HYPERLINK("https://www.compass.com/building/100-barclay-manhattan-ny/281896670466155525/","100 Barclay")</f>
        <v>100 Barclay</v>
      </c>
      <c r="C776" s="1" t="s">
        <v>40</v>
      </c>
      <c r="D776" s="1" t="s">
        <v>41</v>
      </c>
      <c r="E776" s="3">
        <v>6750000</v>
      </c>
      <c r="F776" s="1">
        <v>2104.1147132169499</v>
      </c>
      <c r="G776" s="1">
        <v>6</v>
      </c>
      <c r="H776" s="1">
        <v>4</v>
      </c>
      <c r="I776" s="1">
        <v>5</v>
      </c>
      <c r="J776" s="1">
        <v>5</v>
      </c>
      <c r="K776" s="1">
        <v>5</v>
      </c>
      <c r="M776" s="4">
        <v>3208</v>
      </c>
      <c r="N776" s="1">
        <v>4116</v>
      </c>
      <c r="O776" s="1">
        <v>8052</v>
      </c>
      <c r="P776" s="1">
        <v>3936</v>
      </c>
      <c r="Q776" s="1" t="s">
        <v>42</v>
      </c>
      <c r="S776" s="1" t="s">
        <v>42</v>
      </c>
      <c r="T776" s="1" t="s">
        <v>170</v>
      </c>
      <c r="V776" s="5">
        <v>43630</v>
      </c>
      <c r="W776" s="5">
        <v>42801</v>
      </c>
      <c r="X776" s="1">
        <v>7250000</v>
      </c>
      <c r="Y776" s="1">
        <v>7250000</v>
      </c>
      <c r="Z776" s="5">
        <v>42801</v>
      </c>
      <c r="AA776" s="1">
        <v>6750000</v>
      </c>
      <c r="AB776" s="1" t="s">
        <v>574</v>
      </c>
      <c r="AC776" s="5">
        <v>42887</v>
      </c>
      <c r="AF776" s="1">
        <v>10007</v>
      </c>
      <c r="AI776" s="1" t="s">
        <v>45</v>
      </c>
      <c r="AJ776" s="1">
        <v>1930</v>
      </c>
      <c r="AK776" s="1" t="s">
        <v>73</v>
      </c>
      <c r="AL776" s="1">
        <v>156</v>
      </c>
    </row>
    <row r="777" spans="1:38" x14ac:dyDescent="0.2">
      <c r="A777" s="2" t="str">
        <f>HYPERLINK("https://www.compass.com/listing/100-barclay-street-unit-30c-manhattan-ny-10007/4852279367151127665/","100 Barclay St, Unit 30C")</f>
        <v>100 Barclay St, Unit 30C</v>
      </c>
      <c r="B777" s="2" t="str">
        <f t="shared" si="143"/>
        <v>100 Barclay</v>
      </c>
      <c r="C777" s="1" t="s">
        <v>40</v>
      </c>
      <c r="D777" s="1" t="s">
        <v>41</v>
      </c>
      <c r="E777" s="3">
        <v>7165875</v>
      </c>
      <c r="F777" s="1">
        <v>2644.23431734317</v>
      </c>
      <c r="G777" s="1">
        <v>6</v>
      </c>
      <c r="H777" s="1">
        <v>3</v>
      </c>
      <c r="I777" s="1">
        <v>4</v>
      </c>
      <c r="J777" s="1">
        <v>4</v>
      </c>
      <c r="M777" s="4">
        <v>2710</v>
      </c>
      <c r="N777" s="1">
        <v>3477</v>
      </c>
      <c r="O777" s="1">
        <v>6802</v>
      </c>
      <c r="P777" s="1">
        <v>3325</v>
      </c>
      <c r="Q777" s="1" t="s">
        <v>42</v>
      </c>
      <c r="S777" s="1" t="s">
        <v>42</v>
      </c>
      <c r="T777" s="1" t="s">
        <v>170</v>
      </c>
      <c r="V777" s="5">
        <v>43668</v>
      </c>
      <c r="W777" s="5">
        <v>42463</v>
      </c>
      <c r="X777" s="1">
        <v>7275000</v>
      </c>
      <c r="Y777" s="1">
        <v>7275000</v>
      </c>
      <c r="Z777" s="5">
        <v>42463</v>
      </c>
      <c r="AA777" s="1">
        <v>7165875</v>
      </c>
      <c r="AB777" s="1" t="s">
        <v>575</v>
      </c>
      <c r="AC777" s="5">
        <v>42515</v>
      </c>
      <c r="AF777" s="1">
        <v>10007</v>
      </c>
      <c r="AI777" s="1" t="s">
        <v>45</v>
      </c>
      <c r="AJ777" s="1">
        <v>1930</v>
      </c>
      <c r="AK777" s="1" t="s">
        <v>46</v>
      </c>
      <c r="AL777" s="1">
        <v>156</v>
      </c>
    </row>
    <row r="778" spans="1:38" x14ac:dyDescent="0.2">
      <c r="A778" s="2" t="str">
        <f>HYPERLINK("https://www.compass.com/listing/100-barclay-street-unit-27b-manhattan-ny-10007/4852308592138665329/","100 Barclay St, Unit 27B")</f>
        <v>100 Barclay St, Unit 27B</v>
      </c>
      <c r="B778" s="2" t="str">
        <f t="shared" si="143"/>
        <v>100 Barclay</v>
      </c>
      <c r="C778" s="1" t="s">
        <v>40</v>
      </c>
      <c r="D778" s="1" t="s">
        <v>41</v>
      </c>
      <c r="E778" s="3">
        <v>7193936</v>
      </c>
      <c r="F778" s="1">
        <v>2506.5979094076602</v>
      </c>
      <c r="G778" s="1">
        <v>8</v>
      </c>
      <c r="H778" s="1">
        <v>4</v>
      </c>
      <c r="I778" s="1">
        <v>4</v>
      </c>
      <c r="J778" s="1">
        <v>4</v>
      </c>
      <c r="M778" s="4">
        <v>2870</v>
      </c>
      <c r="N778" s="1">
        <v>3682</v>
      </c>
      <c r="O778" s="1">
        <v>7203</v>
      </c>
      <c r="P778" s="1">
        <v>3521</v>
      </c>
      <c r="Q778" s="1" t="s">
        <v>42</v>
      </c>
      <c r="S778" s="1" t="s">
        <v>42</v>
      </c>
      <c r="T778" s="1" t="s">
        <v>170</v>
      </c>
      <c r="V778" s="5">
        <v>43626</v>
      </c>
      <c r="W778" s="5">
        <v>42477</v>
      </c>
      <c r="X778" s="1">
        <v>7850000</v>
      </c>
      <c r="Y778" s="1">
        <v>7850000</v>
      </c>
      <c r="Z778" s="5">
        <v>42477</v>
      </c>
      <c r="AA778" s="1">
        <v>7193936</v>
      </c>
      <c r="AB778" s="1" t="s">
        <v>181</v>
      </c>
      <c r="AC778" s="5">
        <v>42517</v>
      </c>
      <c r="AF778" s="1">
        <v>10007</v>
      </c>
      <c r="AI778" s="1" t="s">
        <v>45</v>
      </c>
      <c r="AJ778" s="1">
        <v>1930</v>
      </c>
      <c r="AK778" s="1" t="s">
        <v>46</v>
      </c>
      <c r="AL778" s="1">
        <v>156</v>
      </c>
    </row>
    <row r="779" spans="1:38" x14ac:dyDescent="0.2">
      <c r="A779" s="2" t="str">
        <f>HYPERLINK("https://www.compass.com/listing/100-barclay-street-unit-27c-manhattan-ny-10007/4852308597482193025/","100 Barclay St, Unit 27C")</f>
        <v>100 Barclay St, Unit 27C</v>
      </c>
      <c r="B779" s="2" t="str">
        <f t="shared" si="143"/>
        <v>100 Barclay</v>
      </c>
      <c r="C779" s="1" t="s">
        <v>40</v>
      </c>
      <c r="D779" s="1" t="s">
        <v>41</v>
      </c>
      <c r="E779" s="3">
        <v>6975000</v>
      </c>
      <c r="F779" s="1">
        <v>2571.90265486725</v>
      </c>
      <c r="G779" s="1">
        <v>8</v>
      </c>
      <c r="H779" s="1">
        <v>4</v>
      </c>
      <c r="I779" s="1">
        <v>4</v>
      </c>
      <c r="J779" s="1">
        <v>4</v>
      </c>
      <c r="M779" s="4">
        <v>2712</v>
      </c>
      <c r="N779" s="1">
        <v>3480</v>
      </c>
      <c r="O779" s="1">
        <v>6808</v>
      </c>
      <c r="P779" s="1">
        <v>3328</v>
      </c>
      <c r="Q779" s="1" t="s">
        <v>42</v>
      </c>
      <c r="S779" s="1" t="s">
        <v>42</v>
      </c>
      <c r="T779" s="1" t="s">
        <v>170</v>
      </c>
      <c r="V779" s="5">
        <v>43626</v>
      </c>
      <c r="W779" s="5">
        <v>42477</v>
      </c>
      <c r="X779" s="1">
        <v>6975000</v>
      </c>
      <c r="Y779" s="1">
        <v>6975000</v>
      </c>
      <c r="Z779" s="5">
        <v>42477</v>
      </c>
      <c r="AA779" s="1">
        <v>6975000</v>
      </c>
      <c r="AB779" s="1" t="s">
        <v>181</v>
      </c>
      <c r="AC779" s="5">
        <v>42810</v>
      </c>
      <c r="AF779" s="1">
        <v>10007</v>
      </c>
      <c r="AI779" s="1" t="s">
        <v>45</v>
      </c>
      <c r="AJ779" s="1">
        <v>1930</v>
      </c>
      <c r="AK779" s="1" t="s">
        <v>46</v>
      </c>
      <c r="AL779" s="1">
        <v>156</v>
      </c>
    </row>
    <row r="780" spans="1:38" x14ac:dyDescent="0.2">
      <c r="A780" s="2" t="str">
        <f>HYPERLINK("https://www.compass.com/listing/100-barclay-street-unit-11a-manhattan-ny-10007/4852308722715730193/","100 Barclay St, Unit 11A")</f>
        <v>100 Barclay St, Unit 11A</v>
      </c>
      <c r="B780" s="2" t="str">
        <f t="shared" si="143"/>
        <v>100 Barclay</v>
      </c>
      <c r="C780" s="1" t="s">
        <v>40</v>
      </c>
      <c r="D780" s="1" t="s">
        <v>41</v>
      </c>
      <c r="E780" s="3">
        <v>6262237</v>
      </c>
      <c r="F780" s="1">
        <v>2303.1397572636902</v>
      </c>
      <c r="G780" s="1">
        <v>7</v>
      </c>
      <c r="H780" s="1">
        <v>4</v>
      </c>
      <c r="I780" s="1">
        <v>4</v>
      </c>
      <c r="J780" s="1">
        <v>4</v>
      </c>
      <c r="M780" s="4">
        <v>2719</v>
      </c>
      <c r="N780" s="1">
        <v>3950</v>
      </c>
      <c r="O780" s="1">
        <v>7727</v>
      </c>
      <c r="P780" s="1">
        <v>3777</v>
      </c>
      <c r="Q780" s="1" t="s">
        <v>42</v>
      </c>
      <c r="S780" s="1" t="s">
        <v>42</v>
      </c>
      <c r="T780" s="1" t="s">
        <v>170</v>
      </c>
      <c r="V780" s="5">
        <v>43623</v>
      </c>
      <c r="W780" s="5">
        <v>42504</v>
      </c>
      <c r="X780" s="1">
        <v>6822000</v>
      </c>
      <c r="Y780" s="1">
        <v>6822000</v>
      </c>
      <c r="Z780" s="5">
        <v>42504</v>
      </c>
      <c r="AA780" s="1">
        <v>6262237</v>
      </c>
      <c r="AB780" s="1" t="s">
        <v>576</v>
      </c>
      <c r="AC780" s="5">
        <v>42798</v>
      </c>
      <c r="AF780" s="1">
        <v>10007</v>
      </c>
      <c r="AI780" s="1" t="s">
        <v>88</v>
      </c>
      <c r="AJ780" s="1">
        <v>1930</v>
      </c>
      <c r="AK780" s="1" t="s">
        <v>46</v>
      </c>
      <c r="AL780" s="1">
        <v>156</v>
      </c>
    </row>
    <row r="781" spans="1:38" x14ac:dyDescent="0.2">
      <c r="A781" s="2" t="str">
        <f>HYPERLINK("https://www.compass.com/listing/100-barclay-street-unit-21a-manhattan-ny-10007/4852308743964074753/","100 Barclay St, Unit 21A")</f>
        <v>100 Barclay St, Unit 21A</v>
      </c>
      <c r="B781" s="2" t="str">
        <f t="shared" si="143"/>
        <v>100 Barclay</v>
      </c>
      <c r="C781" s="1" t="s">
        <v>40</v>
      </c>
      <c r="D781" s="1" t="s">
        <v>41</v>
      </c>
      <c r="E781" s="3">
        <v>14803395</v>
      </c>
      <c r="F781" s="1">
        <v>4967.5822147650997</v>
      </c>
      <c r="G781" s="1">
        <v>8</v>
      </c>
      <c r="H781" s="1">
        <v>3</v>
      </c>
      <c r="I781" s="1">
        <v>4</v>
      </c>
      <c r="J781" s="1">
        <v>4</v>
      </c>
      <c r="M781" s="4">
        <v>2980</v>
      </c>
      <c r="N781" s="1">
        <v>4073</v>
      </c>
      <c r="O781" s="1">
        <v>7968</v>
      </c>
      <c r="P781" s="1">
        <v>3895</v>
      </c>
      <c r="Q781" s="1" t="s">
        <v>42</v>
      </c>
      <c r="S781" s="1" t="s">
        <v>42</v>
      </c>
      <c r="T781" s="1" t="s">
        <v>170</v>
      </c>
      <c r="V781" s="5">
        <v>43623</v>
      </c>
      <c r="W781" s="5">
        <v>42497</v>
      </c>
      <c r="X781" s="1">
        <v>8500000</v>
      </c>
      <c r="Y781" s="1">
        <v>8500000</v>
      </c>
      <c r="Z781" s="5">
        <v>42497</v>
      </c>
      <c r="AA781" s="1">
        <v>14803395</v>
      </c>
      <c r="AB781" s="1" t="s">
        <v>577</v>
      </c>
      <c r="AC781" s="5">
        <v>42683</v>
      </c>
      <c r="AF781" s="1">
        <v>10007</v>
      </c>
      <c r="AI781" s="1" t="s">
        <v>88</v>
      </c>
      <c r="AJ781" s="1">
        <v>1930</v>
      </c>
      <c r="AK781" s="1" t="s">
        <v>46</v>
      </c>
      <c r="AL781" s="1">
        <v>156</v>
      </c>
    </row>
    <row r="782" spans="1:38" x14ac:dyDescent="0.2">
      <c r="A782" s="2" t="str">
        <f>HYPERLINK("https://www.compass.com/listing/121-east-22nd-street-unit-s203-manhattan-ny-10010/637015200128010625/","121 E 22nd St, Unit S203")</f>
        <v>121 E 22nd St, Unit S203</v>
      </c>
      <c r="B782" s="2" t="str">
        <f t="shared" ref="B782:B793" si="144">HYPERLINK("https://www.compass.com/building/121-e-22nd-manhattan-ny/292795784653461493/","121 E 22nd")</f>
        <v>121 E 22nd</v>
      </c>
      <c r="C782" s="1" t="s">
        <v>54</v>
      </c>
      <c r="D782" s="1" t="s">
        <v>41</v>
      </c>
      <c r="E782" s="3">
        <v>2720000</v>
      </c>
      <c r="F782" s="1">
        <v>1691.54228855721</v>
      </c>
      <c r="G782" s="1">
        <v>4</v>
      </c>
      <c r="H782" s="1">
        <v>2</v>
      </c>
      <c r="I782" s="1">
        <v>3</v>
      </c>
      <c r="J782" s="1">
        <v>2.5</v>
      </c>
      <c r="K782" s="1">
        <v>2</v>
      </c>
      <c r="L782" s="1">
        <v>1</v>
      </c>
      <c r="M782" s="4">
        <v>1608</v>
      </c>
      <c r="N782" s="1">
        <v>1623</v>
      </c>
      <c r="O782" s="1">
        <v>4865</v>
      </c>
      <c r="P782" s="1">
        <v>3242</v>
      </c>
      <c r="Q782" s="1" t="s">
        <v>42</v>
      </c>
      <c r="S782" s="1" t="s">
        <v>42</v>
      </c>
      <c r="T782" s="1" t="s">
        <v>170</v>
      </c>
      <c r="U782" s="1">
        <v>132</v>
      </c>
      <c r="V782" s="5">
        <v>44307</v>
      </c>
      <c r="W782" s="5">
        <v>44131</v>
      </c>
      <c r="X782" s="1">
        <v>3275000</v>
      </c>
      <c r="Y782" s="1">
        <v>3275000</v>
      </c>
      <c r="Z782" s="5">
        <v>44264</v>
      </c>
      <c r="AA782" s="1">
        <v>2720000</v>
      </c>
      <c r="AB782" s="1" t="s">
        <v>173</v>
      </c>
      <c r="AC782" s="5">
        <v>44298</v>
      </c>
      <c r="AF782" s="1">
        <v>10010</v>
      </c>
      <c r="AI782" s="1" t="s">
        <v>78</v>
      </c>
      <c r="AJ782" s="1">
        <v>2016</v>
      </c>
      <c r="AK782" s="1" t="s">
        <v>73</v>
      </c>
      <c r="AL782" s="1">
        <v>140</v>
      </c>
    </row>
    <row r="783" spans="1:38" x14ac:dyDescent="0.2">
      <c r="A783" s="2" t="str">
        <f>HYPERLINK("https://www.compass.com/listing/121-east-22nd-street-unit-n602-manhattan-ny-10010/375297887891540273/","121 E 22nd St, Unit N602")</f>
        <v>121 E 22nd St, Unit N602</v>
      </c>
      <c r="B783" s="2" t="str">
        <f t="shared" si="144"/>
        <v>121 E 22nd</v>
      </c>
      <c r="C783" s="1" t="s">
        <v>54</v>
      </c>
      <c r="D783" s="1" t="s">
        <v>41</v>
      </c>
      <c r="E783" s="3">
        <v>2898805</v>
      </c>
      <c r="F783" s="1">
        <v>1731.6636857825499</v>
      </c>
      <c r="G783" s="1">
        <v>4</v>
      </c>
      <c r="H783" s="1">
        <v>2</v>
      </c>
      <c r="I783" s="1">
        <v>3</v>
      </c>
      <c r="J783" s="1">
        <v>2.5</v>
      </c>
      <c r="K783" s="1">
        <v>2</v>
      </c>
      <c r="L783" s="1">
        <v>1</v>
      </c>
      <c r="M783" s="4">
        <v>1674</v>
      </c>
      <c r="N783" s="1">
        <v>1823</v>
      </c>
      <c r="O783" s="1">
        <v>5483</v>
      </c>
      <c r="P783" s="1">
        <v>3660</v>
      </c>
      <c r="Q783" s="1" t="s">
        <v>42</v>
      </c>
      <c r="S783" s="1" t="s">
        <v>42</v>
      </c>
      <c r="T783" s="1" t="s">
        <v>170</v>
      </c>
      <c r="U783" s="1">
        <v>396</v>
      </c>
      <c r="V783" s="5">
        <v>44321</v>
      </c>
      <c r="W783" s="5">
        <v>43770</v>
      </c>
      <c r="X783" s="1">
        <v>3570000</v>
      </c>
      <c r="Y783" s="1">
        <v>3100000</v>
      </c>
      <c r="Z783" s="5">
        <v>44260</v>
      </c>
      <c r="AA783" s="1">
        <v>2898805.01</v>
      </c>
      <c r="AB783" s="1" t="s">
        <v>578</v>
      </c>
      <c r="AC783" s="5">
        <v>44305</v>
      </c>
      <c r="AF783" s="1">
        <v>10010</v>
      </c>
      <c r="AI783" s="1" t="s">
        <v>92</v>
      </c>
      <c r="AJ783" s="1">
        <v>2016</v>
      </c>
      <c r="AK783" s="1" t="s">
        <v>73</v>
      </c>
      <c r="AL783" s="1">
        <v>140</v>
      </c>
    </row>
    <row r="784" spans="1:38" x14ac:dyDescent="0.2">
      <c r="A784" s="2" t="str">
        <f>HYPERLINK("https://www.compass.com/listing/121-east-22nd-street-unit-s702-manhattan-ny-10010/34697806274921281/","121 E 22nd St, Unit S702")</f>
        <v>121 E 22nd St, Unit S702</v>
      </c>
      <c r="B784" s="2" t="str">
        <f t="shared" si="144"/>
        <v>121 E 22nd</v>
      </c>
      <c r="C784" s="1" t="s">
        <v>54</v>
      </c>
      <c r="D784" s="1" t="s">
        <v>41</v>
      </c>
      <c r="E784" s="3">
        <v>2080000</v>
      </c>
      <c r="F784" s="1">
        <v>2047.2440944881801</v>
      </c>
      <c r="G784" s="1">
        <v>3</v>
      </c>
      <c r="H784" s="1">
        <v>1</v>
      </c>
      <c r="I784" s="1">
        <v>2</v>
      </c>
      <c r="J784" s="1">
        <v>1.5</v>
      </c>
      <c r="K784" s="1">
        <v>1</v>
      </c>
      <c r="L784" s="1">
        <v>1</v>
      </c>
      <c r="M784" s="4">
        <v>1016</v>
      </c>
      <c r="N784" s="1">
        <v>1071</v>
      </c>
      <c r="O784" s="1">
        <v>2963</v>
      </c>
      <c r="P784" s="1">
        <v>1892</v>
      </c>
      <c r="Q784" s="1" t="s">
        <v>42</v>
      </c>
      <c r="S784" s="1" t="s">
        <v>42</v>
      </c>
      <c r="T784" s="1" t="s">
        <v>170</v>
      </c>
      <c r="V784" s="5">
        <v>44373</v>
      </c>
      <c r="W784" s="5">
        <v>43315</v>
      </c>
      <c r="X784" s="1">
        <v>2080000</v>
      </c>
      <c r="Y784" s="1">
        <v>2080000</v>
      </c>
      <c r="Z784" s="5">
        <v>43315</v>
      </c>
      <c r="AA784" s="1">
        <v>2080000</v>
      </c>
      <c r="AB784" s="1" t="s">
        <v>181</v>
      </c>
      <c r="AC784" s="5">
        <v>43501</v>
      </c>
      <c r="AF784" s="1">
        <v>10010</v>
      </c>
      <c r="AI784" s="1" t="s">
        <v>75</v>
      </c>
      <c r="AJ784" s="1">
        <v>2016</v>
      </c>
      <c r="AK784" s="1" t="s">
        <v>73</v>
      </c>
      <c r="AL784" s="1">
        <v>140</v>
      </c>
    </row>
    <row r="785" spans="1:38" x14ac:dyDescent="0.2">
      <c r="A785" s="2" t="str">
        <f>HYPERLINK("https://www.compass.com/listing/121-east-22nd-street-unit-n1701-manhattan-ny-10010/34698003348575345/","121 E 22nd St, Unit N1701")</f>
        <v>121 E 22nd St, Unit N1701</v>
      </c>
      <c r="B785" s="2" t="str">
        <f t="shared" si="144"/>
        <v>121 E 22nd</v>
      </c>
      <c r="C785" s="1" t="s">
        <v>54</v>
      </c>
      <c r="D785" s="1" t="s">
        <v>41</v>
      </c>
      <c r="E785" s="3">
        <v>2163781</v>
      </c>
      <c r="F785" s="1">
        <v>2319.1650589496198</v>
      </c>
      <c r="G785" s="1">
        <v>3</v>
      </c>
      <c r="H785" s="1">
        <v>1</v>
      </c>
      <c r="I785" s="1">
        <v>2</v>
      </c>
      <c r="J785" s="1">
        <v>1.5</v>
      </c>
      <c r="K785" s="1">
        <v>1</v>
      </c>
      <c r="L785" s="1">
        <v>1</v>
      </c>
      <c r="M785" s="1">
        <v>933</v>
      </c>
      <c r="N785" s="1">
        <v>1126</v>
      </c>
      <c r="O785" s="1">
        <v>3135</v>
      </c>
      <c r="P785" s="1">
        <v>2009</v>
      </c>
      <c r="Q785" s="1" t="s">
        <v>42</v>
      </c>
      <c r="S785" s="1" t="s">
        <v>42</v>
      </c>
      <c r="T785" s="1" t="s">
        <v>170</v>
      </c>
      <c r="V785" s="5">
        <v>44373</v>
      </c>
      <c r="W785" s="5">
        <v>43315</v>
      </c>
      <c r="X785" s="1">
        <v>2125000</v>
      </c>
      <c r="Y785" s="1">
        <v>2125000</v>
      </c>
      <c r="Z785" s="5">
        <v>43315</v>
      </c>
      <c r="AA785" s="1">
        <v>2163781</v>
      </c>
      <c r="AB785" s="1" t="s">
        <v>181</v>
      </c>
      <c r="AC785" s="5">
        <v>43689</v>
      </c>
      <c r="AF785" s="1">
        <v>10010</v>
      </c>
      <c r="AI785" s="1" t="s">
        <v>75</v>
      </c>
      <c r="AJ785" s="1">
        <v>2016</v>
      </c>
      <c r="AK785" s="1" t="s">
        <v>73</v>
      </c>
      <c r="AL785" s="1">
        <v>140</v>
      </c>
    </row>
    <row r="786" spans="1:38" x14ac:dyDescent="0.2">
      <c r="A786" s="2" t="str">
        <f>HYPERLINK("https://www.compass.com/listing/121-east-22nd-street-unit-n1401-manhattan-ny-10010/34698003541513585/","121 E 22nd St, Unit N1401")</f>
        <v>121 E 22nd St, Unit N1401</v>
      </c>
      <c r="B786" s="2" t="str">
        <f t="shared" si="144"/>
        <v>121 E 22nd</v>
      </c>
      <c r="C786" s="1" t="s">
        <v>54</v>
      </c>
      <c r="D786" s="1" t="s">
        <v>41</v>
      </c>
      <c r="E786" s="3">
        <v>2112869</v>
      </c>
      <c r="F786" s="1">
        <v>2264.5967309753401</v>
      </c>
      <c r="G786" s="1">
        <v>3</v>
      </c>
      <c r="H786" s="1">
        <v>1</v>
      </c>
      <c r="I786" s="1">
        <v>2</v>
      </c>
      <c r="J786" s="1">
        <v>1.5</v>
      </c>
      <c r="K786" s="1">
        <v>1</v>
      </c>
      <c r="L786" s="1">
        <v>1</v>
      </c>
      <c r="M786" s="1">
        <v>933</v>
      </c>
      <c r="N786" s="1">
        <v>1098</v>
      </c>
      <c r="O786" s="1">
        <v>3054</v>
      </c>
      <c r="P786" s="1">
        <v>1956</v>
      </c>
      <c r="Q786" s="1" t="s">
        <v>42</v>
      </c>
      <c r="S786" s="1" t="s">
        <v>42</v>
      </c>
      <c r="T786" s="1" t="s">
        <v>170</v>
      </c>
      <c r="U786" s="1">
        <v>342</v>
      </c>
      <c r="V786" s="5">
        <v>44373</v>
      </c>
      <c r="W786" s="5">
        <v>42957</v>
      </c>
      <c r="X786" s="1">
        <v>2075000</v>
      </c>
      <c r="Y786" s="1">
        <v>2075000</v>
      </c>
      <c r="Z786" s="5">
        <v>43300</v>
      </c>
      <c r="AA786" s="1">
        <v>2112868.75</v>
      </c>
      <c r="AB786" s="1" t="s">
        <v>579</v>
      </c>
      <c r="AC786" s="5">
        <v>43607</v>
      </c>
      <c r="AF786" s="1">
        <v>10010</v>
      </c>
      <c r="AI786" s="1" t="s">
        <v>75</v>
      </c>
      <c r="AJ786" s="1">
        <v>2016</v>
      </c>
      <c r="AK786" s="1" t="s">
        <v>73</v>
      </c>
      <c r="AL786" s="1">
        <v>140</v>
      </c>
    </row>
    <row r="787" spans="1:38" x14ac:dyDescent="0.2">
      <c r="A787" s="2" t="str">
        <f>HYPERLINK("https://www.compass.com/listing/121-east-22nd-street-unit-n1403-manhattan-ny-10010/34698008700508417/","121 E 22nd St, Unit N1403")</f>
        <v>121 E 22nd St, Unit N1403</v>
      </c>
      <c r="B787" s="2" t="str">
        <f t="shared" si="144"/>
        <v>121 E 22nd</v>
      </c>
      <c r="C787" s="1" t="s">
        <v>54</v>
      </c>
      <c r="D787" s="1" t="s">
        <v>41</v>
      </c>
      <c r="E787" s="3">
        <v>2163781</v>
      </c>
      <c r="F787" s="1">
        <v>2192.2809017223899</v>
      </c>
      <c r="G787" s="1">
        <v>3</v>
      </c>
      <c r="H787" s="1">
        <v>1</v>
      </c>
      <c r="I787" s="1">
        <v>2</v>
      </c>
      <c r="J787" s="1">
        <v>1.5</v>
      </c>
      <c r="K787" s="1">
        <v>1</v>
      </c>
      <c r="L787" s="1">
        <v>1</v>
      </c>
      <c r="M787" s="1">
        <v>987</v>
      </c>
      <c r="N787" s="1">
        <v>1107</v>
      </c>
      <c r="O787" s="1">
        <v>3071</v>
      </c>
      <c r="P787" s="1">
        <v>1964</v>
      </c>
      <c r="Q787" s="1" t="s">
        <v>42</v>
      </c>
      <c r="S787" s="1" t="s">
        <v>42</v>
      </c>
      <c r="T787" s="1" t="s">
        <v>170</v>
      </c>
      <c r="U787" s="1">
        <v>11</v>
      </c>
      <c r="V787" s="5">
        <v>44057</v>
      </c>
      <c r="W787" s="5">
        <v>43446</v>
      </c>
      <c r="Y787" s="1">
        <v>2125000</v>
      </c>
      <c r="Z787" s="5">
        <v>43458</v>
      </c>
      <c r="AA787" s="1">
        <v>2163781.25</v>
      </c>
      <c r="AB787" s="1" t="s">
        <v>580</v>
      </c>
      <c r="AC787" s="5">
        <v>43606</v>
      </c>
      <c r="AF787" s="1">
        <v>10010</v>
      </c>
      <c r="AI787" s="1" t="s">
        <v>75</v>
      </c>
      <c r="AJ787" s="1">
        <v>2016</v>
      </c>
      <c r="AK787" s="1" t="s">
        <v>73</v>
      </c>
      <c r="AL787" s="1">
        <v>140</v>
      </c>
    </row>
    <row r="788" spans="1:38" x14ac:dyDescent="0.2">
      <c r="A788" s="2" t="str">
        <f>HYPERLINK("https://www.compass.com/listing/121-east-22nd-street-unit-n1501-manhattan-ny-10010/34698009581312433/","121 E 22nd St, Unit N1501")</f>
        <v>121 E 22nd St, Unit N1501</v>
      </c>
      <c r="B788" s="2" t="str">
        <f t="shared" si="144"/>
        <v>121 E 22nd</v>
      </c>
      <c r="C788" s="1" t="s">
        <v>54</v>
      </c>
      <c r="D788" s="1" t="s">
        <v>41</v>
      </c>
      <c r="E788" s="3">
        <v>2163781</v>
      </c>
      <c r="F788" s="1">
        <v>2319.16532690246</v>
      </c>
      <c r="G788" s="1">
        <v>3</v>
      </c>
      <c r="H788" s="1">
        <v>1</v>
      </c>
      <c r="I788" s="1">
        <v>2</v>
      </c>
      <c r="J788" s="1">
        <v>1.5</v>
      </c>
      <c r="K788" s="1">
        <v>1</v>
      </c>
      <c r="L788" s="1">
        <v>1</v>
      </c>
      <c r="M788" s="1">
        <v>933</v>
      </c>
      <c r="N788" s="1">
        <v>1107</v>
      </c>
      <c r="O788" s="1">
        <v>3080</v>
      </c>
      <c r="P788" s="1">
        <v>1973</v>
      </c>
      <c r="Q788" s="1" t="s">
        <v>42</v>
      </c>
      <c r="S788" s="1" t="s">
        <v>42</v>
      </c>
      <c r="T788" s="1" t="s">
        <v>170</v>
      </c>
      <c r="U788" s="1">
        <v>341</v>
      </c>
      <c r="V788" s="5">
        <v>44373</v>
      </c>
      <c r="W788" s="5">
        <v>42958</v>
      </c>
      <c r="X788" s="1">
        <v>2125000</v>
      </c>
      <c r="Y788" s="1">
        <v>2125000</v>
      </c>
      <c r="Z788" s="5">
        <v>43300</v>
      </c>
      <c r="AA788" s="1">
        <v>2163781.25</v>
      </c>
      <c r="AB788" s="1" t="s">
        <v>581</v>
      </c>
      <c r="AC788" s="5">
        <v>43608</v>
      </c>
      <c r="AF788" s="1">
        <v>10010</v>
      </c>
      <c r="AI788" s="1" t="s">
        <v>75</v>
      </c>
      <c r="AJ788" s="1">
        <v>2016</v>
      </c>
      <c r="AK788" s="1" t="s">
        <v>73</v>
      </c>
      <c r="AL788" s="1">
        <v>140</v>
      </c>
    </row>
    <row r="789" spans="1:38" x14ac:dyDescent="0.2">
      <c r="A789" s="2" t="str">
        <f>HYPERLINK("https://www.compass.com/listing/121-east-22nd-street-unit-s402-manhattan-ny-10010/34698102795418689/","121 E 22nd St, Unit S402")</f>
        <v>121 E 22nd St, Unit S402</v>
      </c>
      <c r="B789" s="2" t="str">
        <f t="shared" si="144"/>
        <v>121 E 22nd</v>
      </c>
      <c r="C789" s="1" t="s">
        <v>54</v>
      </c>
      <c r="D789" s="1" t="s">
        <v>41</v>
      </c>
      <c r="E789" s="3">
        <v>1950000</v>
      </c>
      <c r="F789" s="1">
        <v>1995.9058341862799</v>
      </c>
      <c r="G789" s="1">
        <v>3</v>
      </c>
      <c r="H789" s="1">
        <v>1</v>
      </c>
      <c r="I789" s="1">
        <v>2</v>
      </c>
      <c r="J789" s="1">
        <v>1.5</v>
      </c>
      <c r="K789" s="1">
        <v>1</v>
      </c>
      <c r="L789" s="1">
        <v>1</v>
      </c>
      <c r="M789" s="1">
        <v>977</v>
      </c>
      <c r="N789" s="1">
        <v>1007</v>
      </c>
      <c r="O789" s="1">
        <v>2783</v>
      </c>
      <c r="P789" s="1">
        <v>1776</v>
      </c>
      <c r="Q789" s="1" t="s">
        <v>42</v>
      </c>
      <c r="S789" s="1" t="s">
        <v>42</v>
      </c>
      <c r="T789" s="1" t="s">
        <v>170</v>
      </c>
      <c r="V789" s="5">
        <v>44373</v>
      </c>
      <c r="W789" s="5">
        <v>43315</v>
      </c>
      <c r="X789" s="1">
        <v>1950000</v>
      </c>
      <c r="Y789" s="1">
        <v>1950000</v>
      </c>
      <c r="Z789" s="5">
        <v>43315</v>
      </c>
      <c r="AA789" s="1">
        <v>1950000</v>
      </c>
      <c r="AB789" s="1" t="s">
        <v>181</v>
      </c>
      <c r="AC789" s="5">
        <v>43528</v>
      </c>
      <c r="AF789" s="1">
        <v>10010</v>
      </c>
      <c r="AI789" s="1" t="s">
        <v>75</v>
      </c>
      <c r="AJ789" s="1">
        <v>2016</v>
      </c>
      <c r="AK789" s="1" t="s">
        <v>73</v>
      </c>
      <c r="AL789" s="1">
        <v>140</v>
      </c>
    </row>
    <row r="790" spans="1:38" x14ac:dyDescent="0.2">
      <c r="A790" s="2" t="str">
        <f>HYPERLINK("https://www.compass.com/listing/121-east-22nd-street-unit-s602-manhattan-ny-10010/34698281808373377/","121 E 22nd St, Unit S602")</f>
        <v>121 E 22nd St, Unit S602</v>
      </c>
      <c r="B790" s="2" t="str">
        <f t="shared" si="144"/>
        <v>121 E 22nd</v>
      </c>
      <c r="C790" s="1" t="s">
        <v>54</v>
      </c>
      <c r="D790" s="1" t="s">
        <v>41</v>
      </c>
      <c r="E790" s="3">
        <v>1925000</v>
      </c>
      <c r="F790" s="1">
        <v>2037.0370370370299</v>
      </c>
      <c r="G790" s="1">
        <v>3</v>
      </c>
      <c r="H790" s="1">
        <v>1</v>
      </c>
      <c r="I790" s="1">
        <v>2</v>
      </c>
      <c r="J790" s="1">
        <v>1.5</v>
      </c>
      <c r="K790" s="1">
        <v>1</v>
      </c>
      <c r="L790" s="1">
        <v>1</v>
      </c>
      <c r="M790" s="1">
        <v>945</v>
      </c>
      <c r="N790" s="1">
        <v>991</v>
      </c>
      <c r="O790" s="1">
        <v>2742</v>
      </c>
      <c r="P790" s="1">
        <v>1751</v>
      </c>
      <c r="Q790" s="1" t="s">
        <v>42</v>
      </c>
      <c r="S790" s="1" t="s">
        <v>42</v>
      </c>
      <c r="T790" s="1" t="s">
        <v>170</v>
      </c>
      <c r="V790" s="5">
        <v>44373</v>
      </c>
      <c r="W790" s="5">
        <v>43315</v>
      </c>
      <c r="X790" s="1">
        <v>1925000</v>
      </c>
      <c r="Y790" s="1">
        <v>1925000</v>
      </c>
      <c r="Z790" s="5">
        <v>43315</v>
      </c>
      <c r="AA790" s="1">
        <v>1925000</v>
      </c>
      <c r="AB790" s="1" t="s">
        <v>181</v>
      </c>
      <c r="AC790" s="5">
        <v>43528</v>
      </c>
      <c r="AF790" s="1">
        <v>10010</v>
      </c>
      <c r="AI790" s="1" t="s">
        <v>75</v>
      </c>
      <c r="AJ790" s="1">
        <v>2016</v>
      </c>
      <c r="AK790" s="1" t="s">
        <v>73</v>
      </c>
      <c r="AL790" s="1">
        <v>140</v>
      </c>
    </row>
    <row r="791" spans="1:38" x14ac:dyDescent="0.2">
      <c r="A791" s="2" t="str">
        <f>HYPERLINK("https://www.compass.com/listing/121-east-22nd-street-unit-s802-manhattan-ny-10010/34698284870186225/","121 E 22nd St, Unit S802")</f>
        <v>121 E 22nd St, Unit S802</v>
      </c>
      <c r="B791" s="2" t="str">
        <f t="shared" si="144"/>
        <v>121 E 22nd</v>
      </c>
      <c r="C791" s="1" t="s">
        <v>54</v>
      </c>
      <c r="D791" s="1" t="s">
        <v>41</v>
      </c>
      <c r="E791" s="3">
        <v>2070000</v>
      </c>
      <c r="F791" s="1">
        <v>2118.7308085977402</v>
      </c>
      <c r="G791" s="1">
        <v>3</v>
      </c>
      <c r="H791" s="1">
        <v>1</v>
      </c>
      <c r="I791" s="1">
        <v>2</v>
      </c>
      <c r="J791" s="1">
        <v>1.5</v>
      </c>
      <c r="K791" s="1">
        <v>1</v>
      </c>
      <c r="L791" s="1">
        <v>1</v>
      </c>
      <c r="M791" s="1">
        <v>977</v>
      </c>
      <c r="N791" s="1">
        <v>1041</v>
      </c>
      <c r="O791" s="1">
        <v>2883</v>
      </c>
      <c r="P791" s="1">
        <v>1842</v>
      </c>
      <c r="Q791" s="1" t="s">
        <v>42</v>
      </c>
      <c r="S791" s="1" t="s">
        <v>42</v>
      </c>
      <c r="T791" s="1" t="s">
        <v>170</v>
      </c>
      <c r="V791" s="5">
        <v>44373</v>
      </c>
      <c r="W791" s="5">
        <v>43315</v>
      </c>
      <c r="X791" s="1">
        <v>2070000</v>
      </c>
      <c r="Y791" s="1">
        <v>2070000</v>
      </c>
      <c r="Z791" s="5">
        <v>43315</v>
      </c>
      <c r="AA791" s="1">
        <v>2070000</v>
      </c>
      <c r="AB791" s="1" t="s">
        <v>181</v>
      </c>
      <c r="AC791" s="5">
        <v>43505</v>
      </c>
      <c r="AF791" s="1">
        <v>10010</v>
      </c>
      <c r="AI791" s="1" t="s">
        <v>75</v>
      </c>
      <c r="AJ791" s="1">
        <v>2016</v>
      </c>
      <c r="AK791" s="1" t="s">
        <v>73</v>
      </c>
      <c r="AL791" s="1">
        <v>140</v>
      </c>
    </row>
    <row r="792" spans="1:38" x14ac:dyDescent="0.2">
      <c r="A792" s="2" t="str">
        <f>HYPERLINK("https://www.compass.com/listing/121-east-22nd-street-unit-s202-manhattan-ny-10010/34705177328007761/","121 E 22nd St, Unit S202")</f>
        <v>121 E 22nd St, Unit S202</v>
      </c>
      <c r="B792" s="2" t="str">
        <f t="shared" si="144"/>
        <v>121 E 22nd</v>
      </c>
      <c r="C792" s="1" t="s">
        <v>54</v>
      </c>
      <c r="D792" s="1" t="s">
        <v>41</v>
      </c>
      <c r="E792" s="3">
        <v>1906000</v>
      </c>
      <c r="F792" s="1">
        <v>1888.9990089197199</v>
      </c>
      <c r="G792" s="1">
        <v>3</v>
      </c>
      <c r="H792" s="1">
        <v>1</v>
      </c>
      <c r="I792" s="1">
        <v>2</v>
      </c>
      <c r="J792" s="1">
        <v>1.5</v>
      </c>
      <c r="K792" s="1">
        <v>1</v>
      </c>
      <c r="L792" s="1">
        <v>1</v>
      </c>
      <c r="M792" s="4">
        <v>1009</v>
      </c>
      <c r="N792" s="1">
        <v>1017</v>
      </c>
      <c r="O792" s="1">
        <v>2809</v>
      </c>
      <c r="P792" s="1">
        <v>1792</v>
      </c>
      <c r="Q792" s="1" t="s">
        <v>42</v>
      </c>
      <c r="S792" s="1" t="s">
        <v>42</v>
      </c>
      <c r="T792" s="1" t="s">
        <v>170</v>
      </c>
      <c r="U792" s="1">
        <v>524</v>
      </c>
      <c r="V792" s="5">
        <v>44057</v>
      </c>
      <c r="W792" s="5">
        <v>43019</v>
      </c>
      <c r="X792" s="1">
        <v>1945000</v>
      </c>
      <c r="Y792" s="1">
        <v>1945000</v>
      </c>
      <c r="Z792" s="5">
        <v>43543</v>
      </c>
      <c r="AA792" s="1">
        <v>1906000</v>
      </c>
      <c r="AB792" s="1" t="s">
        <v>181</v>
      </c>
      <c r="AC792" s="5">
        <v>43594</v>
      </c>
      <c r="AF792" s="1">
        <v>10010</v>
      </c>
      <c r="AI792" s="1" t="s">
        <v>75</v>
      </c>
      <c r="AJ792" s="1">
        <v>2016</v>
      </c>
      <c r="AK792" s="1" t="s">
        <v>73</v>
      </c>
      <c r="AL792" s="1">
        <v>140</v>
      </c>
    </row>
    <row r="793" spans="1:38" x14ac:dyDescent="0.2">
      <c r="A793" s="2" t="str">
        <f>HYPERLINK("https://www.compass.com/listing/121-east-22nd-street-unit-n808-manhattan-ny-10010/405767325815487985/","121 E 22nd St, Unit N808")</f>
        <v>121 E 22nd St, Unit N808</v>
      </c>
      <c r="B793" s="2" t="str">
        <f t="shared" si="144"/>
        <v>121 E 22nd</v>
      </c>
      <c r="C793" s="1" t="s">
        <v>54</v>
      </c>
      <c r="D793" s="1" t="s">
        <v>41</v>
      </c>
      <c r="E793" s="3">
        <v>2864541</v>
      </c>
      <c r="F793" s="1">
        <v>2043.1818116975701</v>
      </c>
      <c r="G793" s="1">
        <v>3</v>
      </c>
      <c r="H793" s="1">
        <v>2</v>
      </c>
      <c r="I793" s="1">
        <v>2</v>
      </c>
      <c r="J793" s="1">
        <v>2</v>
      </c>
      <c r="K793" s="1">
        <v>2</v>
      </c>
      <c r="M793" s="4">
        <v>1402</v>
      </c>
      <c r="N793" s="1">
        <v>1545</v>
      </c>
      <c r="O793" s="1">
        <v>4691</v>
      </c>
      <c r="P793" s="1">
        <v>3146</v>
      </c>
      <c r="Q793" s="1" t="s">
        <v>42</v>
      </c>
      <c r="S793" s="1" t="s">
        <v>42</v>
      </c>
      <c r="T793" s="1" t="s">
        <v>170</v>
      </c>
      <c r="U793" s="1">
        <v>61</v>
      </c>
      <c r="V793" s="5">
        <v>44334</v>
      </c>
      <c r="W793" s="5">
        <v>43812</v>
      </c>
      <c r="X793" s="1">
        <v>3020000</v>
      </c>
      <c r="Y793" s="1">
        <v>3020000</v>
      </c>
      <c r="Z793" s="5">
        <v>43874</v>
      </c>
      <c r="AA793" s="1">
        <v>2864540.9</v>
      </c>
      <c r="AB793" s="1" t="s">
        <v>582</v>
      </c>
      <c r="AC793" s="5">
        <v>43900</v>
      </c>
      <c r="AF793" s="1">
        <v>10010</v>
      </c>
      <c r="AI793" s="1" t="s">
        <v>75</v>
      </c>
      <c r="AJ793" s="1">
        <v>2016</v>
      </c>
      <c r="AK793" s="1" t="s">
        <v>73</v>
      </c>
      <c r="AL793" s="1">
        <v>140</v>
      </c>
    </row>
    <row r="794" spans="1:38" x14ac:dyDescent="0.2">
      <c r="A794" s="2" t="str">
        <f>HYPERLINK("https://www.compass.com/listing/100-barclay-street-unit-14b-manhattan-ny-10007/4852264245091376145/","100 Barclay St, Unit 14B")</f>
        <v>100 Barclay St, Unit 14B</v>
      </c>
      <c r="B794" s="2" t="str">
        <f t="shared" ref="B794:B795" si="145">HYPERLINK("https://www.compass.com/building/100-barclay-manhattan-ny/281896670466155525/","100 Barclay")</f>
        <v>100 Barclay</v>
      </c>
      <c r="C794" s="1" t="s">
        <v>40</v>
      </c>
      <c r="D794" s="1" t="s">
        <v>41</v>
      </c>
      <c r="E794" s="3">
        <v>6050000</v>
      </c>
      <c r="F794" s="1">
        <v>2473.4260016353201</v>
      </c>
      <c r="G794" s="1">
        <v>6</v>
      </c>
      <c r="H794" s="1">
        <v>3</v>
      </c>
      <c r="I794" s="1">
        <v>4</v>
      </c>
      <c r="J794" s="1">
        <v>3.5</v>
      </c>
      <c r="M794" s="4">
        <v>2446</v>
      </c>
      <c r="N794" s="1">
        <v>3470</v>
      </c>
      <c r="O794" s="1">
        <v>6789</v>
      </c>
      <c r="P794" s="1">
        <v>3319</v>
      </c>
      <c r="Q794" s="1" t="s">
        <v>42</v>
      </c>
      <c r="S794" s="1" t="s">
        <v>42</v>
      </c>
      <c r="T794" s="1" t="s">
        <v>170</v>
      </c>
      <c r="V794" s="5">
        <v>43668</v>
      </c>
      <c r="W794" s="5">
        <v>42463</v>
      </c>
      <c r="X794" s="1">
        <v>6611000</v>
      </c>
      <c r="Y794" s="1">
        <v>6611000</v>
      </c>
      <c r="Z794" s="5">
        <v>42463</v>
      </c>
      <c r="AA794" s="1">
        <v>6050000</v>
      </c>
      <c r="AB794" s="1" t="s">
        <v>181</v>
      </c>
      <c r="AC794" s="5">
        <v>42704</v>
      </c>
      <c r="AF794" s="1">
        <v>10007</v>
      </c>
      <c r="AI794" s="1" t="s">
        <v>88</v>
      </c>
      <c r="AJ794" s="1">
        <v>1930</v>
      </c>
      <c r="AK794" s="1" t="s">
        <v>73</v>
      </c>
      <c r="AL794" s="1">
        <v>156</v>
      </c>
    </row>
    <row r="795" spans="1:38" x14ac:dyDescent="0.2">
      <c r="A795" s="2" t="str">
        <f>HYPERLINK("https://www.compass.com/listing/100-barclay-street-unit-21d-manhattan-ny-10007/4852308912382152497/","100 Barclay St, Unit 21D")</f>
        <v>100 Barclay St, Unit 21D</v>
      </c>
      <c r="B795" s="2" t="str">
        <f t="shared" si="145"/>
        <v>100 Barclay</v>
      </c>
      <c r="C795" s="1" t="s">
        <v>40</v>
      </c>
      <c r="D795" s="1" t="s">
        <v>41</v>
      </c>
      <c r="E795" s="3">
        <v>6500000</v>
      </c>
      <c r="F795" s="1">
        <v>2781.3436029097102</v>
      </c>
      <c r="G795" s="1">
        <v>7</v>
      </c>
      <c r="H795" s="1">
        <v>3</v>
      </c>
      <c r="I795" s="1">
        <v>4</v>
      </c>
      <c r="J795" s="1">
        <v>3.5</v>
      </c>
      <c r="M795" s="4">
        <v>2337</v>
      </c>
      <c r="N795" s="1">
        <v>3247</v>
      </c>
      <c r="O795" s="1">
        <v>6352</v>
      </c>
      <c r="P795" s="1">
        <v>3105</v>
      </c>
      <c r="Q795" s="1" t="s">
        <v>42</v>
      </c>
      <c r="S795" s="1" t="s">
        <v>42</v>
      </c>
      <c r="T795" s="1" t="s">
        <v>170</v>
      </c>
      <c r="V795" s="5">
        <v>43626</v>
      </c>
      <c r="W795" s="5">
        <v>42497</v>
      </c>
      <c r="X795" s="1">
        <v>6500000</v>
      </c>
      <c r="Y795" s="1">
        <v>6500000</v>
      </c>
      <c r="Z795" s="5">
        <v>42497</v>
      </c>
      <c r="AA795" s="1">
        <v>6500000</v>
      </c>
      <c r="AB795" s="1" t="s">
        <v>181</v>
      </c>
      <c r="AC795" s="5">
        <v>42810</v>
      </c>
      <c r="AF795" s="1">
        <v>10007</v>
      </c>
      <c r="AI795" s="1" t="s">
        <v>88</v>
      </c>
      <c r="AJ795" s="1">
        <v>1930</v>
      </c>
      <c r="AK795" s="1" t="s">
        <v>46</v>
      </c>
      <c r="AL795" s="1">
        <v>156</v>
      </c>
    </row>
    <row r="796" spans="1:38" x14ac:dyDescent="0.2">
      <c r="A796" s="2" t="str">
        <f>HYPERLINK("https://www.compass.com/listing/121-east-22nd-street-unit-n805-manhattan-ny-10010/34697266417664577/","121 E 22nd St, Unit N805")</f>
        <v>121 E 22nd St, Unit N805</v>
      </c>
      <c r="B796" s="2" t="str">
        <f t="shared" ref="B796:B803" si="146">HYPERLINK("https://www.compass.com/building/121-e-22nd-manhattan-ny/292795784653461493/","121 E 22nd")</f>
        <v>121 E 22nd</v>
      </c>
      <c r="C796" s="1" t="s">
        <v>54</v>
      </c>
      <c r="D796" s="1" t="s">
        <v>41</v>
      </c>
      <c r="E796" s="3">
        <v>1751390</v>
      </c>
      <c r="F796" s="1">
        <v>2222.5761421319799</v>
      </c>
      <c r="G796" s="1">
        <v>3</v>
      </c>
      <c r="H796" s="1">
        <v>1</v>
      </c>
      <c r="I796" s="1">
        <v>1</v>
      </c>
      <c r="J796" s="1">
        <v>1</v>
      </c>
      <c r="K796" s="1">
        <v>1</v>
      </c>
      <c r="M796" s="1">
        <v>788</v>
      </c>
      <c r="N796" s="1">
        <v>855</v>
      </c>
      <c r="O796" s="1">
        <v>2370</v>
      </c>
      <c r="P796" s="1">
        <v>1515</v>
      </c>
      <c r="Q796" s="1" t="s">
        <v>42</v>
      </c>
      <c r="S796" s="1" t="s">
        <v>42</v>
      </c>
      <c r="T796" s="1" t="s">
        <v>170</v>
      </c>
      <c r="V796" s="5">
        <v>44373</v>
      </c>
      <c r="W796" s="5">
        <v>43315</v>
      </c>
      <c r="X796" s="1">
        <v>1720000</v>
      </c>
      <c r="Y796" s="1">
        <v>1720000</v>
      </c>
      <c r="Z796" s="5">
        <v>43315</v>
      </c>
      <c r="AA796" s="1">
        <v>1751390</v>
      </c>
      <c r="AB796" s="1" t="s">
        <v>583</v>
      </c>
      <c r="AC796" s="5">
        <v>43563</v>
      </c>
      <c r="AF796" s="1">
        <v>10010</v>
      </c>
      <c r="AI796" s="1" t="s">
        <v>75</v>
      </c>
      <c r="AJ796" s="1">
        <v>2016</v>
      </c>
      <c r="AK796" s="1" t="s">
        <v>73</v>
      </c>
      <c r="AL796" s="1">
        <v>140</v>
      </c>
    </row>
    <row r="797" spans="1:38" x14ac:dyDescent="0.2">
      <c r="A797" s="2" t="str">
        <f>HYPERLINK("https://www.compass.com/listing/121-east-22nd-street-unit-n1105-manhattan-ny-10010/34698239789813265/","121 E 22nd St, Unit N1105")</f>
        <v>121 E 22nd St, Unit N1105</v>
      </c>
      <c r="B797" s="2" t="str">
        <f t="shared" si="146"/>
        <v>121 E 22nd</v>
      </c>
      <c r="C797" s="1" t="s">
        <v>54</v>
      </c>
      <c r="D797" s="1" t="s">
        <v>41</v>
      </c>
      <c r="E797" s="3">
        <v>1770000</v>
      </c>
      <c r="F797" s="1">
        <v>2246.1928934010102</v>
      </c>
      <c r="G797" s="1">
        <v>3</v>
      </c>
      <c r="H797" s="1">
        <v>1</v>
      </c>
      <c r="I797" s="1">
        <v>1</v>
      </c>
      <c r="J797" s="1">
        <v>1</v>
      </c>
      <c r="K797" s="1">
        <v>1</v>
      </c>
      <c r="M797" s="1">
        <v>788</v>
      </c>
      <c r="N797" s="1">
        <v>883</v>
      </c>
      <c r="O797" s="1">
        <v>2450</v>
      </c>
      <c r="P797" s="1">
        <v>1567</v>
      </c>
      <c r="Q797" s="1" t="s">
        <v>42</v>
      </c>
      <c r="S797" s="1" t="s">
        <v>42</v>
      </c>
      <c r="T797" s="1" t="s">
        <v>170</v>
      </c>
      <c r="V797" s="5">
        <v>44373</v>
      </c>
      <c r="W797" s="5">
        <v>43315</v>
      </c>
      <c r="X797" s="1">
        <v>1770000</v>
      </c>
      <c r="Y797" s="1">
        <v>1770000</v>
      </c>
      <c r="Z797" s="5">
        <v>43315</v>
      </c>
      <c r="AA797" s="1">
        <v>1770000</v>
      </c>
      <c r="AB797" s="1" t="s">
        <v>181</v>
      </c>
      <c r="AC797" s="5">
        <v>43594</v>
      </c>
      <c r="AF797" s="1">
        <v>10010</v>
      </c>
      <c r="AI797" s="1" t="s">
        <v>75</v>
      </c>
      <c r="AJ797" s="1">
        <v>2016</v>
      </c>
      <c r="AK797" s="1" t="s">
        <v>73</v>
      </c>
      <c r="AL797" s="1">
        <v>140</v>
      </c>
    </row>
    <row r="798" spans="1:38" x14ac:dyDescent="0.2">
      <c r="A798" s="2" t="str">
        <f>HYPERLINK("https://www.compass.com/listing/121-east-22nd-street-unit-n1104-manhattan-ny-10010/34698240033083073/","121 E 22nd St, Unit N1104")</f>
        <v>121 E 22nd St, Unit N1104</v>
      </c>
      <c r="B798" s="2" t="str">
        <f t="shared" si="146"/>
        <v>121 E 22nd</v>
      </c>
      <c r="C798" s="1" t="s">
        <v>54</v>
      </c>
      <c r="D798" s="1" t="s">
        <v>41</v>
      </c>
      <c r="E798" s="3">
        <v>1786011</v>
      </c>
      <c r="F798" s="1">
        <v>2289.7570512820498</v>
      </c>
      <c r="G798" s="1">
        <v>3</v>
      </c>
      <c r="H798" s="1">
        <v>1</v>
      </c>
      <c r="I798" s="1">
        <v>1</v>
      </c>
      <c r="J798" s="1">
        <v>1</v>
      </c>
      <c r="K798" s="1">
        <v>1</v>
      </c>
      <c r="M798" s="1">
        <v>780</v>
      </c>
      <c r="N798" s="1">
        <v>875</v>
      </c>
      <c r="O798" s="1">
        <v>2429</v>
      </c>
      <c r="P798" s="1">
        <v>1554</v>
      </c>
      <c r="Q798" s="1" t="s">
        <v>42</v>
      </c>
      <c r="S798" s="1" t="s">
        <v>42</v>
      </c>
      <c r="T798" s="1" t="s">
        <v>170</v>
      </c>
      <c r="V798" s="5">
        <v>44373</v>
      </c>
      <c r="W798" s="5">
        <v>43315</v>
      </c>
      <c r="X798" s="1">
        <v>1754000</v>
      </c>
      <c r="Y798" s="1">
        <v>1754000</v>
      </c>
      <c r="Z798" s="5">
        <v>43315</v>
      </c>
      <c r="AA798" s="1">
        <v>1786010.5</v>
      </c>
      <c r="AB798" s="1" t="s">
        <v>584</v>
      </c>
      <c r="AC798" s="5">
        <v>43585</v>
      </c>
      <c r="AF798" s="1">
        <v>10010</v>
      </c>
      <c r="AI798" s="1" t="s">
        <v>75</v>
      </c>
      <c r="AJ798" s="1">
        <v>2016</v>
      </c>
      <c r="AK798" s="1" t="s">
        <v>73</v>
      </c>
      <c r="AL798" s="1">
        <v>140</v>
      </c>
    </row>
    <row r="799" spans="1:38" x14ac:dyDescent="0.2">
      <c r="A799" s="2" t="str">
        <f>HYPERLINK("https://www.compass.com/listing/121-east-22nd-street-unit-n1205-manhattan-ny-10010/34698281548326401/","121 E 22nd St, Unit N1205")</f>
        <v>121 E 22nd St, Unit N1205</v>
      </c>
      <c r="B799" s="2" t="str">
        <f t="shared" si="146"/>
        <v>121 E 22nd</v>
      </c>
      <c r="C799" s="1" t="s">
        <v>54</v>
      </c>
      <c r="D799" s="1" t="s">
        <v>41</v>
      </c>
      <c r="E799" s="3">
        <v>1827759</v>
      </c>
      <c r="F799" s="1">
        <v>2319.4907994923801</v>
      </c>
      <c r="G799" s="1">
        <v>3</v>
      </c>
      <c r="H799" s="1">
        <v>1</v>
      </c>
      <c r="I799" s="1">
        <v>1</v>
      </c>
      <c r="J799" s="1">
        <v>1</v>
      </c>
      <c r="K799" s="1">
        <v>1</v>
      </c>
      <c r="M799" s="1">
        <v>788</v>
      </c>
      <c r="N799" s="1">
        <v>892</v>
      </c>
      <c r="O799" s="1">
        <v>2477</v>
      </c>
      <c r="P799" s="1">
        <v>1585</v>
      </c>
      <c r="Q799" s="1" t="s">
        <v>42</v>
      </c>
      <c r="S799" s="1" t="s">
        <v>42</v>
      </c>
      <c r="T799" s="1" t="s">
        <v>170</v>
      </c>
      <c r="V799" s="5">
        <v>44373</v>
      </c>
      <c r="W799" s="5">
        <v>43315</v>
      </c>
      <c r="X799" s="1">
        <v>1795000</v>
      </c>
      <c r="Y799" s="1">
        <v>1795000</v>
      </c>
      <c r="Z799" s="5">
        <v>43315</v>
      </c>
      <c r="AA799" s="1">
        <v>1827758.75</v>
      </c>
      <c r="AB799" s="1" t="s">
        <v>585</v>
      </c>
      <c r="AC799" s="5">
        <v>43580</v>
      </c>
      <c r="AF799" s="1">
        <v>10010</v>
      </c>
      <c r="AI799" s="1" t="s">
        <v>75</v>
      </c>
      <c r="AJ799" s="1">
        <v>2016</v>
      </c>
      <c r="AK799" s="1" t="s">
        <v>73</v>
      </c>
      <c r="AL799" s="1">
        <v>140</v>
      </c>
    </row>
    <row r="800" spans="1:38" x14ac:dyDescent="0.2">
      <c r="A800" s="2" t="str">
        <f>HYPERLINK("https://www.compass.com/listing/121-east-22nd-street-unit-n1005-manhattan-ny-10010/34698282311690129/","121 E 22nd St, Unit N1005")</f>
        <v>121 E 22nd St, Unit N1005</v>
      </c>
      <c r="B800" s="2" t="str">
        <f t="shared" si="146"/>
        <v>121 E 22nd</v>
      </c>
      <c r="C800" s="1" t="s">
        <v>54</v>
      </c>
      <c r="D800" s="1" t="s">
        <v>41</v>
      </c>
      <c r="E800" s="3">
        <v>1776846</v>
      </c>
      <c r="F800" s="1">
        <v>2254.8807106598902</v>
      </c>
      <c r="G800" s="1">
        <v>3</v>
      </c>
      <c r="H800" s="1">
        <v>1</v>
      </c>
      <c r="I800" s="1">
        <v>1</v>
      </c>
      <c r="J800" s="1">
        <v>1</v>
      </c>
      <c r="K800" s="1">
        <v>1</v>
      </c>
      <c r="M800" s="1">
        <v>788</v>
      </c>
      <c r="N800" s="1">
        <v>874</v>
      </c>
      <c r="O800" s="1">
        <v>2424</v>
      </c>
      <c r="P800" s="1">
        <v>1550</v>
      </c>
      <c r="Q800" s="1" t="s">
        <v>42</v>
      </c>
      <c r="S800" s="1" t="s">
        <v>42</v>
      </c>
      <c r="T800" s="1" t="s">
        <v>170</v>
      </c>
      <c r="V800" s="5">
        <v>44373</v>
      </c>
      <c r="W800" s="5">
        <v>43315</v>
      </c>
      <c r="X800" s="1">
        <v>1745000</v>
      </c>
      <c r="Y800" s="1">
        <v>1745000</v>
      </c>
      <c r="Z800" s="5">
        <v>43315</v>
      </c>
      <c r="AA800" s="1">
        <v>1776846</v>
      </c>
      <c r="AB800" s="1" t="s">
        <v>586</v>
      </c>
      <c r="AC800" s="5">
        <v>43582</v>
      </c>
      <c r="AF800" s="1">
        <v>10010</v>
      </c>
      <c r="AI800" s="1" t="s">
        <v>75</v>
      </c>
      <c r="AJ800" s="1">
        <v>2016</v>
      </c>
      <c r="AK800" s="1" t="s">
        <v>73</v>
      </c>
      <c r="AL800" s="1">
        <v>140</v>
      </c>
    </row>
    <row r="801" spans="1:38" x14ac:dyDescent="0.2">
      <c r="A801" s="2" t="str">
        <f>HYPERLINK("https://www.compass.com/listing/121-east-22nd-street-unit-n605-manhattan-ny-10010/34705303534670833/","121 E 22nd St, Unit N605")</f>
        <v>121 E 22nd St, Unit N605</v>
      </c>
      <c r="B801" s="2" t="str">
        <f t="shared" si="146"/>
        <v>121 E 22nd</v>
      </c>
      <c r="C801" s="1" t="s">
        <v>54</v>
      </c>
      <c r="D801" s="1" t="s">
        <v>41</v>
      </c>
      <c r="E801" s="3">
        <v>1736116</v>
      </c>
      <c r="F801" s="1">
        <v>2203.1928934010102</v>
      </c>
      <c r="G801" s="1">
        <v>3</v>
      </c>
      <c r="H801" s="1">
        <v>1</v>
      </c>
      <c r="I801" s="1">
        <v>1</v>
      </c>
      <c r="J801" s="1">
        <v>1</v>
      </c>
      <c r="K801" s="1">
        <v>1</v>
      </c>
      <c r="M801" s="1">
        <v>788</v>
      </c>
      <c r="N801" s="1">
        <v>837</v>
      </c>
      <c r="O801" s="1">
        <v>2317</v>
      </c>
      <c r="P801" s="1">
        <v>1480</v>
      </c>
      <c r="Q801" s="1" t="s">
        <v>42</v>
      </c>
      <c r="S801" s="1" t="s">
        <v>42</v>
      </c>
      <c r="T801" s="1" t="s">
        <v>170</v>
      </c>
      <c r="V801" s="5">
        <v>44373</v>
      </c>
      <c r="W801" s="5">
        <v>43315</v>
      </c>
      <c r="X801" s="1">
        <v>1705000</v>
      </c>
      <c r="Y801" s="1">
        <v>1705000</v>
      </c>
      <c r="Z801" s="5">
        <v>43315</v>
      </c>
      <c r="AA801" s="1">
        <v>1736116</v>
      </c>
      <c r="AB801" s="1" t="s">
        <v>587</v>
      </c>
      <c r="AC801" s="5">
        <v>43539</v>
      </c>
      <c r="AF801" s="1">
        <v>10010</v>
      </c>
      <c r="AI801" s="1" t="s">
        <v>75</v>
      </c>
      <c r="AJ801" s="1">
        <v>2016</v>
      </c>
      <c r="AK801" s="1" t="s">
        <v>73</v>
      </c>
      <c r="AL801" s="1">
        <v>140</v>
      </c>
    </row>
    <row r="802" spans="1:38" x14ac:dyDescent="0.2">
      <c r="A802" s="2" t="str">
        <f>HYPERLINK("https://www.compass.com/listing/121-east-22nd-street-unit-n1202-manhattan-ny-10010/733354552537953193/","121 E 22nd St, Unit N1202")</f>
        <v>121 E 22nd St, Unit N1202</v>
      </c>
      <c r="B802" s="2" t="str">
        <f t="shared" si="146"/>
        <v>121 E 22nd</v>
      </c>
      <c r="C802" s="1" t="s">
        <v>54</v>
      </c>
      <c r="D802" s="1" t="s">
        <v>41</v>
      </c>
      <c r="E802" s="3">
        <v>3448050</v>
      </c>
      <c r="F802" s="1">
        <v>2059.7670250895999</v>
      </c>
      <c r="G802" s="1">
        <v>3.5</v>
      </c>
      <c r="H802" s="1">
        <v>2</v>
      </c>
      <c r="I802" s="1">
        <v>3</v>
      </c>
      <c r="J802" s="1">
        <v>2.5</v>
      </c>
      <c r="K802" s="1">
        <v>2</v>
      </c>
      <c r="L802" s="1">
        <v>1</v>
      </c>
      <c r="M802" s="4">
        <v>1674</v>
      </c>
      <c r="N802" s="1">
        <v>1876</v>
      </c>
      <c r="O802" s="1">
        <v>5650</v>
      </c>
      <c r="P802" s="1">
        <v>3774</v>
      </c>
      <c r="Q802" s="1" t="s">
        <v>42</v>
      </c>
      <c r="S802" s="1" t="s">
        <v>42</v>
      </c>
      <c r="T802" s="1" t="s">
        <v>170</v>
      </c>
      <c r="V802" s="5">
        <v>44326</v>
      </c>
      <c r="W802" s="5">
        <v>44264</v>
      </c>
      <c r="X802" s="1">
        <v>3810000</v>
      </c>
      <c r="Y802" s="1">
        <v>3810000</v>
      </c>
      <c r="Z802" s="5">
        <v>44264</v>
      </c>
      <c r="AA802" s="1">
        <v>3448050</v>
      </c>
      <c r="AB802" s="1" t="s">
        <v>181</v>
      </c>
      <c r="AC802" s="5">
        <v>44326</v>
      </c>
      <c r="AF802" s="1">
        <v>10010</v>
      </c>
      <c r="AI802" s="1" t="s">
        <v>78</v>
      </c>
      <c r="AJ802" s="1">
        <v>2016</v>
      </c>
      <c r="AK802" s="1" t="s">
        <v>73</v>
      </c>
      <c r="AL802" s="1">
        <v>140</v>
      </c>
    </row>
    <row r="803" spans="1:38" x14ac:dyDescent="0.2">
      <c r="A803" s="2" t="str">
        <f>HYPERLINK("https://www.compass.com/listing/121-east-22nd-street-unit-s403-manhattan-ny-10010/733370330091802289/","121 E 22nd St, Unit S403")</f>
        <v>121 E 22nd St, Unit S403</v>
      </c>
      <c r="B803" s="2" t="str">
        <f t="shared" si="146"/>
        <v>121 E 22nd</v>
      </c>
      <c r="C803" s="1" t="s">
        <v>54</v>
      </c>
      <c r="D803" s="1" t="s">
        <v>41</v>
      </c>
      <c r="E803" s="3">
        <v>3315000</v>
      </c>
      <c r="F803" s="1">
        <v>2144.2432082794298</v>
      </c>
      <c r="G803" s="1">
        <v>4</v>
      </c>
      <c r="H803" s="1">
        <v>2</v>
      </c>
      <c r="I803" s="1">
        <v>3</v>
      </c>
      <c r="J803" s="1">
        <v>2.5</v>
      </c>
      <c r="K803" s="1">
        <v>2</v>
      </c>
      <c r="L803" s="1">
        <v>1</v>
      </c>
      <c r="M803" s="4">
        <v>1546</v>
      </c>
      <c r="N803" s="1">
        <v>1628</v>
      </c>
      <c r="O803" s="1">
        <v>4885</v>
      </c>
      <c r="P803" s="1">
        <v>3257</v>
      </c>
      <c r="Q803" s="1" t="s">
        <v>42</v>
      </c>
      <c r="S803" s="1" t="s">
        <v>42</v>
      </c>
      <c r="T803" s="1" t="s">
        <v>170</v>
      </c>
      <c r="U803" s="1">
        <v>45</v>
      </c>
      <c r="V803" s="5">
        <v>44385</v>
      </c>
      <c r="W803" s="5">
        <v>44264</v>
      </c>
      <c r="X803" s="1">
        <v>3315000</v>
      </c>
      <c r="Y803" s="1">
        <v>3315000</v>
      </c>
      <c r="Z803" s="5">
        <v>44310</v>
      </c>
      <c r="AA803" s="1">
        <v>3315000</v>
      </c>
      <c r="AB803" s="1" t="s">
        <v>181</v>
      </c>
      <c r="AC803" s="5">
        <v>44385</v>
      </c>
      <c r="AF803" s="1">
        <v>10010</v>
      </c>
      <c r="AI803" s="1" t="s">
        <v>78</v>
      </c>
      <c r="AJ803" s="1">
        <v>2016</v>
      </c>
      <c r="AK803" s="1" t="s">
        <v>73</v>
      </c>
      <c r="AL803" s="1">
        <v>140</v>
      </c>
    </row>
    <row r="804" spans="1:38" x14ac:dyDescent="0.2">
      <c r="A804" s="2" t="str">
        <f>HYPERLINK("https://www.compass.com/listing/200-east-21st-street-unit-7e-manhattan-ny-10010/780478610270733209/","200 E 21st St, Unit 7E")</f>
        <v>200 E 21st St, Unit 7E</v>
      </c>
      <c r="B804" s="2" t="str">
        <f>HYPERLINK("https://www.compass.com/building/200-east-21st-street-manhattan-ny/292796762689658005/","200 East 21st Street")</f>
        <v>200 East 21st Street</v>
      </c>
      <c r="C804" s="1" t="s">
        <v>54</v>
      </c>
      <c r="D804" s="1" t="s">
        <v>41</v>
      </c>
      <c r="E804" s="3">
        <v>1725000</v>
      </c>
      <c r="F804" s="1">
        <v>1674.7572815533899</v>
      </c>
      <c r="G804" s="1">
        <v>2</v>
      </c>
      <c r="H804" s="1">
        <v>1</v>
      </c>
      <c r="I804" s="1">
        <v>1</v>
      </c>
      <c r="J804" s="1">
        <v>1</v>
      </c>
      <c r="K804" s="1">
        <v>1</v>
      </c>
      <c r="M804" s="4">
        <v>1030</v>
      </c>
      <c r="N804" s="1">
        <v>987</v>
      </c>
      <c r="O804" s="1">
        <v>2194</v>
      </c>
      <c r="P804" s="1">
        <v>1207</v>
      </c>
      <c r="Q804" s="1" t="s">
        <v>42</v>
      </c>
      <c r="S804" s="1" t="s">
        <v>42</v>
      </c>
      <c r="T804" s="1" t="s">
        <v>170</v>
      </c>
      <c r="U804" s="1">
        <v>1</v>
      </c>
      <c r="V804" s="5">
        <v>44344</v>
      </c>
      <c r="W804" s="5">
        <v>44328</v>
      </c>
      <c r="X804" s="1">
        <v>1725000</v>
      </c>
      <c r="Y804" s="1">
        <v>1725000</v>
      </c>
      <c r="Z804" s="5">
        <v>44330</v>
      </c>
      <c r="AA804" s="1">
        <v>1725000</v>
      </c>
      <c r="AB804" s="1" t="s">
        <v>588</v>
      </c>
      <c r="AC804" s="5">
        <v>44343</v>
      </c>
      <c r="AF804" s="1">
        <v>10010</v>
      </c>
      <c r="AI804" s="1" t="s">
        <v>86</v>
      </c>
      <c r="AJ804" s="1">
        <v>2018</v>
      </c>
      <c r="AK804" s="1" t="s">
        <v>87</v>
      </c>
      <c r="AL804" s="1">
        <v>67</v>
      </c>
    </row>
    <row r="805" spans="1:38" x14ac:dyDescent="0.2">
      <c r="A805" s="2" t="str">
        <f>HYPERLINK("https://www.compass.com/listing/121-east-22nd-street-unit-n1107-manhattan-ny-10010/662955922148406081/","121 E 22nd St, Unit N1107")</f>
        <v>121 E 22nd St, Unit N1107</v>
      </c>
      <c r="B805" s="2" t="str">
        <f t="shared" ref="B805:B823" si="147">HYPERLINK("https://www.compass.com/building/121-e-22nd-manhattan-ny/292795784653461493/","121 E 22nd")</f>
        <v>121 E 22nd</v>
      </c>
      <c r="C805" s="1" t="s">
        <v>54</v>
      </c>
      <c r="D805" s="1" t="s">
        <v>41</v>
      </c>
      <c r="E805" s="3">
        <v>3780000</v>
      </c>
      <c r="F805" s="1">
        <v>2214.4112478031602</v>
      </c>
      <c r="G805" s="1">
        <v>4.5</v>
      </c>
      <c r="H805" s="1">
        <v>2</v>
      </c>
      <c r="I805" s="1">
        <v>3</v>
      </c>
      <c r="J805" s="1">
        <v>2.5</v>
      </c>
      <c r="K805" s="1">
        <v>2</v>
      </c>
      <c r="L805" s="1">
        <v>1</v>
      </c>
      <c r="M805" s="4">
        <v>1707</v>
      </c>
      <c r="N805" s="1">
        <v>1782</v>
      </c>
      <c r="O805" s="1">
        <v>5350</v>
      </c>
      <c r="P805" s="1">
        <v>3568</v>
      </c>
      <c r="Q805" s="1" t="s">
        <v>42</v>
      </c>
      <c r="S805" s="1" t="s">
        <v>42</v>
      </c>
      <c r="T805" s="1" t="s">
        <v>170</v>
      </c>
      <c r="V805" s="5">
        <v>44351</v>
      </c>
      <c r="W805" s="5">
        <v>44166</v>
      </c>
      <c r="X805" s="1">
        <v>3780000</v>
      </c>
      <c r="Y805" s="1">
        <v>3780000</v>
      </c>
      <c r="Z805" s="5">
        <v>44166</v>
      </c>
      <c r="AA805" s="1">
        <v>3780000</v>
      </c>
      <c r="AB805" s="1" t="s">
        <v>181</v>
      </c>
      <c r="AC805" s="5">
        <v>44350</v>
      </c>
      <c r="AF805" s="1">
        <v>10010</v>
      </c>
      <c r="AI805" s="1" t="s">
        <v>75</v>
      </c>
      <c r="AJ805" s="1">
        <v>2016</v>
      </c>
      <c r="AK805" s="1" t="s">
        <v>73</v>
      </c>
      <c r="AL805" s="1">
        <v>140</v>
      </c>
    </row>
    <row r="806" spans="1:38" x14ac:dyDescent="0.2">
      <c r="A806" s="2" t="str">
        <f>HYPERLINK("https://www.compass.com/listing/121-east-22nd-street-unit-n1705-manhattan-ny-10010/149113440143762369/","121 E 22nd St, Unit N1705")</f>
        <v>121 E 22nd St, Unit N1705</v>
      </c>
      <c r="B806" s="2" t="str">
        <f t="shared" si="147"/>
        <v>121 E 22nd</v>
      </c>
      <c r="C806" s="1" t="s">
        <v>54</v>
      </c>
      <c r="D806" s="1" t="s">
        <v>41</v>
      </c>
      <c r="E806" s="3">
        <v>4220646</v>
      </c>
      <c r="F806" s="1">
        <v>2515.2836710369402</v>
      </c>
      <c r="G806" s="1">
        <v>4</v>
      </c>
      <c r="H806" s="1">
        <v>2</v>
      </c>
      <c r="I806" s="1">
        <v>3</v>
      </c>
      <c r="J806" s="1">
        <v>2.5</v>
      </c>
      <c r="K806" s="1">
        <v>2</v>
      </c>
      <c r="L806" s="1">
        <v>1</v>
      </c>
      <c r="M806" s="4">
        <v>1678</v>
      </c>
      <c r="N806" s="1">
        <v>1901</v>
      </c>
      <c r="O806" s="1">
        <v>5289</v>
      </c>
      <c r="P806" s="1">
        <v>3388</v>
      </c>
      <c r="Q806" s="1" t="s">
        <v>42</v>
      </c>
      <c r="S806" s="1" t="s">
        <v>42</v>
      </c>
      <c r="T806" s="1" t="s">
        <v>170</v>
      </c>
      <c r="V806" s="5">
        <v>44334</v>
      </c>
      <c r="W806" s="5">
        <v>43458</v>
      </c>
      <c r="X806" s="1">
        <v>4245000</v>
      </c>
      <c r="Y806" s="1">
        <v>4245000</v>
      </c>
      <c r="Z806" s="5">
        <v>43458</v>
      </c>
      <c r="AA806" s="1">
        <v>4220646</v>
      </c>
      <c r="AB806" s="1" t="s">
        <v>181</v>
      </c>
      <c r="AC806" s="5">
        <v>43685</v>
      </c>
      <c r="AF806" s="1">
        <v>10010</v>
      </c>
      <c r="AI806" s="1" t="s">
        <v>75</v>
      </c>
      <c r="AJ806" s="1">
        <v>2016</v>
      </c>
      <c r="AK806" s="1" t="s">
        <v>73</v>
      </c>
      <c r="AL806" s="1">
        <v>140</v>
      </c>
    </row>
    <row r="807" spans="1:38" x14ac:dyDescent="0.2">
      <c r="A807" s="2" t="str">
        <f>HYPERLINK("https://www.compass.com/listing/121-east-22nd-street-unit-n1201-manhattan-ny-10010/34698240226021089/","121 E 22nd St, Unit N1201")</f>
        <v>121 E 22nd St, Unit N1201</v>
      </c>
      <c r="B807" s="2" t="str">
        <f t="shared" si="147"/>
        <v>121 E 22nd</v>
      </c>
      <c r="C807" s="1" t="s">
        <v>54</v>
      </c>
      <c r="D807" s="1" t="s">
        <v>41</v>
      </c>
      <c r="E807" s="3">
        <v>3040000</v>
      </c>
      <c r="F807" s="1">
        <v>2246.8588322246801</v>
      </c>
      <c r="G807" s="1">
        <v>4</v>
      </c>
      <c r="H807" s="1">
        <v>2</v>
      </c>
      <c r="I807" s="1">
        <v>3</v>
      </c>
      <c r="J807" s="1">
        <v>2.5</v>
      </c>
      <c r="K807" s="1">
        <v>2</v>
      </c>
      <c r="L807" s="1">
        <v>1</v>
      </c>
      <c r="M807" s="4">
        <v>1353</v>
      </c>
      <c r="N807" s="1">
        <v>1493</v>
      </c>
      <c r="O807" s="1">
        <v>4140</v>
      </c>
      <c r="P807" s="1">
        <v>2647</v>
      </c>
      <c r="Q807" s="1" t="s">
        <v>42</v>
      </c>
      <c r="S807" s="1" t="s">
        <v>42</v>
      </c>
      <c r="T807" s="1" t="s">
        <v>170</v>
      </c>
      <c r="V807" s="5">
        <v>44373</v>
      </c>
      <c r="W807" s="5">
        <v>43315</v>
      </c>
      <c r="X807" s="1">
        <v>3040000</v>
      </c>
      <c r="Y807" s="1">
        <v>3040000</v>
      </c>
      <c r="Z807" s="5">
        <v>43315</v>
      </c>
      <c r="AA807" s="1">
        <v>3040000</v>
      </c>
      <c r="AB807" s="1" t="s">
        <v>181</v>
      </c>
      <c r="AC807" s="5">
        <v>43664</v>
      </c>
      <c r="AF807" s="1">
        <v>10010</v>
      </c>
      <c r="AI807" s="1" t="s">
        <v>78</v>
      </c>
      <c r="AJ807" s="1">
        <v>2016</v>
      </c>
      <c r="AK807" s="1" t="s">
        <v>73</v>
      </c>
      <c r="AL807" s="1">
        <v>140</v>
      </c>
    </row>
    <row r="808" spans="1:38" x14ac:dyDescent="0.2">
      <c r="A808" s="2" t="str">
        <f>HYPERLINK("https://www.compass.com/listing/121-east-22nd-street-unit-n306-manhattan-ny-10010/34705178015873777/","121 E 22nd St, Unit N306")</f>
        <v>121 E 22nd St, Unit N306</v>
      </c>
      <c r="B808" s="2" t="str">
        <f t="shared" si="147"/>
        <v>121 E 22nd</v>
      </c>
      <c r="C808" s="1" t="s">
        <v>54</v>
      </c>
      <c r="D808" s="1" t="s">
        <v>41</v>
      </c>
      <c r="E808" s="3">
        <v>3453250</v>
      </c>
      <c r="F808" s="1">
        <v>1947.6875352509801</v>
      </c>
      <c r="G808" s="1">
        <v>4</v>
      </c>
      <c r="H808" s="1">
        <v>2</v>
      </c>
      <c r="I808" s="1">
        <v>3</v>
      </c>
      <c r="J808" s="1">
        <v>2.5</v>
      </c>
      <c r="K808" s="1">
        <v>2</v>
      </c>
      <c r="L808" s="1">
        <v>1</v>
      </c>
      <c r="M808" s="4">
        <v>1773</v>
      </c>
      <c r="N808" s="1">
        <v>1779</v>
      </c>
      <c r="O808" s="1">
        <v>4910</v>
      </c>
      <c r="P808" s="1">
        <v>3131</v>
      </c>
      <c r="Q808" s="1" t="s">
        <v>42</v>
      </c>
      <c r="S808" s="1" t="s">
        <v>42</v>
      </c>
      <c r="T808" s="1" t="s">
        <v>170</v>
      </c>
      <c r="U808" s="1">
        <v>436</v>
      </c>
      <c r="V808" s="5">
        <v>44057</v>
      </c>
      <c r="W808" s="5">
        <v>43104</v>
      </c>
      <c r="X808" s="1">
        <v>3635000</v>
      </c>
      <c r="Y808" s="1">
        <v>3635000</v>
      </c>
      <c r="Z808" s="5">
        <v>43540</v>
      </c>
      <c r="AA808" s="1">
        <v>3453250</v>
      </c>
      <c r="AB808" s="1" t="s">
        <v>589</v>
      </c>
      <c r="AC808" s="5">
        <v>43553</v>
      </c>
      <c r="AF808" s="1">
        <v>10010</v>
      </c>
      <c r="AI808" s="1" t="s">
        <v>75</v>
      </c>
      <c r="AJ808" s="1">
        <v>2016</v>
      </c>
      <c r="AK808" s="1" t="s">
        <v>73</v>
      </c>
      <c r="AL808" s="1">
        <v>140</v>
      </c>
    </row>
    <row r="809" spans="1:38" x14ac:dyDescent="0.2">
      <c r="A809" s="2" t="str">
        <f>HYPERLINK("https://www.compass.com/listing/121-east-22nd-street-unit-n607-manhattan-ny-10010/408560773861845025/","121 E 22nd St, Unit N607")</f>
        <v>121 E 22nd St, Unit N607</v>
      </c>
      <c r="B809" s="2" t="str">
        <f t="shared" si="147"/>
        <v>121 E 22nd</v>
      </c>
      <c r="C809" s="1" t="s">
        <v>54</v>
      </c>
      <c r="D809" s="1" t="s">
        <v>41</v>
      </c>
      <c r="E809" s="3">
        <v>3270000</v>
      </c>
      <c r="F809" s="1">
        <v>1915.6414762741599</v>
      </c>
      <c r="G809" s="1">
        <v>4</v>
      </c>
      <c r="H809" s="1">
        <v>2</v>
      </c>
      <c r="I809" s="1">
        <v>3</v>
      </c>
      <c r="J809" s="1">
        <v>2.5</v>
      </c>
      <c r="K809" s="1">
        <v>2</v>
      </c>
      <c r="L809" s="1">
        <v>1</v>
      </c>
      <c r="M809" s="4">
        <v>1707</v>
      </c>
      <c r="N809" s="1">
        <v>1736</v>
      </c>
      <c r="O809" s="1">
        <v>5251</v>
      </c>
      <c r="P809" s="1">
        <v>3515</v>
      </c>
      <c r="Q809" s="1" t="s">
        <v>42</v>
      </c>
      <c r="S809" s="1" t="s">
        <v>42</v>
      </c>
      <c r="T809" s="1" t="s">
        <v>170</v>
      </c>
      <c r="V809" s="5">
        <v>44057</v>
      </c>
      <c r="W809" s="5">
        <v>43816</v>
      </c>
      <c r="X809" s="1">
        <v>3570000</v>
      </c>
      <c r="Y809" s="1">
        <v>3605000</v>
      </c>
      <c r="AA809" s="1">
        <v>3270000</v>
      </c>
      <c r="AB809" s="1" t="s">
        <v>590</v>
      </c>
      <c r="AC809" s="5">
        <v>43928</v>
      </c>
      <c r="AF809" s="1">
        <v>10010</v>
      </c>
      <c r="AI809" s="1" t="s">
        <v>75</v>
      </c>
      <c r="AJ809" s="1">
        <v>2016</v>
      </c>
      <c r="AK809" s="1" t="s">
        <v>73</v>
      </c>
      <c r="AL809" s="1">
        <v>140</v>
      </c>
    </row>
    <row r="810" spans="1:38" x14ac:dyDescent="0.2">
      <c r="A810" s="2" t="str">
        <f>HYPERLINK("https://www.compass.com/listing/121-east-22nd-street-unit-n707-manhattan-ny-10010/467976723880310281/","121 E 22nd St, Unit N707")</f>
        <v>121 E 22nd St, Unit N707</v>
      </c>
      <c r="B810" s="2" t="str">
        <f t="shared" si="147"/>
        <v>121 E 22nd</v>
      </c>
      <c r="C810" s="1" t="s">
        <v>54</v>
      </c>
      <c r="D810" s="1" t="s">
        <v>41</v>
      </c>
      <c r="E810" s="3">
        <v>3100000</v>
      </c>
      <c r="F810" s="1">
        <v>1816.05155243116</v>
      </c>
      <c r="G810" s="1">
        <v>4.5</v>
      </c>
      <c r="H810" s="1">
        <v>2</v>
      </c>
      <c r="I810" s="1">
        <v>3</v>
      </c>
      <c r="J810" s="1">
        <v>2.5</v>
      </c>
      <c r="K810" s="1">
        <v>2</v>
      </c>
      <c r="L810" s="1">
        <v>1</v>
      </c>
      <c r="M810" s="4">
        <v>1707</v>
      </c>
      <c r="N810" s="1">
        <v>1745</v>
      </c>
      <c r="O810" s="1">
        <v>5234</v>
      </c>
      <c r="P810" s="1">
        <v>3489</v>
      </c>
      <c r="Q810" s="1" t="s">
        <v>42</v>
      </c>
      <c r="S810" s="1" t="s">
        <v>42</v>
      </c>
      <c r="T810" s="1" t="s">
        <v>170</v>
      </c>
      <c r="V810" s="5">
        <v>44258</v>
      </c>
      <c r="W810" s="5">
        <v>43898</v>
      </c>
      <c r="X810" s="1">
        <v>3350000</v>
      </c>
      <c r="Y810" s="1">
        <v>3350000</v>
      </c>
      <c r="Z810" s="5">
        <v>43898</v>
      </c>
      <c r="AA810" s="1">
        <v>3100000</v>
      </c>
      <c r="AB810" s="1" t="s">
        <v>591</v>
      </c>
      <c r="AC810" s="5">
        <v>44253</v>
      </c>
      <c r="AF810" s="1">
        <v>10010</v>
      </c>
      <c r="AI810" s="1" t="s">
        <v>75</v>
      </c>
      <c r="AJ810" s="1">
        <v>2016</v>
      </c>
      <c r="AK810" s="1" t="s">
        <v>73</v>
      </c>
      <c r="AL810" s="1">
        <v>140</v>
      </c>
    </row>
    <row r="811" spans="1:38" x14ac:dyDescent="0.2">
      <c r="A811" s="2" t="str">
        <f>HYPERLINK("https://www.compass.com/listing/121-east-22nd-street-unit-s603-manhattan-ny-10010/59996085631945809/","121 E 22nd St, Unit S603")</f>
        <v>121 E 22nd St, Unit S603</v>
      </c>
      <c r="B811" s="2" t="str">
        <f t="shared" si="147"/>
        <v>121 E 22nd</v>
      </c>
      <c r="C811" s="1" t="s">
        <v>54</v>
      </c>
      <c r="D811" s="1" t="s">
        <v>41</v>
      </c>
      <c r="E811" s="3">
        <v>3450000</v>
      </c>
      <c r="F811" s="1">
        <v>2120.4671173939701</v>
      </c>
      <c r="G811" s="1">
        <v>4</v>
      </c>
      <c r="H811" s="1">
        <v>2</v>
      </c>
      <c r="I811" s="1">
        <v>3</v>
      </c>
      <c r="J811" s="1">
        <v>2.5</v>
      </c>
      <c r="K811" s="1">
        <v>2</v>
      </c>
      <c r="L811" s="1">
        <v>1</v>
      </c>
      <c r="M811" s="4">
        <v>1627</v>
      </c>
      <c r="N811" s="1">
        <v>1693</v>
      </c>
      <c r="O811" s="1">
        <v>4682</v>
      </c>
      <c r="P811" s="1">
        <v>2989</v>
      </c>
      <c r="Q811" s="1" t="s">
        <v>42</v>
      </c>
      <c r="S811" s="1" t="s">
        <v>42</v>
      </c>
      <c r="T811" s="1" t="s">
        <v>170</v>
      </c>
      <c r="U811" s="1">
        <v>216</v>
      </c>
      <c r="V811" s="5">
        <v>44057</v>
      </c>
      <c r="W811" s="5">
        <v>43335</v>
      </c>
      <c r="X811" s="1">
        <v>3450000</v>
      </c>
      <c r="Y811" s="1">
        <v>3450000</v>
      </c>
      <c r="Z811" s="5">
        <v>43551</v>
      </c>
      <c r="AA811" s="1">
        <v>3450000</v>
      </c>
      <c r="AB811" s="1" t="s">
        <v>181</v>
      </c>
      <c r="AC811" s="5">
        <v>43594</v>
      </c>
      <c r="AF811" s="1">
        <v>10010</v>
      </c>
      <c r="AI811" s="1" t="s">
        <v>78</v>
      </c>
      <c r="AJ811" s="1">
        <v>2016</v>
      </c>
      <c r="AK811" s="1" t="s">
        <v>73</v>
      </c>
      <c r="AL811" s="1">
        <v>140</v>
      </c>
    </row>
    <row r="812" spans="1:38" x14ac:dyDescent="0.2">
      <c r="A812" s="2" t="str">
        <f>HYPERLINK("https://www.compass.com/listing/121-east-22nd-street-unit-n1504-manhattan-ny-10010/34697365285798801/","121 E 22nd St, Unit N1504")</f>
        <v>121 E 22nd St, Unit N1504</v>
      </c>
      <c r="B812" s="2" t="str">
        <f t="shared" si="147"/>
        <v>121 E 22nd</v>
      </c>
      <c r="C812" s="1" t="s">
        <v>54</v>
      </c>
      <c r="D812" s="1" t="s">
        <v>41</v>
      </c>
      <c r="E812" s="3">
        <v>2428526</v>
      </c>
      <c r="F812" s="1">
        <v>2152.9488031914798</v>
      </c>
      <c r="G812" s="1">
        <v>3</v>
      </c>
      <c r="H812" s="1">
        <v>1</v>
      </c>
      <c r="I812" s="1">
        <v>2</v>
      </c>
      <c r="J812" s="1">
        <v>1.5</v>
      </c>
      <c r="K812" s="1">
        <v>1</v>
      </c>
      <c r="L812" s="1">
        <v>1</v>
      </c>
      <c r="M812" s="4">
        <v>1128</v>
      </c>
      <c r="N812" s="1">
        <v>1263</v>
      </c>
      <c r="O812" s="1">
        <v>3504</v>
      </c>
      <c r="P812" s="1">
        <v>2241</v>
      </c>
      <c r="Q812" s="1" t="s">
        <v>42</v>
      </c>
      <c r="S812" s="1" t="s">
        <v>42</v>
      </c>
      <c r="T812" s="1" t="s">
        <v>170</v>
      </c>
      <c r="U812" s="1">
        <v>539</v>
      </c>
      <c r="V812" s="5">
        <v>44373</v>
      </c>
      <c r="W812" s="5">
        <v>42760</v>
      </c>
      <c r="X812" s="1">
        <v>2385000</v>
      </c>
      <c r="Y812" s="1">
        <v>2385000</v>
      </c>
      <c r="Z812" s="5">
        <v>43300</v>
      </c>
      <c r="AA812" s="1">
        <v>2428526.25</v>
      </c>
      <c r="AB812" s="1" t="s">
        <v>592</v>
      </c>
      <c r="AC812" s="5">
        <v>43605</v>
      </c>
      <c r="AF812" s="1">
        <v>10010</v>
      </c>
      <c r="AI812" s="1" t="s">
        <v>75</v>
      </c>
      <c r="AJ812" s="1">
        <v>2016</v>
      </c>
      <c r="AK812" s="1" t="s">
        <v>73</v>
      </c>
      <c r="AL812" s="1">
        <v>140</v>
      </c>
    </row>
    <row r="813" spans="1:38" x14ac:dyDescent="0.2">
      <c r="A813" s="2" t="str">
        <f>HYPERLINK("https://www.compass.com/listing/121-east-22nd-street-unit-n1601-manhattan-ny-10010/34698236031789777/","121 E 22nd St, Unit N1601")</f>
        <v>121 E 22nd St, Unit N1601</v>
      </c>
      <c r="B813" s="2" t="str">
        <f t="shared" si="147"/>
        <v>121 E 22nd</v>
      </c>
      <c r="C813" s="1" t="s">
        <v>54</v>
      </c>
      <c r="D813" s="1" t="s">
        <v>41</v>
      </c>
      <c r="E813" s="3">
        <v>2189237</v>
      </c>
      <c r="F813" s="1">
        <v>2346.4490889603399</v>
      </c>
      <c r="G813" s="1">
        <v>3</v>
      </c>
      <c r="H813" s="1">
        <v>1</v>
      </c>
      <c r="I813" s="1">
        <v>2</v>
      </c>
      <c r="J813" s="1">
        <v>1.5</v>
      </c>
      <c r="K813" s="1">
        <v>1</v>
      </c>
      <c r="L813" s="1">
        <v>1</v>
      </c>
      <c r="M813" s="1">
        <v>933</v>
      </c>
      <c r="N813" s="1">
        <v>1125</v>
      </c>
      <c r="O813" s="1">
        <v>3132</v>
      </c>
      <c r="P813" s="1">
        <v>2007</v>
      </c>
      <c r="Q813" s="1" t="s">
        <v>42</v>
      </c>
      <c r="S813" s="1" t="s">
        <v>42</v>
      </c>
      <c r="T813" s="1" t="s">
        <v>170</v>
      </c>
      <c r="V813" s="5">
        <v>44373</v>
      </c>
      <c r="W813" s="5">
        <v>43315</v>
      </c>
      <c r="X813" s="1">
        <v>2150000</v>
      </c>
      <c r="Y813" s="1">
        <v>2150000</v>
      </c>
      <c r="Z813" s="5">
        <v>43315</v>
      </c>
      <c r="AA813" s="1">
        <v>2189237</v>
      </c>
      <c r="AB813" s="1" t="s">
        <v>181</v>
      </c>
      <c r="AC813" s="5">
        <v>43685</v>
      </c>
      <c r="AF813" s="1">
        <v>10010</v>
      </c>
      <c r="AI813" s="1" t="s">
        <v>75</v>
      </c>
      <c r="AJ813" s="1">
        <v>2016</v>
      </c>
      <c r="AK813" s="1" t="s">
        <v>73</v>
      </c>
      <c r="AL813" s="1">
        <v>140</v>
      </c>
    </row>
    <row r="814" spans="1:38" x14ac:dyDescent="0.2">
      <c r="A814" s="2" t="str">
        <f>HYPERLINK("https://www.compass.com/listing/121-east-22nd-street-unit-n1405-manhattan-ny-10010/34698284501087297/","121 E 22nd St, Unit N1405")</f>
        <v>121 E 22nd St, Unit N1405</v>
      </c>
      <c r="B814" s="2" t="str">
        <f t="shared" si="147"/>
        <v>121 E 22nd</v>
      </c>
      <c r="C814" s="1" t="s">
        <v>54</v>
      </c>
      <c r="D814" s="1" t="s">
        <v>41</v>
      </c>
      <c r="E814" s="3">
        <v>2360000</v>
      </c>
      <c r="F814" s="1">
        <v>2101.5138023152199</v>
      </c>
      <c r="G814" s="1">
        <v>3</v>
      </c>
      <c r="H814" s="1">
        <v>1</v>
      </c>
      <c r="I814" s="1">
        <v>2</v>
      </c>
      <c r="J814" s="1">
        <v>1.5</v>
      </c>
      <c r="K814" s="1">
        <v>1</v>
      </c>
      <c r="L814" s="1">
        <v>1</v>
      </c>
      <c r="M814" s="4">
        <v>1123</v>
      </c>
      <c r="N814" s="1">
        <v>1241</v>
      </c>
      <c r="O814" s="1">
        <v>3441</v>
      </c>
      <c r="P814" s="1">
        <v>2200</v>
      </c>
      <c r="Q814" s="1" t="s">
        <v>42</v>
      </c>
      <c r="S814" s="1" t="s">
        <v>42</v>
      </c>
      <c r="T814" s="1" t="s">
        <v>170</v>
      </c>
      <c r="V814" s="5">
        <v>44373</v>
      </c>
      <c r="W814" s="5">
        <v>43315</v>
      </c>
      <c r="X814" s="1">
        <v>2360000</v>
      </c>
      <c r="Y814" s="1">
        <v>2360000</v>
      </c>
      <c r="Z814" s="5">
        <v>43315</v>
      </c>
      <c r="AA814" s="1">
        <v>2360000</v>
      </c>
      <c r="AB814" s="1" t="s">
        <v>181</v>
      </c>
      <c r="AC814" s="5">
        <v>43628</v>
      </c>
      <c r="AF814" s="1">
        <v>10010</v>
      </c>
      <c r="AI814" s="1" t="s">
        <v>75</v>
      </c>
      <c r="AJ814" s="1">
        <v>2016</v>
      </c>
      <c r="AK814" s="1" t="s">
        <v>73</v>
      </c>
      <c r="AL814" s="1">
        <v>140</v>
      </c>
    </row>
    <row r="815" spans="1:38" x14ac:dyDescent="0.2">
      <c r="A815" s="2" t="str">
        <f>HYPERLINK("https://www.compass.com/listing/121-east-22nd-street-unit-n1303-manhattan-ny-10010/34698324900635937/","121 E 22nd St, Unit N1303")</f>
        <v>121 E 22nd St, Unit N1303</v>
      </c>
      <c r="B815" s="2" t="str">
        <f t="shared" si="147"/>
        <v>121 E 22nd</v>
      </c>
      <c r="C815" s="1" t="s">
        <v>54</v>
      </c>
      <c r="D815" s="1" t="s">
        <v>41</v>
      </c>
      <c r="E815" s="3">
        <v>2367431</v>
      </c>
      <c r="F815" s="1">
        <v>2369.8008008008001</v>
      </c>
      <c r="G815" s="1">
        <v>3</v>
      </c>
      <c r="H815" s="1">
        <v>1</v>
      </c>
      <c r="I815" s="1">
        <v>2</v>
      </c>
      <c r="J815" s="1">
        <v>1.5</v>
      </c>
      <c r="K815" s="1">
        <v>1</v>
      </c>
      <c r="L815" s="1">
        <v>1</v>
      </c>
      <c r="M815" s="1">
        <v>999</v>
      </c>
      <c r="N815" s="1">
        <v>1388</v>
      </c>
      <c r="O815" s="1">
        <v>3886</v>
      </c>
      <c r="P815" s="1">
        <v>2498</v>
      </c>
      <c r="Q815" s="1" t="s">
        <v>42</v>
      </c>
      <c r="S815" s="1" t="s">
        <v>42</v>
      </c>
      <c r="T815" s="1" t="s">
        <v>170</v>
      </c>
      <c r="U815" s="1">
        <v>341</v>
      </c>
      <c r="V815" s="5">
        <v>44373</v>
      </c>
      <c r="W815" s="5">
        <v>42958</v>
      </c>
      <c r="X815" s="1">
        <v>2325000</v>
      </c>
      <c r="Y815" s="1">
        <v>2325000</v>
      </c>
      <c r="Z815" s="5">
        <v>43300</v>
      </c>
      <c r="AA815" s="1">
        <v>2367431</v>
      </c>
      <c r="AB815" s="1" t="s">
        <v>181</v>
      </c>
      <c r="AC815" s="5">
        <v>43601</v>
      </c>
      <c r="AF815" s="1">
        <v>10010</v>
      </c>
      <c r="AI815" s="1" t="s">
        <v>75</v>
      </c>
      <c r="AJ815" s="1">
        <v>2016</v>
      </c>
      <c r="AK815" s="1" t="s">
        <v>73</v>
      </c>
      <c r="AL815" s="1">
        <v>140</v>
      </c>
    </row>
    <row r="816" spans="1:38" x14ac:dyDescent="0.2">
      <c r="A816" s="2" t="str">
        <f>HYPERLINK("https://www.compass.com/listing/121-east-22nd-street-unit-n1301-manhattan-ny-10010/803424485730596345/","121 E 22nd St, Unit N1301")</f>
        <v>121 E 22nd St, Unit N1301</v>
      </c>
      <c r="B816" s="2" t="str">
        <f t="shared" si="147"/>
        <v>121 E 22nd</v>
      </c>
      <c r="C816" s="1" t="s">
        <v>54</v>
      </c>
      <c r="D816" s="1" t="s">
        <v>41</v>
      </c>
      <c r="E816" s="3">
        <v>2294320</v>
      </c>
      <c r="F816" s="1">
        <v>2459.0782422293601</v>
      </c>
      <c r="G816" s="1">
        <v>3</v>
      </c>
      <c r="H816" s="1">
        <v>1</v>
      </c>
      <c r="I816" s="1">
        <v>2</v>
      </c>
      <c r="J816" s="1">
        <v>1.5</v>
      </c>
      <c r="K816" s="1">
        <v>1</v>
      </c>
      <c r="L816" s="1">
        <v>1</v>
      </c>
      <c r="M816" s="1">
        <v>933</v>
      </c>
      <c r="N816" s="1">
        <v>1315</v>
      </c>
      <c r="O816" s="1">
        <v>3689</v>
      </c>
      <c r="P816" s="1">
        <v>2374</v>
      </c>
      <c r="Q816" s="1" t="s">
        <v>42</v>
      </c>
      <c r="S816" s="1" t="s">
        <v>42</v>
      </c>
      <c r="T816" s="1" t="s">
        <v>170</v>
      </c>
      <c r="U816" s="1">
        <v>342</v>
      </c>
      <c r="V816" s="5">
        <v>44373</v>
      </c>
      <c r="W816" s="5">
        <v>42957</v>
      </c>
      <c r="X816" s="1">
        <v>2250000</v>
      </c>
      <c r="Y816" s="1">
        <v>2250000</v>
      </c>
      <c r="Z816" s="5">
        <v>43300</v>
      </c>
      <c r="AA816" s="1">
        <v>2294320</v>
      </c>
      <c r="AB816" s="1" t="s">
        <v>181</v>
      </c>
      <c r="AC816" s="5">
        <v>43819</v>
      </c>
      <c r="AF816" s="1">
        <v>10010</v>
      </c>
      <c r="AI816" s="1" t="s">
        <v>75</v>
      </c>
      <c r="AJ816" s="1">
        <v>2016</v>
      </c>
      <c r="AK816" s="1" t="s">
        <v>73</v>
      </c>
      <c r="AL816" s="1">
        <v>140</v>
      </c>
    </row>
    <row r="817" spans="1:38" x14ac:dyDescent="0.2">
      <c r="A817" s="2" t="str">
        <f>HYPERLINK("https://www.compass.com/listing/121-east-22nd-street-unit-n1208-manhattan-ny-10010/613810832478180745/","121 E 22nd St, Unit N1208")</f>
        <v>121 E 22nd St, Unit N1208</v>
      </c>
      <c r="B817" s="2" t="str">
        <f t="shared" si="147"/>
        <v>121 E 22nd</v>
      </c>
      <c r="C817" s="1" t="s">
        <v>54</v>
      </c>
      <c r="D817" s="1" t="s">
        <v>41</v>
      </c>
      <c r="E817" s="3">
        <v>2907000</v>
      </c>
      <c r="F817" s="1">
        <v>2073.4664764621898</v>
      </c>
      <c r="G817" s="1">
        <v>3</v>
      </c>
      <c r="H817" s="1">
        <v>2</v>
      </c>
      <c r="I817" s="1">
        <v>2</v>
      </c>
      <c r="J817" s="1">
        <v>2</v>
      </c>
      <c r="K817" s="1">
        <v>2</v>
      </c>
      <c r="M817" s="4">
        <v>1402</v>
      </c>
      <c r="N817" s="1">
        <v>1582</v>
      </c>
      <c r="O817" s="1">
        <v>4809</v>
      </c>
      <c r="P817" s="1">
        <v>3227</v>
      </c>
      <c r="Q817" s="1" t="s">
        <v>42</v>
      </c>
      <c r="S817" s="1" t="s">
        <v>42</v>
      </c>
      <c r="T817" s="1" t="s">
        <v>170</v>
      </c>
      <c r="V817" s="5">
        <v>44099</v>
      </c>
      <c r="W817" s="5">
        <v>44099</v>
      </c>
      <c r="X817" s="1">
        <v>3160000</v>
      </c>
      <c r="Y817" s="1">
        <v>3160000</v>
      </c>
      <c r="AA817" s="1">
        <v>2907000</v>
      </c>
      <c r="AB817" s="1" t="s">
        <v>181</v>
      </c>
      <c r="AC817" s="5">
        <v>44099</v>
      </c>
      <c r="AF817" s="1">
        <v>10010</v>
      </c>
      <c r="AI817" s="1" t="s">
        <v>593</v>
      </c>
      <c r="AJ817" s="1">
        <v>2016</v>
      </c>
      <c r="AK817" s="1" t="s">
        <v>73</v>
      </c>
      <c r="AL817" s="1">
        <v>140</v>
      </c>
    </row>
    <row r="818" spans="1:38" x14ac:dyDescent="0.2">
      <c r="A818" s="2" t="str">
        <f>HYPERLINK("https://www.compass.com/listing/121-east-22nd-street-unit-n608-manhattan-ny-10010/246365070672558385/","121 E 22nd St, Unit N608")</f>
        <v>121 E 22nd St, Unit N608</v>
      </c>
      <c r="B818" s="2" t="str">
        <f t="shared" si="147"/>
        <v>121 E 22nd</v>
      </c>
      <c r="C818" s="1" t="s">
        <v>54</v>
      </c>
      <c r="D818" s="1" t="s">
        <v>41</v>
      </c>
      <c r="E818" s="3">
        <v>2790005</v>
      </c>
      <c r="F818" s="1">
        <v>1990.0178316690401</v>
      </c>
      <c r="G818" s="1">
        <v>3</v>
      </c>
      <c r="H818" s="1">
        <v>2</v>
      </c>
      <c r="I818" s="1">
        <v>2</v>
      </c>
      <c r="J818" s="1">
        <v>2</v>
      </c>
      <c r="K818" s="1">
        <v>2</v>
      </c>
      <c r="M818" s="4">
        <v>1402</v>
      </c>
      <c r="N818" s="1">
        <v>1528</v>
      </c>
      <c r="O818" s="1">
        <v>4245</v>
      </c>
      <c r="P818" s="1">
        <v>2717</v>
      </c>
      <c r="Q818" s="1" t="s">
        <v>42</v>
      </c>
      <c r="S818" s="1" t="s">
        <v>42</v>
      </c>
      <c r="T818" s="1" t="s">
        <v>170</v>
      </c>
      <c r="U818" s="1">
        <v>29</v>
      </c>
      <c r="V818" s="5">
        <v>44057</v>
      </c>
      <c r="W818" s="5">
        <v>43592</v>
      </c>
      <c r="X818" s="1">
        <v>2740000</v>
      </c>
      <c r="Y818" s="1">
        <v>2740000</v>
      </c>
      <c r="Z818" s="5">
        <v>43621</v>
      </c>
      <c r="AA818" s="1">
        <v>2790005</v>
      </c>
      <c r="AB818" s="1" t="s">
        <v>594</v>
      </c>
      <c r="AC818" s="5">
        <v>43644</v>
      </c>
      <c r="AF818" s="1">
        <v>10010</v>
      </c>
      <c r="AI818" s="1" t="s">
        <v>92</v>
      </c>
      <c r="AJ818" s="1">
        <v>2016</v>
      </c>
      <c r="AK818" s="1" t="s">
        <v>73</v>
      </c>
      <c r="AL818" s="1">
        <v>140</v>
      </c>
    </row>
    <row r="819" spans="1:38" x14ac:dyDescent="0.2">
      <c r="A819" s="2" t="str">
        <f>HYPERLINK("https://www.compass.com/listing/121-east-22nd-street-unit-n509-manhattan-ny-10010/267317942486628129/","121 E 22nd St, Unit N509")</f>
        <v>121 E 22nd St, Unit N509</v>
      </c>
      <c r="B819" s="2" t="str">
        <f t="shared" si="147"/>
        <v>121 E 22nd</v>
      </c>
      <c r="C819" s="1" t="s">
        <v>54</v>
      </c>
      <c r="D819" s="1" t="s">
        <v>41</v>
      </c>
      <c r="E819" s="3">
        <v>2721986</v>
      </c>
      <c r="F819" s="1">
        <v>1941.50213980028</v>
      </c>
      <c r="G819" s="1">
        <v>4</v>
      </c>
      <c r="H819" s="1">
        <v>2</v>
      </c>
      <c r="I819" s="1">
        <v>2</v>
      </c>
      <c r="J819" s="1">
        <v>2</v>
      </c>
      <c r="K819" s="1">
        <v>2</v>
      </c>
      <c r="M819" s="4">
        <v>1402</v>
      </c>
      <c r="N819" s="1">
        <v>1510</v>
      </c>
      <c r="O819" s="1">
        <v>4192</v>
      </c>
      <c r="P819" s="1">
        <v>2682</v>
      </c>
      <c r="Q819" s="1" t="s">
        <v>42</v>
      </c>
      <c r="S819" s="1" t="s">
        <v>42</v>
      </c>
      <c r="T819" s="1" t="s">
        <v>170</v>
      </c>
      <c r="U819" s="1">
        <v>55</v>
      </c>
      <c r="V819" s="5">
        <v>44334</v>
      </c>
      <c r="W819" s="5">
        <v>43621</v>
      </c>
      <c r="X819" s="1">
        <v>2670000</v>
      </c>
      <c r="Y819" s="1">
        <v>2670000</v>
      </c>
      <c r="Z819" s="5">
        <v>43676</v>
      </c>
      <c r="AA819" s="1">
        <v>2721986</v>
      </c>
      <c r="AB819" s="1" t="s">
        <v>595</v>
      </c>
      <c r="AC819" s="5">
        <v>43712</v>
      </c>
      <c r="AF819" s="1">
        <v>10010</v>
      </c>
      <c r="AI819" s="1" t="s">
        <v>91</v>
      </c>
      <c r="AJ819" s="1">
        <v>2016</v>
      </c>
      <c r="AK819" s="1" t="s">
        <v>73</v>
      </c>
      <c r="AL819" s="1">
        <v>140</v>
      </c>
    </row>
    <row r="820" spans="1:38" x14ac:dyDescent="0.2">
      <c r="A820" s="2" t="str">
        <f>HYPERLINK("https://www.compass.com/listing/121-east-22nd-street-unit-n708-manhattan-ny-10010/307182613101743553/","121 E 22nd St, Unit N708")</f>
        <v>121 E 22nd St, Unit N708</v>
      </c>
      <c r="B820" s="2" t="str">
        <f t="shared" si="147"/>
        <v>121 E 22nd</v>
      </c>
      <c r="C820" s="1" t="s">
        <v>54</v>
      </c>
      <c r="D820" s="1" t="s">
        <v>41</v>
      </c>
      <c r="E820" s="3">
        <v>2790000</v>
      </c>
      <c r="F820" s="1">
        <v>1990.01426533523</v>
      </c>
      <c r="G820" s="1">
        <v>4</v>
      </c>
      <c r="H820" s="1">
        <v>2</v>
      </c>
      <c r="I820" s="1">
        <v>2</v>
      </c>
      <c r="J820" s="1">
        <v>2</v>
      </c>
      <c r="K820" s="1">
        <v>2</v>
      </c>
      <c r="M820" s="4">
        <v>1402</v>
      </c>
      <c r="N820" s="1">
        <v>1567</v>
      </c>
      <c r="O820" s="1">
        <v>4761</v>
      </c>
      <c r="P820" s="1">
        <v>3194</v>
      </c>
      <c r="Q820" s="1" t="s">
        <v>42</v>
      </c>
      <c r="S820" s="1" t="s">
        <v>42</v>
      </c>
      <c r="T820" s="1" t="s">
        <v>170</v>
      </c>
      <c r="U820" s="1">
        <v>136</v>
      </c>
      <c r="V820" s="5">
        <v>44057</v>
      </c>
      <c r="W820" s="5">
        <v>43676</v>
      </c>
      <c r="X820" s="1">
        <v>2790000</v>
      </c>
      <c r="Y820" s="1">
        <v>2790000</v>
      </c>
      <c r="Z820" s="5">
        <v>43812</v>
      </c>
      <c r="AA820" s="1">
        <v>2790000</v>
      </c>
      <c r="AB820" s="1" t="s">
        <v>596</v>
      </c>
      <c r="AC820" s="5">
        <v>43873</v>
      </c>
      <c r="AF820" s="1">
        <v>10010</v>
      </c>
      <c r="AI820" s="1" t="s">
        <v>78</v>
      </c>
      <c r="AJ820" s="1">
        <v>2016</v>
      </c>
      <c r="AK820" s="1" t="s">
        <v>73</v>
      </c>
      <c r="AL820" s="1">
        <v>140</v>
      </c>
    </row>
    <row r="821" spans="1:38" x14ac:dyDescent="0.2">
      <c r="A821" s="2" t="str">
        <f>HYPERLINK("https://www.compass.com/listing/121-east-22nd-street-unit-n705-manhattan-ny-10010/34698286631764449/","121 E 22nd St, Unit N705")</f>
        <v>121 E 22nd St, Unit N705</v>
      </c>
      <c r="B821" s="2" t="str">
        <f t="shared" si="147"/>
        <v>121 E 22nd</v>
      </c>
      <c r="C821" s="1" t="s">
        <v>54</v>
      </c>
      <c r="D821" s="1" t="s">
        <v>41</v>
      </c>
      <c r="E821" s="3">
        <v>1700478</v>
      </c>
      <c r="F821" s="1">
        <v>2157.9663705583698</v>
      </c>
      <c r="G821" s="1">
        <v>3</v>
      </c>
      <c r="H821" s="1">
        <v>1</v>
      </c>
      <c r="I821" s="1">
        <v>1</v>
      </c>
      <c r="J821" s="1">
        <v>1</v>
      </c>
      <c r="K821" s="1">
        <v>1</v>
      </c>
      <c r="M821" s="1">
        <v>788</v>
      </c>
      <c r="N821" s="1">
        <v>841</v>
      </c>
      <c r="O821" s="1">
        <v>2338</v>
      </c>
      <c r="P821" s="1">
        <v>1497</v>
      </c>
      <c r="Q821" s="1" t="s">
        <v>42</v>
      </c>
      <c r="S821" s="1" t="s">
        <v>42</v>
      </c>
      <c r="T821" s="1" t="s">
        <v>170</v>
      </c>
      <c r="V821" s="5">
        <v>44373</v>
      </c>
      <c r="W821" s="5">
        <v>43315</v>
      </c>
      <c r="X821" s="1">
        <v>1670000</v>
      </c>
      <c r="Y821" s="1">
        <v>1670000</v>
      </c>
      <c r="Z821" s="5">
        <v>43315</v>
      </c>
      <c r="AA821" s="1">
        <v>1700477.5</v>
      </c>
      <c r="AB821" s="1" t="s">
        <v>597</v>
      </c>
      <c r="AC821" s="5">
        <v>43567</v>
      </c>
      <c r="AF821" s="1">
        <v>10010</v>
      </c>
      <c r="AI821" s="1" t="s">
        <v>75</v>
      </c>
      <c r="AJ821" s="1">
        <v>2016</v>
      </c>
      <c r="AK821" s="1" t="s">
        <v>73</v>
      </c>
      <c r="AL821" s="1">
        <v>140</v>
      </c>
    </row>
    <row r="822" spans="1:38" x14ac:dyDescent="0.2">
      <c r="A822" s="2" t="str">
        <f>HYPERLINK("https://www.compass.com/listing/121-east-22nd-street-unit-n505-manhattan-ny-10010/354187314147715521/","121 E 22nd St, Unit N505")</f>
        <v>121 E 22nd St, Unit N505</v>
      </c>
      <c r="B822" s="2" t="str">
        <f t="shared" si="147"/>
        <v>121 E 22nd</v>
      </c>
      <c r="C822" s="1" t="s">
        <v>54</v>
      </c>
      <c r="D822" s="1" t="s">
        <v>41</v>
      </c>
      <c r="E822" s="3">
        <v>1713200</v>
      </c>
      <c r="F822" s="1">
        <v>2165.86599241466</v>
      </c>
      <c r="G822" s="1">
        <v>2</v>
      </c>
      <c r="H822" s="1">
        <v>1</v>
      </c>
      <c r="I822" s="1">
        <v>1</v>
      </c>
      <c r="J822" s="1">
        <v>1</v>
      </c>
      <c r="K822" s="1">
        <v>1</v>
      </c>
      <c r="M822" s="1">
        <v>791</v>
      </c>
      <c r="N822" s="1">
        <v>828</v>
      </c>
      <c r="O822" s="1">
        <v>2508</v>
      </c>
      <c r="P822" s="1">
        <v>1680</v>
      </c>
      <c r="Q822" s="1" t="s">
        <v>42</v>
      </c>
      <c r="S822" s="1" t="s">
        <v>42</v>
      </c>
      <c r="T822" s="1" t="s">
        <v>170</v>
      </c>
      <c r="U822" s="1">
        <v>20</v>
      </c>
      <c r="V822" s="5">
        <v>44057</v>
      </c>
      <c r="W822" s="5">
        <v>43741</v>
      </c>
      <c r="X822" s="1">
        <v>1710000</v>
      </c>
      <c r="Y822" s="1">
        <v>1710000</v>
      </c>
      <c r="Z822" s="5">
        <v>43761</v>
      </c>
      <c r="AA822" s="1">
        <v>1713200</v>
      </c>
      <c r="AB822" s="1" t="s">
        <v>181</v>
      </c>
      <c r="AC822" s="5">
        <v>43861</v>
      </c>
      <c r="AF822" s="1">
        <v>10010</v>
      </c>
      <c r="AI822" s="1" t="s">
        <v>75</v>
      </c>
      <c r="AJ822" s="1">
        <v>2016</v>
      </c>
      <c r="AK822" s="1" t="s">
        <v>73</v>
      </c>
      <c r="AL822" s="1">
        <v>140</v>
      </c>
    </row>
    <row r="823" spans="1:38" x14ac:dyDescent="0.2">
      <c r="A823" s="2" t="str">
        <f>HYPERLINK("https://www.compass.com/listing/121-east-22nd-street-unit-n604-manhattan-ny-10010/388271422123336833/","121 E 22nd St, Unit N604")</f>
        <v>121 E 22nd St, Unit N604</v>
      </c>
      <c r="B823" s="2" t="str">
        <f t="shared" si="147"/>
        <v>121 E 22nd</v>
      </c>
      <c r="C823" s="1" t="s">
        <v>54</v>
      </c>
      <c r="D823" s="1" t="s">
        <v>41</v>
      </c>
      <c r="E823" s="3">
        <v>1725000</v>
      </c>
      <c r="F823" s="1">
        <v>2211.5384615384601</v>
      </c>
      <c r="G823" s="1">
        <v>3</v>
      </c>
      <c r="H823" s="1">
        <v>1</v>
      </c>
      <c r="I823" s="1">
        <v>1</v>
      </c>
      <c r="J823" s="1">
        <v>1</v>
      </c>
      <c r="K823" s="1">
        <v>1</v>
      </c>
      <c r="M823" s="1">
        <v>780</v>
      </c>
      <c r="N823" s="1">
        <v>826</v>
      </c>
      <c r="O823" s="1">
        <v>2505</v>
      </c>
      <c r="P823" s="1">
        <v>1679</v>
      </c>
      <c r="Q823" s="1" t="s">
        <v>42</v>
      </c>
      <c r="S823" s="1" t="s">
        <v>42</v>
      </c>
      <c r="T823" s="1" t="s">
        <v>170</v>
      </c>
      <c r="U823" s="1">
        <v>42</v>
      </c>
      <c r="V823" s="5">
        <v>44040</v>
      </c>
      <c r="W823" s="5">
        <v>43788</v>
      </c>
      <c r="X823" s="1">
        <v>1725000</v>
      </c>
      <c r="Y823" s="1">
        <v>1725000</v>
      </c>
      <c r="AA823" s="1">
        <v>1725000</v>
      </c>
      <c r="AB823" s="1" t="s">
        <v>598</v>
      </c>
      <c r="AC823" s="5">
        <v>44012</v>
      </c>
      <c r="AF823" s="1">
        <v>10010</v>
      </c>
      <c r="AI823" s="1" t="s">
        <v>159</v>
      </c>
      <c r="AJ823" s="1">
        <v>2016</v>
      </c>
      <c r="AK823" s="1" t="s">
        <v>73</v>
      </c>
      <c r="AL823" s="1">
        <v>140</v>
      </c>
    </row>
    <row r="824" spans="1:38" x14ac:dyDescent="0.2">
      <c r="A824" s="2" t="str">
        <f>HYPERLINK("https://www.compass.com/listing/100-barclay-street-unit-14ab-manhattan-ny-10007/26850068229334129/","100 Barclay St, Unit 14AB")</f>
        <v>100 Barclay St, Unit 14AB</v>
      </c>
      <c r="B824" s="2" t="str">
        <f>HYPERLINK("https://www.compass.com/building/100-barclay-manhattan-ny/281896670466155525/","100 Barclay")</f>
        <v>100 Barclay</v>
      </c>
      <c r="C824" s="1" t="s">
        <v>40</v>
      </c>
      <c r="D824" s="1" t="s">
        <v>41</v>
      </c>
      <c r="E824" s="3">
        <v>9200000</v>
      </c>
      <c r="F824" s="1">
        <v>1740.11726877246</v>
      </c>
      <c r="G824" s="1">
        <v>14</v>
      </c>
      <c r="H824" s="1">
        <v>5</v>
      </c>
      <c r="I824" s="1">
        <v>7</v>
      </c>
      <c r="J824" s="1">
        <v>7</v>
      </c>
      <c r="M824" s="4">
        <v>5287</v>
      </c>
      <c r="N824" s="1">
        <v>6632</v>
      </c>
      <c r="O824" s="1">
        <v>12498</v>
      </c>
      <c r="P824" s="1">
        <v>5866</v>
      </c>
      <c r="Q824" s="1" t="s">
        <v>42</v>
      </c>
      <c r="S824" s="1" t="s">
        <v>42</v>
      </c>
      <c r="T824" s="1" t="s">
        <v>170</v>
      </c>
      <c r="U824" s="1">
        <v>526</v>
      </c>
      <c r="V824" s="5">
        <v>43345</v>
      </c>
      <c r="W824" s="5">
        <v>42709</v>
      </c>
      <c r="X824" s="1">
        <v>12500000</v>
      </c>
      <c r="Y824" s="1">
        <v>11500000</v>
      </c>
      <c r="AA824" s="1">
        <v>9200000</v>
      </c>
      <c r="AB824" s="1" t="s">
        <v>599</v>
      </c>
      <c r="AC824" s="5">
        <v>43431</v>
      </c>
      <c r="AF824" s="1">
        <v>10007</v>
      </c>
      <c r="AI824" s="1" t="s">
        <v>88</v>
      </c>
      <c r="AJ824" s="1">
        <v>1930</v>
      </c>
      <c r="AK824" s="1" t="s">
        <v>600</v>
      </c>
      <c r="AL824" s="1">
        <v>156</v>
      </c>
    </row>
    <row r="825" spans="1:38" x14ac:dyDescent="0.2">
      <c r="A825" s="2" t="str">
        <f>HYPERLINK("https://www.compass.com/listing/121-east-22nd-street-unit-n508-manhattan-ny-10010/34697594907161201/","121 E 22nd St, Unit N508")</f>
        <v>121 E 22nd St, Unit N508</v>
      </c>
      <c r="B825" s="2" t="str">
        <f t="shared" ref="B825:B838" si="148">HYPERLINK("https://www.compass.com/building/121-e-22nd-manhattan-ny/292795784653461493/","121 E 22nd")</f>
        <v>121 E 22nd</v>
      </c>
      <c r="C825" s="1" t="s">
        <v>54</v>
      </c>
      <c r="D825" s="1" t="s">
        <v>41</v>
      </c>
      <c r="E825" s="3">
        <v>3190000</v>
      </c>
      <c r="F825" s="1">
        <v>1868.77562975981</v>
      </c>
      <c r="G825" s="1">
        <v>4</v>
      </c>
      <c r="H825" s="1">
        <v>2</v>
      </c>
      <c r="I825" s="1">
        <v>3</v>
      </c>
      <c r="J825" s="1">
        <v>2.5</v>
      </c>
      <c r="K825" s="1">
        <v>2</v>
      </c>
      <c r="L825" s="1">
        <v>1</v>
      </c>
      <c r="M825" s="4">
        <v>1707</v>
      </c>
      <c r="N825" s="1">
        <v>1727</v>
      </c>
      <c r="O825" s="1">
        <v>5222</v>
      </c>
      <c r="P825" s="1">
        <v>3495</v>
      </c>
      <c r="Q825" s="1" t="s">
        <v>42</v>
      </c>
      <c r="S825" s="1" t="s">
        <v>42</v>
      </c>
      <c r="T825" s="1" t="s">
        <v>170</v>
      </c>
      <c r="U825" s="1">
        <v>627</v>
      </c>
      <c r="V825" s="5">
        <v>44057</v>
      </c>
      <c r="W825" s="5">
        <v>43188</v>
      </c>
      <c r="X825" s="1">
        <v>3570000</v>
      </c>
      <c r="Y825" s="1">
        <v>3190000</v>
      </c>
      <c r="Z825" s="5">
        <v>43816</v>
      </c>
      <c r="AA825" s="1">
        <v>3190000</v>
      </c>
      <c r="AB825" s="1" t="s">
        <v>601</v>
      </c>
      <c r="AC825" s="5">
        <v>43866</v>
      </c>
      <c r="AF825" s="1">
        <v>10010</v>
      </c>
      <c r="AI825" s="1" t="s">
        <v>75</v>
      </c>
      <c r="AJ825" s="1">
        <v>2016</v>
      </c>
      <c r="AK825" s="1" t="s">
        <v>73</v>
      </c>
      <c r="AL825" s="1">
        <v>140</v>
      </c>
    </row>
    <row r="826" spans="1:38" x14ac:dyDescent="0.2">
      <c r="A826" s="2" t="str">
        <f>HYPERLINK("https://www.compass.com/listing/121-east-22nd-street-unit-nt607-manhattan-ny-10010/410781223157898209/","121 E 22nd St, Unit NT607")</f>
        <v>121 E 22nd St, Unit NT607</v>
      </c>
      <c r="B826" s="2" t="str">
        <f t="shared" si="148"/>
        <v>121 E 22nd</v>
      </c>
      <c r="C826" s="1" t="s">
        <v>54</v>
      </c>
      <c r="D826" s="1" t="s">
        <v>41</v>
      </c>
      <c r="E826" s="3">
        <v>3270000</v>
      </c>
      <c r="F826" s="1">
        <v>1915.6414762741599</v>
      </c>
      <c r="G826" s="1">
        <v>4</v>
      </c>
      <c r="H826" s="1">
        <v>2</v>
      </c>
      <c r="I826" s="1">
        <v>3</v>
      </c>
      <c r="J826" s="1">
        <v>2.5</v>
      </c>
      <c r="K826" s="1">
        <v>2</v>
      </c>
      <c r="L826" s="1">
        <v>1</v>
      </c>
      <c r="M826" s="4">
        <v>1707</v>
      </c>
      <c r="N826" s="1">
        <v>1736</v>
      </c>
      <c r="O826" s="1">
        <v>5251</v>
      </c>
      <c r="P826" s="1">
        <v>3515</v>
      </c>
      <c r="Q826" s="1" t="s">
        <v>42</v>
      </c>
      <c r="S826" s="1" t="s">
        <v>42</v>
      </c>
      <c r="T826" s="1" t="s">
        <v>170</v>
      </c>
      <c r="U826" s="1">
        <v>78</v>
      </c>
      <c r="V826" s="5">
        <v>43936</v>
      </c>
      <c r="W826" s="5">
        <v>43819</v>
      </c>
      <c r="X826" s="1">
        <v>3570000</v>
      </c>
      <c r="Y826" s="1">
        <v>3270000</v>
      </c>
      <c r="Z826" s="5">
        <v>43898</v>
      </c>
      <c r="AA826" s="1">
        <v>3270000</v>
      </c>
      <c r="AB826" s="1" t="s">
        <v>181</v>
      </c>
      <c r="AC826" s="5">
        <v>43936</v>
      </c>
      <c r="AF826" s="1">
        <v>10010</v>
      </c>
      <c r="AI826" s="1" t="s">
        <v>75</v>
      </c>
      <c r="AJ826" s="1">
        <v>2016</v>
      </c>
      <c r="AK826" s="1" t="s">
        <v>73</v>
      </c>
      <c r="AL826" s="1">
        <v>140</v>
      </c>
    </row>
    <row r="827" spans="1:38" x14ac:dyDescent="0.2">
      <c r="A827" s="2" t="str">
        <f>HYPERLINK("https://www.compass.com/listing/121-east-22nd-street-unit-n904-manhattan-ny-10010/368731142246342177/","121 E 22nd St, Unit N904")</f>
        <v>121 E 22nd St, Unit N904</v>
      </c>
      <c r="B827" s="2" t="str">
        <f t="shared" si="148"/>
        <v>121 E 22nd</v>
      </c>
      <c r="C827" s="1" t="s">
        <v>54</v>
      </c>
      <c r="D827" s="1" t="s">
        <v>41</v>
      </c>
      <c r="E827" s="3">
        <v>1800000</v>
      </c>
      <c r="F827" s="1">
        <v>2307.6923076922999</v>
      </c>
      <c r="G827" s="1">
        <v>3</v>
      </c>
      <c r="H827" s="1">
        <v>1</v>
      </c>
      <c r="I827" s="1">
        <v>1</v>
      </c>
      <c r="J827" s="1">
        <v>1</v>
      </c>
      <c r="K827" s="1">
        <v>1</v>
      </c>
      <c r="M827" s="1">
        <v>780</v>
      </c>
      <c r="N827" s="1">
        <v>854</v>
      </c>
      <c r="O827" s="1">
        <v>2593</v>
      </c>
      <c r="P827" s="1">
        <v>1739</v>
      </c>
      <c r="Q827" s="1" t="s">
        <v>42</v>
      </c>
      <c r="S827" s="1" t="s">
        <v>42</v>
      </c>
      <c r="T827" s="1" t="s">
        <v>170</v>
      </c>
      <c r="U827" s="1">
        <v>24</v>
      </c>
      <c r="V827" s="5">
        <v>44057</v>
      </c>
      <c r="W827" s="5">
        <v>43761</v>
      </c>
      <c r="X827" s="1">
        <v>1800000</v>
      </c>
      <c r="Y827" s="1">
        <v>1800000</v>
      </c>
      <c r="Z827" s="5">
        <v>43785</v>
      </c>
      <c r="AA827" s="1">
        <v>1800000</v>
      </c>
      <c r="AB827" s="1" t="s">
        <v>181</v>
      </c>
      <c r="AC827" s="5">
        <v>43887</v>
      </c>
      <c r="AF827" s="1">
        <v>10010</v>
      </c>
      <c r="AI827" s="1" t="s">
        <v>75</v>
      </c>
      <c r="AJ827" s="1">
        <v>2016</v>
      </c>
      <c r="AK827" s="1" t="s">
        <v>73</v>
      </c>
      <c r="AL827" s="1">
        <v>140</v>
      </c>
    </row>
    <row r="828" spans="1:38" x14ac:dyDescent="0.2">
      <c r="A828" s="2" t="str">
        <f>HYPERLINK("https://www.compass.com/listing/121-east-22nd-street-unit-n1004-manhattan-ny-10010/418711860068000673/","121 E 22nd St, Unit N1004")</f>
        <v>121 E 22nd St, Unit N1004</v>
      </c>
      <c r="B828" s="2" t="str">
        <f t="shared" si="148"/>
        <v>121 E 22nd</v>
      </c>
      <c r="C828" s="1" t="s">
        <v>54</v>
      </c>
      <c r="D828" s="1" t="s">
        <v>41</v>
      </c>
      <c r="E828" s="3">
        <v>1825000</v>
      </c>
      <c r="F828" s="1">
        <v>2339.7435897435898</v>
      </c>
      <c r="G828" s="1">
        <v>3</v>
      </c>
      <c r="H828" s="1">
        <v>1</v>
      </c>
      <c r="I828" s="1">
        <v>1</v>
      </c>
      <c r="J828" s="1">
        <v>1</v>
      </c>
      <c r="K828" s="1">
        <v>1</v>
      </c>
      <c r="M828" s="1">
        <v>780</v>
      </c>
      <c r="N828" s="1">
        <v>863</v>
      </c>
      <c r="O828" s="1">
        <v>2599</v>
      </c>
      <c r="P828" s="1">
        <v>1736</v>
      </c>
      <c r="Q828" s="1" t="s">
        <v>42</v>
      </c>
      <c r="S828" s="1" t="s">
        <v>42</v>
      </c>
      <c r="T828" s="1" t="s">
        <v>170</v>
      </c>
      <c r="U828" s="1">
        <v>401</v>
      </c>
      <c r="V828" s="5">
        <v>44371</v>
      </c>
      <c r="W828" s="5">
        <v>43830</v>
      </c>
      <c r="X828" s="1">
        <v>1825000</v>
      </c>
      <c r="Y828" s="1">
        <v>1825000</v>
      </c>
      <c r="Z828" s="5">
        <v>44326</v>
      </c>
      <c r="AA828" s="1">
        <v>1825000</v>
      </c>
      <c r="AB828" s="1" t="s">
        <v>181</v>
      </c>
      <c r="AC828" s="5">
        <v>44371</v>
      </c>
      <c r="AF828" s="1">
        <v>10010</v>
      </c>
      <c r="AI828" s="1" t="s">
        <v>75</v>
      </c>
      <c r="AJ828" s="1">
        <v>2016</v>
      </c>
      <c r="AK828" s="1" t="s">
        <v>73</v>
      </c>
      <c r="AL828" s="1">
        <v>140</v>
      </c>
    </row>
    <row r="829" spans="1:38" x14ac:dyDescent="0.2">
      <c r="A829" s="2" t="str">
        <f>HYPERLINK("https://www.compass.com/listing/121-east-22nd-street-unit-n1603-manhattan-ny-10010/140522759812845857/","121 E 22nd St, Unit N1603")</f>
        <v>121 E 22nd St, Unit N1603</v>
      </c>
      <c r="B829" s="2" t="str">
        <f t="shared" si="148"/>
        <v>121 E 22nd</v>
      </c>
      <c r="C829" s="1" t="s">
        <v>54</v>
      </c>
      <c r="D829" s="1" t="s">
        <v>41</v>
      </c>
      <c r="E829" s="3">
        <v>5238821</v>
      </c>
      <c r="F829" s="1">
        <v>2511.4194630872398</v>
      </c>
      <c r="G829" s="1">
        <v>5</v>
      </c>
      <c r="H829" s="1">
        <v>3</v>
      </c>
      <c r="I829" s="1">
        <v>4</v>
      </c>
      <c r="J829" s="1">
        <v>3.5</v>
      </c>
      <c r="K829" s="1">
        <v>3</v>
      </c>
      <c r="L829" s="1">
        <v>1</v>
      </c>
      <c r="M829" s="4">
        <v>2086</v>
      </c>
      <c r="N829" s="1">
        <v>2200</v>
      </c>
      <c r="O829" s="1">
        <v>6101</v>
      </c>
      <c r="P829" s="1">
        <v>3901</v>
      </c>
      <c r="Q829" s="1" t="s">
        <v>42</v>
      </c>
      <c r="S829" s="1" t="s">
        <v>42</v>
      </c>
      <c r="T829" s="1" t="s">
        <v>170</v>
      </c>
      <c r="U829" s="1">
        <v>75</v>
      </c>
      <c r="V829" s="5">
        <v>44334</v>
      </c>
      <c r="W829" s="5">
        <v>43446</v>
      </c>
      <c r="X829" s="1">
        <v>5155000</v>
      </c>
      <c r="Y829" s="1">
        <v>5155000</v>
      </c>
      <c r="Z829" s="5">
        <v>43521</v>
      </c>
      <c r="AA829" s="1">
        <v>5238821</v>
      </c>
      <c r="AB829" s="1" t="s">
        <v>602</v>
      </c>
      <c r="AC829" s="5">
        <v>43616</v>
      </c>
      <c r="AF829" s="1">
        <v>10010</v>
      </c>
      <c r="AI829" s="1" t="s">
        <v>75</v>
      </c>
      <c r="AJ829" s="1">
        <v>2016</v>
      </c>
      <c r="AK829" s="1" t="s">
        <v>73</v>
      </c>
      <c r="AL829" s="1">
        <v>140</v>
      </c>
    </row>
    <row r="830" spans="1:38" x14ac:dyDescent="0.2">
      <c r="A830" s="2" t="str">
        <f>HYPERLINK("https://www.compass.com/listing/121-east-22nd-street-unit-nph3-manhattan-ny-10010/248460191069116897/","121 E 22nd St, Unit NPH3")</f>
        <v>121 E 22nd St, Unit NPH3</v>
      </c>
      <c r="B830" s="2" t="str">
        <f t="shared" si="148"/>
        <v>121 E 22nd</v>
      </c>
      <c r="C830" s="1" t="s">
        <v>54</v>
      </c>
      <c r="D830" s="1" t="s">
        <v>41</v>
      </c>
      <c r="E830" s="3">
        <v>6310000</v>
      </c>
      <c r="F830" s="1">
        <v>2710.4810996563501</v>
      </c>
      <c r="G830" s="1">
        <v>5.5</v>
      </c>
      <c r="H830" s="1">
        <v>3</v>
      </c>
      <c r="I830" s="1">
        <v>4</v>
      </c>
      <c r="J830" s="1">
        <v>3.5</v>
      </c>
      <c r="K830" s="1">
        <v>3</v>
      </c>
      <c r="L830" s="1">
        <v>1</v>
      </c>
      <c r="M830" s="4">
        <v>2328</v>
      </c>
      <c r="N830" s="1">
        <v>3657</v>
      </c>
      <c r="O830" s="1">
        <v>11170</v>
      </c>
      <c r="P830" s="1">
        <v>7513</v>
      </c>
      <c r="Q830" s="1" t="s">
        <v>42</v>
      </c>
      <c r="S830" s="1" t="s">
        <v>42</v>
      </c>
      <c r="T830" s="1" t="s">
        <v>170</v>
      </c>
      <c r="V830" s="5">
        <v>44294</v>
      </c>
      <c r="W830" s="5">
        <v>43595</v>
      </c>
      <c r="X830" s="1">
        <v>7000000</v>
      </c>
      <c r="Y830" s="1">
        <v>7000000</v>
      </c>
      <c r="Z830" s="5">
        <v>43595</v>
      </c>
      <c r="AA830" s="1">
        <v>6310000</v>
      </c>
      <c r="AB830" s="1" t="s">
        <v>181</v>
      </c>
      <c r="AC830" s="5">
        <v>44293</v>
      </c>
      <c r="AF830" s="1">
        <v>10010</v>
      </c>
      <c r="AI830" s="1" t="s">
        <v>91</v>
      </c>
      <c r="AJ830" s="1">
        <v>2016</v>
      </c>
      <c r="AK830" s="1" t="s">
        <v>73</v>
      </c>
      <c r="AL830" s="1">
        <v>140</v>
      </c>
    </row>
    <row r="831" spans="1:38" x14ac:dyDescent="0.2">
      <c r="A831" s="2" t="str">
        <f>HYPERLINK("https://www.compass.com/listing/121-east-22nd-street-unit-n1206-manhattan-ny-10010/333152615285886193/","121 E 22nd St, Unit N1206")</f>
        <v>121 E 22nd St, Unit N1206</v>
      </c>
      <c r="B831" s="2" t="str">
        <f t="shared" si="148"/>
        <v>121 E 22nd</v>
      </c>
      <c r="C831" s="1" t="s">
        <v>54</v>
      </c>
      <c r="D831" s="1" t="s">
        <v>41</v>
      </c>
      <c r="E831" s="3">
        <v>5600000</v>
      </c>
      <c r="F831" s="1">
        <v>2246.28961091054</v>
      </c>
      <c r="G831" s="1">
        <v>4.5</v>
      </c>
      <c r="H831" s="1">
        <v>3</v>
      </c>
      <c r="I831" s="1">
        <v>4</v>
      </c>
      <c r="J831" s="1">
        <v>3.5</v>
      </c>
      <c r="K831" s="1">
        <v>3</v>
      </c>
      <c r="L831" s="1">
        <v>1</v>
      </c>
      <c r="M831" s="4">
        <v>2493</v>
      </c>
      <c r="N831" s="1">
        <v>2563</v>
      </c>
      <c r="O831" s="1">
        <v>7757</v>
      </c>
      <c r="P831" s="1">
        <v>5194</v>
      </c>
      <c r="Q831" s="1" t="s">
        <v>42</v>
      </c>
      <c r="S831" s="1" t="s">
        <v>42</v>
      </c>
      <c r="T831" s="1" t="s">
        <v>170</v>
      </c>
      <c r="U831" s="1">
        <v>21</v>
      </c>
      <c r="V831" s="5">
        <v>44057</v>
      </c>
      <c r="W831" s="5">
        <v>43711</v>
      </c>
      <c r="X831" s="1">
        <v>5600000</v>
      </c>
      <c r="Y831" s="1">
        <v>5600000</v>
      </c>
      <c r="Z831" s="5">
        <v>43733</v>
      </c>
      <c r="AA831" s="1">
        <v>5600000</v>
      </c>
      <c r="AB831" s="1" t="s">
        <v>603</v>
      </c>
      <c r="AC831" s="5">
        <v>43774</v>
      </c>
      <c r="AF831" s="1">
        <v>10010</v>
      </c>
      <c r="AI831" s="1" t="s">
        <v>159</v>
      </c>
      <c r="AJ831" s="1">
        <v>2016</v>
      </c>
      <c r="AK831" s="1" t="s">
        <v>73</v>
      </c>
      <c r="AL831" s="1">
        <v>140</v>
      </c>
    </row>
    <row r="832" spans="1:38" x14ac:dyDescent="0.2">
      <c r="A832" s="2" t="str">
        <f>HYPERLINK("https://www.compass.com/listing/121-east-22nd-street-unit-n1702-manhattan-ny-10010/34698009145104785/","121 E 22nd St, Unit N1702")</f>
        <v>121 E 22nd St, Unit N1702</v>
      </c>
      <c r="B832" s="2" t="str">
        <f t="shared" si="148"/>
        <v>121 E 22nd</v>
      </c>
      <c r="C832" s="1" t="s">
        <v>54</v>
      </c>
      <c r="D832" s="1" t="s">
        <v>41</v>
      </c>
      <c r="E832" s="3">
        <v>4725000</v>
      </c>
      <c r="F832" s="1">
        <v>2547.1698113207499</v>
      </c>
      <c r="G832" s="1">
        <v>5</v>
      </c>
      <c r="H832" s="1">
        <v>3</v>
      </c>
      <c r="I832" s="1">
        <v>4</v>
      </c>
      <c r="J832" s="1">
        <v>3.5</v>
      </c>
      <c r="K832" s="1">
        <v>3</v>
      </c>
      <c r="L832" s="1">
        <v>1</v>
      </c>
      <c r="M832" s="4">
        <v>1855</v>
      </c>
      <c r="N832" s="1">
        <v>2073</v>
      </c>
      <c r="O832" s="1">
        <v>5752</v>
      </c>
      <c r="P832" s="1">
        <v>3679</v>
      </c>
      <c r="Q832" s="1" t="s">
        <v>42</v>
      </c>
      <c r="S832" s="1" t="s">
        <v>42</v>
      </c>
      <c r="T832" s="1" t="s">
        <v>170</v>
      </c>
      <c r="V832" s="5">
        <v>44373</v>
      </c>
      <c r="W832" s="5">
        <v>43315</v>
      </c>
      <c r="X832" s="1">
        <v>4725000</v>
      </c>
      <c r="Y832" s="1">
        <v>4725000</v>
      </c>
      <c r="Z832" s="5">
        <v>43315</v>
      </c>
      <c r="AA832" s="1">
        <v>4725000</v>
      </c>
      <c r="AB832" s="1" t="s">
        <v>181</v>
      </c>
      <c r="AC832" s="5">
        <v>43664</v>
      </c>
      <c r="AF832" s="1">
        <v>10010</v>
      </c>
      <c r="AI832" s="1" t="s">
        <v>75</v>
      </c>
      <c r="AJ832" s="1">
        <v>2016</v>
      </c>
      <c r="AK832" s="1" t="s">
        <v>73</v>
      </c>
      <c r="AL832" s="1">
        <v>140</v>
      </c>
    </row>
    <row r="833" spans="1:38" x14ac:dyDescent="0.2">
      <c r="A833" s="2" t="str">
        <f>HYPERLINK("https://www.compass.com/listing/121-east-22nd-street-unit-nph2-manhattan-ny-10010/34698236275059681/","121 E 22nd St, Unit NPH2")</f>
        <v>121 E 22nd St, Unit NPH2</v>
      </c>
      <c r="B833" s="2" t="str">
        <f t="shared" si="148"/>
        <v>121 E 22nd</v>
      </c>
      <c r="C833" s="1" t="s">
        <v>54</v>
      </c>
      <c r="D833" s="1" t="s">
        <v>41</v>
      </c>
      <c r="E833" s="3">
        <v>8044175</v>
      </c>
      <c r="F833" s="1">
        <v>2949.82581591492</v>
      </c>
      <c r="G833" s="1">
        <v>5</v>
      </c>
      <c r="H833" s="1">
        <v>3</v>
      </c>
      <c r="I833" s="1">
        <v>4</v>
      </c>
      <c r="J833" s="1">
        <v>4</v>
      </c>
      <c r="K833" s="1">
        <v>4</v>
      </c>
      <c r="M833" s="4">
        <v>2727</v>
      </c>
      <c r="N833" s="1">
        <v>3531</v>
      </c>
      <c r="O833" s="1">
        <v>9859</v>
      </c>
      <c r="P833" s="1">
        <v>6328</v>
      </c>
      <c r="Q833" s="1" t="s">
        <v>42</v>
      </c>
      <c r="S833" s="1" t="s">
        <v>42</v>
      </c>
      <c r="T833" s="1" t="s">
        <v>170</v>
      </c>
      <c r="U833" s="1">
        <v>92</v>
      </c>
      <c r="V833" s="5">
        <v>44373</v>
      </c>
      <c r="W833" s="5">
        <v>43207</v>
      </c>
      <c r="X833" s="1">
        <v>8500000</v>
      </c>
      <c r="Y833" s="1">
        <v>8500000</v>
      </c>
      <c r="Z833" s="5">
        <v>43300</v>
      </c>
      <c r="AA833" s="1">
        <v>8044175</v>
      </c>
      <c r="AB833" s="1" t="s">
        <v>604</v>
      </c>
      <c r="AC833" s="5">
        <v>43676</v>
      </c>
      <c r="AF833" s="1">
        <v>10010</v>
      </c>
      <c r="AI833" s="1" t="s">
        <v>94</v>
      </c>
      <c r="AJ833" s="1">
        <v>2016</v>
      </c>
      <c r="AK833" s="1" t="s">
        <v>73</v>
      </c>
      <c r="AL833" s="1">
        <v>140</v>
      </c>
    </row>
    <row r="834" spans="1:38" x14ac:dyDescent="0.2">
      <c r="A834" s="2" t="str">
        <f>HYPERLINK("https://www.compass.com/listing/121-east-22nd-street-unit-n1305-manhattan-ny-10010/34698285306393969/","121 E 22nd St, Unit N1305")</f>
        <v>121 E 22nd St, Unit N1305</v>
      </c>
      <c r="B834" s="2" t="str">
        <f t="shared" si="148"/>
        <v>121 E 22nd</v>
      </c>
      <c r="C834" s="1" t="s">
        <v>54</v>
      </c>
      <c r="D834" s="1" t="s">
        <v>41</v>
      </c>
      <c r="E834" s="3">
        <v>5941489</v>
      </c>
      <c r="F834" s="1">
        <v>2565.4096502590601</v>
      </c>
      <c r="G834" s="1">
        <v>5</v>
      </c>
      <c r="H834" s="1">
        <v>3</v>
      </c>
      <c r="I834" s="1">
        <v>4</v>
      </c>
      <c r="J834" s="1">
        <v>3.5</v>
      </c>
      <c r="K834" s="1">
        <v>3</v>
      </c>
      <c r="L834" s="1">
        <v>1</v>
      </c>
      <c r="M834" s="4">
        <v>2316</v>
      </c>
      <c r="N834" s="1">
        <v>2736</v>
      </c>
      <c r="O834" s="1">
        <v>7611</v>
      </c>
      <c r="P834" s="1">
        <v>4875</v>
      </c>
      <c r="Q834" s="1" t="s">
        <v>42</v>
      </c>
      <c r="S834" s="1" t="s">
        <v>42</v>
      </c>
      <c r="T834" s="1" t="s">
        <v>170</v>
      </c>
      <c r="U834" s="1">
        <v>354</v>
      </c>
      <c r="V834" s="5">
        <v>44373</v>
      </c>
      <c r="W834" s="5">
        <v>42951</v>
      </c>
      <c r="X834" s="1">
        <v>5990000</v>
      </c>
      <c r="Y834" s="1">
        <v>5990000</v>
      </c>
      <c r="Z834" s="5">
        <v>43306</v>
      </c>
      <c r="AA834" s="1">
        <v>5941488.75</v>
      </c>
      <c r="AB834" s="1" t="s">
        <v>605</v>
      </c>
      <c r="AC834" s="5">
        <v>43601</v>
      </c>
      <c r="AF834" s="1">
        <v>10010</v>
      </c>
      <c r="AI834" s="1" t="s">
        <v>91</v>
      </c>
      <c r="AJ834" s="1">
        <v>2016</v>
      </c>
      <c r="AK834" s="1" t="s">
        <v>73</v>
      </c>
      <c r="AL834" s="1">
        <v>140</v>
      </c>
    </row>
    <row r="835" spans="1:38" x14ac:dyDescent="0.2">
      <c r="A835" s="2" t="str">
        <f>HYPERLINK("https://www.compass.com/listing/121-east-22nd-street-unit-nph1-manhattan-ny-10010/38977780485997633/","121 E 22nd St, Unit NPH1")</f>
        <v>121 E 22nd St, Unit NPH1</v>
      </c>
      <c r="B835" s="2" t="str">
        <f t="shared" si="148"/>
        <v>121 E 22nd</v>
      </c>
      <c r="C835" s="1" t="s">
        <v>54</v>
      </c>
      <c r="D835" s="1" t="s">
        <v>41</v>
      </c>
      <c r="E835" s="3">
        <v>9500000</v>
      </c>
      <c r="F835" s="1">
        <v>3118.8443860800999</v>
      </c>
      <c r="G835" s="1">
        <v>6</v>
      </c>
      <c r="H835" s="1">
        <v>3</v>
      </c>
      <c r="I835" s="1">
        <v>4</v>
      </c>
      <c r="J835" s="1">
        <v>3.5</v>
      </c>
      <c r="K835" s="1">
        <v>3</v>
      </c>
      <c r="L835" s="1">
        <v>1</v>
      </c>
      <c r="M835" s="4">
        <v>3046</v>
      </c>
      <c r="N835" s="1">
        <v>4539</v>
      </c>
      <c r="O835" s="1">
        <v>13956</v>
      </c>
      <c r="P835" s="1">
        <v>9417</v>
      </c>
      <c r="Q835" s="1" t="s">
        <v>42</v>
      </c>
      <c r="S835" s="1" t="s">
        <v>42</v>
      </c>
      <c r="T835" s="1" t="s">
        <v>170</v>
      </c>
      <c r="U835" s="1">
        <v>547</v>
      </c>
      <c r="V835" s="5">
        <v>44040</v>
      </c>
      <c r="W835" s="5">
        <v>43306</v>
      </c>
      <c r="X835" s="1">
        <v>9500000</v>
      </c>
      <c r="Y835" s="1">
        <v>9500000</v>
      </c>
      <c r="Z835" s="5">
        <v>43854</v>
      </c>
      <c r="AA835" s="1">
        <v>9500000</v>
      </c>
      <c r="AB835" s="1" t="s">
        <v>181</v>
      </c>
      <c r="AC835" s="5">
        <v>44021</v>
      </c>
      <c r="AF835" s="1">
        <v>10010</v>
      </c>
      <c r="AI835" s="1" t="s">
        <v>606</v>
      </c>
      <c r="AJ835" s="1">
        <v>2016</v>
      </c>
      <c r="AK835" s="1" t="s">
        <v>73</v>
      </c>
      <c r="AL835" s="1">
        <v>140</v>
      </c>
    </row>
    <row r="836" spans="1:38" x14ac:dyDescent="0.2">
      <c r="A836" s="2" t="str">
        <f>HYPERLINK("https://www.compass.com/listing/121-east-22nd-street-unit-n1703-manhattan-ny-10010/40580239000198257/","121 E 22nd St, Unit N1703")</f>
        <v>121 E 22nd St, Unit N1703</v>
      </c>
      <c r="B836" s="2" t="str">
        <f t="shared" si="148"/>
        <v>121 E 22nd</v>
      </c>
      <c r="C836" s="1" t="s">
        <v>54</v>
      </c>
      <c r="D836" s="1" t="s">
        <v>41</v>
      </c>
      <c r="E836" s="3">
        <v>5175000</v>
      </c>
      <c r="F836" s="1">
        <v>2418.2242990654199</v>
      </c>
      <c r="G836" s="1">
        <v>5</v>
      </c>
      <c r="H836" s="1">
        <v>3</v>
      </c>
      <c r="I836" s="1">
        <v>4</v>
      </c>
      <c r="J836" s="1">
        <v>3.5</v>
      </c>
      <c r="K836" s="1">
        <v>3</v>
      </c>
      <c r="L836" s="1">
        <v>1</v>
      </c>
      <c r="M836" s="4">
        <v>2140</v>
      </c>
      <c r="N836" s="1">
        <v>2269</v>
      </c>
      <c r="O836" s="1">
        <v>6281</v>
      </c>
      <c r="P836" s="1">
        <v>4012</v>
      </c>
      <c r="Q836" s="1" t="s">
        <v>42</v>
      </c>
      <c r="S836" s="1" t="s">
        <v>42</v>
      </c>
      <c r="T836" s="1" t="s">
        <v>170</v>
      </c>
      <c r="V836" s="5">
        <v>44373</v>
      </c>
      <c r="W836" s="5">
        <v>43315</v>
      </c>
      <c r="X836" s="1">
        <v>5335000</v>
      </c>
      <c r="Y836" s="1">
        <v>5335000</v>
      </c>
      <c r="Z836" s="5">
        <v>43315</v>
      </c>
      <c r="AA836" s="1">
        <v>5175000</v>
      </c>
      <c r="AB836" s="1" t="s">
        <v>181</v>
      </c>
      <c r="AC836" s="5">
        <v>43655</v>
      </c>
      <c r="AF836" s="1">
        <v>10010</v>
      </c>
      <c r="AI836" s="1" t="s">
        <v>75</v>
      </c>
      <c r="AJ836" s="1">
        <v>2016</v>
      </c>
      <c r="AK836" s="1" t="s">
        <v>73</v>
      </c>
      <c r="AL836" s="1">
        <v>140</v>
      </c>
    </row>
    <row r="837" spans="1:38" x14ac:dyDescent="0.2">
      <c r="A837" s="2" t="str">
        <f>HYPERLINK("https://www.compass.com/listing/121-east-22nd-street-unit-n906-manhattan-ny-10010/578131318783970993/","121 E 22nd St, Unit N906")</f>
        <v>121 E 22nd St, Unit N906</v>
      </c>
      <c r="B837" s="2" t="str">
        <f t="shared" si="148"/>
        <v>121 E 22nd</v>
      </c>
      <c r="C837" s="1" t="s">
        <v>54</v>
      </c>
      <c r="D837" s="1" t="s">
        <v>41</v>
      </c>
      <c r="E837" s="3">
        <v>4600000</v>
      </c>
      <c r="F837" s="1">
        <v>1915.0707743547</v>
      </c>
      <c r="G837" s="1">
        <v>5.5</v>
      </c>
      <c r="H837" s="1">
        <v>3</v>
      </c>
      <c r="I837" s="1">
        <v>4</v>
      </c>
      <c r="J837" s="1">
        <v>3.5</v>
      </c>
      <c r="K837" s="1">
        <v>3</v>
      </c>
      <c r="L837" s="1">
        <v>1</v>
      </c>
      <c r="M837" s="4">
        <v>2402</v>
      </c>
      <c r="N837" s="1">
        <v>2445</v>
      </c>
      <c r="O837" s="1">
        <v>7333</v>
      </c>
      <c r="P837" s="1">
        <v>4888</v>
      </c>
      <c r="Q837" s="1" t="s">
        <v>42</v>
      </c>
      <c r="S837" s="1" t="s">
        <v>42</v>
      </c>
      <c r="T837" s="1" t="s">
        <v>170</v>
      </c>
      <c r="V837" s="5">
        <v>44095</v>
      </c>
      <c r="W837" s="5">
        <v>44049</v>
      </c>
      <c r="X837" s="1">
        <v>4950000</v>
      </c>
      <c r="Y837" s="1">
        <v>4950000</v>
      </c>
      <c r="Z837" s="5">
        <v>44050</v>
      </c>
      <c r="AA837" s="1">
        <v>4600000</v>
      </c>
      <c r="AB837" s="1" t="s">
        <v>607</v>
      </c>
      <c r="AC837" s="5">
        <v>44063</v>
      </c>
      <c r="AF837" s="1">
        <v>10010</v>
      </c>
      <c r="AI837" s="1" t="s">
        <v>75</v>
      </c>
      <c r="AJ837" s="1">
        <v>2016</v>
      </c>
      <c r="AK837" s="1" t="s">
        <v>73</v>
      </c>
      <c r="AL837" s="1">
        <v>140</v>
      </c>
    </row>
    <row r="838" spans="1:38" x14ac:dyDescent="0.2">
      <c r="A838" s="2" t="str">
        <f>HYPERLINK("https://www.compass.com/listing/121-east-22nd-street-unit-n706-manhattan-ny-10010/59996085447340161/","121 E 22nd St, Unit N706")</f>
        <v>121 E 22nd St, Unit N706</v>
      </c>
      <c r="B838" s="2" t="str">
        <f t="shared" si="148"/>
        <v>121 E 22nd</v>
      </c>
      <c r="C838" s="1" t="s">
        <v>54</v>
      </c>
      <c r="D838" s="1" t="s">
        <v>41</v>
      </c>
      <c r="E838" s="3">
        <v>5147846</v>
      </c>
      <c r="F838" s="1">
        <v>2055.84904153354</v>
      </c>
      <c r="G838" s="1">
        <v>5</v>
      </c>
      <c r="H838" s="1">
        <v>3</v>
      </c>
      <c r="I838" s="1">
        <v>4</v>
      </c>
      <c r="J838" s="1">
        <v>3.5</v>
      </c>
      <c r="K838" s="1">
        <v>3</v>
      </c>
      <c r="L838" s="1">
        <v>1</v>
      </c>
      <c r="M838" s="4">
        <v>2504</v>
      </c>
      <c r="N838" s="1">
        <v>2527</v>
      </c>
      <c r="O838" s="1">
        <v>7641</v>
      </c>
      <c r="P838" s="1">
        <v>5114</v>
      </c>
      <c r="Q838" s="1" t="s">
        <v>42</v>
      </c>
      <c r="S838" s="1" t="s">
        <v>42</v>
      </c>
      <c r="T838" s="1" t="s">
        <v>170</v>
      </c>
      <c r="U838" s="1">
        <v>374</v>
      </c>
      <c r="V838" s="5">
        <v>44334</v>
      </c>
      <c r="W838" s="5">
        <v>43334</v>
      </c>
      <c r="X838" s="1">
        <v>5420000</v>
      </c>
      <c r="Y838" s="1">
        <v>5040000</v>
      </c>
      <c r="Z838" s="5">
        <v>43708</v>
      </c>
      <c r="AA838" s="1">
        <v>5147846</v>
      </c>
      <c r="AB838" s="1" t="s">
        <v>608</v>
      </c>
      <c r="AC838" s="5">
        <v>43741</v>
      </c>
      <c r="AF838" s="1">
        <v>10010</v>
      </c>
      <c r="AI838" s="1" t="s">
        <v>159</v>
      </c>
      <c r="AJ838" s="1">
        <v>2016</v>
      </c>
      <c r="AK838" s="1" t="s">
        <v>73</v>
      </c>
      <c r="AL838" s="1">
        <v>140</v>
      </c>
    </row>
    <row r="839" spans="1:38" x14ac:dyDescent="0.2">
      <c r="A839" s="2" t="str">
        <f>HYPERLINK("https://www.compass.com/listing/200-east-21st-street-unit-20b-manhattan-ny-10010/789161396913123065/","200 E 21st St, Unit 20B")</f>
        <v>200 E 21st St, Unit 20B</v>
      </c>
      <c r="B839" s="2" t="str">
        <f>HYPERLINK("https://www.compass.com/building/200-east-21st-street-manhattan-ny/292796762689658005/","200 East 21st Street")</f>
        <v>200 East 21st Street</v>
      </c>
      <c r="C839" s="1" t="s">
        <v>54</v>
      </c>
      <c r="D839" s="1" t="s">
        <v>41</v>
      </c>
      <c r="E839" s="3">
        <v>5056030</v>
      </c>
      <c r="F839" s="1">
        <v>2486.97980324643</v>
      </c>
      <c r="G839" s="1">
        <v>4.5</v>
      </c>
      <c r="H839" s="1">
        <v>2</v>
      </c>
      <c r="I839" s="1">
        <v>3</v>
      </c>
      <c r="J839" s="1">
        <v>2.5</v>
      </c>
      <c r="K839" s="1">
        <v>2</v>
      </c>
      <c r="L839" s="1">
        <v>1</v>
      </c>
      <c r="M839" s="4">
        <v>2033</v>
      </c>
      <c r="N839" s="1">
        <v>2100</v>
      </c>
      <c r="O839" s="1">
        <v>4660</v>
      </c>
      <c r="P839" s="1">
        <v>2560</v>
      </c>
      <c r="Q839" s="1" t="s">
        <v>42</v>
      </c>
      <c r="S839" s="1" t="s">
        <v>42</v>
      </c>
      <c r="T839" s="1" t="s">
        <v>170</v>
      </c>
      <c r="U839" s="1">
        <v>28</v>
      </c>
      <c r="V839" s="5">
        <v>44370</v>
      </c>
      <c r="W839" s="5">
        <v>44340</v>
      </c>
      <c r="X839" s="1">
        <v>5375000</v>
      </c>
      <c r="Y839" s="1">
        <v>5375000</v>
      </c>
      <c r="AA839" s="1">
        <v>5056029.9400000004</v>
      </c>
      <c r="AB839" s="1" t="s">
        <v>609</v>
      </c>
      <c r="AC839" s="5">
        <v>44368</v>
      </c>
      <c r="AF839" s="1">
        <v>10010</v>
      </c>
      <c r="AI839" s="1" t="s">
        <v>86</v>
      </c>
      <c r="AJ839" s="1">
        <v>2018</v>
      </c>
      <c r="AK839" s="1" t="s">
        <v>98</v>
      </c>
      <c r="AL839" s="1">
        <v>67</v>
      </c>
    </row>
    <row r="840" spans="1:38" x14ac:dyDescent="0.2">
      <c r="A840" s="2" t="str">
        <f>HYPERLINK("https://www.compass.com/listing/121-east-22nd-street-unit-s502-manhattan-ny-10010/34705205798978305/","121 E 22nd St, Unit S502")</f>
        <v>121 E 22nd St, Unit S502</v>
      </c>
      <c r="B840" s="2" t="str">
        <f t="shared" ref="B840:B841" si="149">HYPERLINK("https://www.compass.com/building/121-e-22nd-manhattan-ny/292795784653461493/","121 E 22nd")</f>
        <v>121 E 22nd</v>
      </c>
      <c r="C840" s="1" t="s">
        <v>54</v>
      </c>
      <c r="D840" s="1" t="s">
        <v>41</v>
      </c>
      <c r="E840" s="3">
        <v>2036500</v>
      </c>
      <c r="F840" s="1">
        <v>2036.5</v>
      </c>
      <c r="G840" s="1">
        <v>3</v>
      </c>
      <c r="H840" s="1">
        <v>1</v>
      </c>
      <c r="I840" s="1">
        <v>2</v>
      </c>
      <c r="J840" s="1">
        <v>1.5</v>
      </c>
      <c r="K840" s="1">
        <v>1</v>
      </c>
      <c r="L840" s="1">
        <v>1</v>
      </c>
      <c r="M840" s="4">
        <v>1000</v>
      </c>
      <c r="N840" s="1">
        <v>1036</v>
      </c>
      <c r="O840" s="1">
        <v>2864</v>
      </c>
      <c r="P840" s="1">
        <v>1828</v>
      </c>
      <c r="Q840" s="1" t="s">
        <v>42</v>
      </c>
      <c r="S840" s="1" t="s">
        <v>42</v>
      </c>
      <c r="T840" s="1" t="s">
        <v>170</v>
      </c>
      <c r="V840" s="5">
        <v>44373</v>
      </c>
      <c r="W840" s="5">
        <v>43315</v>
      </c>
      <c r="X840" s="1">
        <v>2000000</v>
      </c>
      <c r="Y840" s="1">
        <v>2000000</v>
      </c>
      <c r="Z840" s="5">
        <v>43315</v>
      </c>
      <c r="AA840" s="1">
        <v>2036500</v>
      </c>
      <c r="AB840" s="1" t="s">
        <v>610</v>
      </c>
      <c r="AC840" s="5">
        <v>43560</v>
      </c>
      <c r="AF840" s="1">
        <v>10010</v>
      </c>
      <c r="AI840" s="1" t="s">
        <v>75</v>
      </c>
      <c r="AJ840" s="1">
        <v>2016</v>
      </c>
      <c r="AK840" s="1" t="s">
        <v>73</v>
      </c>
      <c r="AL840" s="1">
        <v>140</v>
      </c>
    </row>
    <row r="841" spans="1:38" x14ac:dyDescent="0.2">
      <c r="A841" s="2" t="str">
        <f>HYPERLINK("https://www.compass.com/listing/121-east-22nd-street-unit-s302-manhattan-ny-10010/99043158578468993/","121 E 22nd St, Unit S302")</f>
        <v>121 E 22nd St, Unit S302</v>
      </c>
      <c r="B841" s="2" t="str">
        <f t="shared" si="149"/>
        <v>121 E 22nd</v>
      </c>
      <c r="C841" s="1" t="s">
        <v>54</v>
      </c>
      <c r="D841" s="1" t="s">
        <v>41</v>
      </c>
      <c r="E841" s="3">
        <v>1787029</v>
      </c>
      <c r="G841" s="1">
        <v>3</v>
      </c>
      <c r="H841" s="1">
        <v>1</v>
      </c>
      <c r="I841" s="1">
        <v>2</v>
      </c>
      <c r="J841" s="1">
        <v>1.5</v>
      </c>
      <c r="K841" s="1">
        <v>1</v>
      </c>
      <c r="L841" s="1">
        <v>1</v>
      </c>
      <c r="Q841" s="1" t="s">
        <v>42</v>
      </c>
      <c r="S841" s="1" t="s">
        <v>42</v>
      </c>
      <c r="T841" s="1" t="s">
        <v>170</v>
      </c>
      <c r="V841" s="5">
        <v>44334</v>
      </c>
      <c r="W841" s="5">
        <v>43388</v>
      </c>
      <c r="X841" s="1">
        <v>1980000</v>
      </c>
      <c r="Y841" s="1">
        <v>1980000</v>
      </c>
      <c r="Z841" s="5">
        <v>43388</v>
      </c>
      <c r="AA841" s="1">
        <v>1787028.75</v>
      </c>
      <c r="AB841" s="1" t="s">
        <v>611</v>
      </c>
      <c r="AC841" s="5">
        <v>43529</v>
      </c>
      <c r="AF841" s="1">
        <v>10010</v>
      </c>
      <c r="AI841" s="1" t="s">
        <v>75</v>
      </c>
      <c r="AJ841" s="1">
        <v>2016</v>
      </c>
      <c r="AK841" s="1" t="s">
        <v>73</v>
      </c>
      <c r="AL841" s="1">
        <v>140</v>
      </c>
    </row>
    <row r="842" spans="1:38" x14ac:dyDescent="0.2">
      <c r="A842" s="2" t="str">
        <f>HYPERLINK("https://www.compass.com/listing/10-madison-square-west-unit-20c-manhattan-ny-10010/70920377697624657/","10 Madison Sq W, Unit 20C")</f>
        <v>10 Madison Sq W, Unit 20C</v>
      </c>
      <c r="B842" s="2" t="str">
        <f>HYPERLINK("https://www.compass.com/building/10-madison-square-west-manhattan-ny/294838725091521285/","10 Madison Square West")</f>
        <v>10 Madison Square West</v>
      </c>
      <c r="C842" s="1" t="s">
        <v>154</v>
      </c>
      <c r="D842" s="1" t="s">
        <v>41</v>
      </c>
      <c r="E842" s="3">
        <v>12168088</v>
      </c>
      <c r="F842" s="1">
        <v>4815.2305104867401</v>
      </c>
      <c r="G842" s="1">
        <v>6</v>
      </c>
      <c r="H842" s="1">
        <v>3</v>
      </c>
      <c r="J842" s="1">
        <v>3.5</v>
      </c>
      <c r="M842" s="4">
        <v>2527</v>
      </c>
      <c r="Q842" s="1" t="s">
        <v>42</v>
      </c>
      <c r="S842" s="1" t="s">
        <v>42</v>
      </c>
      <c r="T842" s="1" t="s">
        <v>170</v>
      </c>
      <c r="V842" s="5">
        <v>42838</v>
      </c>
      <c r="AA842" s="1">
        <v>12168087.5</v>
      </c>
      <c r="AB842" s="1" t="s">
        <v>612</v>
      </c>
      <c r="AC842" s="5">
        <v>42831</v>
      </c>
      <c r="AF842" s="1">
        <v>10010</v>
      </c>
      <c r="AI842" s="1" t="s">
        <v>59</v>
      </c>
      <c r="AJ842" s="1">
        <v>1915</v>
      </c>
      <c r="AK842" s="1" t="s">
        <v>73</v>
      </c>
      <c r="AL842" s="1">
        <v>125</v>
      </c>
    </row>
    <row r="843" spans="1:38" x14ac:dyDescent="0.2">
      <c r="A843" s="2" t="str">
        <f>HYPERLINK("https://www.compass.com/listing/121-east-22nd-street-unit-n1502-manhattan-ny-10010/375310258042815297/","121 E 22nd St, Unit N1502")</f>
        <v>121 E 22nd St, Unit N1502</v>
      </c>
      <c r="B843" s="2" t="str">
        <f t="shared" ref="B843:B853" si="150">HYPERLINK("https://www.compass.com/building/121-e-22nd-manhattan-ny/292795784653461493/","121 E 22nd")</f>
        <v>121 E 22nd</v>
      </c>
      <c r="C843" s="1" t="s">
        <v>54</v>
      </c>
      <c r="D843" s="1" t="s">
        <v>41</v>
      </c>
      <c r="E843" s="3">
        <v>4215000</v>
      </c>
      <c r="F843" s="1">
        <v>2272.2371967654899</v>
      </c>
      <c r="G843" s="1">
        <v>5</v>
      </c>
      <c r="H843" s="1">
        <v>3</v>
      </c>
      <c r="I843" s="1">
        <v>4</v>
      </c>
      <c r="J843" s="1">
        <v>3.5</v>
      </c>
      <c r="K843" s="1">
        <v>3</v>
      </c>
      <c r="L843" s="1">
        <v>1</v>
      </c>
      <c r="M843" s="4">
        <v>1855</v>
      </c>
      <c r="N843" s="1">
        <v>2089</v>
      </c>
      <c r="O843" s="1">
        <v>6349</v>
      </c>
      <c r="P843" s="1">
        <v>4260</v>
      </c>
      <c r="Q843" s="1" t="s">
        <v>42</v>
      </c>
      <c r="S843" s="1" t="s">
        <v>42</v>
      </c>
      <c r="T843" s="1" t="s">
        <v>170</v>
      </c>
      <c r="U843" s="1">
        <v>132</v>
      </c>
      <c r="V843" s="5">
        <v>44134</v>
      </c>
      <c r="W843" s="5">
        <v>43770</v>
      </c>
      <c r="X843" s="1">
        <v>4635000</v>
      </c>
      <c r="Y843" s="1">
        <v>4415000</v>
      </c>
      <c r="Z843" s="5">
        <v>43902</v>
      </c>
      <c r="AA843" s="1">
        <v>4215000</v>
      </c>
      <c r="AB843" s="1" t="s">
        <v>181</v>
      </c>
      <c r="AC843" s="5">
        <v>43976</v>
      </c>
      <c r="AF843" s="1">
        <v>10010</v>
      </c>
      <c r="AI843" s="1" t="s">
        <v>91</v>
      </c>
      <c r="AJ843" s="1">
        <v>2016</v>
      </c>
      <c r="AK843" s="1" t="s">
        <v>73</v>
      </c>
      <c r="AL843" s="1">
        <v>140</v>
      </c>
    </row>
    <row r="844" spans="1:38" x14ac:dyDescent="0.2">
      <c r="A844" s="2" t="str">
        <f>HYPERLINK("https://www.compass.com/listing/121-east-22nd-street-unit-n1602-manhattan-ny-10010/471602643526430721/","121 E 22nd St, Unit N1602")</f>
        <v>121 E 22nd St, Unit N1602</v>
      </c>
      <c r="B844" s="2" t="str">
        <f t="shared" si="150"/>
        <v>121 E 22nd</v>
      </c>
      <c r="C844" s="1" t="s">
        <v>54</v>
      </c>
      <c r="D844" s="1" t="s">
        <v>41</v>
      </c>
      <c r="E844" s="3">
        <v>4000000</v>
      </c>
      <c r="F844" s="1">
        <v>2156.3342318059299</v>
      </c>
      <c r="G844" s="1">
        <v>4.5</v>
      </c>
      <c r="H844" s="1">
        <v>3</v>
      </c>
      <c r="I844" s="1">
        <v>4</v>
      </c>
      <c r="J844" s="1">
        <v>3.5</v>
      </c>
      <c r="K844" s="1">
        <v>3</v>
      </c>
      <c r="L844" s="1">
        <v>1</v>
      </c>
      <c r="M844" s="4">
        <v>1855</v>
      </c>
      <c r="N844" s="1">
        <v>2066</v>
      </c>
      <c r="O844" s="1">
        <v>6220</v>
      </c>
      <c r="P844" s="1">
        <v>4154</v>
      </c>
      <c r="Q844" s="1" t="s">
        <v>42</v>
      </c>
      <c r="S844" s="1" t="s">
        <v>42</v>
      </c>
      <c r="T844" s="1" t="s">
        <v>170</v>
      </c>
      <c r="U844" s="1">
        <v>192</v>
      </c>
      <c r="V844" s="5">
        <v>44239</v>
      </c>
      <c r="W844" s="5">
        <v>43903</v>
      </c>
      <c r="X844" s="1">
        <v>4635000</v>
      </c>
      <c r="Y844" s="1">
        <v>4680000</v>
      </c>
      <c r="Z844" s="5">
        <v>44189</v>
      </c>
      <c r="AA844" s="1">
        <v>4000000</v>
      </c>
      <c r="AB844" s="1" t="s">
        <v>181</v>
      </c>
      <c r="AC844" s="5">
        <v>44239</v>
      </c>
      <c r="AF844" s="1">
        <v>10010</v>
      </c>
      <c r="AI844" s="1" t="s">
        <v>91</v>
      </c>
      <c r="AJ844" s="1">
        <v>2016</v>
      </c>
      <c r="AK844" s="1" t="s">
        <v>73</v>
      </c>
      <c r="AL844" s="1">
        <v>140</v>
      </c>
    </row>
    <row r="845" spans="1:38" x14ac:dyDescent="0.2">
      <c r="A845" s="2" t="str">
        <f>HYPERLINK("https://www.compass.com/listing/121-east-22nd-street-unit-n202-manhattan-ny-10010/34697255042727585/","121 E 22nd St, Unit N202")</f>
        <v>121 E 22nd St, Unit N202</v>
      </c>
      <c r="B845" s="2" t="str">
        <f t="shared" si="150"/>
        <v>121 E 22nd</v>
      </c>
      <c r="C845" s="1" t="s">
        <v>54</v>
      </c>
      <c r="D845" s="1" t="s">
        <v>41</v>
      </c>
      <c r="E845" s="3">
        <v>1525000</v>
      </c>
      <c r="F845" s="1">
        <v>1878.07881773399</v>
      </c>
      <c r="G845" s="1">
        <v>3</v>
      </c>
      <c r="H845" s="1">
        <v>1</v>
      </c>
      <c r="I845" s="1">
        <v>1</v>
      </c>
      <c r="J845" s="1">
        <v>1</v>
      </c>
      <c r="K845" s="1">
        <v>1</v>
      </c>
      <c r="M845" s="1">
        <v>812</v>
      </c>
      <c r="N845" s="1">
        <v>824</v>
      </c>
      <c r="O845" s="1">
        <v>2275</v>
      </c>
      <c r="P845" s="1">
        <v>1451</v>
      </c>
      <c r="Q845" s="1" t="s">
        <v>42</v>
      </c>
      <c r="S845" s="1" t="s">
        <v>42</v>
      </c>
      <c r="T845" s="1" t="s">
        <v>170</v>
      </c>
      <c r="V845" s="5">
        <v>44373</v>
      </c>
      <c r="W845" s="5">
        <v>43315</v>
      </c>
      <c r="X845" s="1">
        <v>1525000</v>
      </c>
      <c r="Y845" s="1">
        <v>1525000</v>
      </c>
      <c r="Z845" s="5">
        <v>43315</v>
      </c>
      <c r="AA845" s="1">
        <v>1525000</v>
      </c>
      <c r="AB845" s="1" t="s">
        <v>181</v>
      </c>
      <c r="AC845" s="5">
        <v>43533</v>
      </c>
      <c r="AF845" s="1">
        <v>10010</v>
      </c>
      <c r="AI845" s="1" t="s">
        <v>75</v>
      </c>
      <c r="AJ845" s="1">
        <v>2016</v>
      </c>
      <c r="AK845" s="1" t="s">
        <v>73</v>
      </c>
      <c r="AL845" s="1">
        <v>140</v>
      </c>
    </row>
    <row r="846" spans="1:38" x14ac:dyDescent="0.2">
      <c r="A846" s="2" t="str">
        <f>HYPERLINK("https://www.compass.com/listing/121-east-22nd-street-unit-n304-manhattan-ny-10010/34697319660143873/","121 E 22nd St, Unit N304")</f>
        <v>121 E 22nd St, Unit N304</v>
      </c>
      <c r="B846" s="2" t="str">
        <f t="shared" si="150"/>
        <v>121 E 22nd</v>
      </c>
      <c r="C846" s="1" t="s">
        <v>54</v>
      </c>
      <c r="D846" s="1" t="s">
        <v>41</v>
      </c>
      <c r="E846" s="3">
        <v>1578288</v>
      </c>
      <c r="F846" s="1">
        <v>2023.44551282051</v>
      </c>
      <c r="G846" s="1">
        <v>3</v>
      </c>
      <c r="H846" s="1">
        <v>1</v>
      </c>
      <c r="I846" s="1">
        <v>1</v>
      </c>
      <c r="J846" s="1">
        <v>1</v>
      </c>
      <c r="K846" s="1">
        <v>1</v>
      </c>
      <c r="M846" s="1">
        <v>780</v>
      </c>
      <c r="N846" s="1">
        <v>784</v>
      </c>
      <c r="O846" s="1">
        <v>2168</v>
      </c>
      <c r="P846" s="1">
        <v>1384</v>
      </c>
      <c r="Q846" s="1" t="s">
        <v>42</v>
      </c>
      <c r="S846" s="1" t="s">
        <v>42</v>
      </c>
      <c r="T846" s="1" t="s">
        <v>170</v>
      </c>
      <c r="U846" s="1">
        <v>539</v>
      </c>
      <c r="V846" s="5">
        <v>44373</v>
      </c>
      <c r="W846" s="5">
        <v>42760</v>
      </c>
      <c r="X846" s="1">
        <v>1495000</v>
      </c>
      <c r="Y846" s="1">
        <v>1550000</v>
      </c>
      <c r="Z846" s="5">
        <v>43300</v>
      </c>
      <c r="AA846" s="1">
        <v>1578287.5</v>
      </c>
      <c r="AB846" s="1" t="s">
        <v>613</v>
      </c>
      <c r="AC846" s="5">
        <v>43605</v>
      </c>
      <c r="AF846" s="1">
        <v>10010</v>
      </c>
      <c r="AI846" s="1" t="s">
        <v>75</v>
      </c>
      <c r="AJ846" s="1">
        <v>2016</v>
      </c>
      <c r="AK846" s="1" t="s">
        <v>73</v>
      </c>
      <c r="AL846" s="1">
        <v>140</v>
      </c>
    </row>
    <row r="847" spans="1:38" x14ac:dyDescent="0.2">
      <c r="A847" s="2" t="str">
        <f>HYPERLINK("https://www.compass.com/listing/121-east-22nd-street-unit-n704-manhattan-ny-10010/34697997946227297/","121 E 22nd St, Unit N704")</f>
        <v>121 E 22nd St, Unit N704</v>
      </c>
      <c r="B847" s="2" t="str">
        <f t="shared" si="150"/>
        <v>121 E 22nd</v>
      </c>
      <c r="C847" s="1" t="s">
        <v>54</v>
      </c>
      <c r="D847" s="1" t="s">
        <v>41</v>
      </c>
      <c r="E847" s="3">
        <v>1674003</v>
      </c>
      <c r="F847" s="1">
        <v>2146.15769230769</v>
      </c>
      <c r="G847" s="1">
        <v>3</v>
      </c>
      <c r="H847" s="1">
        <v>1</v>
      </c>
      <c r="I847" s="1">
        <v>1</v>
      </c>
      <c r="J847" s="1">
        <v>1</v>
      </c>
      <c r="K847" s="1">
        <v>1</v>
      </c>
      <c r="M847" s="1">
        <v>780</v>
      </c>
      <c r="N847" s="1">
        <v>838</v>
      </c>
      <c r="O847" s="1">
        <v>2321</v>
      </c>
      <c r="P847" s="1">
        <v>1483</v>
      </c>
      <c r="Q847" s="1" t="s">
        <v>42</v>
      </c>
      <c r="S847" s="1" t="s">
        <v>42</v>
      </c>
      <c r="T847" s="1" t="s">
        <v>170</v>
      </c>
      <c r="V847" s="5">
        <v>44373</v>
      </c>
      <c r="W847" s="5">
        <v>43315</v>
      </c>
      <c r="X847" s="1">
        <v>1644000</v>
      </c>
      <c r="Y847" s="1">
        <v>1644000</v>
      </c>
      <c r="Z847" s="5">
        <v>43315</v>
      </c>
      <c r="AA847" s="1">
        <v>1674003</v>
      </c>
      <c r="AB847" s="1" t="s">
        <v>614</v>
      </c>
      <c r="AC847" s="5">
        <v>43559</v>
      </c>
      <c r="AF847" s="1">
        <v>10010</v>
      </c>
      <c r="AI847" s="1" t="s">
        <v>75</v>
      </c>
      <c r="AJ847" s="1">
        <v>2016</v>
      </c>
      <c r="AK847" s="1" t="s">
        <v>73</v>
      </c>
      <c r="AL847" s="1">
        <v>140</v>
      </c>
    </row>
    <row r="848" spans="1:38" x14ac:dyDescent="0.2">
      <c r="A848" s="2" t="str">
        <f>HYPERLINK("https://www.compass.com/listing/121-east-22nd-street-unit-n1103-manhattan-ny-10010/34698281346999777/","121 E 22nd St, Unit N1103")</f>
        <v>121 E 22nd St, Unit N1103</v>
      </c>
      <c r="B848" s="2" t="str">
        <f t="shared" si="150"/>
        <v>121 E 22nd</v>
      </c>
      <c r="C848" s="1" t="s">
        <v>54</v>
      </c>
      <c r="D848" s="1" t="s">
        <v>41</v>
      </c>
      <c r="E848" s="3">
        <v>1464447</v>
      </c>
      <c r="F848" s="1">
        <v>2377.34926948051</v>
      </c>
      <c r="G848" s="1">
        <v>3</v>
      </c>
      <c r="H848" s="1">
        <v>1</v>
      </c>
      <c r="I848" s="1">
        <v>1</v>
      </c>
      <c r="J848" s="1">
        <v>1</v>
      </c>
      <c r="K848" s="1">
        <v>1</v>
      </c>
      <c r="M848" s="1">
        <v>616</v>
      </c>
      <c r="N848" s="1">
        <v>714</v>
      </c>
      <c r="O848" s="1">
        <v>1984</v>
      </c>
      <c r="P848" s="1">
        <v>1270</v>
      </c>
      <c r="Q848" s="1" t="s">
        <v>42</v>
      </c>
      <c r="S848" s="1" t="s">
        <v>42</v>
      </c>
      <c r="T848" s="1" t="s">
        <v>170</v>
      </c>
      <c r="U848" s="1">
        <v>342</v>
      </c>
      <c r="V848" s="5">
        <v>44373</v>
      </c>
      <c r="W848" s="5">
        <v>42957</v>
      </c>
      <c r="X848" s="1">
        <v>1395000</v>
      </c>
      <c r="Y848" s="1">
        <v>1395000</v>
      </c>
      <c r="Z848" s="5">
        <v>43300</v>
      </c>
      <c r="AA848" s="1">
        <v>1464447.15</v>
      </c>
      <c r="AB848" s="1" t="s">
        <v>615</v>
      </c>
      <c r="AC848" s="5">
        <v>43739</v>
      </c>
      <c r="AF848" s="1">
        <v>10010</v>
      </c>
      <c r="AI848" s="1" t="s">
        <v>75</v>
      </c>
      <c r="AJ848" s="1">
        <v>2016</v>
      </c>
      <c r="AK848" s="1" t="s">
        <v>73</v>
      </c>
      <c r="AL848" s="1">
        <v>140</v>
      </c>
    </row>
    <row r="849" spans="1:38" x14ac:dyDescent="0.2">
      <c r="A849" s="2" t="str">
        <f>HYPERLINK("https://www.compass.com/listing/121-east-22nd-street-unit-n504-manhattan-ny-10010/34698287009252017/","121 E 22nd St, Unit N504")</f>
        <v>121 E 22nd St, Unit N504</v>
      </c>
      <c r="B849" s="2" t="str">
        <f t="shared" si="150"/>
        <v>121 E 22nd</v>
      </c>
      <c r="C849" s="1" t="s">
        <v>54</v>
      </c>
      <c r="D849" s="1" t="s">
        <v>41</v>
      </c>
      <c r="E849" s="3">
        <v>1630218</v>
      </c>
      <c r="F849" s="1">
        <v>2090.0230769230702</v>
      </c>
      <c r="G849" s="1">
        <v>3</v>
      </c>
      <c r="H849" s="1">
        <v>1</v>
      </c>
      <c r="I849" s="1">
        <v>1</v>
      </c>
      <c r="J849" s="1">
        <v>1</v>
      </c>
      <c r="K849" s="1">
        <v>1</v>
      </c>
      <c r="M849" s="1">
        <v>780</v>
      </c>
      <c r="N849" s="1">
        <v>820</v>
      </c>
      <c r="O849" s="1">
        <v>2268</v>
      </c>
      <c r="P849" s="1">
        <v>1448</v>
      </c>
      <c r="Q849" s="1" t="s">
        <v>42</v>
      </c>
      <c r="S849" s="1" t="s">
        <v>42</v>
      </c>
      <c r="T849" s="1" t="s">
        <v>170</v>
      </c>
      <c r="V849" s="5">
        <v>44373</v>
      </c>
      <c r="W849" s="5">
        <v>43315</v>
      </c>
      <c r="X849" s="1">
        <v>1601000</v>
      </c>
      <c r="Y849" s="1">
        <v>1601000</v>
      </c>
      <c r="Z849" s="5">
        <v>43315</v>
      </c>
      <c r="AA849" s="1">
        <v>1630218</v>
      </c>
      <c r="AB849" s="1" t="s">
        <v>616</v>
      </c>
      <c r="AC849" s="5">
        <v>43553</v>
      </c>
      <c r="AF849" s="1">
        <v>10010</v>
      </c>
      <c r="AI849" s="1" t="s">
        <v>75</v>
      </c>
      <c r="AJ849" s="1">
        <v>2016</v>
      </c>
      <c r="AK849" s="1" t="s">
        <v>73</v>
      </c>
      <c r="AL849" s="1">
        <v>140</v>
      </c>
    </row>
    <row r="850" spans="1:38" x14ac:dyDescent="0.2">
      <c r="A850" s="2" t="str">
        <f>HYPERLINK("https://www.compass.com/listing/121-east-22nd-street-unit-n1301-manhattan-ny-10010/302777480532079921/","121 E 22nd St, Unit N1301")</f>
        <v>121 E 22nd St, Unit N1301</v>
      </c>
      <c r="B850" s="2" t="str">
        <f t="shared" si="150"/>
        <v>121 E 22nd</v>
      </c>
      <c r="C850" s="1" t="s">
        <v>54</v>
      </c>
      <c r="D850" s="1" t="s">
        <v>41</v>
      </c>
      <c r="E850" s="3">
        <v>2250000</v>
      </c>
      <c r="F850" s="1">
        <v>2411.5755627009598</v>
      </c>
      <c r="G850" s="1">
        <v>3</v>
      </c>
      <c r="H850" s="1">
        <v>1</v>
      </c>
      <c r="I850" s="1">
        <v>2</v>
      </c>
      <c r="J850" s="1">
        <v>1.5</v>
      </c>
      <c r="K850" s="1">
        <v>1</v>
      </c>
      <c r="L850" s="1">
        <v>1</v>
      </c>
      <c r="M850" s="1">
        <v>933</v>
      </c>
      <c r="N850" s="1">
        <v>1315</v>
      </c>
      <c r="O850" s="1">
        <v>4034</v>
      </c>
      <c r="P850" s="1">
        <v>2719</v>
      </c>
      <c r="Q850" s="1" t="s">
        <v>42</v>
      </c>
      <c r="S850" s="1" t="s">
        <v>42</v>
      </c>
      <c r="T850" s="1" t="s">
        <v>170</v>
      </c>
      <c r="U850" s="1">
        <v>166</v>
      </c>
      <c r="V850" s="5">
        <v>43851</v>
      </c>
      <c r="W850" s="5">
        <v>43640</v>
      </c>
      <c r="X850" s="1">
        <v>2250000</v>
      </c>
      <c r="Y850" s="1">
        <v>2250000</v>
      </c>
      <c r="Z850" s="5">
        <v>43806</v>
      </c>
      <c r="AA850" s="1">
        <v>2250000</v>
      </c>
      <c r="AB850" s="1" t="s">
        <v>181</v>
      </c>
      <c r="AC850" s="5">
        <v>43843</v>
      </c>
      <c r="AF850" s="1">
        <v>10010</v>
      </c>
      <c r="AI850" s="1" t="s">
        <v>91</v>
      </c>
      <c r="AJ850" s="1">
        <v>2016</v>
      </c>
      <c r="AK850" s="1" t="s">
        <v>73</v>
      </c>
      <c r="AL850" s="1">
        <v>140</v>
      </c>
    </row>
    <row r="851" spans="1:38" x14ac:dyDescent="0.2">
      <c r="A851" s="2" t="str">
        <f>HYPERLINK("https://www.compass.com/listing/121-east-22nd-street-unit-n1204-manhattan-ny-10010/34697806509802401/","121 E 22nd St, Unit N1204")</f>
        <v>121 E 22nd St, Unit N1204</v>
      </c>
      <c r="B851" s="2" t="str">
        <f t="shared" si="150"/>
        <v>121 E 22nd</v>
      </c>
      <c r="C851" s="1" t="s">
        <v>54</v>
      </c>
      <c r="D851" s="1" t="s">
        <v>41</v>
      </c>
      <c r="E851" s="3">
        <v>1837941</v>
      </c>
      <c r="F851" s="1">
        <v>2356.3349358974301</v>
      </c>
      <c r="G851" s="1">
        <v>3</v>
      </c>
      <c r="H851" s="1">
        <v>1</v>
      </c>
      <c r="I851" s="1">
        <v>1</v>
      </c>
      <c r="J851" s="1">
        <v>1</v>
      </c>
      <c r="K851" s="1">
        <v>1</v>
      </c>
      <c r="M851" s="1">
        <v>780</v>
      </c>
      <c r="N851" s="1">
        <v>884</v>
      </c>
      <c r="O851" s="1">
        <v>2455</v>
      </c>
      <c r="P851" s="1">
        <v>1571</v>
      </c>
      <c r="Q851" s="1" t="s">
        <v>42</v>
      </c>
      <c r="S851" s="1" t="s">
        <v>42</v>
      </c>
      <c r="T851" s="1" t="s">
        <v>170</v>
      </c>
      <c r="U851" s="1">
        <v>301</v>
      </c>
      <c r="V851" s="5">
        <v>44373</v>
      </c>
      <c r="W851" s="5">
        <v>42998</v>
      </c>
      <c r="X851" s="1">
        <v>1805000</v>
      </c>
      <c r="Y851" s="1">
        <v>1805000</v>
      </c>
      <c r="Z851" s="5">
        <v>43300</v>
      </c>
      <c r="AA851" s="1">
        <v>1837941.25</v>
      </c>
      <c r="AB851" s="1" t="s">
        <v>617</v>
      </c>
      <c r="AC851" s="5">
        <v>43598</v>
      </c>
      <c r="AF851" s="1">
        <v>10010</v>
      </c>
      <c r="AI851" s="1" t="s">
        <v>75</v>
      </c>
      <c r="AJ851" s="1">
        <v>2016</v>
      </c>
      <c r="AK851" s="1" t="s">
        <v>73</v>
      </c>
      <c r="AL851" s="1">
        <v>140</v>
      </c>
    </row>
    <row r="852" spans="1:38" x14ac:dyDescent="0.2">
      <c r="A852" s="2" t="str">
        <f>HYPERLINK("https://www.compass.com/listing/121-east-22nd-street-unit-n804-manhattan-ny-10010/34698103743331585/","121 E 22nd St, Unit N804")</f>
        <v>121 E 22nd St, Unit N804</v>
      </c>
      <c r="B852" s="2" t="str">
        <f t="shared" si="150"/>
        <v>121 E 22nd</v>
      </c>
      <c r="C852" s="1" t="s">
        <v>54</v>
      </c>
      <c r="D852" s="1" t="s">
        <v>41</v>
      </c>
      <c r="E852" s="3">
        <v>1734080</v>
      </c>
      <c r="F852" s="1">
        <v>2223.17948717948</v>
      </c>
      <c r="G852" s="1">
        <v>3</v>
      </c>
      <c r="H852" s="1">
        <v>1</v>
      </c>
      <c r="I852" s="1">
        <v>1</v>
      </c>
      <c r="J852" s="1">
        <v>1</v>
      </c>
      <c r="K852" s="1">
        <v>1</v>
      </c>
      <c r="M852" s="1">
        <v>780</v>
      </c>
      <c r="N852" s="1">
        <v>847</v>
      </c>
      <c r="O852" s="1">
        <v>2348</v>
      </c>
      <c r="P852" s="1">
        <v>1501</v>
      </c>
      <c r="Q852" s="1" t="s">
        <v>42</v>
      </c>
      <c r="S852" s="1" t="s">
        <v>42</v>
      </c>
      <c r="T852" s="1" t="s">
        <v>170</v>
      </c>
      <c r="V852" s="5">
        <v>44373</v>
      </c>
      <c r="W852" s="5">
        <v>43315</v>
      </c>
      <c r="X852" s="1">
        <v>1703000</v>
      </c>
      <c r="Y852" s="1">
        <v>1703000</v>
      </c>
      <c r="Z852" s="5">
        <v>43315</v>
      </c>
      <c r="AA852" s="1">
        <v>1734080</v>
      </c>
      <c r="AB852" s="1" t="s">
        <v>618</v>
      </c>
      <c r="AC852" s="5">
        <v>43557</v>
      </c>
      <c r="AF852" s="1">
        <v>10010</v>
      </c>
      <c r="AI852" s="1" t="s">
        <v>75</v>
      </c>
      <c r="AJ852" s="1">
        <v>2016</v>
      </c>
      <c r="AK852" s="1" t="s">
        <v>73</v>
      </c>
      <c r="AL852" s="1">
        <v>140</v>
      </c>
    </row>
    <row r="853" spans="1:38" x14ac:dyDescent="0.2">
      <c r="A853" s="2" t="str">
        <f>HYPERLINK("https://www.compass.com/listing/121-east-22nd-street-unit-n-905-manhattan-ny-10010/34698241039716145/","121 E 22nd St, Unit N/905")</f>
        <v>121 E 22nd St, Unit N/905</v>
      </c>
      <c r="B853" s="2" t="str">
        <f t="shared" si="150"/>
        <v>121 E 22nd</v>
      </c>
      <c r="C853" s="1" t="s">
        <v>54</v>
      </c>
      <c r="D853" s="1" t="s">
        <v>41</v>
      </c>
      <c r="E853" s="3">
        <v>1853215</v>
      </c>
      <c r="F853" s="1">
        <v>2351.7956852791799</v>
      </c>
      <c r="G853" s="1">
        <v>3</v>
      </c>
      <c r="H853" s="1">
        <v>1</v>
      </c>
      <c r="I853" s="1">
        <v>1</v>
      </c>
      <c r="J853" s="1">
        <v>1</v>
      </c>
      <c r="K853" s="1">
        <v>1</v>
      </c>
      <c r="M853" s="1">
        <v>788</v>
      </c>
      <c r="N853" s="1">
        <v>865</v>
      </c>
      <c r="O853" s="1">
        <v>2397</v>
      </c>
      <c r="P853" s="1">
        <v>1532</v>
      </c>
      <c r="Q853" s="1" t="s">
        <v>42</v>
      </c>
      <c r="S853" s="1" t="s">
        <v>42</v>
      </c>
      <c r="T853" s="1" t="s">
        <v>170</v>
      </c>
      <c r="U853" s="1">
        <v>338</v>
      </c>
      <c r="V853" s="5">
        <v>44057</v>
      </c>
      <c r="W853" s="5">
        <v>42961</v>
      </c>
      <c r="X853" s="1">
        <v>1720000</v>
      </c>
      <c r="Y853" s="1">
        <v>1720000</v>
      </c>
      <c r="Z853" s="5">
        <v>43300</v>
      </c>
      <c r="AA853" s="1">
        <v>1853215</v>
      </c>
      <c r="AB853" s="1" t="s">
        <v>619</v>
      </c>
      <c r="AC853" s="5">
        <v>43644</v>
      </c>
      <c r="AF853" s="1">
        <v>10010</v>
      </c>
      <c r="AI853" s="1" t="s">
        <v>75</v>
      </c>
      <c r="AJ853" s="1">
        <v>2016</v>
      </c>
      <c r="AK853" s="1" t="s">
        <v>73</v>
      </c>
      <c r="AL853" s="1">
        <v>140</v>
      </c>
    </row>
    <row r="854" spans="1:38" x14ac:dyDescent="0.2">
      <c r="A854" s="2" t="str">
        <f>HYPERLINK("https://www.compass.com/listing/200-east-21st-street-unit-7a-manhattan-ny-10010/193377660036998161/","200 E 21st St, Unit 7A")</f>
        <v>200 E 21st St, Unit 7A</v>
      </c>
      <c r="B854" s="2" t="str">
        <f t="shared" ref="B854:B856" si="151">HYPERLINK("https://www.compass.com/building/200-east-21st-street-manhattan-ny/292796762689658005/","200 East 21st Street")</f>
        <v>200 East 21st Street</v>
      </c>
      <c r="C854" s="1" t="s">
        <v>54</v>
      </c>
      <c r="D854" s="1" t="s">
        <v>41</v>
      </c>
      <c r="E854" s="3">
        <v>2515000</v>
      </c>
      <c r="F854" s="1">
        <v>1783.68794326241</v>
      </c>
      <c r="G854" s="1">
        <v>4</v>
      </c>
      <c r="H854" s="1">
        <v>2</v>
      </c>
      <c r="I854" s="1">
        <v>2</v>
      </c>
      <c r="J854" s="1">
        <v>2</v>
      </c>
      <c r="K854" s="1">
        <v>2</v>
      </c>
      <c r="M854" s="4">
        <v>1410</v>
      </c>
      <c r="N854" s="1">
        <v>1380</v>
      </c>
      <c r="O854" s="1">
        <v>3973</v>
      </c>
      <c r="P854" s="1">
        <v>2593</v>
      </c>
      <c r="Q854" s="1" t="s">
        <v>42</v>
      </c>
      <c r="S854" s="1" t="s">
        <v>42</v>
      </c>
      <c r="T854" s="1" t="s">
        <v>170</v>
      </c>
      <c r="V854" s="5">
        <v>43694</v>
      </c>
      <c r="W854" s="5">
        <v>43519</v>
      </c>
      <c r="X854" s="1">
        <v>2625000</v>
      </c>
      <c r="Y854" s="1">
        <v>2625000</v>
      </c>
      <c r="Z854" s="5">
        <v>43519</v>
      </c>
      <c r="AA854" s="1">
        <v>2515000</v>
      </c>
      <c r="AB854" s="1" t="s">
        <v>620</v>
      </c>
      <c r="AC854" s="5">
        <v>43634</v>
      </c>
      <c r="AF854" s="1">
        <v>10010</v>
      </c>
      <c r="AI854" s="1" t="s">
        <v>86</v>
      </c>
      <c r="AJ854" s="1">
        <v>2018</v>
      </c>
      <c r="AK854" s="1" t="s">
        <v>49</v>
      </c>
      <c r="AL854" s="1">
        <v>67</v>
      </c>
    </row>
    <row r="855" spans="1:38" x14ac:dyDescent="0.2">
      <c r="A855" s="2" t="str">
        <f>HYPERLINK("https://www.compass.com/listing/200-east-21st-street-unit-6a-manhattan-ny-10010/54114806684311281/","200 E 21st St, Unit 6A")</f>
        <v>200 E 21st St, Unit 6A</v>
      </c>
      <c r="B855" s="2" t="str">
        <f t="shared" si="151"/>
        <v>200 East 21st Street</v>
      </c>
      <c r="C855" s="1" t="s">
        <v>54</v>
      </c>
      <c r="D855" s="1" t="s">
        <v>41</v>
      </c>
      <c r="E855" s="3">
        <v>2575000</v>
      </c>
      <c r="F855" s="1">
        <v>1826.24113475177</v>
      </c>
      <c r="G855" s="1">
        <v>4</v>
      </c>
      <c r="H855" s="1">
        <v>2</v>
      </c>
      <c r="I855" s="1">
        <v>2</v>
      </c>
      <c r="J855" s="1">
        <v>2</v>
      </c>
      <c r="K855" s="1">
        <v>2</v>
      </c>
      <c r="M855" s="4">
        <v>1410</v>
      </c>
      <c r="N855" s="1">
        <v>1379</v>
      </c>
      <c r="O855" s="1">
        <v>3962</v>
      </c>
      <c r="P855" s="1">
        <v>2583</v>
      </c>
      <c r="Q855" s="1" t="s">
        <v>42</v>
      </c>
      <c r="S855" s="1" t="s">
        <v>42</v>
      </c>
      <c r="T855" s="1" t="s">
        <v>170</v>
      </c>
      <c r="U855" s="1">
        <v>383</v>
      </c>
      <c r="V855" s="5">
        <v>43676</v>
      </c>
      <c r="W855" s="5">
        <v>43139</v>
      </c>
      <c r="X855" s="1">
        <v>2575000</v>
      </c>
      <c r="Y855" s="1">
        <v>2575000</v>
      </c>
      <c r="AA855" s="1">
        <v>2575000</v>
      </c>
      <c r="AB855" s="1" t="s">
        <v>621</v>
      </c>
      <c r="AC855" s="5">
        <v>43623</v>
      </c>
      <c r="AF855" s="1">
        <v>10010</v>
      </c>
      <c r="AI855" s="1" t="s">
        <v>86</v>
      </c>
      <c r="AJ855" s="1">
        <v>2018</v>
      </c>
      <c r="AK855" s="1" t="s">
        <v>49</v>
      </c>
      <c r="AL855" s="1">
        <v>67</v>
      </c>
    </row>
    <row r="856" spans="1:38" x14ac:dyDescent="0.2">
      <c r="A856" s="2" t="str">
        <f>HYPERLINK("https://www.compass.com/listing/200-east-21st-street-unit-4a-manhattan-ny-10010/96242684720672881/","200 E 21st St, Unit 4A")</f>
        <v>200 E 21st St, Unit 4A</v>
      </c>
      <c r="B856" s="2" t="str">
        <f t="shared" si="151"/>
        <v>200 East 21st Street</v>
      </c>
      <c r="C856" s="1" t="s">
        <v>54</v>
      </c>
      <c r="D856" s="1" t="s">
        <v>41</v>
      </c>
      <c r="E856" s="3">
        <v>2475000</v>
      </c>
      <c r="F856" s="1">
        <v>1755.31914893617</v>
      </c>
      <c r="G856" s="1">
        <v>4</v>
      </c>
      <c r="H856" s="1">
        <v>2</v>
      </c>
      <c r="I856" s="1">
        <v>2</v>
      </c>
      <c r="J856" s="1">
        <v>2</v>
      </c>
      <c r="K856" s="1">
        <v>2</v>
      </c>
      <c r="M856" s="4">
        <v>1410</v>
      </c>
      <c r="N856" s="1">
        <v>1368</v>
      </c>
      <c r="O856" s="1">
        <v>3930</v>
      </c>
      <c r="P856" s="1">
        <v>2562</v>
      </c>
      <c r="Q856" s="1" t="s">
        <v>42</v>
      </c>
      <c r="S856" s="1" t="s">
        <v>42</v>
      </c>
      <c r="T856" s="1" t="s">
        <v>170</v>
      </c>
      <c r="U856" s="1">
        <v>62</v>
      </c>
      <c r="V856" s="5">
        <v>43859</v>
      </c>
      <c r="W856" s="5">
        <v>43322</v>
      </c>
      <c r="X856" s="1">
        <v>2475000</v>
      </c>
      <c r="Y856" s="1">
        <v>2475000</v>
      </c>
      <c r="Z856" s="5">
        <v>43385</v>
      </c>
      <c r="AA856" s="1">
        <v>2475000</v>
      </c>
      <c r="AB856" s="1" t="s">
        <v>622</v>
      </c>
      <c r="AC856" s="5">
        <v>43621</v>
      </c>
      <c r="AF856" s="1">
        <v>10010</v>
      </c>
      <c r="AI856" s="1" t="s">
        <v>86</v>
      </c>
      <c r="AJ856" s="1">
        <v>2018</v>
      </c>
      <c r="AK856" s="1" t="s">
        <v>49</v>
      </c>
      <c r="AL856" s="1">
        <v>67</v>
      </c>
    </row>
    <row r="857" spans="1:38" x14ac:dyDescent="0.2">
      <c r="A857" s="2" t="str">
        <f>HYPERLINK("https://www.compass.com/listing/30-park-place-unit-39d-manhattan-ny-10007/29357552680572961/","30 Park Pl, Unit 39D")</f>
        <v>30 Park Pl, Unit 39D</v>
      </c>
      <c r="B857" s="2" t="str">
        <f t="shared" ref="B857:B858" si="152">HYPERLINK("https://www.compass.com/building/30-park-pl-manhattan-ny-10007/281896912905317605/","30 Park Pl")</f>
        <v>30 Park Pl</v>
      </c>
      <c r="C857" s="1" t="s">
        <v>40</v>
      </c>
      <c r="D857" s="1" t="s">
        <v>41</v>
      </c>
      <c r="E857" s="3">
        <v>988250</v>
      </c>
      <c r="F857" s="1">
        <v>1984.4377510040099</v>
      </c>
      <c r="G857" s="1">
        <v>2</v>
      </c>
      <c r="H857" s="1" t="s">
        <v>79</v>
      </c>
      <c r="I857" s="1">
        <v>1</v>
      </c>
      <c r="J857" s="1">
        <v>1</v>
      </c>
      <c r="K857" s="1">
        <v>1</v>
      </c>
      <c r="M857" s="1">
        <v>498</v>
      </c>
      <c r="N857" s="1">
        <v>386</v>
      </c>
      <c r="O857" s="1">
        <v>1369</v>
      </c>
      <c r="P857" s="1">
        <v>983</v>
      </c>
      <c r="Q857" s="1" t="s">
        <v>42</v>
      </c>
      <c r="S857" s="1" t="s">
        <v>42</v>
      </c>
      <c r="T857" s="1" t="s">
        <v>170</v>
      </c>
      <c r="V857" s="5">
        <v>43662</v>
      </c>
      <c r="W857" s="5">
        <v>42705</v>
      </c>
      <c r="X857" s="1">
        <v>1000000</v>
      </c>
      <c r="Y857" s="1">
        <v>1000000</v>
      </c>
      <c r="Z857" s="5">
        <v>42705</v>
      </c>
      <c r="AA857" s="1">
        <v>988250</v>
      </c>
      <c r="AB857" s="1" t="s">
        <v>623</v>
      </c>
      <c r="AC857" s="5">
        <v>42887</v>
      </c>
      <c r="AF857" s="1">
        <v>10007</v>
      </c>
      <c r="AJ857" s="1">
        <v>2016</v>
      </c>
      <c r="AK857" s="1" t="s">
        <v>73</v>
      </c>
      <c r="AL857" s="1">
        <v>157</v>
      </c>
    </row>
    <row r="858" spans="1:38" x14ac:dyDescent="0.2">
      <c r="A858" s="2" t="str">
        <f>HYPERLINK("https://www.compass.com/listing/30-park-place-unit-39e-manhattan-ny-10007/29357553058057153/","30 Park Pl, Unit 39E")</f>
        <v>30 Park Pl, Unit 39E</v>
      </c>
      <c r="B858" s="2" t="str">
        <f t="shared" si="152"/>
        <v>30 Park Pl</v>
      </c>
      <c r="C858" s="1" t="s">
        <v>40</v>
      </c>
      <c r="D858" s="1" t="s">
        <v>41</v>
      </c>
      <c r="E858" s="3">
        <v>1043706</v>
      </c>
      <c r="F858" s="1">
        <v>2083.2455089820301</v>
      </c>
      <c r="G858" s="1">
        <v>2</v>
      </c>
      <c r="H858" s="1" t="s">
        <v>79</v>
      </c>
      <c r="I858" s="1">
        <v>1</v>
      </c>
      <c r="J858" s="1">
        <v>1</v>
      </c>
      <c r="K858" s="1">
        <v>1</v>
      </c>
      <c r="M858" s="1">
        <v>501</v>
      </c>
      <c r="N858" s="1">
        <v>389</v>
      </c>
      <c r="O858" s="1">
        <v>1381</v>
      </c>
      <c r="P858" s="1">
        <v>992</v>
      </c>
      <c r="Q858" s="1" t="s">
        <v>42</v>
      </c>
      <c r="S858" s="1" t="s">
        <v>42</v>
      </c>
      <c r="T858" s="1" t="s">
        <v>170</v>
      </c>
      <c r="V858" s="5">
        <v>43662</v>
      </c>
      <c r="W858" s="5">
        <v>42705</v>
      </c>
      <c r="X858" s="1">
        <v>1025000</v>
      </c>
      <c r="Y858" s="1">
        <v>1025000</v>
      </c>
      <c r="Z858" s="5">
        <v>42705</v>
      </c>
      <c r="AA858" s="1">
        <v>1043706</v>
      </c>
      <c r="AB858" s="1" t="s">
        <v>624</v>
      </c>
      <c r="AC858" s="5">
        <v>42866</v>
      </c>
      <c r="AF858" s="1">
        <v>10007</v>
      </c>
      <c r="AJ858" s="1">
        <v>2016</v>
      </c>
      <c r="AK858" s="1" t="s">
        <v>73</v>
      </c>
      <c r="AL858" s="1">
        <v>157</v>
      </c>
    </row>
    <row r="859" spans="1:38" x14ac:dyDescent="0.2">
      <c r="A859" s="2" t="str">
        <f>HYPERLINK("https://www.compass.com/listing/121-east-22nd-street-unit-n502-manhattan-ny-10010/34697997501630193/","121 E 22nd St, Unit N502")</f>
        <v>121 E 22nd St, Unit N502</v>
      </c>
      <c r="B859" s="2" t="str">
        <f t="shared" ref="B859:B860" si="153">HYPERLINK("https://www.compass.com/building/121-e-22nd-manhattan-ny/292795784653461493/","121 E 22nd")</f>
        <v>121 E 22nd</v>
      </c>
      <c r="C859" s="1" t="s">
        <v>54</v>
      </c>
      <c r="D859" s="1" t="s">
        <v>41</v>
      </c>
      <c r="E859" s="3">
        <v>3538419</v>
      </c>
      <c r="F859" s="1">
        <v>2113.75089605734</v>
      </c>
      <c r="G859" s="1">
        <v>4</v>
      </c>
      <c r="H859" s="1">
        <v>2</v>
      </c>
      <c r="I859" s="1">
        <v>3</v>
      </c>
      <c r="J859" s="1">
        <v>2.5</v>
      </c>
      <c r="K859" s="1">
        <v>2</v>
      </c>
      <c r="L859" s="1">
        <v>1</v>
      </c>
      <c r="M859" s="4">
        <v>1674</v>
      </c>
      <c r="N859" s="1">
        <v>1789</v>
      </c>
      <c r="O859" s="1">
        <v>4954</v>
      </c>
      <c r="P859" s="1">
        <v>3165</v>
      </c>
      <c r="Q859" s="1" t="s">
        <v>42</v>
      </c>
      <c r="S859" s="1" t="s">
        <v>42</v>
      </c>
      <c r="T859" s="1" t="s">
        <v>170</v>
      </c>
      <c r="V859" s="5">
        <v>44373</v>
      </c>
      <c r="W859" s="5">
        <v>43315</v>
      </c>
      <c r="X859" s="1">
        <v>3530000</v>
      </c>
      <c r="Y859" s="1">
        <v>3530000</v>
      </c>
      <c r="Z859" s="5">
        <v>43315</v>
      </c>
      <c r="AA859" s="1">
        <v>3538419</v>
      </c>
      <c r="AB859" s="1" t="s">
        <v>625</v>
      </c>
      <c r="AC859" s="5">
        <v>43567</v>
      </c>
      <c r="AF859" s="1">
        <v>10010</v>
      </c>
      <c r="AI859" s="1" t="s">
        <v>75</v>
      </c>
      <c r="AJ859" s="1">
        <v>2016</v>
      </c>
      <c r="AK859" s="1" t="s">
        <v>73</v>
      </c>
      <c r="AL859" s="1">
        <v>140</v>
      </c>
    </row>
    <row r="860" spans="1:38" x14ac:dyDescent="0.2">
      <c r="A860" s="2" t="str">
        <f>HYPERLINK("https://www.compass.com/listing/121-east-22nd-street-unit-n607-manhattan-ny-10010/803357607376654977/","121 E 22nd St, Unit N607")</f>
        <v>121 E 22nd St, Unit N607</v>
      </c>
      <c r="B860" s="2" t="str">
        <f t="shared" si="153"/>
        <v>121 E 22nd</v>
      </c>
      <c r="C860" s="1" t="s">
        <v>54</v>
      </c>
      <c r="D860" s="1" t="s">
        <v>41</v>
      </c>
      <c r="E860" s="3">
        <v>3270000</v>
      </c>
      <c r="F860" s="1">
        <v>1915.6414762741599</v>
      </c>
      <c r="G860" s="1">
        <v>4</v>
      </c>
      <c r="H860" s="1">
        <v>2</v>
      </c>
      <c r="I860" s="1">
        <v>3</v>
      </c>
      <c r="J860" s="1">
        <v>2.5</v>
      </c>
      <c r="K860" s="1">
        <v>2</v>
      </c>
      <c r="L860" s="1">
        <v>1</v>
      </c>
      <c r="M860" s="4">
        <v>1707</v>
      </c>
      <c r="N860" s="1">
        <v>1736</v>
      </c>
      <c r="O860" s="1">
        <v>5251</v>
      </c>
      <c r="P860" s="1">
        <v>3515</v>
      </c>
      <c r="Q860" s="1" t="s">
        <v>42</v>
      </c>
      <c r="S860" s="1" t="s">
        <v>42</v>
      </c>
      <c r="T860" s="1" t="s">
        <v>170</v>
      </c>
      <c r="U860" s="1">
        <v>2</v>
      </c>
      <c r="V860" s="5">
        <v>44057</v>
      </c>
      <c r="W860" s="5">
        <v>43816</v>
      </c>
      <c r="X860" s="1">
        <v>3605000</v>
      </c>
      <c r="Y860" s="1">
        <v>3270000</v>
      </c>
      <c r="AA860" s="1">
        <v>3270000</v>
      </c>
      <c r="AB860" s="1" t="s">
        <v>590</v>
      </c>
      <c r="AC860" s="5">
        <v>43928</v>
      </c>
      <c r="AF860" s="1">
        <v>10010</v>
      </c>
      <c r="AI860" s="1" t="s">
        <v>593</v>
      </c>
      <c r="AJ860" s="1">
        <v>2016</v>
      </c>
      <c r="AK860" s="1" t="s">
        <v>73</v>
      </c>
      <c r="AL860" s="1">
        <v>140</v>
      </c>
    </row>
    <row r="861" spans="1:38" x14ac:dyDescent="0.2">
      <c r="A861" s="2" t="str">
        <f>HYPERLINK("https://www.compass.com/listing/200-east-21st-street-unit-10a-manhattan-ny-10010/276576954088526897/","200 E 21st St, Unit 10A")</f>
        <v>200 E 21st St, Unit 10A</v>
      </c>
      <c r="B861" s="2" t="str">
        <f t="shared" ref="B861:B863" si="154">HYPERLINK("https://www.compass.com/building/200-east-21st-street-manhattan-ny/292796762689658005/","200 East 21st Street")</f>
        <v>200 East 21st Street</v>
      </c>
      <c r="C861" s="1" t="s">
        <v>54</v>
      </c>
      <c r="D861" s="1" t="s">
        <v>41</v>
      </c>
      <c r="E861" s="3">
        <v>2700250</v>
      </c>
      <c r="F861" s="1">
        <v>1889.60811756473</v>
      </c>
      <c r="G861" s="1">
        <v>4</v>
      </c>
      <c r="H861" s="1">
        <v>2</v>
      </c>
      <c r="I861" s="1">
        <v>2</v>
      </c>
      <c r="J861" s="1">
        <v>2</v>
      </c>
      <c r="K861" s="1">
        <v>2</v>
      </c>
      <c r="M861" s="4">
        <v>1429</v>
      </c>
      <c r="N861" s="1">
        <v>1411</v>
      </c>
      <c r="O861" s="1">
        <v>2503</v>
      </c>
      <c r="P861" s="1">
        <v>1092</v>
      </c>
      <c r="Q861" s="1" t="s">
        <v>42</v>
      </c>
      <c r="S861" s="1" t="s">
        <v>42</v>
      </c>
      <c r="T861" s="1" t="s">
        <v>170</v>
      </c>
      <c r="U861" s="1">
        <v>44</v>
      </c>
      <c r="V861" s="5">
        <v>43731</v>
      </c>
      <c r="W861" s="5">
        <v>43634</v>
      </c>
      <c r="X861" s="1">
        <v>2750000</v>
      </c>
      <c r="Y861" s="1">
        <v>2750000</v>
      </c>
      <c r="Z861" s="5">
        <v>43678</v>
      </c>
      <c r="AA861" s="1">
        <v>2700250</v>
      </c>
      <c r="AB861" s="1" t="s">
        <v>626</v>
      </c>
      <c r="AC861" s="5">
        <v>43720</v>
      </c>
      <c r="AF861" s="1">
        <v>10010</v>
      </c>
      <c r="AI861" s="1" t="s">
        <v>86</v>
      </c>
      <c r="AJ861" s="1">
        <v>2018</v>
      </c>
      <c r="AK861" s="1" t="s">
        <v>49</v>
      </c>
      <c r="AL861" s="1">
        <v>67</v>
      </c>
    </row>
    <row r="862" spans="1:38" x14ac:dyDescent="0.2">
      <c r="A862" s="2" t="str">
        <f>HYPERLINK("https://www.compass.com/listing/200-east-21st-street-unit-8a-manhattan-ny-10010/29512889366750145/","200 E 21st St, Unit 8A")</f>
        <v>200 E 21st St, Unit 8A</v>
      </c>
      <c r="B862" s="2" t="str">
        <f t="shared" si="154"/>
        <v>200 East 21st Street</v>
      </c>
      <c r="C862" s="1" t="s">
        <v>54</v>
      </c>
      <c r="D862" s="1" t="s">
        <v>41</v>
      </c>
      <c r="E862" s="3">
        <v>2650000</v>
      </c>
      <c r="F862" s="1">
        <v>1854.4436668999299</v>
      </c>
      <c r="G862" s="1">
        <v>4</v>
      </c>
      <c r="H862" s="1">
        <v>2</v>
      </c>
      <c r="I862" s="1">
        <v>2</v>
      </c>
      <c r="J862" s="1">
        <v>2</v>
      </c>
      <c r="K862" s="1">
        <v>2</v>
      </c>
      <c r="M862" s="4">
        <v>1429</v>
      </c>
      <c r="N862" s="1">
        <v>1404</v>
      </c>
      <c r="O862" s="1">
        <v>4034</v>
      </c>
      <c r="P862" s="1">
        <v>2630</v>
      </c>
      <c r="Q862" s="1" t="s">
        <v>42</v>
      </c>
      <c r="S862" s="1" t="s">
        <v>42</v>
      </c>
      <c r="T862" s="1" t="s">
        <v>170</v>
      </c>
      <c r="U862" s="1">
        <v>140</v>
      </c>
      <c r="V862" s="5">
        <v>44225</v>
      </c>
      <c r="W862" s="5">
        <v>43260</v>
      </c>
      <c r="X862" s="1">
        <v>2675000</v>
      </c>
      <c r="Y862" s="1">
        <v>2675000</v>
      </c>
      <c r="Z862" s="5">
        <v>43400</v>
      </c>
      <c r="AA862" s="1">
        <v>2650000</v>
      </c>
      <c r="AB862" s="1" t="s">
        <v>627</v>
      </c>
      <c r="AC862" s="5">
        <v>43578</v>
      </c>
      <c r="AF862" s="1">
        <v>10010</v>
      </c>
      <c r="AI862" s="1" t="s">
        <v>52</v>
      </c>
      <c r="AJ862" s="1">
        <v>2018</v>
      </c>
      <c r="AK862" s="1" t="s">
        <v>77</v>
      </c>
      <c r="AL862" s="1">
        <v>67</v>
      </c>
    </row>
    <row r="863" spans="1:38" x14ac:dyDescent="0.2">
      <c r="A863" s="2" t="str">
        <f>HYPERLINK("https://www.compass.com/listing/200-east-21st-street-unit-3a-manhattan-ny-10010/85454713247602145/","200 E 21st St, Unit 3A")</f>
        <v>200 E 21st St, Unit 3A</v>
      </c>
      <c r="B863" s="2" t="str">
        <f t="shared" si="154"/>
        <v>200 East 21st Street</v>
      </c>
      <c r="C863" s="1" t="s">
        <v>54</v>
      </c>
      <c r="D863" s="1" t="s">
        <v>41</v>
      </c>
      <c r="E863" s="3">
        <v>2585000</v>
      </c>
      <c r="F863" s="1">
        <v>1833.3333333333301</v>
      </c>
      <c r="G863" s="1">
        <v>4</v>
      </c>
      <c r="H863" s="1">
        <v>2</v>
      </c>
      <c r="I863" s="1">
        <v>2</v>
      </c>
      <c r="J863" s="1">
        <v>2</v>
      </c>
      <c r="K863" s="1">
        <v>2</v>
      </c>
      <c r="M863" s="4">
        <v>1410</v>
      </c>
      <c r="N863" s="1">
        <v>1389</v>
      </c>
      <c r="O863" s="1">
        <v>3990</v>
      </c>
      <c r="P863" s="1">
        <v>2601</v>
      </c>
      <c r="Q863" s="1" t="s">
        <v>42</v>
      </c>
      <c r="S863" s="1" t="s">
        <v>42</v>
      </c>
      <c r="T863" s="1" t="s">
        <v>170</v>
      </c>
      <c r="U863" s="1">
        <v>195</v>
      </c>
      <c r="V863" s="5">
        <v>43694</v>
      </c>
      <c r="W863" s="5">
        <v>43370</v>
      </c>
      <c r="X863" s="1">
        <v>2585000</v>
      </c>
      <c r="Y863" s="1">
        <v>2585000</v>
      </c>
      <c r="Z863" s="5">
        <v>43565</v>
      </c>
      <c r="AA863" s="1">
        <v>2585000</v>
      </c>
      <c r="AB863" s="1" t="s">
        <v>628</v>
      </c>
      <c r="AC863" s="5">
        <v>43626</v>
      </c>
      <c r="AF863" s="1">
        <v>10010</v>
      </c>
      <c r="AI863" s="1" t="s">
        <v>86</v>
      </c>
      <c r="AJ863" s="1">
        <v>2018</v>
      </c>
      <c r="AK863" s="1" t="s">
        <v>49</v>
      </c>
      <c r="AL863" s="1">
        <v>67</v>
      </c>
    </row>
    <row r="864" spans="1:38" x14ac:dyDescent="0.2">
      <c r="A864" s="2" t="str">
        <f>HYPERLINK("https://www.compass.com/listing/150-east-23rd-street-unit-5d-manhattan-ny-10010/122395327528561297/","150 E 23rd St, Unit 5D")</f>
        <v>150 E 23rd St, Unit 5D</v>
      </c>
      <c r="B864" s="2" t="str">
        <f>HYPERLINK("https://www.compass.com/building/celeste-gramercy-manhattan-ny/292795972759607813/","Celeste Gramercy")</f>
        <v>Celeste Gramercy</v>
      </c>
      <c r="C864" s="1" t="s">
        <v>54</v>
      </c>
      <c r="D864" s="1" t="s">
        <v>41</v>
      </c>
      <c r="E864" s="3">
        <v>2300000</v>
      </c>
      <c r="F864" s="1">
        <v>1766.5130568356301</v>
      </c>
      <c r="G864" s="1">
        <v>5.5</v>
      </c>
      <c r="H864" s="1">
        <v>2</v>
      </c>
      <c r="I864" s="1">
        <v>3</v>
      </c>
      <c r="J864" s="1">
        <v>2.5</v>
      </c>
      <c r="K864" s="1">
        <v>2</v>
      </c>
      <c r="L864" s="1">
        <v>1</v>
      </c>
      <c r="M864" s="4">
        <v>1302</v>
      </c>
      <c r="N864" s="1">
        <v>1756</v>
      </c>
      <c r="O864" s="1">
        <v>3402</v>
      </c>
      <c r="P864" s="1">
        <v>1646</v>
      </c>
      <c r="Q864" s="1" t="s">
        <v>42</v>
      </c>
      <c r="S864" s="1" t="s">
        <v>42</v>
      </c>
      <c r="T864" s="1" t="s">
        <v>170</v>
      </c>
      <c r="U864" s="1">
        <v>803</v>
      </c>
      <c r="V864" s="5">
        <v>44408</v>
      </c>
      <c r="W864" s="5">
        <v>43420</v>
      </c>
      <c r="X864" s="1">
        <v>2375000</v>
      </c>
      <c r="Y864" s="1">
        <v>2375000</v>
      </c>
      <c r="Z864" s="5">
        <v>44317</v>
      </c>
      <c r="AA864" s="1">
        <v>2300000</v>
      </c>
      <c r="AB864" s="1" t="s">
        <v>181</v>
      </c>
      <c r="AC864" s="5">
        <v>44407</v>
      </c>
      <c r="AF864" s="1">
        <v>10010</v>
      </c>
      <c r="AI864" s="1" t="s">
        <v>53</v>
      </c>
      <c r="AJ864" s="1">
        <v>2018</v>
      </c>
      <c r="AK864" s="1" t="s">
        <v>73</v>
      </c>
      <c r="AL864" s="1">
        <v>51</v>
      </c>
    </row>
    <row r="865" spans="1:38" x14ac:dyDescent="0.2">
      <c r="A865" s="2" t="str">
        <f>HYPERLINK("https://www.compass.com/listing/121-east-22nd-street-unit-n1704-manhattan-ny-10010/34705303283012513/","121 E 22nd St, Unit N1704")</f>
        <v>121 E 22nd St, Unit N1704</v>
      </c>
      <c r="B865" s="2" t="str">
        <f t="shared" ref="B865:B866" si="155">HYPERLINK("https://www.compass.com/building/121-e-22nd-manhattan-ny/292795784653461493/","121 E 22nd")</f>
        <v>121 E 22nd</v>
      </c>
      <c r="C865" s="1" t="s">
        <v>54</v>
      </c>
      <c r="D865" s="1" t="s">
        <v>41</v>
      </c>
      <c r="E865" s="3">
        <v>2482697</v>
      </c>
      <c r="F865" s="1">
        <v>2200.97265070921</v>
      </c>
      <c r="G865" s="1">
        <v>3</v>
      </c>
      <c r="H865" s="1">
        <v>1</v>
      </c>
      <c r="I865" s="1">
        <v>2</v>
      </c>
      <c r="J865" s="1">
        <v>1.5</v>
      </c>
      <c r="K865" s="1">
        <v>1</v>
      </c>
      <c r="L865" s="1">
        <v>1</v>
      </c>
      <c r="M865" s="4">
        <v>1128</v>
      </c>
      <c r="N865" s="1">
        <v>1273</v>
      </c>
      <c r="O865" s="1">
        <v>3534</v>
      </c>
      <c r="P865" s="1">
        <v>2261</v>
      </c>
      <c r="Q865" s="1" t="s">
        <v>42</v>
      </c>
      <c r="S865" s="1" t="s">
        <v>42</v>
      </c>
      <c r="T865" s="1" t="s">
        <v>170</v>
      </c>
      <c r="V865" s="5">
        <v>44373</v>
      </c>
      <c r="W865" s="5">
        <v>43315</v>
      </c>
      <c r="X865" s="1">
        <v>2435000</v>
      </c>
      <c r="Y865" s="1">
        <v>2435000</v>
      </c>
      <c r="Z865" s="5">
        <v>43315</v>
      </c>
      <c r="AA865" s="1">
        <v>2482697.15</v>
      </c>
      <c r="AB865" s="1" t="s">
        <v>629</v>
      </c>
      <c r="AC865" s="5">
        <v>43734</v>
      </c>
      <c r="AF865" s="1">
        <v>10010</v>
      </c>
      <c r="AI865" s="1" t="s">
        <v>75</v>
      </c>
      <c r="AJ865" s="1">
        <v>2016</v>
      </c>
      <c r="AK865" s="1" t="s">
        <v>73</v>
      </c>
      <c r="AL865" s="1">
        <v>140</v>
      </c>
    </row>
    <row r="866" spans="1:38" x14ac:dyDescent="0.2">
      <c r="A866" s="2" t="str">
        <f>HYPERLINK("https://www.compass.com/listing/121-east-22nd-street-unit-n406-manhattan-ny-10010/209413287614378001/","121 E 22nd St, Unit N406")</f>
        <v>121 E 22nd St, Unit N406</v>
      </c>
      <c r="B866" s="2" t="str">
        <f t="shared" si="155"/>
        <v>121 E 22nd</v>
      </c>
      <c r="C866" s="1" t="s">
        <v>54</v>
      </c>
      <c r="D866" s="1" t="s">
        <v>41</v>
      </c>
      <c r="E866" s="3">
        <v>3390625</v>
      </c>
      <c r="F866" s="1">
        <v>1937.50015999999</v>
      </c>
      <c r="G866" s="1">
        <v>4</v>
      </c>
      <c r="H866" s="1">
        <v>2</v>
      </c>
      <c r="I866" s="1">
        <v>3</v>
      </c>
      <c r="J866" s="1">
        <v>2.5</v>
      </c>
      <c r="K866" s="1">
        <v>2</v>
      </c>
      <c r="L866" s="1">
        <v>1</v>
      </c>
      <c r="M866" s="4">
        <v>1750</v>
      </c>
      <c r="N866" s="1">
        <v>1760</v>
      </c>
      <c r="O866" s="1">
        <v>5320</v>
      </c>
      <c r="P866" s="1">
        <v>3560</v>
      </c>
      <c r="Q866" s="1" t="s">
        <v>42</v>
      </c>
      <c r="S866" s="1" t="s">
        <v>42</v>
      </c>
      <c r="T866" s="1" t="s">
        <v>170</v>
      </c>
      <c r="U866" s="1">
        <v>369</v>
      </c>
      <c r="V866" s="5">
        <v>44334</v>
      </c>
      <c r="W866" s="5">
        <v>43541</v>
      </c>
      <c r="X866" s="1">
        <v>3685000</v>
      </c>
      <c r="Y866" s="1">
        <v>3685000</v>
      </c>
      <c r="Z866" s="5">
        <v>43983</v>
      </c>
      <c r="AA866" s="1">
        <v>3390625.28</v>
      </c>
      <c r="AB866" s="1" t="s">
        <v>630</v>
      </c>
      <c r="AC866" s="5">
        <v>44032</v>
      </c>
      <c r="AF866" s="1">
        <v>10010</v>
      </c>
      <c r="AI866" s="1" t="s">
        <v>159</v>
      </c>
      <c r="AJ866" s="1">
        <v>2016</v>
      </c>
      <c r="AK866" s="1" t="s">
        <v>73</v>
      </c>
      <c r="AL866" s="1">
        <v>140</v>
      </c>
    </row>
    <row r="867" spans="1:38" x14ac:dyDescent="0.2">
      <c r="A867" s="2" t="str">
        <f>HYPERLINK("https://www.compass.com/listing/200-east-21st-street-unit-12a-manhattan-ny-10010/308648240181973457/","200 E 21st St, Unit 12A")</f>
        <v>200 E 21st St, Unit 12A</v>
      </c>
      <c r="B867" s="2" t="str">
        <f t="shared" ref="B867:B869" si="156">HYPERLINK("https://www.compass.com/building/200-east-21st-street-manhattan-ny/292796762689658005/","200 East 21st Street")</f>
        <v>200 East 21st Street</v>
      </c>
      <c r="C867" s="1" t="s">
        <v>54</v>
      </c>
      <c r="D867" s="1" t="s">
        <v>41</v>
      </c>
      <c r="E867" s="3">
        <v>2750255</v>
      </c>
      <c r="F867" s="1">
        <v>1924.60081175647</v>
      </c>
      <c r="G867" s="1">
        <v>4</v>
      </c>
      <c r="H867" s="1">
        <v>2</v>
      </c>
      <c r="I867" s="1">
        <v>2</v>
      </c>
      <c r="J867" s="1">
        <v>2</v>
      </c>
      <c r="K867" s="1">
        <v>2</v>
      </c>
      <c r="M867" s="4">
        <v>1429</v>
      </c>
      <c r="N867" s="1">
        <v>1422</v>
      </c>
      <c r="O867" s="1">
        <v>2523</v>
      </c>
      <c r="P867" s="1">
        <v>1101</v>
      </c>
      <c r="Q867" s="1" t="s">
        <v>42</v>
      </c>
      <c r="S867" s="1" t="s">
        <v>42</v>
      </c>
      <c r="T867" s="1" t="s">
        <v>170</v>
      </c>
      <c r="U867" s="1">
        <v>113</v>
      </c>
      <c r="V867" s="5">
        <v>43830</v>
      </c>
      <c r="W867" s="5">
        <v>43678</v>
      </c>
      <c r="X867" s="1">
        <v>2865000</v>
      </c>
      <c r="Y867" s="1">
        <v>2865000</v>
      </c>
      <c r="Z867" s="5">
        <v>43791</v>
      </c>
      <c r="AA867" s="1">
        <v>2750254.56</v>
      </c>
      <c r="AB867" s="1" t="s">
        <v>631</v>
      </c>
      <c r="AC867" s="5">
        <v>43816</v>
      </c>
      <c r="AF867" s="1">
        <v>10010</v>
      </c>
      <c r="AI867" s="1" t="s">
        <v>86</v>
      </c>
      <c r="AJ867" s="1">
        <v>2018</v>
      </c>
      <c r="AK867" s="1" t="s">
        <v>49</v>
      </c>
      <c r="AL867" s="1">
        <v>67</v>
      </c>
    </row>
    <row r="868" spans="1:38" x14ac:dyDescent="0.2">
      <c r="A868" s="2" t="str">
        <f>HYPERLINK("https://www.compass.com/listing/200-east-21st-street-unit-15a-manhattan-ny-10010/399222873022324097/","200 E 21st St, Unit 15A")</f>
        <v>200 E 21st St, Unit 15A</v>
      </c>
      <c r="B868" s="2" t="str">
        <f t="shared" si="156"/>
        <v>200 East 21st Street</v>
      </c>
      <c r="C868" s="1" t="s">
        <v>54</v>
      </c>
      <c r="D868" s="1" t="s">
        <v>41</v>
      </c>
      <c r="E868" s="3">
        <v>2984745</v>
      </c>
      <c r="F868" s="1">
        <v>2088.6951084674502</v>
      </c>
      <c r="G868" s="1">
        <v>4</v>
      </c>
      <c r="H868" s="1">
        <v>2</v>
      </c>
      <c r="I868" s="1">
        <v>2</v>
      </c>
      <c r="J868" s="1">
        <v>2</v>
      </c>
      <c r="K868" s="1">
        <v>2</v>
      </c>
      <c r="M868" s="4">
        <v>1429</v>
      </c>
      <c r="N868" s="1">
        <v>1439</v>
      </c>
      <c r="O868" s="1">
        <v>2553</v>
      </c>
      <c r="P868" s="1">
        <v>1114</v>
      </c>
      <c r="Q868" s="1" t="s">
        <v>42</v>
      </c>
      <c r="S868" s="1" t="s">
        <v>42</v>
      </c>
      <c r="T868" s="1" t="s">
        <v>170</v>
      </c>
      <c r="V868" s="5">
        <v>43837</v>
      </c>
      <c r="W868" s="5">
        <v>43802</v>
      </c>
      <c r="X868" s="1">
        <v>3050000</v>
      </c>
      <c r="Y868" s="1">
        <v>3050000</v>
      </c>
      <c r="Z868" s="5">
        <v>43803</v>
      </c>
      <c r="AA868" s="1">
        <v>2984745.31</v>
      </c>
      <c r="AB868" s="1" t="s">
        <v>632</v>
      </c>
      <c r="AC868" s="5">
        <v>43826</v>
      </c>
      <c r="AF868" s="1">
        <v>10010</v>
      </c>
      <c r="AI868" s="1" t="s">
        <v>86</v>
      </c>
      <c r="AJ868" s="1">
        <v>2018</v>
      </c>
      <c r="AK868" s="1" t="s">
        <v>49</v>
      </c>
      <c r="AL868" s="1">
        <v>67</v>
      </c>
    </row>
    <row r="869" spans="1:38" x14ac:dyDescent="0.2">
      <c r="A869" s="2" t="str">
        <f>HYPERLINK("https://www.compass.com/listing/200-east-21st-street-unit-14a-manhattan-ny-10010/452178184386441529/","200 E 21st St, Unit 14A")</f>
        <v>200 E 21st St, Unit 14A</v>
      </c>
      <c r="B869" s="2" t="str">
        <f t="shared" si="156"/>
        <v>200 East 21st Street</v>
      </c>
      <c r="C869" s="1" t="s">
        <v>54</v>
      </c>
      <c r="D869" s="1" t="s">
        <v>41</v>
      </c>
      <c r="E869" s="3">
        <v>2895000</v>
      </c>
      <c r="F869" s="1">
        <v>2025.8922323303</v>
      </c>
      <c r="G869" s="1">
        <v>4</v>
      </c>
      <c r="H869" s="1">
        <v>2</v>
      </c>
      <c r="I869" s="1">
        <v>2</v>
      </c>
      <c r="J869" s="1">
        <v>2</v>
      </c>
      <c r="K869" s="1">
        <v>2</v>
      </c>
      <c r="M869" s="4">
        <v>1429</v>
      </c>
      <c r="N869" s="1">
        <v>1428</v>
      </c>
      <c r="O869" s="1">
        <v>2533</v>
      </c>
      <c r="P869" s="1">
        <v>1105</v>
      </c>
      <c r="Q869" s="1" t="s">
        <v>42</v>
      </c>
      <c r="S869" s="1" t="s">
        <v>42</v>
      </c>
      <c r="T869" s="1" t="s">
        <v>170</v>
      </c>
      <c r="V869" s="5">
        <v>44314</v>
      </c>
      <c r="W869" s="5">
        <v>43875</v>
      </c>
      <c r="X869" s="1">
        <v>2995000</v>
      </c>
      <c r="Y869" s="1">
        <v>2995000</v>
      </c>
      <c r="Z869" s="5">
        <v>43876</v>
      </c>
      <c r="AA869" s="1">
        <v>2895000</v>
      </c>
      <c r="AB869" s="1" t="s">
        <v>633</v>
      </c>
      <c r="AC869" s="5">
        <v>43950</v>
      </c>
      <c r="AF869" s="1">
        <v>10010</v>
      </c>
      <c r="AI869" s="1" t="s">
        <v>86</v>
      </c>
      <c r="AJ869" s="1">
        <v>2018</v>
      </c>
      <c r="AK869" s="1" t="s">
        <v>49</v>
      </c>
      <c r="AL869" s="1">
        <v>67</v>
      </c>
    </row>
    <row r="870" spans="1:38" x14ac:dyDescent="0.2">
      <c r="A870" s="2" t="str">
        <f>HYPERLINK("https://www.compass.com/listing/30-park-place-unit-39k-manhattan-ny-10007/423925482072850305/","30 Park Pl, Unit 39K")</f>
        <v>30 Park Pl, Unit 39K</v>
      </c>
      <c r="B870" s="2" t="str">
        <f t="shared" ref="B870:B871" si="157">HYPERLINK("https://www.compass.com/building/30-park-pl-manhattan-ny-10007/281896912905317605/","30 Park Pl")</f>
        <v>30 Park Pl</v>
      </c>
      <c r="C870" s="1" t="s">
        <v>40</v>
      </c>
      <c r="D870" s="1" t="s">
        <v>41</v>
      </c>
      <c r="E870" s="3">
        <v>1128000</v>
      </c>
      <c r="F870" s="1">
        <v>1834.14634146341</v>
      </c>
      <c r="G870" s="1">
        <v>2</v>
      </c>
      <c r="H870" s="1" t="s">
        <v>79</v>
      </c>
      <c r="I870" s="1">
        <v>1</v>
      </c>
      <c r="J870" s="1">
        <v>1</v>
      </c>
      <c r="K870" s="1">
        <v>1</v>
      </c>
      <c r="M870" s="1">
        <v>615</v>
      </c>
      <c r="N870" s="1">
        <v>497</v>
      </c>
      <c r="O870" s="1">
        <v>1740</v>
      </c>
      <c r="P870" s="1">
        <v>1243</v>
      </c>
      <c r="Q870" s="1" t="s">
        <v>42</v>
      </c>
      <c r="S870" s="1" t="s">
        <v>42</v>
      </c>
      <c r="T870" s="1" t="s">
        <v>170</v>
      </c>
      <c r="U870" s="1">
        <v>37</v>
      </c>
      <c r="V870" s="5">
        <v>43901</v>
      </c>
      <c r="W870" s="5">
        <v>43836</v>
      </c>
      <c r="X870" s="1">
        <v>1200000</v>
      </c>
      <c r="Y870" s="1">
        <v>1200000</v>
      </c>
      <c r="Z870" s="5">
        <v>43874</v>
      </c>
      <c r="AA870" s="1">
        <v>1128000</v>
      </c>
      <c r="AB870" s="1" t="s">
        <v>634</v>
      </c>
      <c r="AC870" s="5">
        <v>43900</v>
      </c>
      <c r="AF870" s="1">
        <v>10007</v>
      </c>
      <c r="AJ870" s="1">
        <v>2016</v>
      </c>
      <c r="AK870" s="1" t="s">
        <v>73</v>
      </c>
      <c r="AL870" s="1">
        <v>157</v>
      </c>
    </row>
    <row r="871" spans="1:38" x14ac:dyDescent="0.2">
      <c r="A871" s="2" t="str">
        <f>HYPERLINK("https://www.compass.com/listing/30-park-place-unit-39l-manhattan-ny-10007/423925482417521521/","30 Park Pl, Unit 39L")</f>
        <v>30 Park Pl, Unit 39L</v>
      </c>
      <c r="B871" s="2" t="str">
        <f t="shared" si="157"/>
        <v>30 Park Pl</v>
      </c>
      <c r="C871" s="1" t="s">
        <v>40</v>
      </c>
      <c r="D871" s="1" t="s">
        <v>41</v>
      </c>
      <c r="E871" s="3">
        <v>1150000</v>
      </c>
      <c r="F871" s="1">
        <v>2137.5464684014801</v>
      </c>
      <c r="G871" s="1">
        <v>2</v>
      </c>
      <c r="H871" s="1" t="s">
        <v>79</v>
      </c>
      <c r="I871" s="1">
        <v>1</v>
      </c>
      <c r="J871" s="1">
        <v>1</v>
      </c>
      <c r="K871" s="1">
        <v>1</v>
      </c>
      <c r="M871" s="1">
        <v>538</v>
      </c>
      <c r="N871" s="1">
        <v>443</v>
      </c>
      <c r="O871" s="1">
        <v>1551</v>
      </c>
      <c r="P871" s="1">
        <v>1108</v>
      </c>
      <c r="Q871" s="1" t="s">
        <v>42</v>
      </c>
      <c r="S871" s="1" t="s">
        <v>42</v>
      </c>
      <c r="T871" s="1" t="s">
        <v>170</v>
      </c>
      <c r="U871" s="1">
        <v>28</v>
      </c>
      <c r="V871" s="5">
        <v>43939</v>
      </c>
      <c r="W871" s="5">
        <v>43836</v>
      </c>
      <c r="X871" s="1">
        <v>1200000</v>
      </c>
      <c r="Y871" s="1">
        <v>1200000</v>
      </c>
      <c r="Z871" s="5">
        <v>43865</v>
      </c>
      <c r="AA871" s="1">
        <v>1150000</v>
      </c>
      <c r="AB871" s="1" t="s">
        <v>635</v>
      </c>
      <c r="AC871" s="5">
        <v>43938</v>
      </c>
      <c r="AF871" s="1">
        <v>10007</v>
      </c>
      <c r="AJ871" s="1">
        <v>2016</v>
      </c>
      <c r="AK871" s="1" t="s">
        <v>73</v>
      </c>
      <c r="AL871" s="1">
        <v>157</v>
      </c>
    </row>
    <row r="872" spans="1:38" x14ac:dyDescent="0.2">
      <c r="A872" s="2" t="str">
        <f>HYPERLINK("https://www.compass.com/listing/121-east-22nd-street-unit-n508-manhattan-ny-10010/459085146495796329/","121 E 22nd St, Unit N508")</f>
        <v>121 E 22nd St, Unit N508</v>
      </c>
      <c r="B872" s="2" t="str">
        <f>HYPERLINK("https://www.compass.com/building/121-e-22nd-manhattan-ny/292795784653461493/","121 E 22nd")</f>
        <v>121 E 22nd</v>
      </c>
      <c r="C872" s="1" t="s">
        <v>54</v>
      </c>
      <c r="D872" s="1" t="s">
        <v>41</v>
      </c>
      <c r="E872" s="3">
        <v>3190000</v>
      </c>
      <c r="F872" s="1">
        <v>1868.77562975981</v>
      </c>
      <c r="G872" s="1">
        <v>4</v>
      </c>
      <c r="H872" s="1">
        <v>2</v>
      </c>
      <c r="J872" s="1">
        <v>2.5</v>
      </c>
      <c r="M872" s="4">
        <v>1707</v>
      </c>
      <c r="N872" s="1">
        <v>1727</v>
      </c>
      <c r="O872" s="1">
        <v>5222</v>
      </c>
      <c r="P872" s="1">
        <v>3495</v>
      </c>
      <c r="S872" s="1" t="s">
        <v>42</v>
      </c>
      <c r="T872" s="1" t="s">
        <v>170</v>
      </c>
      <c r="U872" s="1">
        <v>1</v>
      </c>
      <c r="V872" s="5">
        <v>44248</v>
      </c>
      <c r="W872" s="5">
        <v>43885</v>
      </c>
      <c r="X872" s="1">
        <v>3190000</v>
      </c>
      <c r="Y872" s="1">
        <v>3190000</v>
      </c>
      <c r="AA872" s="1">
        <v>3190000</v>
      </c>
      <c r="AB872" s="1" t="s">
        <v>181</v>
      </c>
      <c r="AC872" s="5">
        <v>43887</v>
      </c>
      <c r="AF872" s="1">
        <v>10010</v>
      </c>
      <c r="AI872" s="1" t="s">
        <v>636</v>
      </c>
      <c r="AJ872" s="1">
        <v>2016</v>
      </c>
      <c r="AK872" s="1" t="s">
        <v>73</v>
      </c>
      <c r="AL872" s="1">
        <v>140</v>
      </c>
    </row>
    <row r="873" spans="1:38" x14ac:dyDescent="0.2">
      <c r="A873" s="2" t="str">
        <f>HYPERLINK("https://www.compass.com/listing/200-east-21st-street-unit-10d-manhattan-ny-10010/683388399541222401/","200 E 21st St, Unit 10D")</f>
        <v>200 E 21st St, Unit 10D</v>
      </c>
      <c r="B873" s="2" t="str">
        <f>HYPERLINK("https://www.compass.com/building/200-east-21st-street-manhattan-ny/292796762689658005/","200 East 21st Street")</f>
        <v>200 East 21st Street</v>
      </c>
      <c r="C873" s="1" t="s">
        <v>54</v>
      </c>
      <c r="D873" s="1" t="s">
        <v>41</v>
      </c>
      <c r="E873" s="3">
        <v>2498022</v>
      </c>
      <c r="F873" s="1">
        <v>1706.29905054644</v>
      </c>
      <c r="G873" s="1">
        <v>4</v>
      </c>
      <c r="H873" s="1">
        <v>2</v>
      </c>
      <c r="I873" s="1">
        <v>3</v>
      </c>
      <c r="J873" s="1">
        <v>2.5</v>
      </c>
      <c r="K873" s="1">
        <v>2</v>
      </c>
      <c r="L873" s="1">
        <v>1</v>
      </c>
      <c r="M873" s="4">
        <v>1464</v>
      </c>
      <c r="N873" s="1">
        <v>1445</v>
      </c>
      <c r="O873" s="1">
        <v>3207</v>
      </c>
      <c r="P873" s="1">
        <v>1762</v>
      </c>
      <c r="Q873" s="1" t="s">
        <v>42</v>
      </c>
      <c r="S873" s="1" t="s">
        <v>42</v>
      </c>
      <c r="T873" s="1" t="s">
        <v>170</v>
      </c>
      <c r="U873" s="1">
        <v>1</v>
      </c>
      <c r="V873" s="5">
        <v>44267</v>
      </c>
      <c r="W873" s="5">
        <v>44194</v>
      </c>
      <c r="X873" s="1">
        <v>2825000</v>
      </c>
      <c r="Y873" s="1">
        <v>2825000</v>
      </c>
      <c r="AA873" s="1">
        <v>2498021.81</v>
      </c>
      <c r="AB873" s="1" t="s">
        <v>637</v>
      </c>
      <c r="AC873" s="5">
        <v>44195</v>
      </c>
      <c r="AF873" s="1">
        <v>10010</v>
      </c>
      <c r="AI873" s="1" t="s">
        <v>86</v>
      </c>
      <c r="AJ873" s="1">
        <v>2018</v>
      </c>
      <c r="AK873" s="1" t="s">
        <v>49</v>
      </c>
      <c r="AL873" s="1">
        <v>67</v>
      </c>
    </row>
    <row r="874" spans="1:38" x14ac:dyDescent="0.2">
      <c r="A874" s="2" t="str">
        <f>HYPERLINK("https://www.compass.com/listing/121-east-22nd-street-unit-n1106-manhattan-ny-10010/225207006225595633/","121 E 22nd St, Unit N1106")</f>
        <v>121 E 22nd St, Unit N1106</v>
      </c>
      <c r="B874" s="2" t="str">
        <f t="shared" ref="B874:B875" si="158">HYPERLINK("https://www.compass.com/building/121-e-22nd-manhattan-ny/292795784653461493/","121 E 22nd")</f>
        <v>121 E 22nd</v>
      </c>
      <c r="C874" s="1" t="s">
        <v>54</v>
      </c>
      <c r="D874" s="1" t="s">
        <v>41</v>
      </c>
      <c r="E874" s="3">
        <v>5396725</v>
      </c>
      <c r="F874" s="1">
        <v>2154.3812375249499</v>
      </c>
      <c r="G874" s="1">
        <v>5</v>
      </c>
      <c r="H874" s="1">
        <v>3</v>
      </c>
      <c r="I874" s="1">
        <v>4</v>
      </c>
      <c r="J874" s="1">
        <v>3.5</v>
      </c>
      <c r="K874" s="1">
        <v>3</v>
      </c>
      <c r="L874" s="1">
        <v>1</v>
      </c>
      <c r="M874" s="4">
        <v>2505</v>
      </c>
      <c r="N874" s="1">
        <v>2565</v>
      </c>
      <c r="O874" s="1">
        <v>7103</v>
      </c>
      <c r="P874" s="1">
        <v>4538</v>
      </c>
      <c r="Q874" s="1" t="s">
        <v>42</v>
      </c>
      <c r="S874" s="1" t="s">
        <v>42</v>
      </c>
      <c r="T874" s="1" t="s">
        <v>170</v>
      </c>
      <c r="V874" s="5">
        <v>44057</v>
      </c>
      <c r="W874" s="5">
        <v>43563</v>
      </c>
      <c r="X874" s="1">
        <v>5585000</v>
      </c>
      <c r="Y874" s="1">
        <v>5585000</v>
      </c>
      <c r="Z874" s="5">
        <v>43563</v>
      </c>
      <c r="AA874" s="1">
        <v>5396725</v>
      </c>
      <c r="AB874" s="1" t="s">
        <v>181</v>
      </c>
      <c r="AC874" s="5">
        <v>43637</v>
      </c>
      <c r="AF874" s="1">
        <v>10010</v>
      </c>
      <c r="AI874" s="1" t="s">
        <v>75</v>
      </c>
      <c r="AJ874" s="1">
        <v>2016</v>
      </c>
      <c r="AK874" s="1" t="s">
        <v>73</v>
      </c>
      <c r="AL874" s="1">
        <v>140</v>
      </c>
    </row>
    <row r="875" spans="1:38" x14ac:dyDescent="0.2">
      <c r="A875" s="2" t="str">
        <f>HYPERLINK("https://www.compass.com/listing/121-east-22nd-street-unit-n1503-manhattan-ny-10010/199937795618357809/","121 E 22nd St, Unit N1503")</f>
        <v>121 E 22nd St, Unit N1503</v>
      </c>
      <c r="B875" s="2" t="str">
        <f t="shared" si="158"/>
        <v>121 E 22nd</v>
      </c>
      <c r="C875" s="1" t="s">
        <v>54</v>
      </c>
      <c r="D875" s="1" t="s">
        <v>41</v>
      </c>
      <c r="E875" s="3">
        <v>4459680</v>
      </c>
      <c r="F875" s="1">
        <v>2173.33341617933</v>
      </c>
      <c r="G875" s="1">
        <v>5</v>
      </c>
      <c r="H875" s="1">
        <v>3</v>
      </c>
      <c r="I875" s="1">
        <v>4</v>
      </c>
      <c r="J875" s="1">
        <v>3.5</v>
      </c>
      <c r="K875" s="1">
        <v>3</v>
      </c>
      <c r="L875" s="1">
        <v>1</v>
      </c>
      <c r="M875" s="4">
        <v>2052</v>
      </c>
      <c r="N875" s="1">
        <v>2158</v>
      </c>
      <c r="O875" s="1">
        <v>6537</v>
      </c>
      <c r="P875" s="1">
        <v>4379</v>
      </c>
      <c r="Q875" s="1" t="s">
        <v>42</v>
      </c>
      <c r="S875" s="1" t="s">
        <v>42</v>
      </c>
      <c r="T875" s="1" t="s">
        <v>170</v>
      </c>
      <c r="U875" s="1">
        <v>416</v>
      </c>
      <c r="V875" s="5">
        <v>44334</v>
      </c>
      <c r="W875" s="5">
        <v>43528</v>
      </c>
      <c r="X875" s="1">
        <v>5025000</v>
      </c>
      <c r="Y875" s="1">
        <v>5025000</v>
      </c>
      <c r="Z875" s="5">
        <v>44038</v>
      </c>
      <c r="AA875" s="1">
        <v>4459680.17</v>
      </c>
      <c r="AB875" s="1" t="s">
        <v>638</v>
      </c>
      <c r="AC875" s="5">
        <v>44133</v>
      </c>
      <c r="AF875" s="1">
        <v>10010</v>
      </c>
      <c r="AI875" s="1" t="s">
        <v>159</v>
      </c>
      <c r="AJ875" s="1">
        <v>2016</v>
      </c>
      <c r="AK875" s="1" t="s">
        <v>73</v>
      </c>
      <c r="AL875" s="1">
        <v>140</v>
      </c>
    </row>
    <row r="876" spans="1:38" x14ac:dyDescent="0.2">
      <c r="A876" s="2" t="str">
        <f>HYPERLINK("https://www.compass.com/listing/200-east-21st-street-unit-5c-manhattan-ny-10010/100621182075673201/","200 E 21st St, Unit 5C")</f>
        <v>200 E 21st St, Unit 5C</v>
      </c>
      <c r="B876" s="2" t="str">
        <f t="shared" ref="B876:B880" si="159">HYPERLINK("https://www.compass.com/building/200-east-21st-street-manhattan-ny/292796762689658005/","200 East 21st Street")</f>
        <v>200 East 21st Street</v>
      </c>
      <c r="C876" s="1" t="s">
        <v>54</v>
      </c>
      <c r="D876" s="1" t="s">
        <v>41</v>
      </c>
      <c r="E876" s="3">
        <v>2850000</v>
      </c>
      <c r="F876" s="1">
        <v>1863.96337475474</v>
      </c>
      <c r="G876" s="1">
        <v>4</v>
      </c>
      <c r="H876" s="1">
        <v>2</v>
      </c>
      <c r="I876" s="1">
        <v>3</v>
      </c>
      <c r="J876" s="1">
        <v>2.5</v>
      </c>
      <c r="K876" s="1">
        <v>2</v>
      </c>
      <c r="L876" s="1">
        <v>1</v>
      </c>
      <c r="M876" s="4">
        <v>1529</v>
      </c>
      <c r="N876" s="1">
        <v>1496</v>
      </c>
      <c r="O876" s="1">
        <v>4297</v>
      </c>
      <c r="P876" s="1">
        <v>2801</v>
      </c>
      <c r="Q876" s="1" t="s">
        <v>42</v>
      </c>
      <c r="S876" s="1" t="s">
        <v>42</v>
      </c>
      <c r="T876" s="1" t="s">
        <v>170</v>
      </c>
      <c r="U876" s="1">
        <v>1</v>
      </c>
      <c r="V876" s="5">
        <v>43721</v>
      </c>
      <c r="W876" s="5">
        <v>43391</v>
      </c>
      <c r="X876" s="1">
        <v>2950000</v>
      </c>
      <c r="Y876" s="1">
        <v>2950000</v>
      </c>
      <c r="Z876" s="5">
        <v>43392</v>
      </c>
      <c r="AA876" s="1">
        <v>2850000</v>
      </c>
      <c r="AB876" s="1" t="s">
        <v>639</v>
      </c>
      <c r="AC876" s="5">
        <v>43654</v>
      </c>
      <c r="AF876" s="1">
        <v>10010</v>
      </c>
      <c r="AI876" s="1" t="s">
        <v>86</v>
      </c>
      <c r="AJ876" s="1">
        <v>2018</v>
      </c>
      <c r="AK876" s="1" t="s">
        <v>49</v>
      </c>
      <c r="AL876" s="1">
        <v>67</v>
      </c>
    </row>
    <row r="877" spans="1:38" x14ac:dyDescent="0.2">
      <c r="A877" s="2" t="str">
        <f>HYPERLINK("https://www.compass.com/listing/200-east-21st-street-unit-8d-manhattan-ny-10010/116386003299725057/","200 E 21st St, Unit 8D")</f>
        <v>200 E 21st St, Unit 8D</v>
      </c>
      <c r="B877" s="2" t="str">
        <f t="shared" si="159"/>
        <v>200 East 21st Street</v>
      </c>
      <c r="C877" s="1" t="s">
        <v>54</v>
      </c>
      <c r="D877" s="1" t="s">
        <v>41</v>
      </c>
      <c r="E877" s="3">
        <v>2775348</v>
      </c>
      <c r="F877" s="1">
        <v>1895.7297199453501</v>
      </c>
      <c r="G877" s="1">
        <v>4</v>
      </c>
      <c r="H877" s="1">
        <v>2</v>
      </c>
      <c r="I877" s="1">
        <v>3</v>
      </c>
      <c r="J877" s="1">
        <v>2.5</v>
      </c>
      <c r="K877" s="1">
        <v>2</v>
      </c>
      <c r="L877" s="1">
        <v>1</v>
      </c>
      <c r="M877" s="4">
        <v>1464</v>
      </c>
      <c r="N877" s="1">
        <v>1434</v>
      </c>
      <c r="O877" s="1">
        <v>2544</v>
      </c>
      <c r="P877" s="1">
        <v>1110</v>
      </c>
      <c r="Q877" s="1" t="s">
        <v>42</v>
      </c>
      <c r="S877" s="1" t="s">
        <v>42</v>
      </c>
      <c r="T877" s="1" t="s">
        <v>170</v>
      </c>
      <c r="U877" s="1">
        <v>482</v>
      </c>
      <c r="V877" s="5">
        <v>43766</v>
      </c>
      <c r="W877" s="5">
        <v>43201</v>
      </c>
      <c r="X877" s="1">
        <v>2995000</v>
      </c>
      <c r="Y877" s="1">
        <v>2995000</v>
      </c>
      <c r="Z877" s="5">
        <v>43683</v>
      </c>
      <c r="AA877" s="1">
        <v>2775348.31</v>
      </c>
      <c r="AB877" s="1" t="s">
        <v>640</v>
      </c>
      <c r="AC877" s="5">
        <v>43720</v>
      </c>
      <c r="AF877" s="1">
        <v>10010</v>
      </c>
      <c r="AI877" s="1" t="s">
        <v>86</v>
      </c>
      <c r="AJ877" s="1">
        <v>2018</v>
      </c>
      <c r="AK877" s="1" t="s">
        <v>49</v>
      </c>
      <c r="AL877" s="1">
        <v>67</v>
      </c>
    </row>
    <row r="878" spans="1:38" x14ac:dyDescent="0.2">
      <c r="A878" s="2" t="str">
        <f>HYPERLINK("https://www.compass.com/listing/200-east-21st-street-unit-3c-manhattan-ny-10010/75133566660414849/","200 E 21st St, Unit 3C")</f>
        <v>200 E 21st St, Unit 3C</v>
      </c>
      <c r="B878" s="2" t="str">
        <f t="shared" si="159"/>
        <v>200 East 21st Street</v>
      </c>
      <c r="C878" s="1" t="s">
        <v>54</v>
      </c>
      <c r="D878" s="1" t="s">
        <v>41</v>
      </c>
      <c r="E878" s="3">
        <v>2770000</v>
      </c>
      <c r="F878" s="1">
        <v>1811.64159581425</v>
      </c>
      <c r="G878" s="1">
        <v>4</v>
      </c>
      <c r="H878" s="1">
        <v>2</v>
      </c>
      <c r="I878" s="1">
        <v>3</v>
      </c>
      <c r="J878" s="1">
        <v>2.5</v>
      </c>
      <c r="K878" s="1">
        <v>2</v>
      </c>
      <c r="L878" s="1">
        <v>1</v>
      </c>
      <c r="M878" s="4">
        <v>1529</v>
      </c>
      <c r="N878" s="1">
        <v>1485</v>
      </c>
      <c r="O878" s="1">
        <v>4265</v>
      </c>
      <c r="P878" s="1">
        <v>2780</v>
      </c>
      <c r="Q878" s="1" t="s">
        <v>42</v>
      </c>
      <c r="S878" s="1" t="s">
        <v>42</v>
      </c>
      <c r="T878" s="1" t="s">
        <v>170</v>
      </c>
      <c r="U878" s="1">
        <v>148</v>
      </c>
      <c r="V878" s="5">
        <v>43694</v>
      </c>
      <c r="W878" s="5">
        <v>43356</v>
      </c>
      <c r="X878" s="1">
        <v>2850000</v>
      </c>
      <c r="Y878" s="1">
        <v>2850000</v>
      </c>
      <c r="Z878" s="5">
        <v>43504</v>
      </c>
      <c r="AA878" s="1">
        <v>2770000</v>
      </c>
      <c r="AB878" s="1" t="s">
        <v>641</v>
      </c>
      <c r="AC878" s="5">
        <v>43622</v>
      </c>
      <c r="AF878" s="1">
        <v>10010</v>
      </c>
      <c r="AI878" s="1" t="s">
        <v>86</v>
      </c>
      <c r="AJ878" s="1">
        <v>2018</v>
      </c>
      <c r="AK878" s="1" t="s">
        <v>49</v>
      </c>
      <c r="AL878" s="1">
        <v>67</v>
      </c>
    </row>
    <row r="879" spans="1:38" x14ac:dyDescent="0.2">
      <c r="A879" s="2" t="str">
        <f>HYPERLINK("https://www.compass.com/listing/200-east-21st-street-unit-4c-manhattan-ny-10010/96242685190373329/","200 E 21st St, Unit 4C")</f>
        <v>200 E 21st St, Unit 4C</v>
      </c>
      <c r="B879" s="2" t="str">
        <f t="shared" si="159"/>
        <v>200 East 21st Street</v>
      </c>
      <c r="C879" s="1" t="s">
        <v>54</v>
      </c>
      <c r="D879" s="1" t="s">
        <v>41</v>
      </c>
      <c r="E879" s="3">
        <v>2920000</v>
      </c>
      <c r="F879" s="1">
        <v>1909.74493132766</v>
      </c>
      <c r="G879" s="1">
        <v>4</v>
      </c>
      <c r="H879" s="1">
        <v>2</v>
      </c>
      <c r="I879" s="1">
        <v>3</v>
      </c>
      <c r="J879" s="1">
        <v>2.5</v>
      </c>
      <c r="K879" s="1">
        <v>2</v>
      </c>
      <c r="L879" s="1">
        <v>1</v>
      </c>
      <c r="M879" s="4">
        <v>1529</v>
      </c>
      <c r="N879" s="1">
        <v>1490</v>
      </c>
      <c r="O879" s="1">
        <v>4280</v>
      </c>
      <c r="P879" s="1">
        <v>2790</v>
      </c>
      <c r="Q879" s="1" t="s">
        <v>42</v>
      </c>
      <c r="S879" s="1" t="s">
        <v>42</v>
      </c>
      <c r="T879" s="1" t="s">
        <v>170</v>
      </c>
      <c r="U879" s="1">
        <v>215</v>
      </c>
      <c r="V879" s="5">
        <v>43694</v>
      </c>
      <c r="W879" s="5">
        <v>43140</v>
      </c>
      <c r="X879" s="1">
        <v>3125000</v>
      </c>
      <c r="Y879" s="1">
        <v>2895000</v>
      </c>
      <c r="Z879" s="5">
        <v>43355</v>
      </c>
      <c r="AA879" s="1">
        <v>2920000</v>
      </c>
      <c r="AB879" s="1" t="s">
        <v>642</v>
      </c>
      <c r="AC879" s="5">
        <v>43623</v>
      </c>
      <c r="AF879" s="1">
        <v>10010</v>
      </c>
      <c r="AI879" s="1" t="s">
        <v>86</v>
      </c>
      <c r="AJ879" s="1">
        <v>2018</v>
      </c>
      <c r="AK879" s="1" t="s">
        <v>49</v>
      </c>
      <c r="AL879" s="1">
        <v>67</v>
      </c>
    </row>
    <row r="880" spans="1:38" x14ac:dyDescent="0.2">
      <c r="A880" s="2" t="str">
        <f>HYPERLINK("https://www.compass.com/listing/200-east-21st-street-unit-3e-manhattan-ny-10010/100621183015194449/","200 E 21st St, Unit 3E")</f>
        <v>200 E 21st St, Unit 3E</v>
      </c>
      <c r="B880" s="2" t="str">
        <f t="shared" si="159"/>
        <v>200 East 21st Street</v>
      </c>
      <c r="C880" s="1" t="s">
        <v>54</v>
      </c>
      <c r="D880" s="1" t="s">
        <v>41</v>
      </c>
      <c r="E880" s="3">
        <v>2107778</v>
      </c>
      <c r="F880" s="1">
        <v>2046.3859223300899</v>
      </c>
      <c r="G880" s="1">
        <v>3</v>
      </c>
      <c r="H880" s="1">
        <v>1</v>
      </c>
      <c r="I880" s="1">
        <v>2</v>
      </c>
      <c r="J880" s="1">
        <v>1.5</v>
      </c>
      <c r="K880" s="1">
        <v>1</v>
      </c>
      <c r="L880" s="1">
        <v>1</v>
      </c>
      <c r="M880" s="4">
        <v>1030</v>
      </c>
      <c r="N880" s="1">
        <v>1003</v>
      </c>
      <c r="O880" s="1">
        <v>2882</v>
      </c>
      <c r="P880" s="1">
        <v>1879</v>
      </c>
      <c r="Q880" s="1" t="s">
        <v>42</v>
      </c>
      <c r="S880" s="1" t="s">
        <v>42</v>
      </c>
      <c r="T880" s="1" t="s">
        <v>170</v>
      </c>
      <c r="U880" s="1">
        <v>8</v>
      </c>
      <c r="V880" s="5">
        <v>43721</v>
      </c>
      <c r="W880" s="5">
        <v>43384</v>
      </c>
      <c r="X880" s="1">
        <v>2070000</v>
      </c>
      <c r="Y880" s="1">
        <v>2070000</v>
      </c>
      <c r="Z880" s="5">
        <v>43392</v>
      </c>
      <c r="AA880" s="1">
        <v>2107777.5</v>
      </c>
      <c r="AB880" s="1" t="s">
        <v>643</v>
      </c>
      <c r="AC880" s="5">
        <v>43648</v>
      </c>
      <c r="AF880" s="1">
        <v>10010</v>
      </c>
      <c r="AI880" s="1" t="s">
        <v>86</v>
      </c>
      <c r="AJ880" s="1">
        <v>2018</v>
      </c>
      <c r="AK880" s="1" t="s">
        <v>49</v>
      </c>
      <c r="AL880" s="1">
        <v>67</v>
      </c>
    </row>
    <row r="881" spans="1:38" x14ac:dyDescent="0.2">
      <c r="A881" s="2" t="str">
        <f>HYPERLINK("https://www.compass.com/listing/121-east-22nd-street-unit-n305-manhattan-ny-10010/107936594232619969/","121 E 22nd St, Unit N305")</f>
        <v>121 E 22nd St, Unit N305</v>
      </c>
      <c r="B881" s="2" t="str">
        <f t="shared" ref="B881:B882" si="160">HYPERLINK("https://www.compass.com/building/121-e-22nd-manhattan-ny/292795784653461493/","121 E 22nd")</f>
        <v>121 E 22nd</v>
      </c>
      <c r="C881" s="1" t="s">
        <v>54</v>
      </c>
      <c r="D881" s="1" t="s">
        <v>41</v>
      </c>
      <c r="E881" s="3">
        <v>1650000</v>
      </c>
      <c r="F881" s="1">
        <v>2085.96713021491</v>
      </c>
      <c r="G881" s="1">
        <v>3</v>
      </c>
      <c r="H881" s="1">
        <v>1</v>
      </c>
      <c r="I881" s="1">
        <v>1</v>
      </c>
      <c r="J881" s="1">
        <v>1</v>
      </c>
      <c r="K881" s="1">
        <v>1</v>
      </c>
      <c r="M881" s="1">
        <v>791</v>
      </c>
      <c r="Q881" s="1" t="s">
        <v>42</v>
      </c>
      <c r="S881" s="1" t="s">
        <v>42</v>
      </c>
      <c r="T881" s="1" t="s">
        <v>170</v>
      </c>
      <c r="V881" s="5">
        <v>44040</v>
      </c>
      <c r="W881" s="5">
        <v>43401</v>
      </c>
      <c r="X881" s="1">
        <v>1650000</v>
      </c>
      <c r="Y881" s="1">
        <v>1650000</v>
      </c>
      <c r="Z881" s="5">
        <v>43401</v>
      </c>
      <c r="AA881" s="1">
        <v>1650000</v>
      </c>
      <c r="AB881" s="1" t="s">
        <v>644</v>
      </c>
      <c r="AC881" s="5">
        <v>43517</v>
      </c>
      <c r="AF881" s="1">
        <v>10010</v>
      </c>
      <c r="AI881" s="1" t="s">
        <v>75</v>
      </c>
      <c r="AJ881" s="1">
        <v>2016</v>
      </c>
      <c r="AK881" s="1" t="s">
        <v>73</v>
      </c>
      <c r="AL881" s="1">
        <v>140</v>
      </c>
    </row>
    <row r="882" spans="1:38" x14ac:dyDescent="0.2">
      <c r="A882" s="2" t="str">
        <f>HYPERLINK("https://www.compass.com/listing/121-east-22nd-street-unit-n405-manhattan-ny-10010/34705205312438465/","121 E 22nd St, Unit N405")</f>
        <v>121 E 22nd St, Unit N405</v>
      </c>
      <c r="B882" s="2" t="str">
        <f t="shared" si="160"/>
        <v>121 E 22nd</v>
      </c>
      <c r="C882" s="1" t="s">
        <v>54</v>
      </c>
      <c r="D882" s="1" t="s">
        <v>41</v>
      </c>
      <c r="E882" s="3">
        <v>1680000</v>
      </c>
      <c r="F882" s="1">
        <v>2123.8938053097299</v>
      </c>
      <c r="G882" s="1">
        <v>3</v>
      </c>
      <c r="H882" s="1">
        <v>1</v>
      </c>
      <c r="I882" s="1">
        <v>1</v>
      </c>
      <c r="J882" s="1">
        <v>1</v>
      </c>
      <c r="K882" s="1">
        <v>1</v>
      </c>
      <c r="M882" s="1">
        <v>791</v>
      </c>
      <c r="N882" s="1">
        <v>821</v>
      </c>
      <c r="O882" s="1">
        <v>2270</v>
      </c>
      <c r="P882" s="1">
        <v>1449</v>
      </c>
      <c r="Q882" s="1" t="s">
        <v>42</v>
      </c>
      <c r="S882" s="1" t="s">
        <v>42</v>
      </c>
      <c r="T882" s="1" t="s">
        <v>170</v>
      </c>
      <c r="V882" s="5">
        <v>44373</v>
      </c>
      <c r="W882" s="5">
        <v>43315</v>
      </c>
      <c r="X882" s="1">
        <v>1680000</v>
      </c>
      <c r="Y882" s="1">
        <v>1680000</v>
      </c>
      <c r="Z882" s="5">
        <v>43315</v>
      </c>
      <c r="AA882" s="1">
        <v>1680000</v>
      </c>
      <c r="AB882" s="1" t="s">
        <v>181</v>
      </c>
      <c r="AC882" s="5">
        <v>43530</v>
      </c>
      <c r="AF882" s="1">
        <v>10010</v>
      </c>
      <c r="AI882" s="1" t="s">
        <v>75</v>
      </c>
      <c r="AJ882" s="1">
        <v>2016</v>
      </c>
      <c r="AK882" s="1" t="s">
        <v>73</v>
      </c>
      <c r="AL882" s="1">
        <v>140</v>
      </c>
    </row>
    <row r="883" spans="1:38" x14ac:dyDescent="0.2">
      <c r="A883" s="2" t="str">
        <f>HYPERLINK("https://www.compass.com/listing/100-barrow-street-unit-11b-manhattan-ny-10014/4824815727544377409/","100 Barrow St, Unit 11B")</f>
        <v>100 Barrow St, Unit 11B</v>
      </c>
      <c r="B883" s="2" t="str">
        <f>HYPERLINK("https://www.compass.com/building/100-barrow-manhattan-ny/292834978184618837/","100 Barrow")</f>
        <v>100 Barrow</v>
      </c>
      <c r="C883" s="1" t="s">
        <v>71</v>
      </c>
      <c r="D883" s="1" t="s">
        <v>41</v>
      </c>
      <c r="E883" s="3">
        <v>6579990</v>
      </c>
      <c r="F883" s="1">
        <v>2830.1032258064502</v>
      </c>
      <c r="G883" s="1">
        <v>5</v>
      </c>
      <c r="H883" s="1">
        <v>3</v>
      </c>
      <c r="I883" s="1">
        <v>4</v>
      </c>
      <c r="J883" s="1">
        <v>3.5</v>
      </c>
      <c r="M883" s="4">
        <v>2325</v>
      </c>
      <c r="N883" s="1">
        <v>6593</v>
      </c>
      <c r="O883" s="1">
        <v>6593</v>
      </c>
      <c r="Q883" s="1" t="s">
        <v>645</v>
      </c>
      <c r="S883" s="1" t="s">
        <v>645</v>
      </c>
      <c r="T883" s="1" t="s">
        <v>170</v>
      </c>
      <c r="V883" s="5">
        <v>43626</v>
      </c>
      <c r="W883" s="5">
        <v>42580</v>
      </c>
      <c r="X883" s="1">
        <v>6579990</v>
      </c>
      <c r="Y883" s="1">
        <v>6579990</v>
      </c>
      <c r="Z883" s="5">
        <v>42580</v>
      </c>
      <c r="AA883" s="1">
        <v>6579990</v>
      </c>
      <c r="AB883" s="1" t="s">
        <v>181</v>
      </c>
      <c r="AC883" s="5">
        <v>43181</v>
      </c>
      <c r="AF883" s="1">
        <v>10014</v>
      </c>
      <c r="AJ883" s="1">
        <v>2015</v>
      </c>
      <c r="AK883" s="1" t="s">
        <v>73</v>
      </c>
      <c r="AL883" s="1">
        <v>33</v>
      </c>
    </row>
    <row r="884" spans="1:38" x14ac:dyDescent="0.2">
      <c r="A884" s="2" t="str">
        <f>HYPERLINK("https://www.compass.com/listing/200-east-21st-street-unit-5a-manhattan-ny-10010/100621182629411809/","200 E 21st St, Unit 5A")</f>
        <v>200 E 21st St, Unit 5A</v>
      </c>
      <c r="B884" s="2" t="str">
        <f t="shared" ref="B884:B885" si="161">HYPERLINK("https://www.compass.com/building/200-east-21st-street-manhattan-ny/292796762689658005/","200 East 21st Street")</f>
        <v>200 East 21st Street</v>
      </c>
      <c r="C884" s="1" t="s">
        <v>54</v>
      </c>
      <c r="D884" s="1" t="s">
        <v>41</v>
      </c>
      <c r="E884" s="3">
        <v>2495000</v>
      </c>
      <c r="F884" s="1">
        <v>1769.5035460992899</v>
      </c>
      <c r="G884" s="1">
        <v>4</v>
      </c>
      <c r="H884" s="1">
        <v>2</v>
      </c>
      <c r="I884" s="1">
        <v>2</v>
      </c>
      <c r="J884" s="1">
        <v>2</v>
      </c>
      <c r="K884" s="1">
        <v>2</v>
      </c>
      <c r="M884" s="4">
        <v>1410</v>
      </c>
      <c r="N884" s="1">
        <v>1374</v>
      </c>
      <c r="O884" s="1">
        <v>3946</v>
      </c>
      <c r="P884" s="1">
        <v>2572</v>
      </c>
      <c r="Q884" s="1" t="s">
        <v>42</v>
      </c>
      <c r="S884" s="1" t="s">
        <v>42</v>
      </c>
      <c r="T884" s="1" t="s">
        <v>170</v>
      </c>
      <c r="U884" s="1">
        <v>8</v>
      </c>
      <c r="V884" s="5">
        <v>43635</v>
      </c>
      <c r="W884" s="5">
        <v>43384</v>
      </c>
      <c r="X884" s="1">
        <v>2495000</v>
      </c>
      <c r="Y884" s="1">
        <v>2495000</v>
      </c>
      <c r="Z884" s="5">
        <v>43392</v>
      </c>
      <c r="AA884" s="1">
        <v>2495000</v>
      </c>
      <c r="AB884" s="1" t="s">
        <v>646</v>
      </c>
      <c r="AC884" s="5">
        <v>43594</v>
      </c>
      <c r="AF884" s="1">
        <v>10010</v>
      </c>
      <c r="AI884" s="1" t="s">
        <v>86</v>
      </c>
      <c r="AJ884" s="1">
        <v>2018</v>
      </c>
      <c r="AK884" s="1" t="s">
        <v>49</v>
      </c>
      <c r="AL884" s="1">
        <v>67</v>
      </c>
    </row>
    <row r="885" spans="1:38" x14ac:dyDescent="0.2">
      <c r="A885" s="2" t="str">
        <f>HYPERLINK("https://www.compass.com/listing/200-east-21st-street-unit-9a-manhattan-ny-10010/365097764773381489/","200 E 21st St, Unit 9A")</f>
        <v>200 E 21st St, Unit 9A</v>
      </c>
      <c r="B885" s="2" t="str">
        <f t="shared" si="161"/>
        <v>200 East 21st Street</v>
      </c>
      <c r="C885" s="1" t="s">
        <v>54</v>
      </c>
      <c r="D885" s="1" t="s">
        <v>41</v>
      </c>
      <c r="E885" s="3">
        <v>2700250</v>
      </c>
      <c r="F885" s="1">
        <v>1889.60811756473</v>
      </c>
      <c r="G885" s="1">
        <v>4</v>
      </c>
      <c r="H885" s="1">
        <v>2</v>
      </c>
      <c r="I885" s="1">
        <v>2</v>
      </c>
      <c r="J885" s="1">
        <v>2</v>
      </c>
      <c r="K885" s="1">
        <v>2</v>
      </c>
      <c r="M885" s="4">
        <v>1429</v>
      </c>
      <c r="N885" s="1">
        <v>1406</v>
      </c>
      <c r="O885" s="1">
        <v>2494</v>
      </c>
      <c r="P885" s="1">
        <v>1088</v>
      </c>
      <c r="Q885" s="1" t="s">
        <v>42</v>
      </c>
      <c r="S885" s="1" t="s">
        <v>42</v>
      </c>
      <c r="T885" s="1" t="s">
        <v>170</v>
      </c>
      <c r="V885" s="5">
        <v>43823</v>
      </c>
      <c r="W885" s="5">
        <v>43756</v>
      </c>
      <c r="X885" s="1">
        <v>2745000</v>
      </c>
      <c r="Y885" s="1">
        <v>2745000</v>
      </c>
      <c r="Z885" s="5">
        <v>43756</v>
      </c>
      <c r="AA885" s="1">
        <v>2700250</v>
      </c>
      <c r="AB885" s="1" t="s">
        <v>647</v>
      </c>
      <c r="AC885" s="5">
        <v>43811</v>
      </c>
      <c r="AF885" s="1">
        <v>10010</v>
      </c>
      <c r="AI885" s="1" t="s">
        <v>86</v>
      </c>
      <c r="AJ885" s="1">
        <v>2018</v>
      </c>
      <c r="AK885" s="1" t="s">
        <v>49</v>
      </c>
      <c r="AL885" s="1">
        <v>67</v>
      </c>
    </row>
    <row r="886" spans="1:38" x14ac:dyDescent="0.2">
      <c r="A886" s="2" t="str">
        <f>HYPERLINK("https://www.compass.com/listing/100-barrow-street-unit-6a-manhattan-ny-10014/29367161730449553/","100 Barrow St, Unit 6A")</f>
        <v>100 Barrow St, Unit 6A</v>
      </c>
      <c r="B886" s="2" t="str">
        <f>HYPERLINK("https://www.compass.com/building/100-barrow-manhattan-ny/292834978184618837/","100 Barrow")</f>
        <v>100 Barrow</v>
      </c>
      <c r="C886" s="1" t="s">
        <v>71</v>
      </c>
      <c r="D886" s="1" t="s">
        <v>41</v>
      </c>
      <c r="E886" s="3">
        <v>3228000</v>
      </c>
      <c r="F886" s="1">
        <v>1786.3862755949001</v>
      </c>
      <c r="G886" s="1">
        <v>4</v>
      </c>
      <c r="H886" s="1">
        <v>2</v>
      </c>
      <c r="I886" s="1">
        <v>3</v>
      </c>
      <c r="J886" s="1">
        <v>2.5</v>
      </c>
      <c r="M886" s="4">
        <v>1807</v>
      </c>
      <c r="Q886" s="1" t="s">
        <v>169</v>
      </c>
      <c r="S886" s="1" t="s">
        <v>169</v>
      </c>
      <c r="T886" s="1" t="s">
        <v>170</v>
      </c>
      <c r="U886" s="1">
        <v>206</v>
      </c>
      <c r="V886" s="5">
        <v>43623</v>
      </c>
      <c r="W886" s="5">
        <v>42505</v>
      </c>
      <c r="X886" s="1">
        <v>4707990</v>
      </c>
      <c r="Y886" s="1">
        <v>3378000</v>
      </c>
      <c r="Z886" s="5">
        <v>43061</v>
      </c>
      <c r="AA886" s="1">
        <v>3228000</v>
      </c>
      <c r="AB886" s="1" t="s">
        <v>648</v>
      </c>
      <c r="AC886" s="5">
        <v>43116</v>
      </c>
      <c r="AF886" s="1">
        <v>10014</v>
      </c>
      <c r="AJ886" s="1">
        <v>2015</v>
      </c>
      <c r="AK886" s="1" t="s">
        <v>73</v>
      </c>
      <c r="AL886" s="1">
        <v>33</v>
      </c>
    </row>
    <row r="887" spans="1:38" x14ac:dyDescent="0.2">
      <c r="A887" s="2" t="str">
        <f>HYPERLINK("https://www.compass.com/listing/100-barclay-street-unit-16m-manhattan-ny-10007/4852282223128222865/","100 Barclay St, Unit 16M")</f>
        <v>100 Barclay St, Unit 16M</v>
      </c>
      <c r="B887" s="2" t="str">
        <f>HYPERLINK("https://www.compass.com/building/100-barclay-manhattan-ny/281896670466155525/","100 Barclay")</f>
        <v>100 Barclay</v>
      </c>
      <c r="C887" s="1" t="s">
        <v>40</v>
      </c>
      <c r="D887" s="1" t="s">
        <v>41</v>
      </c>
      <c r="E887" s="3">
        <v>937808</v>
      </c>
      <c r="F887" s="1">
        <v>1917.80777096114</v>
      </c>
      <c r="G887" s="1">
        <v>2</v>
      </c>
      <c r="H887" s="1" t="s">
        <v>79</v>
      </c>
      <c r="I887" s="1">
        <v>1</v>
      </c>
      <c r="J887" s="1">
        <v>1</v>
      </c>
      <c r="K887" s="1">
        <v>1</v>
      </c>
      <c r="M887" s="1">
        <v>489</v>
      </c>
      <c r="N887" s="1">
        <v>627</v>
      </c>
      <c r="O887" s="1">
        <v>1227</v>
      </c>
      <c r="P887" s="1">
        <v>600</v>
      </c>
      <c r="Q887" s="1" t="s">
        <v>42</v>
      </c>
      <c r="S887" s="1" t="s">
        <v>42</v>
      </c>
      <c r="T887" s="1" t="s">
        <v>170</v>
      </c>
      <c r="U887" s="1">
        <v>117</v>
      </c>
      <c r="V887" s="5">
        <v>43623</v>
      </c>
      <c r="W887" s="5">
        <v>42497</v>
      </c>
      <c r="X887" s="1">
        <v>1024000</v>
      </c>
      <c r="Y887" s="1">
        <v>1024000</v>
      </c>
      <c r="Z887" s="5">
        <v>42614</v>
      </c>
      <c r="AA887" s="1">
        <v>937808</v>
      </c>
      <c r="AB887" s="1" t="s">
        <v>649</v>
      </c>
      <c r="AC887" s="5">
        <v>42696</v>
      </c>
      <c r="AF887" s="1">
        <v>10007</v>
      </c>
      <c r="AI887" s="1" t="s">
        <v>45</v>
      </c>
      <c r="AJ887" s="1">
        <v>1930</v>
      </c>
      <c r="AK887" s="1" t="s">
        <v>73</v>
      </c>
      <c r="AL887" s="1">
        <v>156</v>
      </c>
    </row>
    <row r="888" spans="1:38" x14ac:dyDescent="0.2">
      <c r="A888" s="2" t="str">
        <f>HYPERLINK("https://www.compass.com/listing/150-east-23rd-street-unit-8b-manhattan-ny-10010/122395326983234465/","150 E 23rd St, Unit 8B")</f>
        <v>150 E 23rd St, Unit 8B</v>
      </c>
      <c r="B888" s="2" t="str">
        <f t="shared" ref="B888:B892" si="162">HYPERLINK("https://www.compass.com/building/celeste-gramercy-manhattan-ny/292795972759607813/","Celeste Gramercy")</f>
        <v>Celeste Gramercy</v>
      </c>
      <c r="C888" s="1" t="s">
        <v>54</v>
      </c>
      <c r="D888" s="1" t="s">
        <v>41</v>
      </c>
      <c r="E888" s="3">
        <v>1760554</v>
      </c>
      <c r="F888" s="1">
        <v>1938.9363986784099</v>
      </c>
      <c r="G888" s="1">
        <v>4</v>
      </c>
      <c r="H888" s="1">
        <v>2</v>
      </c>
      <c r="I888" s="1">
        <v>2</v>
      </c>
      <c r="J888" s="1">
        <v>2</v>
      </c>
      <c r="K888" s="1">
        <v>2</v>
      </c>
      <c r="M888" s="1">
        <v>908</v>
      </c>
      <c r="N888" s="1">
        <v>1271</v>
      </c>
      <c r="O888" s="1">
        <v>2193</v>
      </c>
      <c r="P888" s="1">
        <v>922</v>
      </c>
      <c r="Q888" s="1" t="s">
        <v>42</v>
      </c>
      <c r="S888" s="1" t="s">
        <v>42</v>
      </c>
      <c r="T888" s="1" t="s">
        <v>170</v>
      </c>
      <c r="V888" s="5">
        <v>44329</v>
      </c>
      <c r="W888" s="5">
        <v>43420</v>
      </c>
      <c r="X888" s="1">
        <v>1845000</v>
      </c>
      <c r="Y888" s="1">
        <v>1845000</v>
      </c>
      <c r="Z888" s="5">
        <v>43420</v>
      </c>
      <c r="AA888" s="1">
        <v>1760554.25</v>
      </c>
      <c r="AB888" s="1" t="s">
        <v>650</v>
      </c>
      <c r="AC888" s="5">
        <v>44328</v>
      </c>
      <c r="AF888" s="1">
        <v>10010</v>
      </c>
      <c r="AI888" s="1" t="s">
        <v>53</v>
      </c>
      <c r="AJ888" s="1">
        <v>2018</v>
      </c>
      <c r="AK888" s="1" t="s">
        <v>73</v>
      </c>
      <c r="AL888" s="1">
        <v>51</v>
      </c>
    </row>
    <row r="889" spans="1:38" x14ac:dyDescent="0.2">
      <c r="A889" s="2" t="str">
        <f>HYPERLINK("https://www.compass.com/listing/150-east-23rd-street-unit-6b-manhattan-ny-10010/191355018069232913/","150 E 23rd St, Unit 6B")</f>
        <v>150 E 23rd St, Unit 6B</v>
      </c>
      <c r="B889" s="2" t="str">
        <f t="shared" si="162"/>
        <v>Celeste Gramercy</v>
      </c>
      <c r="C889" s="1" t="s">
        <v>54</v>
      </c>
      <c r="D889" s="1" t="s">
        <v>41</v>
      </c>
      <c r="E889" s="3">
        <v>1895000</v>
      </c>
      <c r="F889" s="1">
        <v>2057.54614549402</v>
      </c>
      <c r="G889" s="1">
        <v>4</v>
      </c>
      <c r="H889" s="1">
        <v>2</v>
      </c>
      <c r="I889" s="1">
        <v>2</v>
      </c>
      <c r="J889" s="1">
        <v>2</v>
      </c>
      <c r="K889" s="1">
        <v>2</v>
      </c>
      <c r="M889" s="1">
        <v>921</v>
      </c>
      <c r="N889" s="1">
        <v>1269</v>
      </c>
      <c r="O889" s="1">
        <v>2458</v>
      </c>
      <c r="P889" s="1">
        <v>1189</v>
      </c>
      <c r="Q889" s="1" t="s">
        <v>42</v>
      </c>
      <c r="S889" s="1" t="s">
        <v>42</v>
      </c>
      <c r="T889" s="1" t="s">
        <v>170</v>
      </c>
      <c r="U889" s="1">
        <v>148</v>
      </c>
      <c r="V889" s="5">
        <v>44414</v>
      </c>
      <c r="W889" s="5">
        <v>44019</v>
      </c>
      <c r="X889" s="1">
        <v>1895000</v>
      </c>
      <c r="Y889" s="1">
        <v>1895000</v>
      </c>
      <c r="Z889" s="5">
        <v>44168</v>
      </c>
      <c r="AA889" s="1">
        <v>1895000</v>
      </c>
      <c r="AB889" s="1" t="s">
        <v>181</v>
      </c>
      <c r="AC889" s="5">
        <v>44413</v>
      </c>
      <c r="AF889" s="1">
        <v>10010</v>
      </c>
      <c r="AI889" s="1" t="s">
        <v>53</v>
      </c>
      <c r="AJ889" s="1">
        <v>2018</v>
      </c>
      <c r="AK889" s="1" t="s">
        <v>46</v>
      </c>
      <c r="AL889" s="1">
        <v>51</v>
      </c>
    </row>
    <row r="890" spans="1:38" x14ac:dyDescent="0.2">
      <c r="A890" s="2" t="str">
        <f>HYPERLINK("https://www.compass.com/listing/150-east-23rd-street-unit-7b-manhattan-ny-10010/239022097970516513/","150 E 23rd St, Unit 7B")</f>
        <v>150 E 23rd St, Unit 7B</v>
      </c>
      <c r="B890" s="2" t="str">
        <f t="shared" si="162"/>
        <v>Celeste Gramercy</v>
      </c>
      <c r="C890" s="1" t="s">
        <v>54</v>
      </c>
      <c r="D890" s="1" t="s">
        <v>41</v>
      </c>
      <c r="E890" s="3">
        <v>1750000</v>
      </c>
      <c r="F890" s="1">
        <v>1910.4803493449699</v>
      </c>
      <c r="G890" s="1">
        <v>4</v>
      </c>
      <c r="H890" s="1">
        <v>2</v>
      </c>
      <c r="I890" s="1">
        <v>2</v>
      </c>
      <c r="J890" s="1">
        <v>2</v>
      </c>
      <c r="K890" s="1">
        <v>2</v>
      </c>
      <c r="M890" s="1">
        <v>916</v>
      </c>
      <c r="N890" s="1">
        <v>1273</v>
      </c>
      <c r="O890" s="1">
        <v>2196</v>
      </c>
      <c r="P890" s="1">
        <v>923</v>
      </c>
      <c r="Q890" s="1" t="s">
        <v>42</v>
      </c>
      <c r="S890" s="1" t="s">
        <v>42</v>
      </c>
      <c r="T890" s="1" t="s">
        <v>170</v>
      </c>
      <c r="V890" s="5">
        <v>44323</v>
      </c>
      <c r="W890" s="5">
        <v>43925</v>
      </c>
      <c r="X890" s="1">
        <v>1895000</v>
      </c>
      <c r="Y890" s="1">
        <v>1895000</v>
      </c>
      <c r="Z890" s="5">
        <v>43979</v>
      </c>
      <c r="AA890" s="1">
        <v>1750000</v>
      </c>
      <c r="AB890" s="1" t="s">
        <v>651</v>
      </c>
      <c r="AC890" s="5">
        <v>44322</v>
      </c>
      <c r="AF890" s="1">
        <v>10010</v>
      </c>
      <c r="AI890" s="1" t="s">
        <v>53</v>
      </c>
      <c r="AJ890" s="1">
        <v>2018</v>
      </c>
      <c r="AK890" s="1" t="s">
        <v>46</v>
      </c>
      <c r="AL890" s="1">
        <v>51</v>
      </c>
    </row>
    <row r="891" spans="1:38" x14ac:dyDescent="0.2">
      <c r="A891" s="2" t="str">
        <f>HYPERLINK("https://www.compass.com/listing/150-east-23rd-street-unit-9b-manhattan-ny-10010/239023262670103361/","150 E 23rd St, Unit 9B")</f>
        <v>150 E 23rd St, Unit 9B</v>
      </c>
      <c r="B891" s="2" t="str">
        <f t="shared" si="162"/>
        <v>Celeste Gramercy</v>
      </c>
      <c r="C891" s="1" t="s">
        <v>54</v>
      </c>
      <c r="D891" s="1" t="s">
        <v>41</v>
      </c>
      <c r="E891" s="3">
        <v>1758000</v>
      </c>
      <c r="F891" s="1">
        <v>1931.8681318681299</v>
      </c>
      <c r="G891" s="1">
        <v>4</v>
      </c>
      <c r="H891" s="1">
        <v>2</v>
      </c>
      <c r="I891" s="1">
        <v>2</v>
      </c>
      <c r="J891" s="1">
        <v>2</v>
      </c>
      <c r="K891" s="1">
        <v>2</v>
      </c>
      <c r="M891" s="1">
        <v>910</v>
      </c>
      <c r="N891" s="1">
        <v>1279</v>
      </c>
      <c r="O891" s="1">
        <v>2206</v>
      </c>
      <c r="P891" s="1">
        <v>927</v>
      </c>
      <c r="Q891" s="1" t="s">
        <v>42</v>
      </c>
      <c r="S891" s="1" t="s">
        <v>42</v>
      </c>
      <c r="T891" s="1" t="s">
        <v>170</v>
      </c>
      <c r="U891" s="1">
        <v>45</v>
      </c>
      <c r="V891" s="5">
        <v>44281</v>
      </c>
      <c r="W891" s="5">
        <v>43581</v>
      </c>
      <c r="X891" s="1">
        <v>1675000</v>
      </c>
      <c r="Y891" s="1">
        <v>1725000</v>
      </c>
      <c r="Z891" s="5">
        <v>43627</v>
      </c>
      <c r="AA891" s="1">
        <v>1758000</v>
      </c>
      <c r="AB891" s="1" t="s">
        <v>652</v>
      </c>
      <c r="AC891" s="5">
        <v>44271</v>
      </c>
      <c r="AF891" s="1">
        <v>10010</v>
      </c>
      <c r="AI891" s="1" t="s">
        <v>53</v>
      </c>
      <c r="AJ891" s="1">
        <v>2018</v>
      </c>
      <c r="AK891" s="1" t="s">
        <v>73</v>
      </c>
      <c r="AL891" s="1">
        <v>51</v>
      </c>
    </row>
    <row r="892" spans="1:38" x14ac:dyDescent="0.2">
      <c r="A892" s="2" t="str">
        <f>HYPERLINK("https://www.compass.com/listing/150-east-23rd-street-unit-10b-manhattan-ny-10010/364372381078071041/","150 E 23rd St, Unit 10B")</f>
        <v>150 E 23rd St, Unit 10B</v>
      </c>
      <c r="B892" s="2" t="str">
        <f t="shared" si="162"/>
        <v>Celeste Gramercy</v>
      </c>
      <c r="C892" s="1" t="s">
        <v>54</v>
      </c>
      <c r="D892" s="1" t="s">
        <v>41</v>
      </c>
      <c r="E892" s="3">
        <v>1775000</v>
      </c>
      <c r="F892" s="1">
        <v>1967.8492239467801</v>
      </c>
      <c r="G892" s="1">
        <v>4</v>
      </c>
      <c r="H892" s="1">
        <v>2</v>
      </c>
      <c r="I892" s="1">
        <v>2</v>
      </c>
      <c r="J892" s="1">
        <v>2</v>
      </c>
      <c r="K892" s="1">
        <v>2</v>
      </c>
      <c r="M892" s="1">
        <v>902</v>
      </c>
      <c r="N892" s="1">
        <v>1277</v>
      </c>
      <c r="O892" s="1">
        <v>2203</v>
      </c>
      <c r="P892" s="1">
        <v>926</v>
      </c>
      <c r="Q892" s="1" t="s">
        <v>42</v>
      </c>
      <c r="S892" s="1" t="s">
        <v>42</v>
      </c>
      <c r="T892" s="1" t="s">
        <v>170</v>
      </c>
      <c r="V892" s="5">
        <v>44303</v>
      </c>
      <c r="W892" s="5">
        <v>43754</v>
      </c>
      <c r="X892" s="1">
        <v>1895000</v>
      </c>
      <c r="Y892" s="1">
        <v>1895000</v>
      </c>
      <c r="Z892" s="5">
        <v>43754</v>
      </c>
      <c r="AA892" s="1">
        <v>1775000</v>
      </c>
      <c r="AB892" s="1" t="s">
        <v>653</v>
      </c>
      <c r="AC892" s="5">
        <v>44302</v>
      </c>
      <c r="AF892" s="1">
        <v>10010</v>
      </c>
      <c r="AI892" s="1" t="s">
        <v>53</v>
      </c>
      <c r="AJ892" s="1">
        <v>2018</v>
      </c>
      <c r="AK892" s="1" t="s">
        <v>73</v>
      </c>
      <c r="AL892" s="1">
        <v>51</v>
      </c>
    </row>
    <row r="893" spans="1:38" x14ac:dyDescent="0.2">
      <c r="A893" s="2" t="str">
        <f>HYPERLINK("https://www.compass.com/listing/200-east-21st-street-unit-6e-manhattan-ny-10010/649247729754029041/","200 E 21st St, Unit 6E")</f>
        <v>200 E 21st St, Unit 6E</v>
      </c>
      <c r="B893" s="2" t="str">
        <f t="shared" ref="B893:B909" si="163">HYPERLINK("https://www.compass.com/building/200-east-21st-street-manhattan-ny/292796762689658005/","200 East 21st Street")</f>
        <v>200 East 21st Street</v>
      </c>
      <c r="C893" s="1" t="s">
        <v>54</v>
      </c>
      <c r="D893" s="1" t="s">
        <v>41</v>
      </c>
      <c r="E893" s="3">
        <v>1700000</v>
      </c>
      <c r="F893" s="1">
        <v>1650.4854368931999</v>
      </c>
      <c r="G893" s="1">
        <v>3.5</v>
      </c>
      <c r="H893" s="1">
        <v>1</v>
      </c>
      <c r="I893" s="1">
        <v>2</v>
      </c>
      <c r="J893" s="1">
        <v>1.5</v>
      </c>
      <c r="K893" s="1">
        <v>1</v>
      </c>
      <c r="L893" s="1">
        <v>1</v>
      </c>
      <c r="M893" s="4">
        <v>1030</v>
      </c>
      <c r="N893" s="1">
        <v>988</v>
      </c>
      <c r="O893" s="1">
        <v>2188</v>
      </c>
      <c r="P893" s="1">
        <v>1200</v>
      </c>
      <c r="Q893" s="1" t="s">
        <v>42</v>
      </c>
      <c r="S893" s="1" t="s">
        <v>42</v>
      </c>
      <c r="T893" s="1" t="s">
        <v>170</v>
      </c>
      <c r="U893" s="1">
        <v>180</v>
      </c>
      <c r="V893" s="5">
        <v>44378</v>
      </c>
      <c r="W893" s="5">
        <v>44147</v>
      </c>
      <c r="Z893" s="5">
        <v>44328</v>
      </c>
      <c r="AA893" s="1">
        <v>1700000</v>
      </c>
      <c r="AB893" s="1" t="s">
        <v>654</v>
      </c>
      <c r="AC893" s="5">
        <v>44375</v>
      </c>
      <c r="AF893" s="1">
        <v>10010</v>
      </c>
      <c r="AI893" s="1" t="s">
        <v>86</v>
      </c>
      <c r="AJ893" s="1">
        <v>2018</v>
      </c>
      <c r="AK893" s="1" t="s">
        <v>87</v>
      </c>
      <c r="AL893" s="1">
        <v>67</v>
      </c>
    </row>
    <row r="894" spans="1:38" x14ac:dyDescent="0.2">
      <c r="A894" s="2" t="str">
        <f>HYPERLINK("https://www.compass.com/listing/200-east-21st-street-unit-17a-manhattan-ny-10010/100621180867713265/","200 E 21st St, Unit 17A")</f>
        <v>200 E 21st St, Unit 17A</v>
      </c>
      <c r="B894" s="2" t="str">
        <f t="shared" si="163"/>
        <v>200 East 21st Street</v>
      </c>
      <c r="C894" s="1" t="s">
        <v>54</v>
      </c>
      <c r="D894" s="1" t="s">
        <v>41</v>
      </c>
      <c r="E894" s="3">
        <v>3920263</v>
      </c>
      <c r="F894" s="1">
        <v>2341.8536439665399</v>
      </c>
      <c r="G894" s="1">
        <v>4</v>
      </c>
      <c r="H894" s="1">
        <v>2</v>
      </c>
      <c r="I894" s="1">
        <v>3</v>
      </c>
      <c r="J894" s="1">
        <v>2.5</v>
      </c>
      <c r="K894" s="1">
        <v>2</v>
      </c>
      <c r="L894" s="1">
        <v>1</v>
      </c>
      <c r="M894" s="4">
        <v>1674</v>
      </c>
      <c r="N894" s="1">
        <v>1753</v>
      </c>
      <c r="O894" s="1">
        <v>5036</v>
      </c>
      <c r="P894" s="1">
        <v>3283</v>
      </c>
      <c r="Q894" s="1" t="s">
        <v>42</v>
      </c>
      <c r="S894" s="1" t="s">
        <v>42</v>
      </c>
      <c r="T894" s="1" t="s">
        <v>170</v>
      </c>
      <c r="U894" s="1">
        <v>1</v>
      </c>
      <c r="V894" s="5">
        <v>43694</v>
      </c>
      <c r="W894" s="5">
        <v>43391</v>
      </c>
      <c r="X894" s="1">
        <v>3975000</v>
      </c>
      <c r="Y894" s="1">
        <v>3975000</v>
      </c>
      <c r="Z894" s="5">
        <v>43392</v>
      </c>
      <c r="AA894" s="1">
        <v>3920263</v>
      </c>
      <c r="AB894" s="1" t="s">
        <v>655</v>
      </c>
      <c r="AC894" s="5">
        <v>43628</v>
      </c>
      <c r="AF894" s="1">
        <v>10010</v>
      </c>
      <c r="AI894" s="1" t="s">
        <v>86</v>
      </c>
      <c r="AJ894" s="1">
        <v>2018</v>
      </c>
      <c r="AK894" s="1" t="s">
        <v>49</v>
      </c>
      <c r="AL894" s="1">
        <v>67</v>
      </c>
    </row>
    <row r="895" spans="1:38" x14ac:dyDescent="0.2">
      <c r="A895" s="2" t="str">
        <f>HYPERLINK("https://www.compass.com/listing/200-east-21st-street-unit-12d-manhattan-ny-10010/100621181371120193/","200 E 21st St, Unit 12D")</f>
        <v>200 E 21st St, Unit 12D</v>
      </c>
      <c r="B895" s="2" t="str">
        <f t="shared" si="163"/>
        <v>200 East 21st Street</v>
      </c>
      <c r="C895" s="1" t="s">
        <v>54</v>
      </c>
      <c r="D895" s="1" t="s">
        <v>41</v>
      </c>
      <c r="E895" s="3">
        <v>3075000</v>
      </c>
      <c r="F895" s="1">
        <v>2100.4098360655698</v>
      </c>
      <c r="G895" s="1">
        <v>4</v>
      </c>
      <c r="H895" s="1">
        <v>2</v>
      </c>
      <c r="I895" s="1">
        <v>3</v>
      </c>
      <c r="J895" s="1">
        <v>2.5</v>
      </c>
      <c r="K895" s="1">
        <v>2</v>
      </c>
      <c r="L895" s="1">
        <v>1</v>
      </c>
      <c r="M895" s="4">
        <v>1464</v>
      </c>
      <c r="N895" s="1">
        <v>1469</v>
      </c>
      <c r="O895" s="1">
        <v>4219</v>
      </c>
      <c r="P895" s="1">
        <v>2750</v>
      </c>
      <c r="Q895" s="1" t="s">
        <v>42</v>
      </c>
      <c r="S895" s="1" t="s">
        <v>42</v>
      </c>
      <c r="T895" s="1" t="s">
        <v>170</v>
      </c>
      <c r="U895" s="1">
        <v>1</v>
      </c>
      <c r="V895" s="5">
        <v>43735</v>
      </c>
      <c r="W895" s="5">
        <v>43391</v>
      </c>
      <c r="X895" s="1">
        <v>3295000</v>
      </c>
      <c r="Y895" s="1">
        <v>3295000</v>
      </c>
      <c r="Z895" s="5">
        <v>43392</v>
      </c>
      <c r="AA895" s="1">
        <v>3075000</v>
      </c>
      <c r="AB895" s="1" t="s">
        <v>656</v>
      </c>
      <c r="AC895" s="5">
        <v>43704</v>
      </c>
      <c r="AF895" s="1">
        <v>10010</v>
      </c>
      <c r="AI895" s="1" t="s">
        <v>657</v>
      </c>
      <c r="AJ895" s="1">
        <v>2018</v>
      </c>
      <c r="AK895" s="1" t="s">
        <v>49</v>
      </c>
      <c r="AL895" s="1">
        <v>67</v>
      </c>
    </row>
    <row r="896" spans="1:38" x14ac:dyDescent="0.2">
      <c r="A896" s="2" t="str">
        <f>HYPERLINK("https://www.compass.com/listing/200-east-21st-street-unit-7c-manhattan-ny-10010/104366068868417521/","200 E 21st St, Unit 7C")</f>
        <v>200 E 21st St, Unit 7C</v>
      </c>
      <c r="B896" s="2" t="str">
        <f t="shared" si="163"/>
        <v>200 East 21st Street</v>
      </c>
      <c r="C896" s="1" t="s">
        <v>54</v>
      </c>
      <c r="D896" s="1" t="s">
        <v>41</v>
      </c>
      <c r="E896" s="3">
        <v>3280802</v>
      </c>
      <c r="F896" s="1">
        <v>2145.7171353826002</v>
      </c>
      <c r="G896" s="1">
        <v>4.5</v>
      </c>
      <c r="H896" s="1">
        <v>2</v>
      </c>
      <c r="I896" s="1">
        <v>3</v>
      </c>
      <c r="J896" s="1">
        <v>2.5</v>
      </c>
      <c r="K896" s="1">
        <v>2</v>
      </c>
      <c r="L896" s="1">
        <v>1</v>
      </c>
      <c r="M896" s="4">
        <v>1529</v>
      </c>
      <c r="N896" s="1">
        <v>1507</v>
      </c>
      <c r="O896" s="1">
        <v>4328</v>
      </c>
      <c r="P896" s="1">
        <v>2821</v>
      </c>
      <c r="Q896" s="1" t="s">
        <v>42</v>
      </c>
      <c r="S896" s="1" t="s">
        <v>42</v>
      </c>
      <c r="T896" s="1" t="s">
        <v>170</v>
      </c>
      <c r="V896" s="5">
        <v>43694</v>
      </c>
      <c r="W896" s="5">
        <v>43396</v>
      </c>
      <c r="X896" s="1">
        <v>3275000</v>
      </c>
      <c r="Y896" s="1">
        <v>3275000</v>
      </c>
      <c r="Z896" s="5">
        <v>43396</v>
      </c>
      <c r="AA896" s="1">
        <v>3280801.5</v>
      </c>
      <c r="AB896" s="1" t="s">
        <v>658</v>
      </c>
      <c r="AC896" s="5">
        <v>43628</v>
      </c>
      <c r="AF896" s="1">
        <v>10010</v>
      </c>
      <c r="AI896" s="1" t="s">
        <v>86</v>
      </c>
      <c r="AJ896" s="1">
        <v>2018</v>
      </c>
      <c r="AK896" s="1" t="s">
        <v>49</v>
      </c>
      <c r="AL896" s="1">
        <v>67</v>
      </c>
    </row>
    <row r="897" spans="1:38" x14ac:dyDescent="0.2">
      <c r="A897" s="2" t="str">
        <f>HYPERLINK("https://www.compass.com/listing/200-east-21st-street-unit-11d-manhattan-ny-10010/114392694683345217/","200 E 21st St, Unit 11D")</f>
        <v>200 E 21st St, Unit 11D</v>
      </c>
      <c r="B897" s="2" t="str">
        <f t="shared" si="163"/>
        <v>200 East 21st Street</v>
      </c>
      <c r="C897" s="1" t="s">
        <v>54</v>
      </c>
      <c r="D897" s="1" t="s">
        <v>41</v>
      </c>
      <c r="E897" s="3">
        <v>3054750</v>
      </c>
      <c r="F897" s="1">
        <v>2086.5778688524501</v>
      </c>
      <c r="G897" s="1">
        <v>4</v>
      </c>
      <c r="H897" s="1">
        <v>2</v>
      </c>
      <c r="I897" s="1">
        <v>3</v>
      </c>
      <c r="J897" s="1">
        <v>2.5</v>
      </c>
      <c r="K897" s="1">
        <v>2</v>
      </c>
      <c r="L897" s="1">
        <v>1</v>
      </c>
      <c r="M897" s="4">
        <v>1464</v>
      </c>
      <c r="N897" s="1">
        <v>1455</v>
      </c>
      <c r="O897" s="1">
        <v>4180</v>
      </c>
      <c r="P897" s="1">
        <v>2725</v>
      </c>
      <c r="Q897" s="1" t="s">
        <v>42</v>
      </c>
      <c r="S897" s="1" t="s">
        <v>42</v>
      </c>
      <c r="T897" s="1" t="s">
        <v>170</v>
      </c>
      <c r="V897" s="5">
        <v>43859</v>
      </c>
      <c r="W897" s="5">
        <v>43409</v>
      </c>
      <c r="X897" s="1">
        <v>3195000</v>
      </c>
      <c r="Y897" s="1">
        <v>3195000</v>
      </c>
      <c r="Z897" s="5">
        <v>43410</v>
      </c>
      <c r="AA897" s="1">
        <v>3054750</v>
      </c>
      <c r="AB897" s="1" t="s">
        <v>659</v>
      </c>
      <c r="AC897" s="5">
        <v>43678</v>
      </c>
      <c r="AF897" s="1">
        <v>10010</v>
      </c>
      <c r="AI897" s="1" t="s">
        <v>86</v>
      </c>
      <c r="AJ897" s="1">
        <v>2018</v>
      </c>
      <c r="AK897" s="1" t="s">
        <v>49</v>
      </c>
      <c r="AL897" s="1">
        <v>67</v>
      </c>
    </row>
    <row r="898" spans="1:38" x14ac:dyDescent="0.2">
      <c r="A898" s="2" t="str">
        <f>HYPERLINK("https://www.compass.com/listing/200-east-21st-street-unit-18a-manhattan-ny-10010/121579407734290849/","200 E 21st St, Unit 18A")</f>
        <v>200 E 21st St, Unit 18A</v>
      </c>
      <c r="B898" s="2" t="str">
        <f t="shared" si="163"/>
        <v>200 East 21st Street</v>
      </c>
      <c r="C898" s="1" t="s">
        <v>54</v>
      </c>
      <c r="D898" s="1" t="s">
        <v>41</v>
      </c>
      <c r="E898" s="3">
        <v>4075255</v>
      </c>
      <c r="F898" s="1">
        <v>2434.4411947431299</v>
      </c>
      <c r="G898" s="1">
        <v>4</v>
      </c>
      <c r="H898" s="1">
        <v>2</v>
      </c>
      <c r="I898" s="1">
        <v>3</v>
      </c>
      <c r="J898" s="1">
        <v>2.5</v>
      </c>
      <c r="K898" s="1">
        <v>2</v>
      </c>
      <c r="L898" s="1">
        <v>1</v>
      </c>
      <c r="M898" s="4">
        <v>1674</v>
      </c>
      <c r="N898" s="1">
        <v>1759</v>
      </c>
      <c r="O898" s="1">
        <v>5052</v>
      </c>
      <c r="P898" s="1">
        <v>3293</v>
      </c>
      <c r="Q898" s="1" t="s">
        <v>42</v>
      </c>
      <c r="S898" s="1" t="s">
        <v>42</v>
      </c>
      <c r="T898" s="1" t="s">
        <v>170</v>
      </c>
      <c r="U898" s="1">
        <v>169</v>
      </c>
      <c r="V898" s="5">
        <v>43830</v>
      </c>
      <c r="W898" s="5">
        <v>43201</v>
      </c>
      <c r="X898" s="1">
        <v>4075000</v>
      </c>
      <c r="Y898" s="1">
        <v>4075000</v>
      </c>
      <c r="Z898" s="5">
        <v>43370</v>
      </c>
      <c r="AA898" s="1">
        <v>4075254.56</v>
      </c>
      <c r="AB898" s="1" t="s">
        <v>660</v>
      </c>
      <c r="AC898" s="5">
        <v>43815</v>
      </c>
      <c r="AF898" s="1">
        <v>10010</v>
      </c>
      <c r="AI898" s="1" t="s">
        <v>86</v>
      </c>
      <c r="AJ898" s="1">
        <v>2018</v>
      </c>
      <c r="AK898" s="1" t="s">
        <v>49</v>
      </c>
      <c r="AL898" s="1">
        <v>67</v>
      </c>
    </row>
    <row r="899" spans="1:38" x14ac:dyDescent="0.2">
      <c r="A899" s="2" t="str">
        <f>HYPERLINK("https://www.compass.com/listing/200-east-21st-street-unit-19a-manhattan-ny-10010/85454714220680945/","200 E 21st St, Unit 19A")</f>
        <v>200 E 21st St, Unit 19A</v>
      </c>
      <c r="B899" s="2" t="str">
        <f t="shared" si="163"/>
        <v>200 East 21st Street</v>
      </c>
      <c r="C899" s="1" t="s">
        <v>54</v>
      </c>
      <c r="D899" s="1" t="s">
        <v>41</v>
      </c>
      <c r="E899" s="3">
        <v>4225992</v>
      </c>
      <c r="F899" s="1">
        <v>2524.4874910394201</v>
      </c>
      <c r="G899" s="1">
        <v>4</v>
      </c>
      <c r="H899" s="1">
        <v>2</v>
      </c>
      <c r="I899" s="1">
        <v>3</v>
      </c>
      <c r="J899" s="1">
        <v>2.5</v>
      </c>
      <c r="K899" s="1">
        <v>2</v>
      </c>
      <c r="L899" s="1">
        <v>1</v>
      </c>
      <c r="M899" s="4">
        <v>1674</v>
      </c>
      <c r="N899" s="1">
        <v>1742</v>
      </c>
      <c r="O899" s="1">
        <v>5004</v>
      </c>
      <c r="P899" s="1">
        <v>3262</v>
      </c>
      <c r="Q899" s="1" t="s">
        <v>42</v>
      </c>
      <c r="S899" s="1" t="s">
        <v>42</v>
      </c>
      <c r="T899" s="1" t="s">
        <v>170</v>
      </c>
      <c r="U899" s="1">
        <v>127</v>
      </c>
      <c r="V899" s="5">
        <v>43830</v>
      </c>
      <c r="W899" s="5">
        <v>43370</v>
      </c>
      <c r="X899" s="1">
        <v>4150000</v>
      </c>
      <c r="Y899" s="1">
        <v>4150000</v>
      </c>
      <c r="Z899" s="5">
        <v>43497</v>
      </c>
      <c r="AA899" s="1">
        <v>4225992.0599999996</v>
      </c>
      <c r="AB899" s="1" t="s">
        <v>661</v>
      </c>
      <c r="AC899" s="5">
        <v>43817</v>
      </c>
      <c r="AF899" s="1">
        <v>10010</v>
      </c>
      <c r="AI899" s="1" t="s">
        <v>86</v>
      </c>
      <c r="AJ899" s="1">
        <v>2018</v>
      </c>
      <c r="AK899" s="1" t="s">
        <v>49</v>
      </c>
      <c r="AL899" s="1">
        <v>67</v>
      </c>
    </row>
    <row r="900" spans="1:38" x14ac:dyDescent="0.2">
      <c r="A900" s="2" t="str">
        <f>HYPERLINK("https://www.compass.com/listing/200-east-21st-street-unit-16a-manhattan-ny-10010/96242683554655905/","200 E 21st St, Unit 16A")</f>
        <v>200 E 21st St, Unit 16A</v>
      </c>
      <c r="B900" s="2" t="str">
        <f t="shared" si="163"/>
        <v>200 East 21st Street</v>
      </c>
      <c r="C900" s="1" t="s">
        <v>54</v>
      </c>
      <c r="D900" s="1" t="s">
        <v>41</v>
      </c>
      <c r="E900" s="3">
        <v>4292091</v>
      </c>
      <c r="F900" s="1">
        <v>2563.97285543608</v>
      </c>
      <c r="G900" s="1">
        <v>4</v>
      </c>
      <c r="H900" s="1">
        <v>2</v>
      </c>
      <c r="I900" s="1">
        <v>3</v>
      </c>
      <c r="J900" s="1">
        <v>2.5</v>
      </c>
      <c r="K900" s="1">
        <v>2</v>
      </c>
      <c r="L900" s="1">
        <v>1</v>
      </c>
      <c r="M900" s="4">
        <v>1674</v>
      </c>
      <c r="N900" s="1">
        <v>1818</v>
      </c>
      <c r="O900" s="1">
        <v>5222</v>
      </c>
      <c r="P900" s="1">
        <v>3404</v>
      </c>
      <c r="Q900" s="1" t="s">
        <v>42</v>
      </c>
      <c r="S900" s="1" t="s">
        <v>42</v>
      </c>
      <c r="T900" s="1" t="s">
        <v>170</v>
      </c>
      <c r="V900" s="5">
        <v>43830</v>
      </c>
      <c r="W900" s="5">
        <v>43385</v>
      </c>
      <c r="X900" s="1">
        <v>4450000</v>
      </c>
      <c r="Y900" s="1">
        <v>4450000</v>
      </c>
      <c r="Z900" s="5">
        <v>43385</v>
      </c>
      <c r="AA900" s="1">
        <v>4292090.5599999996</v>
      </c>
      <c r="AB900" s="1" t="s">
        <v>662</v>
      </c>
      <c r="AC900" s="5">
        <v>43819</v>
      </c>
      <c r="AF900" s="1">
        <v>10010</v>
      </c>
      <c r="AI900" s="1" t="s">
        <v>86</v>
      </c>
      <c r="AJ900" s="1">
        <v>2018</v>
      </c>
      <c r="AK900" s="1" t="s">
        <v>49</v>
      </c>
      <c r="AL900" s="1">
        <v>67</v>
      </c>
    </row>
    <row r="901" spans="1:38" x14ac:dyDescent="0.2">
      <c r="A901" s="2" t="str">
        <f>HYPERLINK("https://www.compass.com/listing/200-east-21st-street-unit-14b-manhattan-ny-10010/144826245438313601/","200 E 21st St, Unit 14B")</f>
        <v>200 E 21st St, Unit 14B</v>
      </c>
      <c r="B901" s="2" t="str">
        <f t="shared" si="163"/>
        <v>200 East 21st Street</v>
      </c>
      <c r="C901" s="1" t="s">
        <v>54</v>
      </c>
      <c r="D901" s="1" t="s">
        <v>41</v>
      </c>
      <c r="E901" s="3">
        <v>1695000</v>
      </c>
      <c r="F901" s="1">
        <v>2192.7554980595</v>
      </c>
      <c r="G901" s="1">
        <v>3</v>
      </c>
      <c r="H901" s="1">
        <v>1</v>
      </c>
      <c r="I901" s="1">
        <v>1</v>
      </c>
      <c r="J901" s="1">
        <v>1</v>
      </c>
      <c r="K901" s="1">
        <v>1</v>
      </c>
      <c r="M901" s="1">
        <v>773</v>
      </c>
      <c r="N901" s="1">
        <v>775</v>
      </c>
      <c r="O901" s="1">
        <v>2227</v>
      </c>
      <c r="P901" s="1">
        <v>1452</v>
      </c>
      <c r="Q901" s="1" t="s">
        <v>42</v>
      </c>
      <c r="S901" s="1" t="s">
        <v>42</v>
      </c>
      <c r="T901" s="1" t="s">
        <v>170</v>
      </c>
      <c r="V901" s="5">
        <v>43694</v>
      </c>
      <c r="W901" s="5">
        <v>43452</v>
      </c>
      <c r="X901" s="1">
        <v>1715000</v>
      </c>
      <c r="Y901" s="1">
        <v>1715000</v>
      </c>
      <c r="Z901" s="5">
        <v>43452</v>
      </c>
      <c r="AA901" s="1">
        <v>1695000</v>
      </c>
      <c r="AB901" s="1" t="s">
        <v>663</v>
      </c>
      <c r="AC901" s="5">
        <v>43622</v>
      </c>
      <c r="AF901" s="1">
        <v>10010</v>
      </c>
      <c r="AI901" s="1" t="s">
        <v>86</v>
      </c>
      <c r="AJ901" s="1">
        <v>2018</v>
      </c>
      <c r="AK901" s="1" t="s">
        <v>49</v>
      </c>
      <c r="AL901" s="1">
        <v>67</v>
      </c>
    </row>
    <row r="902" spans="1:38" x14ac:dyDescent="0.2">
      <c r="A902" s="2" t="str">
        <f>HYPERLINK("https://www.compass.com/listing/200-east-21st-street-unit-12b-manhattan-ny-10010/96242683395278833/","200 E 21st St, Unit 12B")</f>
        <v>200 E 21st St, Unit 12B</v>
      </c>
      <c r="B902" s="2" t="str">
        <f t="shared" si="163"/>
        <v>200 East 21st Street</v>
      </c>
      <c r="C902" s="1" t="s">
        <v>54</v>
      </c>
      <c r="D902" s="1" t="s">
        <v>41</v>
      </c>
      <c r="E902" s="3">
        <v>1700448</v>
      </c>
      <c r="F902" s="1">
        <v>2199.8027166882198</v>
      </c>
      <c r="G902" s="1">
        <v>3</v>
      </c>
      <c r="H902" s="1">
        <v>1</v>
      </c>
      <c r="I902" s="1">
        <v>1</v>
      </c>
      <c r="J902" s="1">
        <v>1</v>
      </c>
      <c r="K902" s="1">
        <v>1</v>
      </c>
      <c r="M902" s="1">
        <v>773</v>
      </c>
      <c r="N902" s="1">
        <v>772</v>
      </c>
      <c r="O902" s="1">
        <v>2218</v>
      </c>
      <c r="P902" s="1">
        <v>1446</v>
      </c>
      <c r="Q902" s="1" t="s">
        <v>42</v>
      </c>
      <c r="S902" s="1" t="s">
        <v>42</v>
      </c>
      <c r="T902" s="1" t="s">
        <v>170</v>
      </c>
      <c r="V902" s="5">
        <v>43694</v>
      </c>
      <c r="W902" s="5">
        <v>43385</v>
      </c>
      <c r="X902" s="1">
        <v>1670000</v>
      </c>
      <c r="Y902" s="1">
        <v>1670000</v>
      </c>
      <c r="Z902" s="5">
        <v>43385</v>
      </c>
      <c r="AA902" s="1">
        <v>1700447.5</v>
      </c>
      <c r="AB902" s="1" t="s">
        <v>664</v>
      </c>
      <c r="AC902" s="5">
        <v>43628</v>
      </c>
      <c r="AF902" s="1">
        <v>10010</v>
      </c>
      <c r="AI902" s="1" t="s">
        <v>86</v>
      </c>
      <c r="AJ902" s="1">
        <v>2018</v>
      </c>
      <c r="AK902" s="1" t="s">
        <v>49</v>
      </c>
      <c r="AL902" s="1">
        <v>67</v>
      </c>
    </row>
    <row r="903" spans="1:38" x14ac:dyDescent="0.2">
      <c r="A903" s="2" t="str">
        <f>HYPERLINK("https://www.compass.com/listing/200-east-21st-street-unit-8c-manhattan-ny-10010/105151553366712209/","200 E 21st St, Unit 8C")</f>
        <v>200 E 21st St, Unit 8C</v>
      </c>
      <c r="B903" s="2" t="str">
        <f t="shared" si="163"/>
        <v>200 East 21st Street</v>
      </c>
      <c r="C903" s="1" t="s">
        <v>54</v>
      </c>
      <c r="D903" s="1" t="s">
        <v>41</v>
      </c>
      <c r="E903" s="3">
        <v>3540246</v>
      </c>
      <c r="F903" s="1">
        <v>1941.98913329676</v>
      </c>
      <c r="G903" s="1">
        <v>6</v>
      </c>
      <c r="H903" s="1">
        <v>3</v>
      </c>
      <c r="I903" s="1">
        <v>4</v>
      </c>
      <c r="J903" s="1">
        <v>3.5</v>
      </c>
      <c r="K903" s="1">
        <v>3</v>
      </c>
      <c r="L903" s="1">
        <v>1</v>
      </c>
      <c r="M903" s="4">
        <v>1823</v>
      </c>
      <c r="N903" s="1">
        <v>1801</v>
      </c>
      <c r="O903" s="1">
        <v>5174</v>
      </c>
      <c r="P903" s="1">
        <v>3373</v>
      </c>
      <c r="Q903" s="1" t="s">
        <v>42</v>
      </c>
      <c r="S903" s="1" t="s">
        <v>42</v>
      </c>
      <c r="T903" s="1" t="s">
        <v>170</v>
      </c>
      <c r="V903" s="5">
        <v>43883</v>
      </c>
      <c r="W903" s="5">
        <v>43396</v>
      </c>
      <c r="X903" s="1">
        <v>3950000</v>
      </c>
      <c r="Y903" s="1">
        <v>3950000</v>
      </c>
      <c r="Z903" s="5">
        <v>43397</v>
      </c>
      <c r="AA903" s="1">
        <v>3540246.19</v>
      </c>
      <c r="AB903" s="1" t="s">
        <v>665</v>
      </c>
      <c r="AC903" s="5">
        <v>43795</v>
      </c>
      <c r="AF903" s="1">
        <v>10010</v>
      </c>
      <c r="AI903" s="1" t="s">
        <v>83</v>
      </c>
      <c r="AJ903" s="1">
        <v>2018</v>
      </c>
      <c r="AK903" s="1" t="s">
        <v>49</v>
      </c>
      <c r="AL903" s="1">
        <v>67</v>
      </c>
    </row>
    <row r="904" spans="1:38" x14ac:dyDescent="0.2">
      <c r="A904" s="2" t="str">
        <f>HYPERLINK("https://www.compass.com/listing/200-east-21st-street-unit-11c-manhattan-ny-10010/181117176416156257/","200 E 21st St, Unit 11C")</f>
        <v>200 E 21st St, Unit 11C</v>
      </c>
      <c r="B904" s="2" t="str">
        <f t="shared" si="163"/>
        <v>200 East 21st Street</v>
      </c>
      <c r="C904" s="1" t="s">
        <v>54</v>
      </c>
      <c r="D904" s="1" t="s">
        <v>41</v>
      </c>
      <c r="E904" s="3">
        <v>4000255</v>
      </c>
      <c r="F904" s="1">
        <v>2194.3253922106401</v>
      </c>
      <c r="G904" s="1">
        <v>6</v>
      </c>
      <c r="H904" s="1">
        <v>3</v>
      </c>
      <c r="I904" s="1">
        <v>4</v>
      </c>
      <c r="J904" s="1">
        <v>3.5</v>
      </c>
      <c r="K904" s="1">
        <v>3</v>
      </c>
      <c r="L904" s="1">
        <v>1</v>
      </c>
      <c r="M904" s="4">
        <v>1823</v>
      </c>
      <c r="N904" s="1">
        <v>1828</v>
      </c>
      <c r="O904" s="1">
        <v>3243</v>
      </c>
      <c r="P904" s="1">
        <v>1415</v>
      </c>
      <c r="Q904" s="1" t="s">
        <v>42</v>
      </c>
      <c r="S904" s="1" t="s">
        <v>42</v>
      </c>
      <c r="T904" s="1" t="s">
        <v>170</v>
      </c>
      <c r="U904" s="1">
        <v>184</v>
      </c>
      <c r="V904" s="5">
        <v>43686</v>
      </c>
      <c r="W904" s="5">
        <v>43501</v>
      </c>
      <c r="X904" s="1">
        <v>4250000</v>
      </c>
      <c r="Y904" s="1">
        <v>4250000</v>
      </c>
      <c r="AA904" s="1">
        <v>4000255.19</v>
      </c>
      <c r="AB904" s="1" t="s">
        <v>666</v>
      </c>
      <c r="AC904" s="5">
        <v>43748</v>
      </c>
      <c r="AF904" s="1">
        <v>10010</v>
      </c>
      <c r="AI904" s="1" t="s">
        <v>86</v>
      </c>
      <c r="AJ904" s="1">
        <v>2018</v>
      </c>
      <c r="AK904" s="1" t="s">
        <v>49</v>
      </c>
      <c r="AL904" s="1">
        <v>67</v>
      </c>
    </row>
    <row r="905" spans="1:38" x14ac:dyDescent="0.2">
      <c r="A905" s="2" t="str">
        <f>HYPERLINK("https://www.compass.com/listing/200-east-21st-street-unit-12c-manhattan-ny-10010/252781299155149361/","200 E 21st St, Unit 12C")</f>
        <v>200 E 21st St, Unit 12C</v>
      </c>
      <c r="B905" s="2" t="str">
        <f t="shared" si="163"/>
        <v>200 East 21st Street</v>
      </c>
      <c r="C905" s="1" t="s">
        <v>54</v>
      </c>
      <c r="D905" s="1" t="s">
        <v>41</v>
      </c>
      <c r="E905" s="3">
        <v>3800255</v>
      </c>
      <c r="F905" s="1">
        <v>2084.6161217772901</v>
      </c>
      <c r="G905" s="1">
        <v>5.5</v>
      </c>
      <c r="H905" s="1">
        <v>3</v>
      </c>
      <c r="I905" s="1">
        <v>4</v>
      </c>
      <c r="J905" s="1">
        <v>3.5</v>
      </c>
      <c r="K905" s="1">
        <v>3</v>
      </c>
      <c r="L905" s="1">
        <v>1</v>
      </c>
      <c r="M905" s="4">
        <v>1823</v>
      </c>
      <c r="N905" s="1">
        <v>1839</v>
      </c>
      <c r="O905" s="1">
        <v>3263</v>
      </c>
      <c r="P905" s="1">
        <v>1424</v>
      </c>
      <c r="Q905" s="1" t="s">
        <v>42</v>
      </c>
      <c r="S905" s="1" t="s">
        <v>42</v>
      </c>
      <c r="T905" s="1" t="s">
        <v>170</v>
      </c>
      <c r="U905" s="1">
        <v>189</v>
      </c>
      <c r="V905" s="5">
        <v>43839</v>
      </c>
      <c r="W905" s="5">
        <v>43601</v>
      </c>
      <c r="X905" s="1">
        <v>4350000</v>
      </c>
      <c r="Y905" s="1">
        <v>4100000</v>
      </c>
      <c r="Z905" s="5">
        <v>43790</v>
      </c>
      <c r="AA905" s="1">
        <v>3800255.19</v>
      </c>
      <c r="AB905" s="1" t="s">
        <v>667</v>
      </c>
      <c r="AC905" s="5">
        <v>43826</v>
      </c>
      <c r="AF905" s="1">
        <v>10010</v>
      </c>
      <c r="AI905" s="1" t="s">
        <v>86</v>
      </c>
      <c r="AJ905" s="1">
        <v>2018</v>
      </c>
      <c r="AK905" s="1" t="s">
        <v>49</v>
      </c>
      <c r="AL905" s="1">
        <v>67</v>
      </c>
    </row>
    <row r="906" spans="1:38" x14ac:dyDescent="0.2">
      <c r="A906" s="2" t="str">
        <f>HYPERLINK("https://www.compass.com/listing/200-east-21st-street-unit-11c-manhattan-ny-10010/344012350553921473/","200 E 21st St, Unit 11C")</f>
        <v>200 E 21st St, Unit 11C</v>
      </c>
      <c r="B906" s="2" t="str">
        <f t="shared" si="163"/>
        <v>200 East 21st Street</v>
      </c>
      <c r="C906" s="1" t="s">
        <v>54</v>
      </c>
      <c r="D906" s="1" t="s">
        <v>41</v>
      </c>
      <c r="E906" s="3">
        <v>4000255</v>
      </c>
      <c r="F906" s="1">
        <v>2194.3253922106401</v>
      </c>
      <c r="G906" s="1">
        <v>6</v>
      </c>
      <c r="H906" s="1">
        <v>3</v>
      </c>
      <c r="I906" s="1">
        <v>4</v>
      </c>
      <c r="J906" s="1">
        <v>3.5</v>
      </c>
      <c r="K906" s="1">
        <v>3</v>
      </c>
      <c r="L906" s="1">
        <v>1</v>
      </c>
      <c r="M906" s="4">
        <v>1823</v>
      </c>
      <c r="N906" s="1">
        <v>1828</v>
      </c>
      <c r="O906" s="1">
        <v>3243</v>
      </c>
      <c r="P906" s="1">
        <v>1415</v>
      </c>
      <c r="Q906" s="1" t="s">
        <v>42</v>
      </c>
      <c r="S906" s="1" t="s">
        <v>42</v>
      </c>
      <c r="T906" s="1" t="s">
        <v>170</v>
      </c>
      <c r="U906" s="1">
        <v>1</v>
      </c>
      <c r="V906" s="5">
        <v>43859</v>
      </c>
      <c r="W906" s="5">
        <v>43725</v>
      </c>
      <c r="X906" s="1">
        <v>4250000</v>
      </c>
      <c r="Y906" s="1">
        <v>4250000</v>
      </c>
      <c r="Z906" s="5">
        <v>43726</v>
      </c>
      <c r="AA906" s="1">
        <v>4000255.19</v>
      </c>
      <c r="AB906" s="1" t="s">
        <v>666</v>
      </c>
      <c r="AC906" s="5">
        <v>43748</v>
      </c>
      <c r="AF906" s="1">
        <v>10010</v>
      </c>
      <c r="AI906" s="1" t="s">
        <v>86</v>
      </c>
      <c r="AJ906" s="1">
        <v>2018</v>
      </c>
      <c r="AK906" s="1" t="s">
        <v>49</v>
      </c>
      <c r="AL906" s="1">
        <v>67</v>
      </c>
    </row>
    <row r="907" spans="1:38" x14ac:dyDescent="0.2">
      <c r="A907" s="2" t="str">
        <f>HYPERLINK("https://www.compass.com/listing/200-east-21st-street-unit-14c-manhattan-ny-10010/389710422940054193/","200 E 21st St, Unit 14C")</f>
        <v>200 E 21st St, Unit 14C</v>
      </c>
      <c r="B907" s="2" t="str">
        <f t="shared" si="163"/>
        <v>200 East 21st Street</v>
      </c>
      <c r="C907" s="1" t="s">
        <v>54</v>
      </c>
      <c r="D907" s="1" t="s">
        <v>41</v>
      </c>
      <c r="E907" s="3">
        <v>3800000</v>
      </c>
      <c r="F907" s="1">
        <v>2084.4761382336801</v>
      </c>
      <c r="G907" s="1">
        <v>6.5</v>
      </c>
      <c r="H907" s="1">
        <v>3</v>
      </c>
      <c r="I907" s="1">
        <v>4</v>
      </c>
      <c r="J907" s="1">
        <v>3.5</v>
      </c>
      <c r="K907" s="1">
        <v>3</v>
      </c>
      <c r="L907" s="1">
        <v>1</v>
      </c>
      <c r="M907" s="4">
        <v>1823</v>
      </c>
      <c r="N907" s="1">
        <v>1850</v>
      </c>
      <c r="O907" s="1">
        <v>4105</v>
      </c>
      <c r="P907" s="1">
        <v>2255</v>
      </c>
      <c r="Q907" s="1" t="s">
        <v>42</v>
      </c>
      <c r="S907" s="1" t="s">
        <v>42</v>
      </c>
      <c r="T907" s="1" t="s">
        <v>170</v>
      </c>
      <c r="U907" s="1">
        <v>321</v>
      </c>
      <c r="V907" s="5">
        <v>44314</v>
      </c>
      <c r="W907" s="5">
        <v>43789</v>
      </c>
      <c r="X907" s="1">
        <v>4200000</v>
      </c>
      <c r="Y907" s="1">
        <v>3995000</v>
      </c>
      <c r="Z907" s="5">
        <v>44205</v>
      </c>
      <c r="AA907" s="1">
        <v>3800000</v>
      </c>
      <c r="AB907" s="1" t="s">
        <v>668</v>
      </c>
      <c r="AC907" s="5">
        <v>44243</v>
      </c>
      <c r="AF907" s="1">
        <v>10010</v>
      </c>
      <c r="AI907" s="1" t="s">
        <v>86</v>
      </c>
      <c r="AJ907" s="1">
        <v>2018</v>
      </c>
      <c r="AK907" s="1" t="s">
        <v>49</v>
      </c>
      <c r="AL907" s="1">
        <v>67</v>
      </c>
    </row>
    <row r="908" spans="1:38" x14ac:dyDescent="0.2">
      <c r="A908" s="2" t="str">
        <f>HYPERLINK("https://www.compass.com/listing/200-east-21st-street-unit-10c-manhattan-ny-10010/91260156301664609/","200 E 21st St, Unit 10C")</f>
        <v>200 E 21st St, Unit 10C</v>
      </c>
      <c r="B908" s="2" t="str">
        <f t="shared" si="163"/>
        <v>200 East 21st Street</v>
      </c>
      <c r="C908" s="1" t="s">
        <v>54</v>
      </c>
      <c r="D908" s="1" t="s">
        <v>41</v>
      </c>
      <c r="E908" s="3">
        <v>4031454</v>
      </c>
      <c r="F908" s="1">
        <v>2211.4395940756899</v>
      </c>
      <c r="G908" s="1">
        <v>6</v>
      </c>
      <c r="H908" s="1">
        <v>3</v>
      </c>
      <c r="I908" s="1">
        <v>4</v>
      </c>
      <c r="J908" s="1">
        <v>3.5</v>
      </c>
      <c r="K908" s="1">
        <v>3</v>
      </c>
      <c r="L908" s="1">
        <v>1</v>
      </c>
      <c r="M908" s="4">
        <v>1823</v>
      </c>
      <c r="N908" s="1">
        <v>1823</v>
      </c>
      <c r="O908" s="1">
        <v>5237</v>
      </c>
      <c r="P908" s="1">
        <v>3414</v>
      </c>
      <c r="Q908" s="1" t="s">
        <v>42</v>
      </c>
      <c r="S908" s="1" t="s">
        <v>42</v>
      </c>
      <c r="T908" s="1" t="s">
        <v>170</v>
      </c>
      <c r="U908" s="1">
        <v>91</v>
      </c>
      <c r="V908" s="5">
        <v>43694</v>
      </c>
      <c r="W908" s="5">
        <v>43201</v>
      </c>
      <c r="X908" s="1">
        <v>4150000</v>
      </c>
      <c r="Y908" s="1">
        <v>3995000</v>
      </c>
      <c r="Z908" s="5">
        <v>43292</v>
      </c>
      <c r="AA908" s="1">
        <v>4031454.38</v>
      </c>
      <c r="AB908" s="1" t="s">
        <v>669</v>
      </c>
      <c r="AC908" s="5">
        <v>43627</v>
      </c>
      <c r="AF908" s="1">
        <v>10010</v>
      </c>
      <c r="AI908" s="1" t="s">
        <v>86</v>
      </c>
      <c r="AJ908" s="1">
        <v>2018</v>
      </c>
      <c r="AK908" s="1" t="s">
        <v>49</v>
      </c>
      <c r="AL908" s="1">
        <v>67</v>
      </c>
    </row>
    <row r="909" spans="1:38" x14ac:dyDescent="0.2">
      <c r="A909" s="2" t="str">
        <f>HYPERLINK("https://www.compass.com/listing/200-east-21st-street-unit-5d-manhattan-ny-10010/753556887020786049/","200 E 21st St, Unit 5D")</f>
        <v>200 E 21st St, Unit 5D</v>
      </c>
      <c r="B909" s="2" t="str">
        <f t="shared" si="163"/>
        <v>200 East 21st Street</v>
      </c>
      <c r="C909" s="1" t="s">
        <v>54</v>
      </c>
      <c r="D909" s="1" t="s">
        <v>41</v>
      </c>
      <c r="E909" s="3">
        <v>1510000</v>
      </c>
      <c r="F909" s="1">
        <v>2117.8120617110799</v>
      </c>
      <c r="G909" s="1">
        <v>2</v>
      </c>
      <c r="H909" s="1">
        <v>1</v>
      </c>
      <c r="I909" s="1">
        <v>1</v>
      </c>
      <c r="J909" s="1">
        <v>1</v>
      </c>
      <c r="K909" s="1">
        <v>1</v>
      </c>
      <c r="M909" s="1">
        <v>713</v>
      </c>
      <c r="N909" s="1">
        <v>728</v>
      </c>
      <c r="O909" s="1">
        <v>1414</v>
      </c>
      <c r="P909" s="1">
        <v>686</v>
      </c>
      <c r="Q909" s="1" t="s">
        <v>42</v>
      </c>
      <c r="S909" s="1" t="s">
        <v>42</v>
      </c>
      <c r="T909" s="1" t="s">
        <v>170</v>
      </c>
      <c r="U909" s="1">
        <v>106</v>
      </c>
      <c r="V909" s="5">
        <v>44401</v>
      </c>
      <c r="W909" s="5">
        <v>44291</v>
      </c>
      <c r="X909" s="1">
        <v>1565000</v>
      </c>
      <c r="Y909" s="1">
        <v>1565000</v>
      </c>
      <c r="Z909" s="5">
        <v>44398</v>
      </c>
      <c r="AA909" s="1">
        <v>1510000</v>
      </c>
      <c r="AB909" s="1" t="s">
        <v>670</v>
      </c>
      <c r="AC909" s="5">
        <v>44399</v>
      </c>
      <c r="AF909" s="1">
        <v>10010</v>
      </c>
      <c r="AI909" s="1" t="s">
        <v>86</v>
      </c>
      <c r="AJ909" s="1">
        <v>2018</v>
      </c>
      <c r="AK909" s="1" t="s">
        <v>87</v>
      </c>
      <c r="AL909" s="1">
        <v>67</v>
      </c>
    </row>
    <row r="910" spans="1:38" x14ac:dyDescent="0.2">
      <c r="A910" s="2" t="str">
        <f>HYPERLINK("https://www.compass.com/listing/30-park-place-unit-54d-manhattan-ny-10007/29357573845028161/","30 Park Pl, Unit 54D")</f>
        <v>30 Park Pl, Unit 54D</v>
      </c>
      <c r="B910" s="2" t="str">
        <f>HYPERLINK("https://www.compass.com/building/30-park-pl-manhattan-ny-10007/281896912905317605/","30 Park Pl")</f>
        <v>30 Park Pl</v>
      </c>
      <c r="C910" s="1" t="s">
        <v>40</v>
      </c>
      <c r="D910" s="1" t="s">
        <v>41</v>
      </c>
      <c r="E910" s="3">
        <v>2261040</v>
      </c>
      <c r="F910" s="1">
        <v>1470.11703511053</v>
      </c>
      <c r="H910" s="1">
        <v>2</v>
      </c>
      <c r="J910" s="1">
        <v>2.5</v>
      </c>
      <c r="K910" s="1">
        <v>2</v>
      </c>
      <c r="L910" s="1">
        <v>1</v>
      </c>
      <c r="M910" s="4">
        <v>1538</v>
      </c>
      <c r="N910" s="1">
        <v>1253</v>
      </c>
      <c r="O910" s="1">
        <v>4520</v>
      </c>
      <c r="P910" s="1">
        <v>3267</v>
      </c>
      <c r="Q910" s="1" t="s">
        <v>42</v>
      </c>
      <c r="S910" s="1" t="s">
        <v>42</v>
      </c>
      <c r="T910" s="1" t="s">
        <v>170</v>
      </c>
      <c r="AA910" s="1">
        <v>2261040</v>
      </c>
      <c r="AB910" s="1" t="s">
        <v>671</v>
      </c>
      <c r="AC910" s="5">
        <v>42880</v>
      </c>
      <c r="AF910" s="1">
        <v>10007</v>
      </c>
      <c r="AJ910" s="1">
        <v>2016</v>
      </c>
      <c r="AK910" s="1" t="s">
        <v>46</v>
      </c>
      <c r="AL910" s="1">
        <v>157</v>
      </c>
    </row>
    <row r="911" spans="1:38" x14ac:dyDescent="0.2">
      <c r="A911" s="2" t="str">
        <f>HYPERLINK("https://www.compass.com/listing/200-east-21st-street-unit-6c-manhattan-ny-10010/104366069312918929/","200 E 21st St, Unit 6C")</f>
        <v>200 E 21st St, Unit 6C</v>
      </c>
      <c r="B911" s="2" t="str">
        <f t="shared" ref="B911:B913" si="164">HYPERLINK("https://www.compass.com/building/200-east-21st-street-manhattan-ny/292796762689658005/","200 East 21st Street")</f>
        <v>200 East 21st Street</v>
      </c>
      <c r="C911" s="1" t="s">
        <v>54</v>
      </c>
      <c r="D911" s="1" t="s">
        <v>41</v>
      </c>
      <c r="E911" s="3">
        <v>2925000</v>
      </c>
      <c r="F911" s="1">
        <v>1913.01504251144</v>
      </c>
      <c r="G911" s="1">
        <v>4.5</v>
      </c>
      <c r="H911" s="1">
        <v>2</v>
      </c>
      <c r="I911" s="1">
        <v>3</v>
      </c>
      <c r="J911" s="1">
        <v>2.5</v>
      </c>
      <c r="K911" s="1">
        <v>2</v>
      </c>
      <c r="L911" s="1">
        <v>1</v>
      </c>
      <c r="M911" s="4">
        <v>1529</v>
      </c>
      <c r="N911" s="1">
        <v>1501</v>
      </c>
      <c r="O911" s="1">
        <v>4312</v>
      </c>
      <c r="P911" s="1">
        <v>2811</v>
      </c>
      <c r="Q911" s="1" t="s">
        <v>42</v>
      </c>
      <c r="S911" s="1" t="s">
        <v>42</v>
      </c>
      <c r="T911" s="1" t="s">
        <v>170</v>
      </c>
      <c r="V911" s="5">
        <v>43648</v>
      </c>
      <c r="W911" s="5">
        <v>43396</v>
      </c>
      <c r="X911" s="1">
        <v>2995000</v>
      </c>
      <c r="Y911" s="1">
        <v>2995000</v>
      </c>
      <c r="Z911" s="5">
        <v>43396</v>
      </c>
      <c r="AA911" s="1">
        <v>2925000</v>
      </c>
      <c r="AB911" s="1" t="s">
        <v>672</v>
      </c>
      <c r="AC911" s="5">
        <v>43591</v>
      </c>
      <c r="AF911" s="1">
        <v>10010</v>
      </c>
      <c r="AI911" s="1" t="s">
        <v>86</v>
      </c>
      <c r="AJ911" s="1">
        <v>2018</v>
      </c>
      <c r="AK911" s="1" t="s">
        <v>49</v>
      </c>
      <c r="AL911" s="1">
        <v>67</v>
      </c>
    </row>
    <row r="912" spans="1:38" x14ac:dyDescent="0.2">
      <c r="A912" s="2" t="str">
        <f>HYPERLINK("https://www.compass.com/listing/200-east-21st-street-unit-7b-manhattan-ny-10010/95578134514034641/","200 E 21st St, Unit 7B")</f>
        <v>200 E 21st St, Unit 7B</v>
      </c>
      <c r="B912" s="2" t="str">
        <f t="shared" si="164"/>
        <v>200 East 21st Street</v>
      </c>
      <c r="C912" s="1" t="s">
        <v>54</v>
      </c>
      <c r="D912" s="1" t="s">
        <v>41</v>
      </c>
      <c r="E912" s="3">
        <v>1608835</v>
      </c>
      <c r="F912" s="1">
        <v>2083.9831606217599</v>
      </c>
      <c r="G912" s="1">
        <v>2</v>
      </c>
      <c r="H912" s="1">
        <v>1</v>
      </c>
      <c r="I912" s="1">
        <v>1</v>
      </c>
      <c r="J912" s="1">
        <v>1</v>
      </c>
      <c r="K912" s="1">
        <v>1</v>
      </c>
      <c r="M912" s="1">
        <v>772</v>
      </c>
      <c r="N912" s="1">
        <v>758</v>
      </c>
      <c r="O912" s="1">
        <v>2177</v>
      </c>
      <c r="P912" s="1">
        <v>1419</v>
      </c>
      <c r="Q912" s="1" t="s">
        <v>42</v>
      </c>
      <c r="S912" s="1" t="s">
        <v>42</v>
      </c>
      <c r="T912" s="1" t="s">
        <v>170</v>
      </c>
      <c r="U912" s="1">
        <v>428</v>
      </c>
      <c r="V912" s="5">
        <v>44397</v>
      </c>
      <c r="W912" s="5">
        <v>42955</v>
      </c>
      <c r="X912" s="1">
        <v>1580000</v>
      </c>
      <c r="Y912" s="1">
        <v>1580000</v>
      </c>
      <c r="Z912" s="5">
        <v>43384</v>
      </c>
      <c r="AA912" s="1">
        <v>1608835</v>
      </c>
      <c r="AB912" s="1" t="s">
        <v>673</v>
      </c>
      <c r="AC912" s="5">
        <v>43656</v>
      </c>
      <c r="AF912" s="1">
        <v>10010</v>
      </c>
      <c r="AI912" s="1" t="s">
        <v>83</v>
      </c>
      <c r="AJ912" s="1">
        <v>2018</v>
      </c>
      <c r="AK912" s="1" t="s">
        <v>87</v>
      </c>
      <c r="AL912" s="1">
        <v>67</v>
      </c>
    </row>
    <row r="913" spans="1:38" x14ac:dyDescent="0.2">
      <c r="A913" s="2" t="str">
        <f>HYPERLINK("https://www.compass.com/listing/200-east-21st-street-unit-9c-manhattan-ny-10010/29669132391765265/","200 E 21st St, Unit 9C")</f>
        <v>200 E 21st St, Unit 9C</v>
      </c>
      <c r="B913" s="2" t="str">
        <f t="shared" si="164"/>
        <v>200 East 21st Street</v>
      </c>
      <c r="C913" s="1" t="s">
        <v>54</v>
      </c>
      <c r="D913" s="1" t="s">
        <v>41</v>
      </c>
      <c r="E913" s="3">
        <v>3946357</v>
      </c>
      <c r="F913" s="1">
        <v>2164.75955019199</v>
      </c>
      <c r="G913" s="1">
        <v>6</v>
      </c>
      <c r="H913" s="1">
        <v>3</v>
      </c>
      <c r="I913" s="1">
        <v>4</v>
      </c>
      <c r="J913" s="1">
        <v>3.5</v>
      </c>
      <c r="K913" s="1">
        <v>3</v>
      </c>
      <c r="L913" s="1">
        <v>1</v>
      </c>
      <c r="M913" s="4">
        <v>1823</v>
      </c>
      <c r="N913" s="1">
        <v>1812</v>
      </c>
      <c r="O913" s="1">
        <v>5205</v>
      </c>
      <c r="P913" s="1">
        <v>3393</v>
      </c>
      <c r="Q913" s="1" t="s">
        <v>42</v>
      </c>
      <c r="S913" s="1" t="s">
        <v>42</v>
      </c>
      <c r="T913" s="1" t="s">
        <v>170</v>
      </c>
      <c r="U913" s="1">
        <v>117</v>
      </c>
      <c r="V913" s="5">
        <v>43644</v>
      </c>
      <c r="W913" s="5">
        <v>43293</v>
      </c>
      <c r="X913" s="1">
        <v>3975000</v>
      </c>
      <c r="Y913" s="1">
        <v>3975000</v>
      </c>
      <c r="Z913" s="5">
        <v>43410</v>
      </c>
      <c r="AA913" s="1">
        <v>3946356.66</v>
      </c>
      <c r="AB913" s="1" t="s">
        <v>674</v>
      </c>
      <c r="AC913" s="5">
        <v>43595</v>
      </c>
      <c r="AF913" s="1">
        <v>10010</v>
      </c>
      <c r="AI913" s="1" t="s">
        <v>86</v>
      </c>
      <c r="AJ913" s="1">
        <v>2018</v>
      </c>
      <c r="AK913" s="1" t="s">
        <v>49</v>
      </c>
      <c r="AL913" s="1">
        <v>67</v>
      </c>
    </row>
    <row r="914" spans="1:38" x14ac:dyDescent="0.2">
      <c r="A914" s="2" t="str">
        <f>HYPERLINK("https://www.compass.com/listing/100-barclay-street-unit-12n-manhattan-ny-10007/378536195352868865/","100 Barclay St, Unit 12N")</f>
        <v>100 Barclay St, Unit 12N</v>
      </c>
      <c r="B914" s="2" t="str">
        <f t="shared" ref="B914:B915" si="165">HYPERLINK("https://www.compass.com/building/100-barclay-manhattan-ny/281896670466155525/","100 Barclay")</f>
        <v>100 Barclay</v>
      </c>
      <c r="C914" s="1" t="s">
        <v>40</v>
      </c>
      <c r="D914" s="1" t="s">
        <v>41</v>
      </c>
      <c r="E914" s="3">
        <v>2995000</v>
      </c>
      <c r="H914" s="1">
        <v>2</v>
      </c>
      <c r="I914" s="1">
        <v>3</v>
      </c>
      <c r="J914" s="1">
        <v>2.5</v>
      </c>
      <c r="K914" s="1">
        <v>2</v>
      </c>
      <c r="L914" s="1">
        <v>1</v>
      </c>
      <c r="S914" s="1" t="s">
        <v>42</v>
      </c>
      <c r="T914" s="1" t="s">
        <v>170</v>
      </c>
      <c r="V914" s="5">
        <v>44247</v>
      </c>
      <c r="AA914" s="1">
        <v>2995000</v>
      </c>
      <c r="AB914" s="1" t="s">
        <v>181</v>
      </c>
      <c r="AC914" s="5">
        <v>43774</v>
      </c>
      <c r="AF914" s="1">
        <v>10007</v>
      </c>
      <c r="AI914" s="1" t="s">
        <v>45</v>
      </c>
      <c r="AJ914" s="1">
        <v>1930</v>
      </c>
      <c r="AK914" s="1" t="s">
        <v>46</v>
      </c>
      <c r="AL914" s="1">
        <v>156</v>
      </c>
    </row>
    <row r="915" spans="1:38" x14ac:dyDescent="0.2">
      <c r="A915" s="2" t="str">
        <f>HYPERLINK("https://www.compass.com/listing/100-barclay-street-unit-17m-manhattan-ny-10007/4852282311594488865/","100 Barclay St, Unit 17M")</f>
        <v>100 Barclay St, Unit 17M</v>
      </c>
      <c r="B915" s="2" t="str">
        <f t="shared" si="165"/>
        <v>100 Barclay</v>
      </c>
      <c r="C915" s="1" t="s">
        <v>40</v>
      </c>
      <c r="D915" s="1" t="s">
        <v>41</v>
      </c>
      <c r="E915" s="3">
        <v>975000</v>
      </c>
      <c r="F915" s="1">
        <v>1993.86503067484</v>
      </c>
      <c r="G915" s="1">
        <v>2</v>
      </c>
      <c r="H915" s="1" t="s">
        <v>79</v>
      </c>
      <c r="I915" s="1">
        <v>1</v>
      </c>
      <c r="J915" s="1">
        <v>1</v>
      </c>
      <c r="M915" s="1">
        <v>489</v>
      </c>
      <c r="N915" s="1">
        <v>627</v>
      </c>
      <c r="O915" s="1">
        <v>1227</v>
      </c>
      <c r="P915" s="1">
        <v>600</v>
      </c>
      <c r="Q915" s="1" t="s">
        <v>42</v>
      </c>
      <c r="S915" s="1" t="s">
        <v>42</v>
      </c>
      <c r="T915" s="1" t="s">
        <v>170</v>
      </c>
      <c r="V915" s="5">
        <v>42808</v>
      </c>
      <c r="W915" s="5">
        <v>42475</v>
      </c>
      <c r="X915" s="1">
        <v>985000</v>
      </c>
      <c r="Y915" s="1">
        <v>985000</v>
      </c>
      <c r="Z915" s="5">
        <v>42476</v>
      </c>
      <c r="AA915" s="1">
        <v>975000</v>
      </c>
      <c r="AB915" s="1" t="s">
        <v>675</v>
      </c>
      <c r="AC915" s="5">
        <v>42732</v>
      </c>
      <c r="AF915" s="1">
        <v>10007</v>
      </c>
      <c r="AI915" s="1" t="s">
        <v>45</v>
      </c>
      <c r="AJ915" s="1">
        <v>1930</v>
      </c>
      <c r="AK915" s="1" t="s">
        <v>73</v>
      </c>
      <c r="AL915" s="1">
        <v>156</v>
      </c>
    </row>
    <row r="916" spans="1:38" x14ac:dyDescent="0.2">
      <c r="A916" s="2" t="str">
        <f>HYPERLINK("https://www.compass.com/listing/150-east-23rd-street-unit-4b-manhattan-ny-10010/122395326135984689/","150 E 23rd St, Unit 4B")</f>
        <v>150 E 23rd St, Unit 4B</v>
      </c>
      <c r="B916" s="2" t="str">
        <f t="shared" ref="B916:B917" si="166">HYPERLINK("https://www.compass.com/building/celeste-gramercy-manhattan-ny/292795972759607813/","Celeste Gramercy")</f>
        <v>Celeste Gramercy</v>
      </c>
      <c r="C916" s="1" t="s">
        <v>54</v>
      </c>
      <c r="D916" s="1" t="s">
        <v>41</v>
      </c>
      <c r="E916" s="3">
        <v>1095000</v>
      </c>
      <c r="F916" s="1">
        <v>1695.0464396284799</v>
      </c>
      <c r="G916" s="1">
        <v>3</v>
      </c>
      <c r="H916" s="1">
        <v>1</v>
      </c>
      <c r="I916" s="1">
        <v>1</v>
      </c>
      <c r="J916" s="1">
        <v>1</v>
      </c>
      <c r="K916" s="1">
        <v>1</v>
      </c>
      <c r="M916" s="1">
        <v>646</v>
      </c>
      <c r="N916" s="1">
        <v>854</v>
      </c>
      <c r="O916" s="1">
        <v>1473</v>
      </c>
      <c r="P916" s="1">
        <v>619</v>
      </c>
      <c r="Q916" s="1" t="s">
        <v>42</v>
      </c>
      <c r="S916" s="1" t="s">
        <v>42</v>
      </c>
      <c r="T916" s="1" t="s">
        <v>170</v>
      </c>
      <c r="U916" s="1">
        <v>89</v>
      </c>
      <c r="V916" s="5">
        <v>44298</v>
      </c>
      <c r="W916" s="5">
        <v>43990</v>
      </c>
      <c r="X916" s="1">
        <v>1195000</v>
      </c>
      <c r="Y916" s="1">
        <v>1195000</v>
      </c>
      <c r="Z916" s="5">
        <v>44094</v>
      </c>
      <c r="AA916" s="1">
        <v>1095000</v>
      </c>
      <c r="AB916" s="1" t="s">
        <v>676</v>
      </c>
      <c r="AC916" s="5">
        <v>44294</v>
      </c>
      <c r="AF916" s="1">
        <v>10010</v>
      </c>
      <c r="AI916" s="1" t="s">
        <v>52</v>
      </c>
      <c r="AJ916" s="1">
        <v>2018</v>
      </c>
      <c r="AK916" s="1" t="s">
        <v>46</v>
      </c>
      <c r="AL916" s="1">
        <v>51</v>
      </c>
    </row>
    <row r="917" spans="1:38" x14ac:dyDescent="0.2">
      <c r="A917" s="2" t="str">
        <f>HYPERLINK("https://www.compass.com/listing/150-east-23rd-street-unit-5b-manhattan-ny-10010/195706580837104801/","150 E 23rd St, Unit 5B")</f>
        <v>150 E 23rd St, Unit 5B</v>
      </c>
      <c r="B917" s="2" t="str">
        <f t="shared" si="166"/>
        <v>Celeste Gramercy</v>
      </c>
      <c r="C917" s="1" t="s">
        <v>54</v>
      </c>
      <c r="D917" s="1" t="s">
        <v>41</v>
      </c>
      <c r="E917" s="3">
        <v>1150000</v>
      </c>
      <c r="F917" s="1">
        <v>1780.1857585139301</v>
      </c>
      <c r="G917" s="1">
        <v>3</v>
      </c>
      <c r="H917" s="1">
        <v>1</v>
      </c>
      <c r="I917" s="1">
        <v>1</v>
      </c>
      <c r="J917" s="1">
        <v>1</v>
      </c>
      <c r="K917" s="1">
        <v>1</v>
      </c>
      <c r="M917" s="1">
        <v>646</v>
      </c>
      <c r="N917" s="1">
        <v>858</v>
      </c>
      <c r="O917" s="1">
        <v>1660</v>
      </c>
      <c r="P917" s="1">
        <v>802</v>
      </c>
      <c r="Q917" s="1" t="s">
        <v>42</v>
      </c>
      <c r="S917" s="1" t="s">
        <v>42</v>
      </c>
      <c r="T917" s="1" t="s">
        <v>170</v>
      </c>
      <c r="U917" s="1">
        <v>144</v>
      </c>
      <c r="V917" s="5">
        <v>44343</v>
      </c>
      <c r="W917" s="5">
        <v>43943</v>
      </c>
      <c r="X917" s="1">
        <v>1295000</v>
      </c>
      <c r="Y917" s="1">
        <v>1245000</v>
      </c>
      <c r="Z917" s="5">
        <v>44149</v>
      </c>
      <c r="AA917" s="1">
        <v>1150000</v>
      </c>
      <c r="AB917" s="1" t="s">
        <v>677</v>
      </c>
      <c r="AC917" s="5">
        <v>44337</v>
      </c>
      <c r="AF917" s="1">
        <v>10010</v>
      </c>
      <c r="AI917" s="1" t="s">
        <v>53</v>
      </c>
      <c r="AJ917" s="1">
        <v>2018</v>
      </c>
      <c r="AK917" s="1" t="s">
        <v>46</v>
      </c>
      <c r="AL917" s="1">
        <v>51</v>
      </c>
    </row>
    <row r="918" spans="1:38" x14ac:dyDescent="0.2">
      <c r="A918" s="2" t="str">
        <f>HYPERLINK("https://www.compass.com/listing/100-barrow-street-unit-6b-manhattan-ny-10014/29367162149921873/","100 Barrow St, Unit 6B")</f>
        <v>100 Barrow St, Unit 6B</v>
      </c>
      <c r="B918" s="2" t="str">
        <f>HYPERLINK("https://www.compass.com/building/100-barrow-manhattan-ny/292834978184618837/","100 Barrow")</f>
        <v>100 Barrow</v>
      </c>
      <c r="C918" s="1" t="s">
        <v>71</v>
      </c>
      <c r="D918" s="1" t="s">
        <v>41</v>
      </c>
      <c r="E918" s="3">
        <v>4400000</v>
      </c>
      <c r="F918" s="1">
        <v>1821.94616977225</v>
      </c>
      <c r="G918" s="1">
        <v>5</v>
      </c>
      <c r="H918" s="1">
        <v>3</v>
      </c>
      <c r="I918" s="1">
        <v>4</v>
      </c>
      <c r="J918" s="1">
        <v>3.5</v>
      </c>
      <c r="M918" s="4">
        <v>2415</v>
      </c>
      <c r="Q918" s="1" t="s">
        <v>169</v>
      </c>
      <c r="S918" s="1" t="s">
        <v>169</v>
      </c>
      <c r="T918" s="1" t="s">
        <v>170</v>
      </c>
      <c r="U918" s="1">
        <v>79</v>
      </c>
      <c r="V918" s="5">
        <v>43630</v>
      </c>
      <c r="W918" s="5">
        <v>42711</v>
      </c>
      <c r="X918" s="1">
        <v>6344990</v>
      </c>
      <c r="Y918" s="1">
        <v>4553000</v>
      </c>
      <c r="Z918" s="5">
        <v>43056</v>
      </c>
      <c r="AA918" s="1">
        <v>4400000</v>
      </c>
      <c r="AB918" s="1" t="s">
        <v>678</v>
      </c>
      <c r="AC918" s="5">
        <v>43137</v>
      </c>
      <c r="AF918" s="1">
        <v>10014</v>
      </c>
      <c r="AJ918" s="1">
        <v>2015</v>
      </c>
      <c r="AK918" s="1" t="s">
        <v>73</v>
      </c>
      <c r="AL918" s="1">
        <v>33</v>
      </c>
    </row>
    <row r="919" spans="1:38" x14ac:dyDescent="0.2">
      <c r="A919" s="2" t="str">
        <f>HYPERLINK("https://www.compass.com/listing/150-east-23rd-street-unit-10d-manhattan-ny-10010/349897103450721233/","150 E 23rd St, Unit 10D")</f>
        <v>150 E 23rd St, Unit 10D</v>
      </c>
      <c r="B919" s="2" t="str">
        <f t="shared" ref="B919:B923" si="167">HYPERLINK("https://www.compass.com/building/celeste-gramercy-manhattan-ny/292795972759607813/","Celeste Gramercy")</f>
        <v>Celeste Gramercy</v>
      </c>
      <c r="C919" s="1" t="s">
        <v>54</v>
      </c>
      <c r="D919" s="1" t="s">
        <v>41</v>
      </c>
      <c r="E919" s="3">
        <v>2525000</v>
      </c>
      <c r="F919" s="1">
        <v>1939.3241167434701</v>
      </c>
      <c r="G919" s="1">
        <v>4</v>
      </c>
      <c r="H919" s="1">
        <v>2</v>
      </c>
      <c r="I919" s="1">
        <v>3</v>
      </c>
      <c r="J919" s="1">
        <v>2.5</v>
      </c>
      <c r="K919" s="1">
        <v>2</v>
      </c>
      <c r="L919" s="1">
        <v>1</v>
      </c>
      <c r="M919" s="4">
        <v>1302</v>
      </c>
      <c r="N919" s="1">
        <v>1791</v>
      </c>
      <c r="O919" s="1">
        <v>3469</v>
      </c>
      <c r="P919" s="1">
        <v>1678</v>
      </c>
      <c r="Q919" s="1" t="s">
        <v>42</v>
      </c>
      <c r="S919" s="1" t="s">
        <v>42</v>
      </c>
      <c r="T919" s="1" t="s">
        <v>170</v>
      </c>
      <c r="U919" s="1">
        <v>176</v>
      </c>
      <c r="V919" s="5">
        <v>44408</v>
      </c>
      <c r="W919" s="5">
        <v>44156</v>
      </c>
      <c r="Y919" s="1">
        <v>2525000</v>
      </c>
      <c r="Z919" s="5">
        <v>44333</v>
      </c>
      <c r="AA919" s="1">
        <v>2525000</v>
      </c>
      <c r="AB919" s="1" t="s">
        <v>181</v>
      </c>
      <c r="AC919" s="5">
        <v>44407</v>
      </c>
      <c r="AF919" s="1">
        <v>10010</v>
      </c>
      <c r="AI919" s="1" t="s">
        <v>53</v>
      </c>
      <c r="AJ919" s="1">
        <v>2018</v>
      </c>
      <c r="AK919" s="1" t="s">
        <v>73</v>
      </c>
      <c r="AL919" s="1">
        <v>51</v>
      </c>
    </row>
    <row r="920" spans="1:38" x14ac:dyDescent="0.2">
      <c r="A920" s="2" t="str">
        <f>HYPERLINK("https://www.compass.com/listing/150-east-23rd-street-unit-7d-manhattan-ny-10010/239026220291850913/","150 E 23rd St, Unit 7D")</f>
        <v>150 E 23rd St, Unit 7D</v>
      </c>
      <c r="B920" s="2" t="str">
        <f t="shared" si="167"/>
        <v>Celeste Gramercy</v>
      </c>
      <c r="C920" s="1" t="s">
        <v>54</v>
      </c>
      <c r="D920" s="1" t="s">
        <v>41</v>
      </c>
      <c r="E920" s="3">
        <v>2319574</v>
      </c>
      <c r="F920" s="1">
        <v>1781.5464669738799</v>
      </c>
      <c r="G920" s="1">
        <v>4</v>
      </c>
      <c r="H920" s="1">
        <v>2</v>
      </c>
      <c r="I920" s="1">
        <v>3</v>
      </c>
      <c r="J920" s="1">
        <v>2.5</v>
      </c>
      <c r="K920" s="1">
        <v>2</v>
      </c>
      <c r="L920" s="1">
        <v>1</v>
      </c>
      <c r="M920" s="4">
        <v>1302</v>
      </c>
      <c r="N920" s="1">
        <v>1768</v>
      </c>
      <c r="O920" s="1">
        <v>3425</v>
      </c>
      <c r="P920" s="1">
        <v>1657</v>
      </c>
      <c r="Q920" s="1" t="s">
        <v>42</v>
      </c>
      <c r="S920" s="1" t="s">
        <v>42</v>
      </c>
      <c r="T920" s="1" t="s">
        <v>170</v>
      </c>
      <c r="U920" s="1">
        <v>161</v>
      </c>
      <c r="V920" s="5">
        <v>44414</v>
      </c>
      <c r="W920" s="5">
        <v>44118</v>
      </c>
      <c r="Y920" s="1">
        <v>2425000</v>
      </c>
      <c r="Z920" s="5">
        <v>44279</v>
      </c>
      <c r="AA920" s="1">
        <v>2319573.5</v>
      </c>
      <c r="AB920" s="1" t="s">
        <v>679</v>
      </c>
      <c r="AC920" s="5">
        <v>44413</v>
      </c>
      <c r="AF920" s="1">
        <v>10010</v>
      </c>
      <c r="AI920" s="1" t="s">
        <v>53</v>
      </c>
      <c r="AJ920" s="1">
        <v>2018</v>
      </c>
      <c r="AK920" s="1" t="s">
        <v>73</v>
      </c>
      <c r="AL920" s="1">
        <v>51</v>
      </c>
    </row>
    <row r="921" spans="1:38" x14ac:dyDescent="0.2">
      <c r="A921" s="2" t="str">
        <f>HYPERLINK("https://www.compass.com/listing/150-east-23rd-street-unit-4d-manhattan-ny-10010/239022098314486881/","150 E 23rd St, Unit 4D")</f>
        <v>150 E 23rd St, Unit 4D</v>
      </c>
      <c r="B921" s="2" t="str">
        <f t="shared" si="167"/>
        <v>Celeste Gramercy</v>
      </c>
      <c r="C921" s="1" t="s">
        <v>54</v>
      </c>
      <c r="D921" s="1" t="s">
        <v>41</v>
      </c>
      <c r="E921" s="3">
        <v>2269679</v>
      </c>
      <c r="F921" s="1">
        <v>1743.2252304147401</v>
      </c>
      <c r="G921" s="1">
        <v>4</v>
      </c>
      <c r="H921" s="1">
        <v>2</v>
      </c>
      <c r="I921" s="1">
        <v>3</v>
      </c>
      <c r="J921" s="1">
        <v>2.5</v>
      </c>
      <c r="K921" s="1">
        <v>2</v>
      </c>
      <c r="L921" s="1">
        <v>1</v>
      </c>
      <c r="M921" s="4">
        <v>1302</v>
      </c>
      <c r="N921" s="1">
        <v>1754</v>
      </c>
      <c r="O921" s="1">
        <v>3026</v>
      </c>
      <c r="P921" s="1">
        <v>1272</v>
      </c>
      <c r="Q921" s="1" t="s">
        <v>42</v>
      </c>
      <c r="S921" s="1" t="s">
        <v>42</v>
      </c>
      <c r="T921" s="1" t="s">
        <v>170</v>
      </c>
      <c r="U921" s="1">
        <v>288</v>
      </c>
      <c r="V921" s="5">
        <v>44290</v>
      </c>
      <c r="W921" s="5">
        <v>43581</v>
      </c>
      <c r="X921" s="1">
        <v>2200000</v>
      </c>
      <c r="Y921" s="1">
        <v>2350000</v>
      </c>
      <c r="Z921" s="5">
        <v>43870</v>
      </c>
      <c r="AA921" s="1">
        <v>2269679.25</v>
      </c>
      <c r="AB921" s="1" t="s">
        <v>680</v>
      </c>
      <c r="AC921" s="5">
        <v>44286</v>
      </c>
      <c r="AF921" s="1">
        <v>10010</v>
      </c>
      <c r="AI921" s="1" t="s">
        <v>53</v>
      </c>
      <c r="AJ921" s="1">
        <v>2018</v>
      </c>
      <c r="AK921" s="1" t="s">
        <v>73</v>
      </c>
      <c r="AL921" s="1">
        <v>51</v>
      </c>
    </row>
    <row r="922" spans="1:38" x14ac:dyDescent="0.2">
      <c r="A922" s="2" t="str">
        <f>HYPERLINK("https://www.compass.com/listing/150-east-23rd-street-unit-8d-manhattan-ny-10010/389188703558478545/","150 E 23rd St, Unit 8D")</f>
        <v>150 E 23rd St, Unit 8D</v>
      </c>
      <c r="B922" s="2" t="str">
        <f t="shared" si="167"/>
        <v>Celeste Gramercy</v>
      </c>
      <c r="C922" s="1" t="s">
        <v>54</v>
      </c>
      <c r="D922" s="1" t="s">
        <v>41</v>
      </c>
      <c r="E922" s="3">
        <v>2228000</v>
      </c>
      <c r="F922" s="1">
        <v>1711.21351766513</v>
      </c>
      <c r="G922" s="1">
        <v>4</v>
      </c>
      <c r="H922" s="1">
        <v>2</v>
      </c>
      <c r="I922" s="1">
        <v>3</v>
      </c>
      <c r="J922" s="1">
        <v>2.5</v>
      </c>
      <c r="K922" s="1">
        <v>2</v>
      </c>
      <c r="L922" s="1">
        <v>1</v>
      </c>
      <c r="M922" s="4">
        <v>1302</v>
      </c>
      <c r="N922" s="1">
        <v>1777</v>
      </c>
      <c r="O922" s="1">
        <v>3066</v>
      </c>
      <c r="P922" s="1">
        <v>1289</v>
      </c>
      <c r="Q922" s="1" t="s">
        <v>42</v>
      </c>
      <c r="S922" s="1" t="s">
        <v>42</v>
      </c>
      <c r="T922" s="1" t="s">
        <v>170</v>
      </c>
      <c r="V922" s="5">
        <v>44290</v>
      </c>
      <c r="W922" s="5">
        <v>43788</v>
      </c>
      <c r="Y922" s="1">
        <v>2400000</v>
      </c>
      <c r="Z922" s="5">
        <v>43788</v>
      </c>
      <c r="AA922" s="1">
        <v>2228000</v>
      </c>
      <c r="AB922" s="1" t="s">
        <v>681</v>
      </c>
      <c r="AC922" s="5">
        <v>44287</v>
      </c>
      <c r="AF922" s="1">
        <v>10010</v>
      </c>
      <c r="AI922" s="1" t="s">
        <v>53</v>
      </c>
      <c r="AJ922" s="1">
        <v>2018</v>
      </c>
      <c r="AK922" s="1" t="s">
        <v>46</v>
      </c>
      <c r="AL922" s="1">
        <v>51</v>
      </c>
    </row>
    <row r="923" spans="1:38" x14ac:dyDescent="0.2">
      <c r="A923" s="2" t="str">
        <f>HYPERLINK("https://www.compass.com/listing/150-east-23rd-street-unit-6d-manhattan-ny-10010/437697172079939777/","150 E 23rd St, Unit 6D")</f>
        <v>150 E 23rd St, Unit 6D</v>
      </c>
      <c r="B923" s="2" t="str">
        <f t="shared" si="167"/>
        <v>Celeste Gramercy</v>
      </c>
      <c r="C923" s="1" t="s">
        <v>54</v>
      </c>
      <c r="D923" s="1" t="s">
        <v>41</v>
      </c>
      <c r="E923" s="3">
        <v>2350000</v>
      </c>
      <c r="F923" s="1">
        <v>1804.9155145929301</v>
      </c>
      <c r="G923" s="1">
        <v>3</v>
      </c>
      <c r="H923" s="1">
        <v>2</v>
      </c>
      <c r="I923" s="1">
        <v>3</v>
      </c>
      <c r="J923" s="1">
        <v>2.5</v>
      </c>
      <c r="K923" s="1">
        <v>2</v>
      </c>
      <c r="L923" s="1">
        <v>1</v>
      </c>
      <c r="M923" s="4">
        <v>1302</v>
      </c>
      <c r="N923" s="1">
        <v>1765</v>
      </c>
      <c r="O923" s="1">
        <v>3045</v>
      </c>
      <c r="P923" s="1">
        <v>1280</v>
      </c>
      <c r="Q923" s="1" t="s">
        <v>42</v>
      </c>
      <c r="S923" s="1" t="s">
        <v>42</v>
      </c>
      <c r="T923" s="1" t="s">
        <v>170</v>
      </c>
      <c r="V923" s="5">
        <v>44298</v>
      </c>
      <c r="W923" s="5">
        <v>43855</v>
      </c>
      <c r="Y923" s="1">
        <v>2400000</v>
      </c>
      <c r="Z923" s="5">
        <v>43855</v>
      </c>
      <c r="AA923" s="1">
        <v>2350000</v>
      </c>
      <c r="AB923" s="1" t="s">
        <v>682</v>
      </c>
      <c r="AC923" s="5">
        <v>44294</v>
      </c>
      <c r="AF923" s="1">
        <v>10010</v>
      </c>
      <c r="AI923" s="1" t="s">
        <v>53</v>
      </c>
      <c r="AJ923" s="1">
        <v>2018</v>
      </c>
      <c r="AK923" s="1" t="s">
        <v>46</v>
      </c>
      <c r="AL923" s="1">
        <v>51</v>
      </c>
    </row>
    <row r="924" spans="1:38" x14ac:dyDescent="0.2">
      <c r="A924" s="2" t="str">
        <f>HYPERLINK("https://www.compass.com/listing/200-east-21st-street-unit-8b-manhattan-ny-10010/100621181681405473/","200 E 21st St, Unit 8B")</f>
        <v>200 E 21st St, Unit 8B</v>
      </c>
      <c r="B924" s="2" t="str">
        <f t="shared" ref="B924:B932" si="168">HYPERLINK("https://www.compass.com/building/200-east-21st-street-manhattan-ny/292796762689658005/","200 East 21st Street")</f>
        <v>200 East 21st Street</v>
      </c>
      <c r="C924" s="1" t="s">
        <v>54</v>
      </c>
      <c r="D924" s="1" t="s">
        <v>41</v>
      </c>
      <c r="E924" s="3">
        <v>1639383</v>
      </c>
      <c r="F924" s="1">
        <v>2120.80530401034</v>
      </c>
      <c r="G924" s="1">
        <v>3</v>
      </c>
      <c r="H924" s="1">
        <v>1</v>
      </c>
      <c r="I924" s="1">
        <v>1</v>
      </c>
      <c r="J924" s="1">
        <v>1</v>
      </c>
      <c r="K924" s="1">
        <v>1</v>
      </c>
      <c r="M924" s="1">
        <v>773</v>
      </c>
      <c r="N924" s="1">
        <v>761</v>
      </c>
      <c r="O924" s="1">
        <v>2187</v>
      </c>
      <c r="P924" s="1">
        <v>1426</v>
      </c>
      <c r="Q924" s="1" t="s">
        <v>42</v>
      </c>
      <c r="S924" s="1" t="s">
        <v>42</v>
      </c>
      <c r="T924" s="1" t="s">
        <v>170</v>
      </c>
      <c r="U924" s="1">
        <v>8</v>
      </c>
      <c r="V924" s="5">
        <v>43694</v>
      </c>
      <c r="W924" s="5">
        <v>43384</v>
      </c>
      <c r="X924" s="1">
        <v>1610000</v>
      </c>
      <c r="Y924" s="1">
        <v>1610000</v>
      </c>
      <c r="Z924" s="5">
        <v>43392</v>
      </c>
      <c r="AA924" s="1">
        <v>1639382.5</v>
      </c>
      <c r="AB924" s="1" t="s">
        <v>683</v>
      </c>
      <c r="AC924" s="5">
        <v>43640</v>
      </c>
      <c r="AF924" s="1">
        <v>10010</v>
      </c>
      <c r="AI924" s="1" t="s">
        <v>86</v>
      </c>
      <c r="AJ924" s="1">
        <v>2018</v>
      </c>
      <c r="AK924" s="1" t="s">
        <v>49</v>
      </c>
      <c r="AL924" s="1">
        <v>67</v>
      </c>
    </row>
    <row r="925" spans="1:38" x14ac:dyDescent="0.2">
      <c r="A925" s="2" t="str">
        <f>HYPERLINK("https://www.compass.com/listing/200-east-21st-street-unit-7d-manhattan-ny-10010/104909589455047985/","200 E 21st St, Unit 7D")</f>
        <v>200 E 21st St, Unit 7D</v>
      </c>
      <c r="B925" s="2" t="str">
        <f t="shared" si="168"/>
        <v>200 East 21st Street</v>
      </c>
      <c r="C925" s="1" t="s">
        <v>54</v>
      </c>
      <c r="D925" s="1" t="s">
        <v>41</v>
      </c>
      <c r="E925" s="3">
        <v>1501919</v>
      </c>
      <c r="F925" s="1">
        <v>2106.47791023842</v>
      </c>
      <c r="G925" s="1">
        <v>3</v>
      </c>
      <c r="H925" s="1">
        <v>1</v>
      </c>
      <c r="I925" s="1">
        <v>1</v>
      </c>
      <c r="J925" s="1">
        <v>1</v>
      </c>
      <c r="K925" s="1">
        <v>1</v>
      </c>
      <c r="M925" s="1">
        <v>713</v>
      </c>
      <c r="N925" s="1">
        <v>701</v>
      </c>
      <c r="O925" s="1">
        <v>2014</v>
      </c>
      <c r="P925" s="1">
        <v>1313</v>
      </c>
      <c r="Q925" s="1" t="s">
        <v>42</v>
      </c>
      <c r="S925" s="1" t="s">
        <v>42</v>
      </c>
      <c r="T925" s="1" t="s">
        <v>170</v>
      </c>
      <c r="V925" s="5">
        <v>43694</v>
      </c>
      <c r="W925" s="5">
        <v>43384</v>
      </c>
      <c r="X925" s="1">
        <v>1475000</v>
      </c>
      <c r="Y925" s="1">
        <v>1475000</v>
      </c>
      <c r="Z925" s="5">
        <v>43384</v>
      </c>
      <c r="AA925" s="1">
        <v>1501918.75</v>
      </c>
      <c r="AB925" s="1" t="s">
        <v>684</v>
      </c>
      <c r="AC925" s="5">
        <v>43620</v>
      </c>
      <c r="AF925" s="1">
        <v>10010</v>
      </c>
      <c r="AI925" s="1" t="s">
        <v>86</v>
      </c>
      <c r="AJ925" s="1">
        <v>2018</v>
      </c>
      <c r="AK925" s="1" t="s">
        <v>49</v>
      </c>
      <c r="AL925" s="1">
        <v>67</v>
      </c>
    </row>
    <row r="926" spans="1:38" x14ac:dyDescent="0.2">
      <c r="A926" s="2" t="str">
        <f>HYPERLINK("https://www.compass.com/listing/200-east-21st-street-unit-7b-manhattan-ny-10010/104909589748769473/","200 E 21st St, Unit 7B")</f>
        <v>200 E 21st St, Unit 7B</v>
      </c>
      <c r="B926" s="2" t="str">
        <f t="shared" si="168"/>
        <v>200 East 21st Street</v>
      </c>
      <c r="C926" s="1" t="s">
        <v>54</v>
      </c>
      <c r="D926" s="1" t="s">
        <v>41</v>
      </c>
      <c r="E926" s="3">
        <v>1608835</v>
      </c>
      <c r="F926" s="1">
        <v>2083.9831606217599</v>
      </c>
      <c r="G926" s="1">
        <v>3</v>
      </c>
      <c r="H926" s="1">
        <v>1</v>
      </c>
      <c r="I926" s="1">
        <v>1</v>
      </c>
      <c r="J926" s="1">
        <v>1</v>
      </c>
      <c r="K926" s="1">
        <v>1</v>
      </c>
      <c r="M926" s="1">
        <v>772</v>
      </c>
      <c r="N926" s="1">
        <v>758</v>
      </c>
      <c r="O926" s="1">
        <v>2177</v>
      </c>
      <c r="P926" s="1">
        <v>1419</v>
      </c>
      <c r="Q926" s="1" t="s">
        <v>42</v>
      </c>
      <c r="S926" s="1" t="s">
        <v>42</v>
      </c>
      <c r="T926" s="1" t="s">
        <v>170</v>
      </c>
      <c r="V926" s="5">
        <v>44397</v>
      </c>
      <c r="W926" s="5">
        <v>43384</v>
      </c>
      <c r="X926" s="1">
        <v>1580000</v>
      </c>
      <c r="Y926" s="1">
        <v>1580000</v>
      </c>
      <c r="Z926" s="5">
        <v>43384</v>
      </c>
      <c r="AA926" s="1">
        <v>1608835</v>
      </c>
      <c r="AB926" s="1" t="s">
        <v>673</v>
      </c>
      <c r="AC926" s="5">
        <v>43656</v>
      </c>
      <c r="AF926" s="1">
        <v>10010</v>
      </c>
      <c r="AI926" s="1" t="s">
        <v>83</v>
      </c>
      <c r="AJ926" s="1">
        <v>2018</v>
      </c>
      <c r="AK926" s="1" t="s">
        <v>87</v>
      </c>
      <c r="AL926" s="1">
        <v>67</v>
      </c>
    </row>
    <row r="927" spans="1:38" x14ac:dyDescent="0.2">
      <c r="A927" s="2" t="str">
        <f>HYPERLINK("https://www.compass.com/listing/200-east-21st-street-unit-6d-manhattan-ny-10010/104909590721728001/","200 E 21st St, Unit 6D")</f>
        <v>200 E 21st St, Unit 6D</v>
      </c>
      <c r="B927" s="2" t="str">
        <f t="shared" si="168"/>
        <v>200 East 21st Street</v>
      </c>
      <c r="C927" s="1" t="s">
        <v>54</v>
      </c>
      <c r="D927" s="1" t="s">
        <v>41</v>
      </c>
      <c r="E927" s="3">
        <v>1486645</v>
      </c>
      <c r="F927" s="1">
        <v>2085.0561009817602</v>
      </c>
      <c r="G927" s="1">
        <v>3</v>
      </c>
      <c r="H927" s="1">
        <v>1</v>
      </c>
      <c r="I927" s="1">
        <v>1</v>
      </c>
      <c r="J927" s="1">
        <v>1</v>
      </c>
      <c r="K927" s="1">
        <v>1</v>
      </c>
      <c r="M927" s="1">
        <v>713</v>
      </c>
      <c r="N927" s="1">
        <v>698</v>
      </c>
      <c r="O927" s="1">
        <v>2006</v>
      </c>
      <c r="P927" s="1">
        <v>1308</v>
      </c>
      <c r="Q927" s="1" t="s">
        <v>42</v>
      </c>
      <c r="S927" s="1" t="s">
        <v>42</v>
      </c>
      <c r="T927" s="1" t="s">
        <v>170</v>
      </c>
      <c r="V927" s="5">
        <v>44225</v>
      </c>
      <c r="W927" s="5">
        <v>43384</v>
      </c>
      <c r="X927" s="1">
        <v>1460000</v>
      </c>
      <c r="Y927" s="1">
        <v>1460000</v>
      </c>
      <c r="Z927" s="5">
        <v>43384</v>
      </c>
      <c r="AA927" s="1">
        <v>1486645</v>
      </c>
      <c r="AB927" s="1" t="s">
        <v>685</v>
      </c>
      <c r="AC927" s="5">
        <v>43668</v>
      </c>
      <c r="AF927" s="1">
        <v>10010</v>
      </c>
      <c r="AI927" s="1" t="s">
        <v>86</v>
      </c>
      <c r="AJ927" s="1">
        <v>2018</v>
      </c>
      <c r="AK927" s="1" t="s">
        <v>49</v>
      </c>
      <c r="AL927" s="1">
        <v>67</v>
      </c>
    </row>
    <row r="928" spans="1:38" x14ac:dyDescent="0.2">
      <c r="A928" s="2" t="str">
        <f>HYPERLINK("https://www.compass.com/listing/200-east-21st-street-unit-11b-manhattan-ny-10010/220826094469756193/","200 E 21st St, Unit 11B")</f>
        <v>200 E 21st St, Unit 11B</v>
      </c>
      <c r="B928" s="2" t="str">
        <f t="shared" si="168"/>
        <v>200 East 21st Street</v>
      </c>
      <c r="C928" s="1" t="s">
        <v>54</v>
      </c>
      <c r="D928" s="1" t="s">
        <v>41</v>
      </c>
      <c r="E928" s="3">
        <v>1650000</v>
      </c>
      <c r="F928" s="1">
        <v>2134.5407503234101</v>
      </c>
      <c r="G928" s="1">
        <v>3</v>
      </c>
      <c r="H928" s="1">
        <v>1</v>
      </c>
      <c r="I928" s="1">
        <v>1</v>
      </c>
      <c r="J928" s="1">
        <v>1</v>
      </c>
      <c r="K928" s="1">
        <v>1</v>
      </c>
      <c r="M928" s="1">
        <v>773</v>
      </c>
      <c r="N928" s="1">
        <v>767</v>
      </c>
      <c r="O928" s="1">
        <v>2208</v>
      </c>
      <c r="P928" s="1">
        <v>1441</v>
      </c>
      <c r="Q928" s="1" t="s">
        <v>42</v>
      </c>
      <c r="S928" s="1" t="s">
        <v>42</v>
      </c>
      <c r="T928" s="1" t="s">
        <v>170</v>
      </c>
      <c r="U928" s="1">
        <v>132</v>
      </c>
      <c r="V928" s="5">
        <v>43728</v>
      </c>
      <c r="W928" s="5">
        <v>43370</v>
      </c>
      <c r="X928" s="1">
        <v>1655000</v>
      </c>
      <c r="Y928" s="1">
        <v>1655000</v>
      </c>
      <c r="Z928" s="5">
        <v>43502</v>
      </c>
      <c r="AA928" s="1">
        <v>1650000</v>
      </c>
      <c r="AB928" s="1" t="s">
        <v>686</v>
      </c>
      <c r="AC928" s="5">
        <v>43644</v>
      </c>
      <c r="AF928" s="1">
        <v>10010</v>
      </c>
      <c r="AI928" s="1" t="s">
        <v>86</v>
      </c>
      <c r="AJ928" s="1">
        <v>2018</v>
      </c>
      <c r="AK928" s="1" t="s">
        <v>49</v>
      </c>
      <c r="AL928" s="1">
        <v>67</v>
      </c>
    </row>
    <row r="929" spans="1:38" x14ac:dyDescent="0.2">
      <c r="A929" s="2" t="str">
        <f>HYPERLINK("https://www.compass.com/listing/200-east-21st-street-unit-4b-manhattan-ny-10010/241125485256475841/","200 E 21st St, Unit 4B")</f>
        <v>200 E 21st St, Unit 4B</v>
      </c>
      <c r="B929" s="2" t="str">
        <f t="shared" si="168"/>
        <v>200 East 21st Street</v>
      </c>
      <c r="C929" s="1" t="s">
        <v>54</v>
      </c>
      <c r="D929" s="1" t="s">
        <v>41</v>
      </c>
      <c r="E929" s="3">
        <v>1554053</v>
      </c>
      <c r="F929" s="1">
        <v>2013.0213730569899</v>
      </c>
      <c r="G929" s="1">
        <v>3</v>
      </c>
      <c r="H929" s="1">
        <v>1</v>
      </c>
      <c r="I929" s="1">
        <v>1</v>
      </c>
      <c r="J929" s="1">
        <v>1</v>
      </c>
      <c r="K929" s="1">
        <v>1</v>
      </c>
      <c r="M929" s="1">
        <v>772</v>
      </c>
      <c r="N929" s="1">
        <v>747</v>
      </c>
      <c r="O929" s="1">
        <v>2151</v>
      </c>
      <c r="P929" s="1">
        <v>1404</v>
      </c>
      <c r="Q929" s="1" t="s">
        <v>42</v>
      </c>
      <c r="S929" s="1" t="s">
        <v>42</v>
      </c>
      <c r="T929" s="1" t="s">
        <v>170</v>
      </c>
      <c r="U929" s="1">
        <v>209</v>
      </c>
      <c r="V929" s="5">
        <v>43669</v>
      </c>
      <c r="W929" s="5">
        <v>43356</v>
      </c>
      <c r="X929" s="1">
        <v>1540000</v>
      </c>
      <c r="Y929" s="1">
        <v>1540000</v>
      </c>
      <c r="Z929" s="5">
        <v>43565</v>
      </c>
      <c r="AA929" s="1">
        <v>1554052.5</v>
      </c>
      <c r="AB929" s="1" t="s">
        <v>687</v>
      </c>
      <c r="AC929" s="5">
        <v>43648</v>
      </c>
      <c r="AF929" s="1">
        <v>10010</v>
      </c>
      <c r="AI929" s="1" t="s">
        <v>86</v>
      </c>
      <c r="AJ929" s="1">
        <v>2018</v>
      </c>
      <c r="AK929" s="1" t="s">
        <v>49</v>
      </c>
      <c r="AL929" s="1">
        <v>67</v>
      </c>
    </row>
    <row r="930" spans="1:38" x14ac:dyDescent="0.2">
      <c r="A930" s="2" t="str">
        <f>HYPERLINK("https://www.compass.com/listing/200-east-21st-street-unit-2b-manhattan-ny-10010/350518506197634849/","200 E 21st St, Unit 2B")</f>
        <v>200 E 21st St, Unit 2B</v>
      </c>
      <c r="B930" s="2" t="str">
        <f t="shared" si="168"/>
        <v>200 East 21st Street</v>
      </c>
      <c r="C930" s="1" t="s">
        <v>54</v>
      </c>
      <c r="D930" s="1" t="s">
        <v>41</v>
      </c>
      <c r="E930" s="3">
        <v>1395255</v>
      </c>
      <c r="F930" s="1">
        <v>1921.8382369146</v>
      </c>
      <c r="G930" s="1">
        <v>3</v>
      </c>
      <c r="H930" s="1">
        <v>1</v>
      </c>
      <c r="I930" s="1">
        <v>1</v>
      </c>
      <c r="J930" s="1">
        <v>1</v>
      </c>
      <c r="K930" s="1">
        <v>1</v>
      </c>
      <c r="M930" s="1">
        <v>726</v>
      </c>
      <c r="N930" s="1">
        <v>698</v>
      </c>
      <c r="O930" s="1">
        <v>1238</v>
      </c>
      <c r="P930" s="1">
        <v>540</v>
      </c>
      <c r="Q930" s="1" t="s">
        <v>42</v>
      </c>
      <c r="S930" s="1" t="s">
        <v>42</v>
      </c>
      <c r="T930" s="1" t="s">
        <v>170</v>
      </c>
      <c r="V930" s="5">
        <v>43859</v>
      </c>
      <c r="W930" s="5">
        <v>43735</v>
      </c>
      <c r="X930" s="1">
        <v>1395000</v>
      </c>
      <c r="Y930" s="1">
        <v>1395000</v>
      </c>
      <c r="Z930" s="5">
        <v>43735</v>
      </c>
      <c r="AA930" s="1">
        <v>1395254.56</v>
      </c>
      <c r="AB930" s="1" t="s">
        <v>688</v>
      </c>
      <c r="AC930" s="5">
        <v>43768</v>
      </c>
      <c r="AF930" s="1">
        <v>10010</v>
      </c>
      <c r="AI930" s="1" t="s">
        <v>86</v>
      </c>
      <c r="AJ930" s="1">
        <v>2018</v>
      </c>
      <c r="AK930" s="1" t="s">
        <v>49</v>
      </c>
      <c r="AL930" s="1">
        <v>67</v>
      </c>
    </row>
    <row r="931" spans="1:38" x14ac:dyDescent="0.2">
      <c r="A931" s="2" t="str">
        <f>HYPERLINK("https://www.compass.com/listing/200-east-21st-street-unit-3d-manhattan-ny-10010/96242684401912433/","200 E 21st St, Unit 3D")</f>
        <v>200 E 21st St, Unit 3D</v>
      </c>
      <c r="B931" s="2" t="str">
        <f t="shared" si="168"/>
        <v>200 East 21st Street</v>
      </c>
      <c r="C931" s="1" t="s">
        <v>54</v>
      </c>
      <c r="D931" s="1" t="s">
        <v>41</v>
      </c>
      <c r="E931" s="3">
        <v>1405185</v>
      </c>
      <c r="F931" s="1">
        <v>1970.8064516129</v>
      </c>
      <c r="G931" s="1">
        <v>3</v>
      </c>
      <c r="H931" s="1">
        <v>1</v>
      </c>
      <c r="I931" s="1">
        <v>1</v>
      </c>
      <c r="J931" s="1">
        <v>1</v>
      </c>
      <c r="K931" s="1">
        <v>1</v>
      </c>
      <c r="M931" s="1">
        <v>713</v>
      </c>
      <c r="N931" s="1">
        <v>690</v>
      </c>
      <c r="O931" s="1">
        <v>1982</v>
      </c>
      <c r="P931" s="1">
        <v>1292</v>
      </c>
      <c r="Q931" s="1" t="s">
        <v>42</v>
      </c>
      <c r="S931" s="1" t="s">
        <v>42</v>
      </c>
      <c r="T931" s="1" t="s">
        <v>170</v>
      </c>
      <c r="U931" s="1">
        <v>91</v>
      </c>
      <c r="V931" s="5">
        <v>44225</v>
      </c>
      <c r="W931" s="5">
        <v>43293</v>
      </c>
      <c r="X931" s="1">
        <v>1415000</v>
      </c>
      <c r="Y931" s="1">
        <v>1415000</v>
      </c>
      <c r="Z931" s="5">
        <v>43385</v>
      </c>
      <c r="AA931" s="1">
        <v>1405185</v>
      </c>
      <c r="AB931" s="1" t="s">
        <v>689</v>
      </c>
      <c r="AC931" s="5">
        <v>43661</v>
      </c>
      <c r="AF931" s="1">
        <v>10010</v>
      </c>
      <c r="AI931" s="1" t="s">
        <v>86</v>
      </c>
      <c r="AJ931" s="1">
        <v>2018</v>
      </c>
      <c r="AK931" s="1" t="s">
        <v>49</v>
      </c>
      <c r="AL931" s="1">
        <v>67</v>
      </c>
    </row>
    <row r="932" spans="1:38" x14ac:dyDescent="0.2">
      <c r="A932" s="2" t="str">
        <f>HYPERLINK("https://www.compass.com/listing/200-east-21st-street-unit-5b-manhattan-ny-10010/96242685769256225/","200 E 21st St, Unit 5B")</f>
        <v>200 E 21st St, Unit 5B</v>
      </c>
      <c r="B932" s="2" t="str">
        <f t="shared" si="168"/>
        <v>200 East 21st Street</v>
      </c>
      <c r="C932" s="1" t="s">
        <v>54</v>
      </c>
      <c r="D932" s="1" t="s">
        <v>41</v>
      </c>
      <c r="E932" s="3">
        <v>1578288</v>
      </c>
      <c r="F932" s="1">
        <v>2044.41386010362</v>
      </c>
      <c r="G932" s="1">
        <v>3</v>
      </c>
      <c r="H932" s="1">
        <v>1</v>
      </c>
      <c r="I932" s="1">
        <v>1</v>
      </c>
      <c r="J932" s="1">
        <v>1</v>
      </c>
      <c r="K932" s="1">
        <v>1</v>
      </c>
      <c r="M932" s="1">
        <v>772</v>
      </c>
      <c r="N932" s="1">
        <v>752</v>
      </c>
      <c r="O932" s="1">
        <v>2161</v>
      </c>
      <c r="P932" s="1">
        <v>1409</v>
      </c>
      <c r="Q932" s="1" t="s">
        <v>42</v>
      </c>
      <c r="S932" s="1" t="s">
        <v>42</v>
      </c>
      <c r="T932" s="1" t="s">
        <v>170</v>
      </c>
      <c r="U932" s="1">
        <v>30</v>
      </c>
      <c r="V932" s="5">
        <v>43859</v>
      </c>
      <c r="W932" s="5">
        <v>43354</v>
      </c>
      <c r="X932" s="1">
        <v>1550000</v>
      </c>
      <c r="Y932" s="1">
        <v>1550000</v>
      </c>
      <c r="Z932" s="5">
        <v>43385</v>
      </c>
      <c r="AA932" s="1">
        <v>1578287.5</v>
      </c>
      <c r="AB932" s="1" t="s">
        <v>690</v>
      </c>
      <c r="AC932" s="5">
        <v>43628</v>
      </c>
      <c r="AF932" s="1">
        <v>10010</v>
      </c>
      <c r="AI932" s="1" t="s">
        <v>86</v>
      </c>
      <c r="AJ932" s="1">
        <v>2018</v>
      </c>
      <c r="AK932" s="1" t="s">
        <v>49</v>
      </c>
      <c r="AL932" s="1">
        <v>67</v>
      </c>
    </row>
    <row r="933" spans="1:38" x14ac:dyDescent="0.2">
      <c r="A933" s="2" t="str">
        <f>HYPERLINK("https://www.compass.com/listing/100-barclay-street-unit-16h-manhattan-ny-10007/466622191858396441/","100 Barclay St, Unit 16H")</f>
        <v>100 Barclay St, Unit 16H</v>
      </c>
      <c r="B933" s="2" t="str">
        <f>HYPERLINK("https://www.compass.com/building/100-barclay-manhattan-ny/281896670466155525/","100 Barclay")</f>
        <v>100 Barclay</v>
      </c>
      <c r="C933" s="1" t="s">
        <v>40</v>
      </c>
      <c r="D933" s="1" t="s">
        <v>41</v>
      </c>
      <c r="E933" s="3">
        <v>2875000</v>
      </c>
      <c r="F933" s="1">
        <v>1616.07644744238</v>
      </c>
      <c r="H933" s="1">
        <v>2</v>
      </c>
      <c r="J933" s="1">
        <v>3</v>
      </c>
      <c r="M933" s="4">
        <v>1779</v>
      </c>
      <c r="N933" s="1">
        <v>2283</v>
      </c>
      <c r="O933" s="1">
        <v>4466</v>
      </c>
      <c r="P933" s="1">
        <v>2183</v>
      </c>
      <c r="Q933" s="1" t="s">
        <v>42</v>
      </c>
      <c r="S933" s="1" t="s">
        <v>42</v>
      </c>
      <c r="T933" s="1" t="s">
        <v>170</v>
      </c>
      <c r="AA933" s="1">
        <v>2875000</v>
      </c>
      <c r="AB933" s="1" t="s">
        <v>691</v>
      </c>
      <c r="AC933" s="5">
        <v>43887</v>
      </c>
      <c r="AF933" s="1">
        <v>10007</v>
      </c>
      <c r="AI933" s="1" t="s">
        <v>45</v>
      </c>
      <c r="AJ933" s="1">
        <v>1930</v>
      </c>
      <c r="AK933" s="1" t="s">
        <v>46</v>
      </c>
      <c r="AL933" s="1">
        <v>156</v>
      </c>
    </row>
    <row r="934" spans="1:38" x14ac:dyDescent="0.2">
      <c r="A934" s="2" t="str">
        <f>HYPERLINK("https://www.compass.com/listing/200-east-21st-street-unit-15b-manhattan-ny-10010/91040786333933025/","200 E 21st St, Unit 15B")</f>
        <v>200 E 21st St, Unit 15B</v>
      </c>
      <c r="B934" s="2" t="str">
        <f t="shared" ref="B934:B935" si="169">HYPERLINK("https://www.compass.com/building/200-east-21st-street-manhattan-ny/292796762689658005/","200 East 21st Street")</f>
        <v>200 East 21st Street</v>
      </c>
      <c r="C934" s="1" t="s">
        <v>54</v>
      </c>
      <c r="D934" s="1" t="s">
        <v>41</v>
      </c>
      <c r="E934" s="3">
        <v>1750000</v>
      </c>
      <c r="F934" s="1">
        <v>2263.9068564036202</v>
      </c>
      <c r="G934" s="1">
        <v>3</v>
      </c>
      <c r="H934" s="1">
        <v>1</v>
      </c>
      <c r="I934" s="1">
        <v>1</v>
      </c>
      <c r="J934" s="1">
        <v>1</v>
      </c>
      <c r="K934" s="1">
        <v>1</v>
      </c>
      <c r="M934" s="1">
        <v>773</v>
      </c>
      <c r="N934" s="1">
        <v>781</v>
      </c>
      <c r="O934" s="1">
        <v>2243</v>
      </c>
      <c r="P934" s="1">
        <v>1462</v>
      </c>
      <c r="Q934" s="1" t="s">
        <v>42</v>
      </c>
      <c r="S934" s="1" t="s">
        <v>42</v>
      </c>
      <c r="T934" s="1" t="s">
        <v>170</v>
      </c>
      <c r="V934" s="5">
        <v>43648</v>
      </c>
      <c r="W934" s="5">
        <v>43378</v>
      </c>
      <c r="X934" s="1">
        <v>1750000</v>
      </c>
      <c r="Y934" s="1">
        <v>1750000</v>
      </c>
      <c r="Z934" s="5">
        <v>43378</v>
      </c>
      <c r="AA934" s="1">
        <v>1750000</v>
      </c>
      <c r="AB934" s="1" t="s">
        <v>692</v>
      </c>
      <c r="AC934" s="5">
        <v>43595</v>
      </c>
      <c r="AF934" s="1">
        <v>10010</v>
      </c>
      <c r="AI934" s="1" t="s">
        <v>86</v>
      </c>
      <c r="AJ934" s="1">
        <v>2018</v>
      </c>
      <c r="AK934" s="1" t="s">
        <v>49</v>
      </c>
      <c r="AL934" s="1">
        <v>67</v>
      </c>
    </row>
    <row r="935" spans="1:38" x14ac:dyDescent="0.2">
      <c r="A935" s="2" t="str">
        <f>HYPERLINK("https://www.compass.com/listing/200-east-21st-street-unit-6b-manhattan-ny-10010/354836714014575921/","200 E 21st St, Unit 6B")</f>
        <v>200 E 21st St, Unit 6B</v>
      </c>
      <c r="B935" s="2" t="str">
        <f t="shared" si="169"/>
        <v>200 East 21st Street</v>
      </c>
      <c r="C935" s="1" t="s">
        <v>54</v>
      </c>
      <c r="D935" s="1" t="s">
        <v>41</v>
      </c>
      <c r="E935" s="3">
        <v>1600000</v>
      </c>
      <c r="F935" s="1">
        <v>2072.5388601036202</v>
      </c>
      <c r="G935" s="1">
        <v>3</v>
      </c>
      <c r="H935" s="1">
        <v>1</v>
      </c>
      <c r="I935" s="1">
        <v>1</v>
      </c>
      <c r="J935" s="1">
        <v>1</v>
      </c>
      <c r="K935" s="1">
        <v>1</v>
      </c>
      <c r="M935" s="1">
        <v>772</v>
      </c>
      <c r="N935" s="1">
        <v>755</v>
      </c>
      <c r="O935" s="1">
        <v>1338</v>
      </c>
      <c r="P935" s="1">
        <v>583</v>
      </c>
      <c r="Q935" s="1" t="s">
        <v>42</v>
      </c>
      <c r="S935" s="1" t="s">
        <v>42</v>
      </c>
      <c r="T935" s="1" t="s">
        <v>170</v>
      </c>
      <c r="U935" s="1">
        <v>49</v>
      </c>
      <c r="V935" s="5">
        <v>43823</v>
      </c>
      <c r="W935" s="5">
        <v>43741</v>
      </c>
      <c r="X935" s="1">
        <v>1565000</v>
      </c>
      <c r="Y935" s="1">
        <v>1625000</v>
      </c>
      <c r="Z935" s="5">
        <v>43790</v>
      </c>
      <c r="AA935" s="1">
        <v>1600000</v>
      </c>
      <c r="AB935" s="1" t="s">
        <v>693</v>
      </c>
      <c r="AC935" s="5">
        <v>43815</v>
      </c>
      <c r="AF935" s="1">
        <v>10010</v>
      </c>
      <c r="AI935" s="1" t="s">
        <v>86</v>
      </c>
      <c r="AJ935" s="1">
        <v>2018</v>
      </c>
      <c r="AK935" s="1" t="s">
        <v>49</v>
      </c>
      <c r="AL935" s="1">
        <v>67</v>
      </c>
    </row>
    <row r="936" spans="1:38" x14ac:dyDescent="0.2">
      <c r="A936" s="2" t="str">
        <f>HYPERLINK("https://www.compass.com/listing/100-barrow-street-unit-ph-manhattan-ny-10014/29367163424990305/","100 Barrow St, Unit PH")</f>
        <v>100 Barrow St, Unit PH</v>
      </c>
      <c r="B936" s="2" t="str">
        <f>HYPERLINK("https://www.compass.com/building/100-barrow-manhattan-ny/292834978184618837/","100 Barrow")</f>
        <v>100 Barrow</v>
      </c>
      <c r="C936" s="1" t="s">
        <v>71</v>
      </c>
      <c r="D936" s="1" t="s">
        <v>41</v>
      </c>
      <c r="E936" s="3">
        <v>14000000</v>
      </c>
      <c r="F936" s="1">
        <v>4724.9409382382701</v>
      </c>
      <c r="G936" s="1">
        <v>6</v>
      </c>
      <c r="H936" s="1">
        <v>3</v>
      </c>
      <c r="I936" s="1">
        <v>4</v>
      </c>
      <c r="J936" s="1">
        <v>3.5</v>
      </c>
      <c r="M936" s="4">
        <v>2963</v>
      </c>
      <c r="N936" s="1">
        <v>8885</v>
      </c>
      <c r="O936" s="1">
        <v>8885</v>
      </c>
      <c r="Q936" s="1" t="s">
        <v>645</v>
      </c>
      <c r="S936" s="1" t="s">
        <v>645</v>
      </c>
      <c r="T936" s="1" t="s">
        <v>170</v>
      </c>
      <c r="V936" s="5">
        <v>43670</v>
      </c>
      <c r="W936" s="5">
        <v>42580</v>
      </c>
      <c r="X936" s="1">
        <v>9809990</v>
      </c>
      <c r="Y936" s="1">
        <v>9809990</v>
      </c>
      <c r="Z936" s="5">
        <v>42580</v>
      </c>
      <c r="AA936" s="1">
        <v>14000000</v>
      </c>
      <c r="AB936" s="1" t="s">
        <v>181</v>
      </c>
      <c r="AC936" s="5">
        <v>43181</v>
      </c>
      <c r="AF936" s="1">
        <v>10014</v>
      </c>
      <c r="AI936" s="1" t="s">
        <v>288</v>
      </c>
      <c r="AJ936" s="1">
        <v>2015</v>
      </c>
      <c r="AK936" s="1" t="s">
        <v>73</v>
      </c>
      <c r="AL936" s="1">
        <v>33</v>
      </c>
    </row>
    <row r="937" spans="1:38" x14ac:dyDescent="0.2">
      <c r="A937" s="2" t="str">
        <f>HYPERLINK("https://www.compass.com/listing/200-east-21st-street-unit-9d-manhattan-ny-10010/355082491943041665/","200 E 21st St, Unit 9D")</f>
        <v>200 E 21st St, Unit 9D</v>
      </c>
      <c r="B937" s="2" t="str">
        <f>HYPERLINK("https://www.compass.com/building/200-east-21st-street-manhattan-ny/292796762689658005/","200 East 21st Street")</f>
        <v>200 East 21st Street</v>
      </c>
      <c r="C937" s="1" t="s">
        <v>54</v>
      </c>
      <c r="D937" s="1" t="s">
        <v>41</v>
      </c>
      <c r="E937" s="3">
        <v>2550000</v>
      </c>
      <c r="F937" s="1">
        <v>1741.8032786885201</v>
      </c>
      <c r="G937" s="1">
        <v>4</v>
      </c>
      <c r="H937" s="1">
        <v>2</v>
      </c>
      <c r="I937" s="1">
        <v>3</v>
      </c>
      <c r="J937" s="1">
        <v>2.5</v>
      </c>
      <c r="K937" s="1">
        <v>2</v>
      </c>
      <c r="L937" s="1">
        <v>1</v>
      </c>
      <c r="M937" s="4">
        <v>1464</v>
      </c>
      <c r="N937" s="1">
        <v>1440</v>
      </c>
      <c r="O937" s="1">
        <v>3195</v>
      </c>
      <c r="P937" s="1">
        <v>1755</v>
      </c>
      <c r="Q937" s="1" t="s">
        <v>694</v>
      </c>
      <c r="S937" s="1" t="s">
        <v>695</v>
      </c>
      <c r="T937" s="1" t="s">
        <v>170</v>
      </c>
      <c r="U937" s="1">
        <v>691</v>
      </c>
      <c r="V937" s="5">
        <v>44225</v>
      </c>
      <c r="W937" s="5">
        <v>43410</v>
      </c>
      <c r="X937" s="1">
        <v>3095000</v>
      </c>
      <c r="Y937" s="1">
        <v>2750000</v>
      </c>
      <c r="Z937" s="5">
        <v>44196</v>
      </c>
      <c r="AA937" s="1">
        <v>2550000</v>
      </c>
      <c r="AB937" s="1" t="s">
        <v>696</v>
      </c>
      <c r="AC937" s="5">
        <v>44222</v>
      </c>
      <c r="AF937" s="1">
        <v>10010</v>
      </c>
      <c r="AI937" s="1" t="s">
        <v>86</v>
      </c>
      <c r="AJ937" s="1">
        <v>2018</v>
      </c>
      <c r="AK937" s="1" t="s">
        <v>49</v>
      </c>
      <c r="AL937" s="1">
        <v>67</v>
      </c>
    </row>
    <row r="938" spans="1:38" x14ac:dyDescent="0.2">
      <c r="A938" s="2" t="str">
        <f>HYPERLINK("https://www.compass.com/listing/100-barclay-street-unit-17m-manhattan-ny-10007/803308930037709529/","100 Barclay St, Unit 17M")</f>
        <v>100 Barclay St, Unit 17M</v>
      </c>
      <c r="B938" s="2" t="str">
        <f>HYPERLINK("https://www.compass.com/building/100-barclay-manhattan-ny/281896670466155525/","100 Barclay")</f>
        <v>100 Barclay</v>
      </c>
      <c r="C938" s="1" t="s">
        <v>40</v>
      </c>
      <c r="D938" s="1" t="s">
        <v>41</v>
      </c>
      <c r="E938" s="3">
        <v>975000</v>
      </c>
      <c r="F938" s="1">
        <v>1993.86503067484</v>
      </c>
      <c r="G938" s="1">
        <v>1</v>
      </c>
      <c r="H938" s="1" t="s">
        <v>79</v>
      </c>
      <c r="I938" s="1">
        <v>1</v>
      </c>
      <c r="J938" s="1">
        <v>1</v>
      </c>
      <c r="K938" s="1">
        <v>1</v>
      </c>
      <c r="M938" s="1">
        <v>489</v>
      </c>
      <c r="N938" s="1">
        <v>627</v>
      </c>
      <c r="O938" s="1">
        <v>1227</v>
      </c>
      <c r="P938" s="1">
        <v>600</v>
      </c>
      <c r="Q938" s="1" t="s">
        <v>42</v>
      </c>
      <c r="S938" s="1" t="s">
        <v>42</v>
      </c>
      <c r="T938" s="1" t="s">
        <v>170</v>
      </c>
      <c r="U938" s="1">
        <v>16</v>
      </c>
      <c r="V938" s="5">
        <v>43020</v>
      </c>
      <c r="W938" s="5">
        <v>42646</v>
      </c>
      <c r="X938" s="1">
        <v>985000</v>
      </c>
      <c r="Y938" s="1">
        <v>985000</v>
      </c>
      <c r="Z938" s="5">
        <v>42663</v>
      </c>
      <c r="AA938" s="1">
        <v>975000</v>
      </c>
      <c r="AB938" s="1" t="s">
        <v>675</v>
      </c>
      <c r="AC938" s="5">
        <v>42732</v>
      </c>
      <c r="AF938" s="1">
        <v>10007</v>
      </c>
      <c r="AI938" s="1" t="s">
        <v>45</v>
      </c>
      <c r="AJ938" s="1">
        <v>1930</v>
      </c>
      <c r="AK938" s="1" t="s">
        <v>73</v>
      </c>
      <c r="AL938" s="1">
        <v>156</v>
      </c>
    </row>
    <row r="939" spans="1:38" x14ac:dyDescent="0.2">
      <c r="A939" s="2" t="str">
        <f>HYPERLINK("https://www.compass.com/listing/200-east-21st-street-unit-11a-manhattan-ny-10010/386252675374353073/","200 E 21st St, Unit 11A")</f>
        <v>200 E 21st St, Unit 11A</v>
      </c>
      <c r="B939" s="2" t="str">
        <f>HYPERLINK("https://www.compass.com/building/200-east-21st-street-manhattan-ny/292796762689658005/","200 East 21st Street")</f>
        <v>200 East 21st Street</v>
      </c>
      <c r="C939" s="1" t="s">
        <v>54</v>
      </c>
      <c r="D939" s="1" t="s">
        <v>41</v>
      </c>
      <c r="E939" s="3">
        <v>2720255</v>
      </c>
      <c r="F939" s="1">
        <v>1903.60710986704</v>
      </c>
      <c r="G939" s="1">
        <v>4</v>
      </c>
      <c r="H939" s="1">
        <v>2</v>
      </c>
      <c r="I939" s="1">
        <v>2</v>
      </c>
      <c r="J939" s="1">
        <v>2</v>
      </c>
      <c r="K939" s="1">
        <v>2</v>
      </c>
      <c r="M939" s="4">
        <v>1429</v>
      </c>
      <c r="N939" s="1">
        <v>1417</v>
      </c>
      <c r="O939" s="1">
        <v>2514</v>
      </c>
      <c r="P939" s="1">
        <v>1097</v>
      </c>
      <c r="Q939" s="1" t="s">
        <v>694</v>
      </c>
      <c r="S939" s="1" t="s">
        <v>695</v>
      </c>
      <c r="T939" s="1" t="s">
        <v>170</v>
      </c>
      <c r="U939" s="1">
        <v>109</v>
      </c>
      <c r="V939" s="5">
        <v>43922</v>
      </c>
      <c r="W939" s="5">
        <v>43784</v>
      </c>
      <c r="X939" s="1">
        <v>2815000</v>
      </c>
      <c r="Y939" s="1">
        <v>2815000</v>
      </c>
      <c r="Z939" s="5">
        <v>43894</v>
      </c>
      <c r="AA939" s="1">
        <v>2720254.56</v>
      </c>
      <c r="AB939" s="1" t="s">
        <v>697</v>
      </c>
      <c r="AC939" s="5">
        <v>43916</v>
      </c>
      <c r="AF939" s="1">
        <v>10010</v>
      </c>
      <c r="AI939" s="1" t="s">
        <v>86</v>
      </c>
      <c r="AJ939" s="1">
        <v>2018</v>
      </c>
      <c r="AK939" s="1" t="s">
        <v>49</v>
      </c>
      <c r="AL939" s="1">
        <v>67</v>
      </c>
    </row>
    <row r="940" spans="1:38" x14ac:dyDescent="0.2">
      <c r="A940" s="2" t="str">
        <f>HYPERLINK("https://www.compass.com/listing/150-east-23rd-street-unit-5c-manhattan-ny-10010/530467140393017425/","150 E 23rd St, Unit 5C")</f>
        <v>150 E 23rd St, Unit 5C</v>
      </c>
      <c r="B940" s="2" t="str">
        <f>HYPERLINK("https://www.compass.com/building/celeste-gramercy-manhattan-ny/292795972759607813/","Celeste Gramercy")</f>
        <v>Celeste Gramercy</v>
      </c>
      <c r="C940" s="1" t="s">
        <v>54</v>
      </c>
      <c r="D940" s="1" t="s">
        <v>41</v>
      </c>
      <c r="E940" s="3">
        <v>2825550</v>
      </c>
      <c r="F940" s="1">
        <v>1725</v>
      </c>
      <c r="G940" s="1">
        <v>5</v>
      </c>
      <c r="H940" s="1">
        <v>3</v>
      </c>
      <c r="I940" s="1">
        <v>3</v>
      </c>
      <c r="J940" s="1">
        <v>3</v>
      </c>
      <c r="K940" s="1">
        <v>3</v>
      </c>
      <c r="M940" s="4">
        <v>1638</v>
      </c>
      <c r="N940" s="1">
        <v>2234</v>
      </c>
      <c r="O940" s="1">
        <v>3854</v>
      </c>
      <c r="P940" s="1">
        <v>1620</v>
      </c>
      <c r="Q940" s="1" t="s">
        <v>42</v>
      </c>
      <c r="S940" s="1" t="s">
        <v>42</v>
      </c>
      <c r="T940" s="1" t="s">
        <v>170</v>
      </c>
      <c r="U940" s="1">
        <v>311</v>
      </c>
      <c r="V940" s="5">
        <v>44318</v>
      </c>
      <c r="W940" s="5">
        <v>43983</v>
      </c>
      <c r="X940" s="1">
        <v>3075000</v>
      </c>
      <c r="Y940" s="1">
        <v>3075000</v>
      </c>
      <c r="Z940" s="5">
        <v>43983</v>
      </c>
      <c r="AA940" s="1">
        <v>2825550</v>
      </c>
      <c r="AB940" s="1" t="s">
        <v>698</v>
      </c>
      <c r="AC940" s="5">
        <v>44315</v>
      </c>
      <c r="AF940" s="1">
        <v>10010</v>
      </c>
      <c r="AI940" s="1" t="s">
        <v>53</v>
      </c>
      <c r="AJ940" s="1">
        <v>2018</v>
      </c>
      <c r="AK940" s="1" t="s">
        <v>46</v>
      </c>
      <c r="AL940" s="1">
        <v>51</v>
      </c>
    </row>
    <row r="941" spans="1:38" x14ac:dyDescent="0.2">
      <c r="A941" s="2" t="str">
        <f>HYPERLINK("https://www.compass.com/listing/30-park-place-unit-56c-manhattan-ny-10007/29357576210615649/","30 Park Pl, Unit 56C")</f>
        <v>30 Park Pl, Unit 56C</v>
      </c>
      <c r="B941" s="2" t="str">
        <f t="shared" ref="B941:B942" si="170">HYPERLINK("https://www.compass.com/building/30-park-pl-manhattan-ny-10007/281896912905317605/","30 Park Pl")</f>
        <v>30 Park Pl</v>
      </c>
      <c r="C941" s="1" t="s">
        <v>40</v>
      </c>
      <c r="D941" s="1" t="s">
        <v>41</v>
      </c>
      <c r="E941" s="3">
        <v>4210464</v>
      </c>
      <c r="F941" s="1">
        <v>2728.7516202203501</v>
      </c>
      <c r="H941" s="1">
        <v>2</v>
      </c>
      <c r="J941" s="1">
        <v>2.5</v>
      </c>
      <c r="K941" s="1">
        <v>2</v>
      </c>
      <c r="L941" s="1">
        <v>1</v>
      </c>
      <c r="M941" s="4">
        <v>1543</v>
      </c>
      <c r="N941" s="1">
        <v>1332</v>
      </c>
      <c r="O941" s="1">
        <v>4549</v>
      </c>
      <c r="P941" s="1">
        <v>3217</v>
      </c>
      <c r="Q941" s="1" t="s">
        <v>42</v>
      </c>
      <c r="S941" s="1" t="s">
        <v>42</v>
      </c>
      <c r="T941" s="1" t="s">
        <v>170</v>
      </c>
      <c r="AA941" s="1">
        <v>4210463.75</v>
      </c>
      <c r="AB941" s="1" t="s">
        <v>699</v>
      </c>
      <c r="AC941" s="5">
        <v>42744</v>
      </c>
      <c r="AF941" s="1">
        <v>10007</v>
      </c>
      <c r="AJ941" s="1">
        <v>2016</v>
      </c>
      <c r="AK941" s="1" t="s">
        <v>46</v>
      </c>
      <c r="AL941" s="1">
        <v>157</v>
      </c>
    </row>
    <row r="942" spans="1:38" x14ac:dyDescent="0.2">
      <c r="A942" s="2" t="str">
        <f>HYPERLINK("https://www.compass.com/listing/30-park-place-unit-49b-manhattan-ny-10007/70925397113462609/","30 Park Pl, Unit 49B")</f>
        <v>30 Park Pl, Unit 49B</v>
      </c>
      <c r="B942" s="2" t="str">
        <f t="shared" si="170"/>
        <v>30 Park Pl</v>
      </c>
      <c r="C942" s="1" t="s">
        <v>40</v>
      </c>
      <c r="D942" s="1" t="s">
        <v>41</v>
      </c>
      <c r="E942" s="3">
        <v>4633038</v>
      </c>
      <c r="F942" s="1">
        <v>2784.27734375</v>
      </c>
      <c r="H942" s="1">
        <v>2</v>
      </c>
      <c r="J942" s="1">
        <v>2.5</v>
      </c>
      <c r="K942" s="1">
        <v>2</v>
      </c>
      <c r="L942" s="1">
        <v>1</v>
      </c>
      <c r="M942" s="4">
        <v>1664</v>
      </c>
      <c r="N942" s="1">
        <v>1342</v>
      </c>
      <c r="O942" s="1">
        <v>4762</v>
      </c>
      <c r="P942" s="1">
        <v>3420</v>
      </c>
      <c r="Q942" s="1" t="s">
        <v>42</v>
      </c>
      <c r="S942" s="1" t="s">
        <v>42</v>
      </c>
      <c r="T942" s="1" t="s">
        <v>170</v>
      </c>
      <c r="AA942" s="1">
        <v>4633037.5</v>
      </c>
      <c r="AB942" s="1" t="s">
        <v>700</v>
      </c>
      <c r="AC942" s="5">
        <v>43084</v>
      </c>
      <c r="AF942" s="1">
        <v>10007</v>
      </c>
      <c r="AJ942" s="1">
        <v>2016</v>
      </c>
      <c r="AK942" s="1" t="s">
        <v>46</v>
      </c>
      <c r="AL942" s="1">
        <v>157</v>
      </c>
    </row>
    <row r="943" spans="1:38" x14ac:dyDescent="0.2">
      <c r="A943" s="2" t="str">
        <f>HYPERLINK("https://www.compass.com/listing/100-barrow-street-unit-3a-manhattan-ny-10014/391342875878503985/","100 Barrow St, Unit 3A")</f>
        <v>100 Barrow St, Unit 3A</v>
      </c>
      <c r="B943" s="2" t="str">
        <f t="shared" ref="B943:B947" si="171">HYPERLINK("https://www.compass.com/building/100-barrow-manhattan-ny/292834978184618837/","100 Barrow")</f>
        <v>100 Barrow</v>
      </c>
      <c r="C943" s="1" t="s">
        <v>71</v>
      </c>
      <c r="D943" s="1" t="s">
        <v>41</v>
      </c>
      <c r="E943" s="3">
        <v>3253000</v>
      </c>
      <c r="F943" s="1">
        <v>1832.6760563380201</v>
      </c>
      <c r="H943" s="1">
        <v>2</v>
      </c>
      <c r="J943" s="1">
        <v>2.5</v>
      </c>
      <c r="M943" s="4">
        <v>1775</v>
      </c>
      <c r="N943" s="1">
        <v>4720</v>
      </c>
      <c r="O943" s="1">
        <v>4720</v>
      </c>
      <c r="S943" s="1" t="s">
        <v>645</v>
      </c>
      <c r="T943" s="1" t="s">
        <v>170</v>
      </c>
      <c r="V943" s="5">
        <v>44247</v>
      </c>
      <c r="AA943" s="1">
        <v>3253000</v>
      </c>
      <c r="AB943" s="1" t="s">
        <v>181</v>
      </c>
      <c r="AC943" s="5">
        <v>43679</v>
      </c>
      <c r="AF943" s="1">
        <v>10014</v>
      </c>
      <c r="AJ943" s="1">
        <v>2015</v>
      </c>
      <c r="AK943" s="1" t="s">
        <v>172</v>
      </c>
      <c r="AL943" s="1">
        <v>33</v>
      </c>
    </row>
    <row r="944" spans="1:38" x14ac:dyDescent="0.2">
      <c r="A944" s="2" t="str">
        <f>HYPERLINK("https://www.compass.com/listing/100-barrow-street-unit-4d-manhattan-ny-10014/391841759474238401/","100 Barrow St, Unit 4D")</f>
        <v>100 Barrow St, Unit 4D</v>
      </c>
      <c r="B944" s="2" t="str">
        <f t="shared" si="171"/>
        <v>100 Barrow</v>
      </c>
      <c r="C944" s="1" t="s">
        <v>71</v>
      </c>
      <c r="D944" s="1" t="s">
        <v>41</v>
      </c>
      <c r="E944" s="3">
        <v>3372000</v>
      </c>
      <c r="F944" s="1">
        <v>1892.2558922558901</v>
      </c>
      <c r="H944" s="1">
        <v>2</v>
      </c>
      <c r="J944" s="1">
        <v>2.5</v>
      </c>
      <c r="M944" s="4">
        <v>1782</v>
      </c>
      <c r="N944" s="1">
        <v>4796</v>
      </c>
      <c r="O944" s="1">
        <v>4796</v>
      </c>
      <c r="S944" s="1" t="s">
        <v>645</v>
      </c>
      <c r="T944" s="1" t="s">
        <v>170</v>
      </c>
      <c r="V944" s="5">
        <v>43792</v>
      </c>
      <c r="AA944" s="1">
        <v>3372000</v>
      </c>
      <c r="AB944" s="1" t="s">
        <v>181</v>
      </c>
      <c r="AC944" s="5">
        <v>43679</v>
      </c>
      <c r="AF944" s="1">
        <v>10014</v>
      </c>
      <c r="AJ944" s="1">
        <v>2015</v>
      </c>
      <c r="AK944" s="1" t="s">
        <v>172</v>
      </c>
      <c r="AL944" s="1">
        <v>33</v>
      </c>
    </row>
    <row r="945" spans="1:38" x14ac:dyDescent="0.2">
      <c r="A945" s="2" t="str">
        <f>HYPERLINK("https://www.compass.com/listing/100-barrow-street-unit-5a-manhattan-ny-10014/391909109049214401/","100 Barrow St, Unit 5A")</f>
        <v>100 Barrow St, Unit 5A</v>
      </c>
      <c r="B945" s="2" t="str">
        <f t="shared" si="171"/>
        <v>100 Barrow</v>
      </c>
      <c r="C945" s="1" t="s">
        <v>71</v>
      </c>
      <c r="D945" s="1" t="s">
        <v>41</v>
      </c>
      <c r="E945" s="3">
        <v>3200000</v>
      </c>
      <c r="F945" s="1">
        <v>1770.89097952407</v>
      </c>
      <c r="H945" s="1">
        <v>2</v>
      </c>
      <c r="J945" s="1">
        <v>2.5</v>
      </c>
      <c r="M945" s="4">
        <v>1807</v>
      </c>
      <c r="N945" s="1">
        <v>4918</v>
      </c>
      <c r="O945" s="1">
        <v>4918</v>
      </c>
      <c r="S945" s="1" t="s">
        <v>645</v>
      </c>
      <c r="T945" s="1" t="s">
        <v>170</v>
      </c>
      <c r="V945" s="5">
        <v>44247</v>
      </c>
      <c r="AA945" s="1">
        <v>3200000</v>
      </c>
      <c r="AB945" s="1" t="s">
        <v>181</v>
      </c>
      <c r="AC945" s="5">
        <v>43679</v>
      </c>
      <c r="AF945" s="1">
        <v>10014</v>
      </c>
      <c r="AJ945" s="1">
        <v>2015</v>
      </c>
      <c r="AK945" s="1" t="s">
        <v>172</v>
      </c>
      <c r="AL945" s="1">
        <v>33</v>
      </c>
    </row>
    <row r="946" spans="1:38" x14ac:dyDescent="0.2">
      <c r="A946" s="2" t="str">
        <f>HYPERLINK("https://www.compass.com/listing/100-barrow-street-unit-6a-manhattan-ny-10014/391915490632418865/","100 Barrow St, Unit 6A")</f>
        <v>100 Barrow St, Unit 6A</v>
      </c>
      <c r="B946" s="2" t="str">
        <f t="shared" si="171"/>
        <v>100 Barrow</v>
      </c>
      <c r="C946" s="1" t="s">
        <v>71</v>
      </c>
      <c r="D946" s="1" t="s">
        <v>41</v>
      </c>
      <c r="E946" s="3">
        <v>3228000</v>
      </c>
      <c r="F946" s="1">
        <v>1786.3862755949001</v>
      </c>
      <c r="H946" s="1">
        <v>2</v>
      </c>
      <c r="J946" s="1">
        <v>2.5</v>
      </c>
      <c r="M946" s="4">
        <v>1807</v>
      </c>
      <c r="S946" s="1" t="s">
        <v>645</v>
      </c>
      <c r="T946" s="1" t="s">
        <v>170</v>
      </c>
      <c r="V946" s="5">
        <v>44247</v>
      </c>
      <c r="AA946" s="1">
        <v>3228000</v>
      </c>
      <c r="AB946" s="1" t="s">
        <v>181</v>
      </c>
      <c r="AC946" s="5">
        <v>43679</v>
      </c>
      <c r="AF946" s="1">
        <v>10014</v>
      </c>
      <c r="AJ946" s="1">
        <v>2015</v>
      </c>
      <c r="AK946" s="1" t="s">
        <v>172</v>
      </c>
      <c r="AL946" s="1">
        <v>33</v>
      </c>
    </row>
    <row r="947" spans="1:38" x14ac:dyDescent="0.2">
      <c r="A947" s="2" t="str">
        <f>HYPERLINK("https://www.compass.com/listing/100-barrow-street-unit-2a-manhattan-ny-10014/391340879264103121/","100 Barrow St, Unit 2A")</f>
        <v>100 Barrow St, Unit 2A</v>
      </c>
      <c r="B947" s="2" t="str">
        <f t="shared" si="171"/>
        <v>100 Barrow</v>
      </c>
      <c r="C947" s="1" t="s">
        <v>71</v>
      </c>
      <c r="D947" s="1" t="s">
        <v>41</v>
      </c>
      <c r="E947" s="3">
        <v>2900000</v>
      </c>
      <c r="F947" s="1">
        <v>1576.0869565217299</v>
      </c>
      <c r="H947" s="1">
        <v>2</v>
      </c>
      <c r="J947" s="1">
        <v>2.5</v>
      </c>
      <c r="M947" s="4">
        <v>1840</v>
      </c>
      <c r="N947" s="1">
        <v>4829</v>
      </c>
      <c r="O947" s="1">
        <v>4829</v>
      </c>
      <c r="S947" s="1" t="s">
        <v>645</v>
      </c>
      <c r="T947" s="1" t="s">
        <v>170</v>
      </c>
      <c r="V947" s="5">
        <v>44247</v>
      </c>
      <c r="AA947" s="1">
        <v>2900000</v>
      </c>
      <c r="AB947" s="1" t="s">
        <v>181</v>
      </c>
      <c r="AC947" s="5">
        <v>43679</v>
      </c>
      <c r="AF947" s="1">
        <v>10014</v>
      </c>
      <c r="AI947" s="1" t="s">
        <v>48</v>
      </c>
      <c r="AJ947" s="1">
        <v>2015</v>
      </c>
      <c r="AK947" s="1" t="s">
        <v>172</v>
      </c>
      <c r="AL947" s="1">
        <v>33</v>
      </c>
    </row>
    <row r="948" spans="1:38" x14ac:dyDescent="0.2">
      <c r="A948" s="2" t="str">
        <f>HYPERLINK("https://www.compass.com/listing/100-barclay-street-unit-25d-manhattan-ny-10007/843916910946628889/","100 Barclay St, Unit 25D")</f>
        <v>100 Barclay St, Unit 25D</v>
      </c>
      <c r="B948" s="2" t="str">
        <f>HYPERLINK("https://www.compass.com/building/100-barclay-manhattan-ny/281896670466155525/","100 Barclay")</f>
        <v>100 Barclay</v>
      </c>
      <c r="C948" s="1" t="s">
        <v>40</v>
      </c>
      <c r="D948" s="1" t="s">
        <v>41</v>
      </c>
      <c r="E948" s="3">
        <v>4497500</v>
      </c>
      <c r="F948" s="1">
        <v>1923.6526946107699</v>
      </c>
      <c r="H948" s="1">
        <v>3</v>
      </c>
      <c r="J948" s="1">
        <v>3.5</v>
      </c>
      <c r="K948" s="1">
        <v>3</v>
      </c>
      <c r="L948" s="1">
        <v>1</v>
      </c>
      <c r="M948" s="4">
        <v>2338</v>
      </c>
      <c r="N948" s="1">
        <v>3408</v>
      </c>
      <c r="O948" s="1">
        <v>7173</v>
      </c>
      <c r="P948" s="1">
        <v>3765</v>
      </c>
      <c r="Q948" s="1" t="s">
        <v>42</v>
      </c>
      <c r="S948" s="1" t="s">
        <v>42</v>
      </c>
      <c r="T948" s="1" t="s">
        <v>170</v>
      </c>
      <c r="AA948" s="1">
        <v>4497500</v>
      </c>
      <c r="AB948" s="1" t="s">
        <v>701</v>
      </c>
      <c r="AC948" s="5">
        <v>44358</v>
      </c>
      <c r="AF948" s="1">
        <v>10007</v>
      </c>
      <c r="AI948" s="1" t="s">
        <v>45</v>
      </c>
      <c r="AJ948" s="1">
        <v>1930</v>
      </c>
      <c r="AK948" s="1" t="s">
        <v>46</v>
      </c>
      <c r="AL948" s="1">
        <v>156</v>
      </c>
    </row>
    <row r="949" spans="1:38" x14ac:dyDescent="0.2">
      <c r="A949" s="2" t="str">
        <f>HYPERLINK("https://www.compass.com/listing/200-east-21st-street-unit-15d-manhattan-ny-10010/258481209041077105/","200 E 21st St, Unit 15D")</f>
        <v>200 E 21st St, Unit 15D</v>
      </c>
      <c r="B949" s="2" t="str">
        <f>HYPERLINK("https://www.compass.com/building/200-east-21st-street-manhattan-ny/292796762689658005/","200 East 21st Street")</f>
        <v>200 East 21st Street</v>
      </c>
      <c r="C949" s="1" t="s">
        <v>54</v>
      </c>
      <c r="D949" s="1" t="s">
        <v>41</v>
      </c>
      <c r="E949" s="3">
        <v>3342956</v>
      </c>
      <c r="F949" s="1">
        <v>2283.4400614754099</v>
      </c>
      <c r="G949" s="1">
        <v>4.5</v>
      </c>
      <c r="H949" s="1">
        <v>2</v>
      </c>
      <c r="I949" s="1">
        <v>3</v>
      </c>
      <c r="J949" s="1">
        <v>2.5</v>
      </c>
      <c r="K949" s="1">
        <v>2</v>
      </c>
      <c r="L949" s="1">
        <v>1</v>
      </c>
      <c r="M949" s="4">
        <v>1464</v>
      </c>
      <c r="N949" s="1">
        <v>1472</v>
      </c>
      <c r="O949" s="1">
        <v>4238</v>
      </c>
      <c r="P949" s="1">
        <v>2766</v>
      </c>
      <c r="Q949" s="1" t="s">
        <v>42</v>
      </c>
      <c r="S949" s="1" t="s">
        <v>42</v>
      </c>
      <c r="T949" s="1" t="s">
        <v>170</v>
      </c>
      <c r="V949" s="5">
        <v>43719</v>
      </c>
      <c r="W949" s="5">
        <v>43609</v>
      </c>
      <c r="X949" s="1">
        <v>3445000</v>
      </c>
      <c r="Y949" s="1">
        <v>3445000</v>
      </c>
      <c r="Z949" s="5">
        <v>43609</v>
      </c>
      <c r="AA949" s="1">
        <v>3342956.25</v>
      </c>
      <c r="AB949" s="1" t="s">
        <v>702</v>
      </c>
      <c r="AC949" s="5">
        <v>43684</v>
      </c>
      <c r="AF949" s="1">
        <v>10010</v>
      </c>
      <c r="AI949" s="1" t="s">
        <v>657</v>
      </c>
      <c r="AJ949" s="1">
        <v>2018</v>
      </c>
      <c r="AK949" s="1" t="s">
        <v>49</v>
      </c>
      <c r="AL949" s="1">
        <v>67</v>
      </c>
    </row>
    <row r="950" spans="1:38" x14ac:dyDescent="0.2">
      <c r="A950" s="2" t="str">
        <f>HYPERLINK("https://www.compass.com/listing/150-west-12th-street-unit-10-manhattan-ny-10011/29367275270261425/","150 W 12th St, Unit 10")</f>
        <v>150 W 12th St, Unit 10</v>
      </c>
      <c r="B950" s="2" t="str">
        <f t="shared" ref="B950:B952" si="172">HYPERLINK("https://www.compass.com/building/the-greenwich-lane-manhattan-ny/567553885067785157/","The Greenwich Lane")</f>
        <v>The Greenwich Lane</v>
      </c>
      <c r="C950" s="1" t="s">
        <v>71</v>
      </c>
      <c r="D950" s="1" t="s">
        <v>41</v>
      </c>
      <c r="E950" s="3">
        <v>6484290</v>
      </c>
      <c r="F950" s="1">
        <v>3140.0920823244501</v>
      </c>
      <c r="H950" s="1">
        <v>2</v>
      </c>
      <c r="J950" s="1">
        <v>2</v>
      </c>
      <c r="M950" s="4">
        <v>2065</v>
      </c>
      <c r="Q950" s="1" t="s">
        <v>42</v>
      </c>
      <c r="S950" s="1" t="s">
        <v>42</v>
      </c>
      <c r="T950" s="1" t="s">
        <v>170</v>
      </c>
      <c r="AA950" s="1">
        <v>6484290.1500000004</v>
      </c>
      <c r="AB950" s="1" t="s">
        <v>703</v>
      </c>
      <c r="AC950" s="5">
        <v>42433</v>
      </c>
      <c r="AF950" s="1">
        <v>10011</v>
      </c>
      <c r="AI950" s="1" t="s">
        <v>59</v>
      </c>
      <c r="AK950" s="1" t="s">
        <v>49</v>
      </c>
      <c r="AL950" s="1">
        <v>24</v>
      </c>
    </row>
    <row r="951" spans="1:38" x14ac:dyDescent="0.2">
      <c r="A951" s="2" t="str">
        <f>HYPERLINK("https://www.compass.com/listing/150-west-12th-street-unit-10-manhattan-ny-10011/29367275270261441/","150 W 12th St, Unit 10")</f>
        <v>150 W 12th St, Unit 10</v>
      </c>
      <c r="B951" s="2" t="str">
        <f t="shared" si="172"/>
        <v>The Greenwich Lane</v>
      </c>
      <c r="C951" s="1" t="s">
        <v>71</v>
      </c>
      <c r="D951" s="1" t="s">
        <v>41</v>
      </c>
      <c r="E951" s="3">
        <v>6306187</v>
      </c>
      <c r="F951" s="1">
        <v>3033.2788119288098</v>
      </c>
      <c r="H951" s="1">
        <v>2</v>
      </c>
      <c r="J951" s="1">
        <v>2</v>
      </c>
      <c r="M951" s="4">
        <v>2079</v>
      </c>
      <c r="Q951" s="1" t="s">
        <v>42</v>
      </c>
      <c r="S951" s="1" t="s">
        <v>42</v>
      </c>
      <c r="T951" s="1" t="s">
        <v>170</v>
      </c>
      <c r="AA951" s="1">
        <v>6306186.6500000004</v>
      </c>
      <c r="AB951" s="1" t="s">
        <v>704</v>
      </c>
      <c r="AC951" s="5">
        <v>42433</v>
      </c>
      <c r="AF951" s="1">
        <v>10011</v>
      </c>
      <c r="AI951" s="1" t="s">
        <v>59</v>
      </c>
      <c r="AK951" s="1" t="s">
        <v>49</v>
      </c>
      <c r="AL951" s="1">
        <v>24</v>
      </c>
    </row>
    <row r="952" spans="1:38" x14ac:dyDescent="0.2">
      <c r="A952" s="2" t="str">
        <f>HYPERLINK("https://www.compass.com/listing/150-west-12th-street-unit-10-manhattan-ny-10011/740650393171687313/","150 W 12th St, Unit 10")</f>
        <v>150 W 12th St, Unit 10</v>
      </c>
      <c r="B952" s="2" t="str">
        <f t="shared" si="172"/>
        <v>The Greenwich Lane</v>
      </c>
      <c r="C952" s="1" t="s">
        <v>71</v>
      </c>
      <c r="D952" s="1" t="s">
        <v>41</v>
      </c>
      <c r="E952" s="3">
        <v>6525000</v>
      </c>
      <c r="F952" s="1">
        <v>3159.80629539951</v>
      </c>
      <c r="H952" s="1">
        <v>2</v>
      </c>
      <c r="J952" s="1">
        <v>2</v>
      </c>
      <c r="M952" s="4">
        <v>2065</v>
      </c>
      <c r="Q952" s="1" t="s">
        <v>42</v>
      </c>
      <c r="S952" s="1" t="s">
        <v>42</v>
      </c>
      <c r="T952" s="1" t="s">
        <v>170</v>
      </c>
      <c r="AA952" s="1">
        <v>6525000</v>
      </c>
      <c r="AB952" s="1" t="s">
        <v>705</v>
      </c>
      <c r="AC952" s="5">
        <v>42809</v>
      </c>
      <c r="AF952" s="1">
        <v>10011</v>
      </c>
      <c r="AI952" s="1" t="s">
        <v>59</v>
      </c>
      <c r="AK952" s="1" t="s">
        <v>49</v>
      </c>
      <c r="AL952" s="1">
        <v>24</v>
      </c>
    </row>
    <row r="953" spans="1:38" x14ac:dyDescent="0.2">
      <c r="A953" s="2" t="str">
        <f>HYPERLINK("https://www.compass.com/listing/30-park-place-unit-39c-manhattan-ny-10007/131556171797559393/","30 Park Pl, Unit 39C")</f>
        <v>30 Park Pl, Unit 39C</v>
      </c>
      <c r="B953" s="2" t="str">
        <f t="shared" ref="B953:B954" si="173">HYPERLINK("https://www.compass.com/building/30-park-pl-manhattan-ny-10007/281896912905317605/","30 Park Pl")</f>
        <v>30 Park Pl</v>
      </c>
      <c r="C953" s="1" t="s">
        <v>40</v>
      </c>
      <c r="D953" s="1" t="s">
        <v>41</v>
      </c>
      <c r="E953" s="3">
        <v>1781938</v>
      </c>
      <c r="F953" s="1">
        <v>2194.5043103448202</v>
      </c>
      <c r="H953" s="1">
        <v>1</v>
      </c>
      <c r="J953" s="1">
        <v>1</v>
      </c>
      <c r="K953" s="1">
        <v>1</v>
      </c>
      <c r="M953" s="1">
        <v>812</v>
      </c>
      <c r="N953" s="1">
        <v>665</v>
      </c>
      <c r="O953" s="1">
        <v>2369</v>
      </c>
      <c r="P953" s="1">
        <v>1704</v>
      </c>
      <c r="Q953" s="1" t="s">
        <v>42</v>
      </c>
      <c r="S953" s="1" t="s">
        <v>42</v>
      </c>
      <c r="T953" s="1" t="s">
        <v>170</v>
      </c>
      <c r="AA953" s="1">
        <v>1781937.5</v>
      </c>
      <c r="AB953" s="1" t="s">
        <v>706</v>
      </c>
      <c r="AC953" s="5">
        <v>43420</v>
      </c>
      <c r="AF953" s="1">
        <v>10007</v>
      </c>
      <c r="AJ953" s="1">
        <v>2016</v>
      </c>
      <c r="AK953" s="1" t="s">
        <v>46</v>
      </c>
      <c r="AL953" s="1">
        <v>157</v>
      </c>
    </row>
    <row r="954" spans="1:38" x14ac:dyDescent="0.2">
      <c r="A954" s="2" t="str">
        <f>HYPERLINK("https://www.compass.com/listing/30-park-place-unit-39g-manhattan-ny-10007/136625776962309473/","30 Park Pl, Unit 39G")</f>
        <v>30 Park Pl, Unit 39G</v>
      </c>
      <c r="B954" s="2" t="str">
        <f t="shared" si="173"/>
        <v>30 Park Pl</v>
      </c>
      <c r="C954" s="1" t="s">
        <v>40</v>
      </c>
      <c r="D954" s="1" t="s">
        <v>41</v>
      </c>
      <c r="E954" s="3">
        <v>1713546</v>
      </c>
      <c r="F954" s="1">
        <v>2337.7157025920801</v>
      </c>
      <c r="H954" s="1">
        <v>1</v>
      </c>
      <c r="J954" s="1">
        <v>1</v>
      </c>
      <c r="K954" s="1">
        <v>1</v>
      </c>
      <c r="M954" s="1">
        <v>733</v>
      </c>
      <c r="N954" s="1">
        <v>625.33000000000004</v>
      </c>
      <c r="O954" s="1">
        <v>2153.66</v>
      </c>
      <c r="P954" s="1">
        <v>1528.3333333333301</v>
      </c>
      <c r="Q954" s="1" t="s">
        <v>42</v>
      </c>
      <c r="S954" s="1" t="s">
        <v>42</v>
      </c>
      <c r="T954" s="1" t="s">
        <v>170</v>
      </c>
      <c r="AA954" s="1">
        <v>1713545.61</v>
      </c>
      <c r="AB954" s="1" t="s">
        <v>707</v>
      </c>
      <c r="AC954" s="5">
        <v>43420</v>
      </c>
      <c r="AF954" s="1">
        <v>10007</v>
      </c>
      <c r="AJ954" s="1">
        <v>2016</v>
      </c>
      <c r="AK954" s="1" t="s">
        <v>46</v>
      </c>
      <c r="AL954" s="1">
        <v>157</v>
      </c>
    </row>
    <row r="955" spans="1:38" x14ac:dyDescent="0.2">
      <c r="A955" s="2" t="str">
        <f>HYPERLINK("https://www.compass.com/listing/121-east-22nd-street-unit-n307-manhattan-ny-10010/272177498123463345/","121 E 22nd St, Unit N307")</f>
        <v>121 E 22nd St, Unit N307</v>
      </c>
      <c r="B955" s="2" t="str">
        <f t="shared" ref="B955:B960" si="174">HYPERLINK("https://www.compass.com/building/121-e-22nd-manhattan-ny/292795784653461493/","121 E 22nd")</f>
        <v>121 E 22nd</v>
      </c>
      <c r="C955" s="1" t="s">
        <v>54</v>
      </c>
      <c r="D955" s="1" t="s">
        <v>41</v>
      </c>
      <c r="E955" s="3">
        <v>1374638</v>
      </c>
      <c r="F955" s="1">
        <v>1870.25510204081</v>
      </c>
      <c r="G955" s="1">
        <v>2</v>
      </c>
      <c r="H955" s="1" t="s">
        <v>79</v>
      </c>
      <c r="I955" s="1">
        <v>1</v>
      </c>
      <c r="J955" s="1">
        <v>1</v>
      </c>
      <c r="K955" s="1">
        <v>1</v>
      </c>
      <c r="M955" s="1">
        <v>735</v>
      </c>
      <c r="N955" s="1">
        <v>757</v>
      </c>
      <c r="O955" s="1">
        <v>2092</v>
      </c>
      <c r="P955" s="1">
        <v>1335</v>
      </c>
      <c r="Q955" s="1" t="s">
        <v>42</v>
      </c>
      <c r="S955" s="1" t="s">
        <v>42</v>
      </c>
      <c r="T955" s="1" t="s">
        <v>170</v>
      </c>
      <c r="U955" s="1">
        <v>200</v>
      </c>
      <c r="V955" s="5">
        <v>44057</v>
      </c>
      <c r="W955" s="5">
        <v>43188</v>
      </c>
      <c r="X955" s="1">
        <v>1350000</v>
      </c>
      <c r="Y955" s="1">
        <v>1350000</v>
      </c>
      <c r="Z955" s="5">
        <v>43388</v>
      </c>
      <c r="AA955" s="1">
        <v>1374637.5</v>
      </c>
      <c r="AB955" s="1" t="s">
        <v>708</v>
      </c>
      <c r="AC955" s="5">
        <v>43595</v>
      </c>
      <c r="AF955" s="1">
        <v>10010</v>
      </c>
      <c r="AI955" s="1" t="s">
        <v>75</v>
      </c>
      <c r="AJ955" s="1">
        <v>2016</v>
      </c>
      <c r="AK955" s="1" t="s">
        <v>73</v>
      </c>
      <c r="AL955" s="1">
        <v>140</v>
      </c>
    </row>
    <row r="956" spans="1:38" x14ac:dyDescent="0.2">
      <c r="A956" s="2" t="str">
        <f>HYPERLINK("https://www.compass.com/listing/121-east-22nd-street-unit-n1103-manhattan-ny-10010/312862632507477889/","121 E 22nd St, Unit N1103")</f>
        <v>121 E 22nd St, Unit N1103</v>
      </c>
      <c r="B956" s="2" t="str">
        <f t="shared" si="174"/>
        <v>121 E 22nd</v>
      </c>
      <c r="C956" s="1" t="s">
        <v>54</v>
      </c>
      <c r="D956" s="1" t="s">
        <v>41</v>
      </c>
      <c r="E956" s="3">
        <v>1435000</v>
      </c>
      <c r="F956" s="1">
        <v>2329.54545454545</v>
      </c>
      <c r="G956" s="1">
        <v>3</v>
      </c>
      <c r="H956" s="1" t="s">
        <v>79</v>
      </c>
      <c r="I956" s="1">
        <v>1</v>
      </c>
      <c r="J956" s="1">
        <v>1</v>
      </c>
      <c r="K956" s="1">
        <v>1</v>
      </c>
      <c r="M956" s="1">
        <v>616</v>
      </c>
      <c r="N956" s="1">
        <v>714</v>
      </c>
      <c r="O956" s="1">
        <v>1984</v>
      </c>
      <c r="P956" s="1">
        <v>1270</v>
      </c>
      <c r="Q956" s="1" t="s">
        <v>42</v>
      </c>
      <c r="S956" s="1" t="s">
        <v>42</v>
      </c>
      <c r="T956" s="1" t="s">
        <v>170</v>
      </c>
      <c r="V956" s="5">
        <v>44057</v>
      </c>
      <c r="W956" s="5">
        <v>43685</v>
      </c>
      <c r="X956" s="1">
        <v>1410000</v>
      </c>
      <c r="Y956" s="1">
        <v>1435000</v>
      </c>
      <c r="Z956" s="5">
        <v>43685</v>
      </c>
      <c r="AA956" s="1">
        <v>1464447.15</v>
      </c>
      <c r="AB956" s="1" t="s">
        <v>615</v>
      </c>
      <c r="AC956" s="5">
        <v>43739</v>
      </c>
      <c r="AF956" s="1">
        <v>10010</v>
      </c>
      <c r="AI956" s="1" t="s">
        <v>75</v>
      </c>
      <c r="AJ956" s="1">
        <v>2016</v>
      </c>
      <c r="AK956" s="1" t="s">
        <v>73</v>
      </c>
      <c r="AL956" s="1">
        <v>140</v>
      </c>
    </row>
    <row r="957" spans="1:38" x14ac:dyDescent="0.2">
      <c r="A957" s="2" t="str">
        <f>HYPERLINK("https://www.compass.com/listing/121-east-22nd-street-unit-n204-manhattan-ny-10010/34697254732348977/","121 E 22nd St, Unit N204")</f>
        <v>121 E 22nd St, Unit N204</v>
      </c>
      <c r="B957" s="2" t="str">
        <f t="shared" si="174"/>
        <v>121 E 22nd</v>
      </c>
      <c r="C957" s="1" t="s">
        <v>54</v>
      </c>
      <c r="D957" s="1" t="s">
        <v>41</v>
      </c>
      <c r="E957" s="3">
        <v>1486645</v>
      </c>
      <c r="F957" s="1">
        <v>1923.21474773609</v>
      </c>
      <c r="G957" s="1">
        <v>2</v>
      </c>
      <c r="H957" s="1" t="s">
        <v>79</v>
      </c>
      <c r="I957" s="1">
        <v>1</v>
      </c>
      <c r="J957" s="1">
        <v>1</v>
      </c>
      <c r="K957" s="1">
        <v>1</v>
      </c>
      <c r="M957" s="1">
        <v>773</v>
      </c>
      <c r="N957" s="1">
        <v>785</v>
      </c>
      <c r="O957" s="1">
        <v>2168</v>
      </c>
      <c r="P957" s="1">
        <v>1383</v>
      </c>
      <c r="Q957" s="1" t="s">
        <v>42</v>
      </c>
      <c r="S957" s="1" t="s">
        <v>42</v>
      </c>
      <c r="T957" s="1" t="s">
        <v>170</v>
      </c>
      <c r="V957" s="5">
        <v>44373</v>
      </c>
      <c r="W957" s="5">
        <v>43315</v>
      </c>
      <c r="X957" s="1">
        <v>1460000</v>
      </c>
      <c r="Y957" s="1">
        <v>1460000</v>
      </c>
      <c r="Z957" s="5">
        <v>43315</v>
      </c>
      <c r="AA957" s="1">
        <v>1486645</v>
      </c>
      <c r="AB957" s="1" t="s">
        <v>709</v>
      </c>
      <c r="AC957" s="5">
        <v>43556</v>
      </c>
      <c r="AF957" s="1">
        <v>10010</v>
      </c>
      <c r="AI957" s="1" t="s">
        <v>75</v>
      </c>
      <c r="AJ957" s="1">
        <v>2016</v>
      </c>
      <c r="AK957" s="1" t="s">
        <v>73</v>
      </c>
      <c r="AL957" s="1">
        <v>140</v>
      </c>
    </row>
    <row r="958" spans="1:38" x14ac:dyDescent="0.2">
      <c r="A958" s="2" t="str">
        <f>HYPERLINK("https://www.compass.com/listing/121-east-22nd-street-unit-n903-manhattan-ny-10010/34697599973973105/","121 E 22nd St, Unit N903")</f>
        <v>121 E 22nd St, Unit N903</v>
      </c>
      <c r="B958" s="2" t="str">
        <f t="shared" si="174"/>
        <v>121 E 22nd</v>
      </c>
      <c r="C958" s="1" t="s">
        <v>54</v>
      </c>
      <c r="D958" s="1" t="s">
        <v>41</v>
      </c>
      <c r="E958" s="3">
        <v>1395003</v>
      </c>
      <c r="F958" s="1">
        <v>2264.6144480519401</v>
      </c>
      <c r="G958" s="1">
        <v>2</v>
      </c>
      <c r="H958" s="1" t="s">
        <v>79</v>
      </c>
      <c r="I958" s="1">
        <v>1</v>
      </c>
      <c r="J958" s="1">
        <v>1</v>
      </c>
      <c r="K958" s="1">
        <v>1</v>
      </c>
      <c r="M958" s="1">
        <v>616</v>
      </c>
      <c r="N958" s="1">
        <v>695</v>
      </c>
      <c r="O958" s="1">
        <v>1930</v>
      </c>
      <c r="P958" s="1">
        <v>1235</v>
      </c>
      <c r="Q958" s="1" t="s">
        <v>42</v>
      </c>
      <c r="S958" s="1" t="s">
        <v>42</v>
      </c>
      <c r="T958" s="1" t="s">
        <v>170</v>
      </c>
      <c r="V958" s="5">
        <v>44373</v>
      </c>
      <c r="W958" s="5">
        <v>43315</v>
      </c>
      <c r="X958" s="1">
        <v>1370000</v>
      </c>
      <c r="Y958" s="1">
        <v>1370000</v>
      </c>
      <c r="Z958" s="5">
        <v>43315</v>
      </c>
      <c r="AA958" s="1">
        <v>1395002.5</v>
      </c>
      <c r="AB958" s="1" t="s">
        <v>710</v>
      </c>
      <c r="AC958" s="5">
        <v>43572</v>
      </c>
      <c r="AF958" s="1">
        <v>10010</v>
      </c>
      <c r="AI958" s="1" t="s">
        <v>75</v>
      </c>
      <c r="AJ958" s="1">
        <v>2016</v>
      </c>
      <c r="AK958" s="1" t="s">
        <v>73</v>
      </c>
      <c r="AL958" s="1">
        <v>140</v>
      </c>
    </row>
    <row r="959" spans="1:38" x14ac:dyDescent="0.2">
      <c r="A959" s="2" t="str">
        <f>HYPERLINK("https://www.compass.com/listing/121-east-22nd-street-unit-n803-manhattan-ny-10010/34697601165156705/","121 E 22nd St, Unit N803")</f>
        <v>121 E 22nd St, Unit N803</v>
      </c>
      <c r="B959" s="2" t="str">
        <f t="shared" si="174"/>
        <v>121 E 22nd</v>
      </c>
      <c r="C959" s="1" t="s">
        <v>54</v>
      </c>
      <c r="D959" s="1" t="s">
        <v>41</v>
      </c>
      <c r="E959" s="3">
        <v>1318634</v>
      </c>
      <c r="F959" s="1">
        <v>2140.63961038961</v>
      </c>
      <c r="G959" s="1">
        <v>2</v>
      </c>
      <c r="H959" s="1" t="s">
        <v>79</v>
      </c>
      <c r="I959" s="1">
        <v>1</v>
      </c>
      <c r="J959" s="1">
        <v>1</v>
      </c>
      <c r="K959" s="1">
        <v>1</v>
      </c>
      <c r="M959" s="1">
        <v>616</v>
      </c>
      <c r="N959" s="1">
        <v>695</v>
      </c>
      <c r="O959" s="1">
        <v>1930</v>
      </c>
      <c r="P959" s="1">
        <v>1235</v>
      </c>
      <c r="Q959" s="1" t="s">
        <v>42</v>
      </c>
      <c r="S959" s="1" t="s">
        <v>42</v>
      </c>
      <c r="T959" s="1" t="s">
        <v>170</v>
      </c>
      <c r="V959" s="5">
        <v>44373</v>
      </c>
      <c r="W959" s="5">
        <v>43315</v>
      </c>
      <c r="X959" s="1">
        <v>1295000</v>
      </c>
      <c r="Y959" s="1">
        <v>1295000</v>
      </c>
      <c r="Z959" s="5">
        <v>43315</v>
      </c>
      <c r="AA959" s="1">
        <v>1318634</v>
      </c>
      <c r="AB959" s="1" t="s">
        <v>711</v>
      </c>
      <c r="AC959" s="5">
        <v>43580</v>
      </c>
      <c r="AF959" s="1">
        <v>10010</v>
      </c>
      <c r="AI959" s="1" t="s">
        <v>75</v>
      </c>
      <c r="AJ959" s="1">
        <v>2016</v>
      </c>
      <c r="AK959" s="1" t="s">
        <v>73</v>
      </c>
      <c r="AL959" s="1">
        <v>140</v>
      </c>
    </row>
    <row r="960" spans="1:38" x14ac:dyDescent="0.2">
      <c r="A960" s="2" t="str">
        <f>HYPERLINK("https://www.compass.com/listing/121-east-22nd-street-unit-n403-manhattan-ny-10010/34698288301098177/","121 E 22nd St, Unit N403")</f>
        <v>121 E 22nd St, Unit N403</v>
      </c>
      <c r="B960" s="2" t="str">
        <f t="shared" si="174"/>
        <v>121 E 22nd</v>
      </c>
      <c r="C960" s="1" t="s">
        <v>54</v>
      </c>
      <c r="D960" s="1" t="s">
        <v>41</v>
      </c>
      <c r="E960" s="3">
        <v>1170988</v>
      </c>
      <c r="F960" s="1">
        <v>1900.95454545454</v>
      </c>
      <c r="G960" s="1">
        <v>2</v>
      </c>
      <c r="H960" s="1" t="s">
        <v>79</v>
      </c>
      <c r="I960" s="1">
        <v>1</v>
      </c>
      <c r="J960" s="1">
        <v>1</v>
      </c>
      <c r="K960" s="1">
        <v>1</v>
      </c>
      <c r="M960" s="1">
        <v>616</v>
      </c>
      <c r="N960" s="1">
        <v>649</v>
      </c>
      <c r="O960" s="1">
        <v>1796</v>
      </c>
      <c r="P960" s="1">
        <v>1147</v>
      </c>
      <c r="Q960" s="1" t="s">
        <v>42</v>
      </c>
      <c r="S960" s="1" t="s">
        <v>42</v>
      </c>
      <c r="T960" s="1" t="s">
        <v>170</v>
      </c>
      <c r="V960" s="5">
        <v>44373</v>
      </c>
      <c r="W960" s="5">
        <v>43315</v>
      </c>
      <c r="X960" s="1">
        <v>1150000</v>
      </c>
      <c r="Y960" s="1">
        <v>1150000</v>
      </c>
      <c r="Z960" s="5">
        <v>43315</v>
      </c>
      <c r="AA960" s="1">
        <v>1170988</v>
      </c>
      <c r="AB960" s="1" t="s">
        <v>712</v>
      </c>
      <c r="AC960" s="5">
        <v>43540</v>
      </c>
      <c r="AF960" s="1">
        <v>10010</v>
      </c>
      <c r="AI960" s="1" t="s">
        <v>75</v>
      </c>
      <c r="AJ960" s="1">
        <v>2016</v>
      </c>
      <c r="AK960" s="1" t="s">
        <v>73</v>
      </c>
      <c r="AL960" s="1">
        <v>140</v>
      </c>
    </row>
    <row r="961" spans="1:38" x14ac:dyDescent="0.2">
      <c r="A961" s="2" t="str">
        <f>HYPERLINK("https://www.compass.com/listing/100-barclay-street-unit-15c-manhattan-ny-10007/784675708867947801/","100 Barclay St, Unit 15C")</f>
        <v>100 Barclay St, Unit 15C</v>
      </c>
      <c r="B961" s="2" t="str">
        <f>HYPERLINK("https://www.compass.com/building/100-barclay-manhattan-ny/281896670466155525/","100 Barclay")</f>
        <v>100 Barclay</v>
      </c>
      <c r="C961" s="1" t="s">
        <v>40</v>
      </c>
      <c r="D961" s="1" t="s">
        <v>41</v>
      </c>
      <c r="E961" s="3">
        <v>3910000</v>
      </c>
      <c r="F961" s="1">
        <v>1971.7599596570799</v>
      </c>
      <c r="H961" s="1">
        <v>3</v>
      </c>
      <c r="J961" s="1">
        <v>3</v>
      </c>
      <c r="K961" s="1">
        <v>3</v>
      </c>
      <c r="M961" s="4">
        <v>1983</v>
      </c>
      <c r="N961" s="1">
        <v>2451</v>
      </c>
      <c r="O961" s="1">
        <v>5109</v>
      </c>
      <c r="P961" s="1">
        <v>2658</v>
      </c>
      <c r="Q961" s="1" t="s">
        <v>42</v>
      </c>
      <c r="S961" s="1" t="s">
        <v>42</v>
      </c>
      <c r="T961" s="1" t="s">
        <v>170</v>
      </c>
      <c r="AA961" s="1">
        <v>3910000</v>
      </c>
      <c r="AB961" s="1" t="s">
        <v>713</v>
      </c>
      <c r="AC961" s="5">
        <v>43369</v>
      </c>
      <c r="AF961" s="1">
        <v>10007</v>
      </c>
      <c r="AI961" s="1" t="s">
        <v>45</v>
      </c>
      <c r="AJ961" s="1">
        <v>1930</v>
      </c>
      <c r="AK961" s="1" t="s">
        <v>46</v>
      </c>
      <c r="AL961" s="1">
        <v>156</v>
      </c>
    </row>
    <row r="962" spans="1:38" x14ac:dyDescent="0.2">
      <c r="A962" s="2" t="str">
        <f>HYPERLINK("https://www.compass.com/listing/30-park-place-unit-41c-manhattan-ny-10007/841540746234390049/","30 Park Pl, Unit 41C")</f>
        <v>30 Park Pl, Unit 41C</v>
      </c>
      <c r="B962" s="2" t="str">
        <f>HYPERLINK("https://www.compass.com/building/30-park-pl-manhattan-ny-10007/281896912905317605/","30 Park Pl")</f>
        <v>30 Park Pl</v>
      </c>
      <c r="C962" s="1" t="s">
        <v>40</v>
      </c>
      <c r="D962" s="1" t="s">
        <v>41</v>
      </c>
      <c r="E962" s="3">
        <v>2600000</v>
      </c>
      <c r="F962" s="1">
        <v>2346.5703971119101</v>
      </c>
      <c r="H962" s="1">
        <v>1</v>
      </c>
      <c r="J962" s="1">
        <v>1.5</v>
      </c>
      <c r="K962" s="1">
        <v>1</v>
      </c>
      <c r="L962" s="1">
        <v>1</v>
      </c>
      <c r="M962" s="4">
        <v>1108</v>
      </c>
      <c r="N962" s="1">
        <v>918.83</v>
      </c>
      <c r="O962" s="1">
        <v>3299.25</v>
      </c>
      <c r="P962" s="1">
        <v>2380.4166666666601</v>
      </c>
      <c r="Q962" s="1" t="s">
        <v>42</v>
      </c>
      <c r="S962" s="1" t="s">
        <v>42</v>
      </c>
      <c r="T962" s="1" t="s">
        <v>170</v>
      </c>
      <c r="AA962" s="1">
        <v>2600000</v>
      </c>
      <c r="AB962" s="1" t="s">
        <v>714</v>
      </c>
      <c r="AC962" s="5">
        <v>44055</v>
      </c>
      <c r="AF962" s="1">
        <v>10007</v>
      </c>
      <c r="AJ962" s="1">
        <v>2016</v>
      </c>
      <c r="AK962" s="1" t="s">
        <v>46</v>
      </c>
      <c r="AL962" s="1">
        <v>157</v>
      </c>
    </row>
    <row r="963" spans="1:38" x14ac:dyDescent="0.2">
      <c r="A963" s="2" t="str">
        <f>HYPERLINK("https://www.compass.com/listing/100-barrow-street-unit-11a-manhattan-ny-10014/391847186727453697/","100 Barrow St, Unit 11A")</f>
        <v>100 Barrow St, Unit 11A</v>
      </c>
      <c r="B963" s="2" t="str">
        <f t="shared" ref="B963:B965" si="175">HYPERLINK("https://www.compass.com/building/100-barrow-manhattan-ny/292834978184618837/","100 Barrow")</f>
        <v>100 Barrow</v>
      </c>
      <c r="C963" s="1" t="s">
        <v>71</v>
      </c>
      <c r="D963" s="1" t="s">
        <v>41</v>
      </c>
      <c r="E963" s="3">
        <v>4200000</v>
      </c>
      <c r="F963" s="1">
        <v>2360.8768971332202</v>
      </c>
      <c r="H963" s="1">
        <v>2</v>
      </c>
      <c r="J963" s="1">
        <v>2.5</v>
      </c>
      <c r="M963" s="4">
        <v>1779</v>
      </c>
      <c r="N963" s="1">
        <v>5195</v>
      </c>
      <c r="O963" s="1">
        <v>5195</v>
      </c>
      <c r="S963" s="1" t="s">
        <v>645</v>
      </c>
      <c r="T963" s="1" t="s">
        <v>170</v>
      </c>
      <c r="V963" s="5">
        <v>44247</v>
      </c>
      <c r="AA963" s="1">
        <v>4200000</v>
      </c>
      <c r="AB963" s="1" t="s">
        <v>181</v>
      </c>
      <c r="AC963" s="5">
        <v>43679</v>
      </c>
      <c r="AF963" s="1">
        <v>10014</v>
      </c>
      <c r="AJ963" s="1">
        <v>2015</v>
      </c>
      <c r="AK963" s="1" t="s">
        <v>172</v>
      </c>
      <c r="AL963" s="1">
        <v>33</v>
      </c>
    </row>
    <row r="964" spans="1:38" x14ac:dyDescent="0.2">
      <c r="A964" s="2" t="str">
        <f>HYPERLINK("https://www.compass.com/listing/100-barrow-street-unit-10a-manhattan-ny-10014/391887277235520705/","100 Barrow St, Unit 10A")</f>
        <v>100 Barrow St, Unit 10A</v>
      </c>
      <c r="B964" s="2" t="str">
        <f t="shared" si="175"/>
        <v>100 Barrow</v>
      </c>
      <c r="C964" s="1" t="s">
        <v>71</v>
      </c>
      <c r="D964" s="1" t="s">
        <v>41</v>
      </c>
      <c r="E964" s="3">
        <v>4150000</v>
      </c>
      <c r="F964" s="1">
        <v>2332.7712197863898</v>
      </c>
      <c r="H964" s="1">
        <v>2</v>
      </c>
      <c r="J964" s="1">
        <v>2.5</v>
      </c>
      <c r="M964" s="4">
        <v>1779</v>
      </c>
      <c r="N964" s="1">
        <v>5137</v>
      </c>
      <c r="O964" s="1">
        <v>5137</v>
      </c>
      <c r="S964" s="1" t="s">
        <v>645</v>
      </c>
      <c r="T964" s="1" t="s">
        <v>170</v>
      </c>
      <c r="V964" s="5">
        <v>44247</v>
      </c>
      <c r="AA964" s="1">
        <v>4150000</v>
      </c>
      <c r="AB964" s="1" t="s">
        <v>181</v>
      </c>
      <c r="AC964" s="5">
        <v>43679</v>
      </c>
      <c r="AF964" s="1">
        <v>10014</v>
      </c>
      <c r="AJ964" s="1">
        <v>2015</v>
      </c>
      <c r="AK964" s="1" t="s">
        <v>172</v>
      </c>
      <c r="AL964" s="1">
        <v>33</v>
      </c>
    </row>
    <row r="965" spans="1:38" x14ac:dyDescent="0.2">
      <c r="A965" s="2" t="str">
        <f>HYPERLINK("https://www.compass.com/listing/100-barrow-street-unit-3c-manhattan-ny-10014/391904962719925953/","100 Barrow St, Unit 3C")</f>
        <v>100 Barrow St, Unit 3C</v>
      </c>
      <c r="B965" s="2" t="str">
        <f t="shared" si="175"/>
        <v>100 Barrow</v>
      </c>
      <c r="C965" s="1" t="s">
        <v>71</v>
      </c>
      <c r="D965" s="1" t="s">
        <v>41</v>
      </c>
      <c r="E965" s="3">
        <v>3577000</v>
      </c>
      <c r="F965" s="1">
        <v>1829.66751918158</v>
      </c>
      <c r="H965" s="1">
        <v>2</v>
      </c>
      <c r="J965" s="1">
        <v>2.5</v>
      </c>
      <c r="M965" s="4">
        <v>1955</v>
      </c>
      <c r="N965" s="1">
        <v>5181</v>
      </c>
      <c r="O965" s="1">
        <v>5181</v>
      </c>
      <c r="S965" s="1" t="s">
        <v>645</v>
      </c>
      <c r="T965" s="1" t="s">
        <v>170</v>
      </c>
      <c r="V965" s="5">
        <v>44247</v>
      </c>
      <c r="AA965" s="1">
        <v>3577000</v>
      </c>
      <c r="AB965" s="1" t="s">
        <v>181</v>
      </c>
      <c r="AC965" s="5">
        <v>43679</v>
      </c>
      <c r="AF965" s="1">
        <v>10014</v>
      </c>
      <c r="AJ965" s="1">
        <v>2015</v>
      </c>
      <c r="AK965" s="1" t="s">
        <v>172</v>
      </c>
      <c r="AL965" s="1">
        <v>33</v>
      </c>
    </row>
    <row r="966" spans="1:38" x14ac:dyDescent="0.2">
      <c r="A966" s="2" t="str">
        <f>HYPERLINK("https://www.compass.com/listing/200-east-21st-street-unit-18b-manhattan-ny-10010/369551786772875553/","200 E 21st St, Unit 18B")</f>
        <v>200 E 21st St, Unit 18B</v>
      </c>
      <c r="B966" s="2" t="str">
        <f t="shared" ref="B966:B967" si="176">HYPERLINK("https://www.compass.com/building/200-east-21st-street-manhattan-ny/292796762689658005/","200 East 21st Street")</f>
        <v>200 East 21st Street</v>
      </c>
      <c r="C966" s="1" t="s">
        <v>54</v>
      </c>
      <c r="D966" s="1" t="s">
        <v>41</v>
      </c>
      <c r="E966" s="3">
        <v>6595000</v>
      </c>
      <c r="F966" s="1">
        <v>2567.1467497080498</v>
      </c>
      <c r="G966" s="1">
        <v>6.5</v>
      </c>
      <c r="H966" s="1">
        <v>3</v>
      </c>
      <c r="I966" s="1">
        <v>4</v>
      </c>
      <c r="J966" s="1">
        <v>3.5</v>
      </c>
      <c r="K966" s="1">
        <v>3</v>
      </c>
      <c r="L966" s="1">
        <v>1</v>
      </c>
      <c r="M966" s="4">
        <v>2569</v>
      </c>
      <c r="N966" s="1">
        <v>2678</v>
      </c>
      <c r="O966" s="1">
        <v>4751</v>
      </c>
      <c r="P966" s="1">
        <v>2073</v>
      </c>
      <c r="Q966" s="1" t="s">
        <v>42</v>
      </c>
      <c r="S966" s="1" t="s">
        <v>42</v>
      </c>
      <c r="T966" s="1" t="s">
        <v>170</v>
      </c>
      <c r="V966" s="5">
        <v>43808</v>
      </c>
      <c r="W966" s="5">
        <v>43762</v>
      </c>
      <c r="X966" s="1">
        <v>6700000</v>
      </c>
      <c r="Y966" s="1">
        <v>6700000</v>
      </c>
      <c r="Z966" s="5">
        <v>43762</v>
      </c>
      <c r="AA966" s="1">
        <v>6595000</v>
      </c>
      <c r="AB966" s="1" t="s">
        <v>715</v>
      </c>
      <c r="AC966" s="5">
        <v>43794</v>
      </c>
      <c r="AF966" s="1">
        <v>10010</v>
      </c>
      <c r="AI966" s="1" t="s">
        <v>86</v>
      </c>
      <c r="AJ966" s="1">
        <v>2018</v>
      </c>
      <c r="AK966" s="1" t="s">
        <v>49</v>
      </c>
      <c r="AL966" s="1">
        <v>67</v>
      </c>
    </row>
    <row r="967" spans="1:38" x14ac:dyDescent="0.2">
      <c r="A967" s="2" t="str">
        <f>HYPERLINK("https://www.compass.com/listing/200-east-21st-street-unit-20a-manhattan-ny-10010/258637872905651377/","200 E 21st St, Unit 20A")</f>
        <v>200 E 21st St, Unit 20A</v>
      </c>
      <c r="B967" s="2" t="str">
        <f t="shared" si="176"/>
        <v>200 East 21st Street</v>
      </c>
      <c r="C967" s="1" t="s">
        <v>54</v>
      </c>
      <c r="D967" s="1" t="s">
        <v>41</v>
      </c>
      <c r="E967" s="3">
        <v>4145255</v>
      </c>
      <c r="F967" s="1">
        <v>2476.25758064516</v>
      </c>
      <c r="G967" s="1">
        <v>4</v>
      </c>
      <c r="H967" s="1">
        <v>2</v>
      </c>
      <c r="I967" s="1">
        <v>3</v>
      </c>
      <c r="J967" s="1">
        <v>2.5</v>
      </c>
      <c r="K967" s="1">
        <v>2</v>
      </c>
      <c r="L967" s="1">
        <v>1</v>
      </c>
      <c r="M967" s="4">
        <v>1674</v>
      </c>
      <c r="N967" s="1">
        <v>1753</v>
      </c>
      <c r="O967" s="1">
        <v>3110</v>
      </c>
      <c r="P967" s="1">
        <v>1357</v>
      </c>
      <c r="Q967" s="1" t="s">
        <v>694</v>
      </c>
      <c r="S967" s="1" t="s">
        <v>695</v>
      </c>
      <c r="T967" s="1" t="s">
        <v>170</v>
      </c>
      <c r="U967" s="1">
        <v>283</v>
      </c>
      <c r="V967" s="5">
        <v>43814</v>
      </c>
      <c r="W967" s="5">
        <v>43501</v>
      </c>
      <c r="X967" s="1">
        <v>4250000</v>
      </c>
      <c r="Y967" s="1">
        <v>4250000</v>
      </c>
      <c r="Z967" s="5">
        <v>43785</v>
      </c>
      <c r="AA967" s="1">
        <v>4145255.19</v>
      </c>
      <c r="AB967" s="1" t="s">
        <v>716</v>
      </c>
      <c r="AC967" s="5">
        <v>43812</v>
      </c>
      <c r="AF967" s="1">
        <v>10010</v>
      </c>
      <c r="AI967" s="1" t="s">
        <v>86</v>
      </c>
      <c r="AJ967" s="1">
        <v>2018</v>
      </c>
      <c r="AK967" s="1" t="s">
        <v>77</v>
      </c>
      <c r="AL967" s="1">
        <v>67</v>
      </c>
    </row>
    <row r="968" spans="1:38" x14ac:dyDescent="0.2">
      <c r="A968" s="2" t="str">
        <f>HYPERLINK("https://www.compass.com/listing/30-park-place-unit-71b-manhattan-ny-10007/266638939522112417/","30 Park Pl, Unit 71B")</f>
        <v>30 Park Pl, Unit 71B</v>
      </c>
      <c r="B968" s="2" t="str">
        <f t="shared" ref="B968:B970" si="177">HYPERLINK("https://www.compass.com/building/30-park-pl-manhattan-ny-10007/281896912905317605/","30 Park Pl")</f>
        <v>30 Park Pl</v>
      </c>
      <c r="C968" s="1" t="s">
        <v>40</v>
      </c>
      <c r="D968" s="1" t="s">
        <v>41</v>
      </c>
      <c r="E968" s="3">
        <v>8604213</v>
      </c>
      <c r="F968" s="1">
        <v>3270.3202204484901</v>
      </c>
      <c r="H968" s="1">
        <v>3</v>
      </c>
      <c r="J968" s="1">
        <v>3.5</v>
      </c>
      <c r="M968" s="4">
        <v>2631</v>
      </c>
      <c r="N968" s="1">
        <v>2198</v>
      </c>
      <c r="O968" s="1">
        <v>7801</v>
      </c>
      <c r="P968" s="1">
        <v>5603</v>
      </c>
      <c r="Q968" s="1" t="s">
        <v>42</v>
      </c>
      <c r="S968" s="1" t="s">
        <v>42</v>
      </c>
      <c r="T968" s="1" t="s">
        <v>170</v>
      </c>
      <c r="AA968" s="1">
        <v>8604212.5</v>
      </c>
      <c r="AB968" s="1" t="s">
        <v>717</v>
      </c>
      <c r="AC968" s="5">
        <v>42877</v>
      </c>
      <c r="AF968" s="1">
        <v>10007</v>
      </c>
      <c r="AJ968" s="1">
        <v>2016</v>
      </c>
      <c r="AK968" s="1" t="s">
        <v>46</v>
      </c>
      <c r="AL968" s="1">
        <v>157</v>
      </c>
    </row>
    <row r="969" spans="1:38" x14ac:dyDescent="0.2">
      <c r="A969" s="2" t="str">
        <f>HYPERLINK("https://www.compass.com/listing/30-park-place-unit-ph78b-manhattan-ny-10007/837410551062498921/","30 Park Pl, Unit PH78B")</f>
        <v>30 Park Pl, Unit PH78B</v>
      </c>
      <c r="B969" s="2" t="str">
        <f t="shared" si="177"/>
        <v>30 Park Pl</v>
      </c>
      <c r="C969" s="1" t="s">
        <v>40</v>
      </c>
      <c r="D969" s="1" t="s">
        <v>41</v>
      </c>
      <c r="E969" s="3">
        <v>18439344</v>
      </c>
      <c r="F969" s="1">
        <v>3105.8352282297401</v>
      </c>
      <c r="H969" s="1">
        <v>5</v>
      </c>
      <c r="J969" s="1">
        <v>6.5</v>
      </c>
      <c r="K969" s="1">
        <v>6</v>
      </c>
      <c r="L969" s="1">
        <v>1</v>
      </c>
      <c r="M969" s="4">
        <v>5937</v>
      </c>
      <c r="N969" s="1">
        <v>5923</v>
      </c>
      <c r="O969" s="1">
        <v>20630</v>
      </c>
      <c r="P969" s="1">
        <v>14707</v>
      </c>
      <c r="Q969" s="1" t="s">
        <v>42</v>
      </c>
      <c r="S969" s="1" t="s">
        <v>42</v>
      </c>
      <c r="T969" s="1" t="s">
        <v>170</v>
      </c>
      <c r="AA969" s="1">
        <v>18439343.75</v>
      </c>
      <c r="AB969" s="1" t="s">
        <v>718</v>
      </c>
      <c r="AC969" s="5">
        <v>44389</v>
      </c>
      <c r="AF969" s="1">
        <v>10007</v>
      </c>
      <c r="AJ969" s="1">
        <v>2016</v>
      </c>
      <c r="AK969" s="1" t="s">
        <v>46</v>
      </c>
      <c r="AL969" s="1">
        <v>157</v>
      </c>
    </row>
    <row r="970" spans="1:38" x14ac:dyDescent="0.2">
      <c r="A970" s="2" t="str">
        <f>HYPERLINK("https://www.compass.com/listing/30-park-place-unit-71b-manhattan-ny-10007/841600703960607953/","30 Park Pl, Unit 71B")</f>
        <v>30 Park Pl, Unit 71B</v>
      </c>
      <c r="B970" s="2" t="str">
        <f t="shared" si="177"/>
        <v>30 Park Pl</v>
      </c>
      <c r="C970" s="1" t="s">
        <v>40</v>
      </c>
      <c r="D970" s="1" t="s">
        <v>41</v>
      </c>
      <c r="E970" s="3">
        <v>7450000</v>
      </c>
      <c r="F970" s="1">
        <v>2831.6229570505502</v>
      </c>
      <c r="H970" s="1">
        <v>3</v>
      </c>
      <c r="J970" s="1">
        <v>3.5</v>
      </c>
      <c r="M970" s="4">
        <v>2631</v>
      </c>
      <c r="N970" s="1">
        <v>2198</v>
      </c>
      <c r="O970" s="1">
        <v>7801</v>
      </c>
      <c r="P970" s="1">
        <v>5603</v>
      </c>
      <c r="Q970" s="1" t="s">
        <v>42</v>
      </c>
      <c r="S970" s="1" t="s">
        <v>42</v>
      </c>
      <c r="T970" s="1" t="s">
        <v>170</v>
      </c>
      <c r="AA970" s="1">
        <v>7450000</v>
      </c>
      <c r="AB970" s="1" t="s">
        <v>719</v>
      </c>
      <c r="AC970" s="5">
        <v>43595</v>
      </c>
      <c r="AF970" s="1">
        <v>10007</v>
      </c>
      <c r="AJ970" s="1">
        <v>2016</v>
      </c>
      <c r="AK970" s="1" t="s">
        <v>46</v>
      </c>
      <c r="AL970" s="1">
        <v>157</v>
      </c>
    </row>
    <row r="971" spans="1:38" x14ac:dyDescent="0.2">
      <c r="A971" s="2" t="str">
        <f>HYPERLINK("https://www.compass.com/listing/200-east-21st-street-unit-5d-manhattan-ny-10010/104909590201700097/","200 E 21st St, Unit 5D")</f>
        <v>200 E 21st St, Unit 5D</v>
      </c>
      <c r="B971" s="2" t="str">
        <f t="shared" ref="B971:B974" si="178">HYPERLINK("https://www.compass.com/building/200-east-21st-street-manhattan-ny/292796762689658005/","200 East 21st Street")</f>
        <v>200 East 21st Street</v>
      </c>
      <c r="C971" s="1" t="s">
        <v>54</v>
      </c>
      <c r="D971" s="1" t="s">
        <v>41</v>
      </c>
      <c r="E971" s="3">
        <v>1471371</v>
      </c>
      <c r="F971" s="1">
        <v>2063.6342917251</v>
      </c>
      <c r="G971" s="1">
        <v>3</v>
      </c>
      <c r="H971" s="1">
        <v>1</v>
      </c>
      <c r="I971" s="1">
        <v>1</v>
      </c>
      <c r="J971" s="1">
        <v>1</v>
      </c>
      <c r="K971" s="1">
        <v>1</v>
      </c>
      <c r="M971" s="1">
        <v>713</v>
      </c>
      <c r="N971" s="1">
        <v>695</v>
      </c>
      <c r="O971" s="1">
        <v>1997</v>
      </c>
      <c r="P971" s="1">
        <v>1302</v>
      </c>
      <c r="Q971" s="1" t="s">
        <v>42</v>
      </c>
      <c r="S971" s="1" t="s">
        <v>42</v>
      </c>
      <c r="T971" s="1" t="s">
        <v>170</v>
      </c>
      <c r="V971" s="5">
        <v>44398</v>
      </c>
      <c r="W971" s="5">
        <v>43384</v>
      </c>
      <c r="X971" s="1">
        <v>1445000</v>
      </c>
      <c r="Y971" s="1">
        <v>1445000</v>
      </c>
      <c r="Z971" s="5">
        <v>43384</v>
      </c>
      <c r="AA971" s="1">
        <v>1471371.25</v>
      </c>
      <c r="AB971" s="1" t="s">
        <v>720</v>
      </c>
      <c r="AC971" s="5">
        <v>43599</v>
      </c>
      <c r="AF971" s="1">
        <v>10010</v>
      </c>
      <c r="AI971" s="1" t="s">
        <v>86</v>
      </c>
      <c r="AJ971" s="1">
        <v>2018</v>
      </c>
      <c r="AK971" s="1" t="s">
        <v>87</v>
      </c>
      <c r="AL971" s="1">
        <v>67</v>
      </c>
    </row>
    <row r="972" spans="1:38" x14ac:dyDescent="0.2">
      <c r="A972" s="2" t="str">
        <f>HYPERLINK("https://www.compass.com/listing/200-east-21st-street-unit-10b-manhattan-ny-10010/144826245807363841/","200 E 21st St, Unit 10B")</f>
        <v>200 E 21st St, Unit 10B</v>
      </c>
      <c r="B972" s="2" t="str">
        <f t="shared" si="178"/>
        <v>200 East 21st Street</v>
      </c>
      <c r="C972" s="1" t="s">
        <v>54</v>
      </c>
      <c r="D972" s="1" t="s">
        <v>41</v>
      </c>
      <c r="E972" s="3">
        <v>1639383</v>
      </c>
      <c r="F972" s="1">
        <v>2120.80530401034</v>
      </c>
      <c r="G972" s="1">
        <v>3</v>
      </c>
      <c r="H972" s="1">
        <v>1</v>
      </c>
      <c r="I972" s="1">
        <v>1</v>
      </c>
      <c r="J972" s="1">
        <v>1</v>
      </c>
      <c r="K972" s="1">
        <v>1</v>
      </c>
      <c r="M972" s="1">
        <v>773</v>
      </c>
      <c r="N972" s="1">
        <v>767</v>
      </c>
      <c r="O972" s="1">
        <v>2203</v>
      </c>
      <c r="P972" s="1">
        <v>1436</v>
      </c>
      <c r="Q972" s="1" t="s">
        <v>42</v>
      </c>
      <c r="S972" s="1" t="s">
        <v>42</v>
      </c>
      <c r="T972" s="1" t="s">
        <v>170</v>
      </c>
      <c r="U972" s="1">
        <v>120</v>
      </c>
      <c r="V972" s="5">
        <v>44379</v>
      </c>
      <c r="W972" s="5">
        <v>43250</v>
      </c>
      <c r="X972" s="1">
        <v>1640000</v>
      </c>
      <c r="Y972" s="1">
        <v>1640000</v>
      </c>
      <c r="Z972" s="5">
        <v>43370</v>
      </c>
      <c r="AA972" s="1">
        <v>1639382.5</v>
      </c>
      <c r="AB972" s="1" t="s">
        <v>721</v>
      </c>
      <c r="AC972" s="5">
        <v>43598</v>
      </c>
      <c r="AF972" s="1">
        <v>10010</v>
      </c>
      <c r="AI972" s="1" t="s">
        <v>86</v>
      </c>
      <c r="AJ972" s="1">
        <v>2018</v>
      </c>
      <c r="AK972" s="1" t="s">
        <v>87</v>
      </c>
      <c r="AL972" s="1">
        <v>67</v>
      </c>
    </row>
    <row r="973" spans="1:38" x14ac:dyDescent="0.2">
      <c r="A973" s="2" t="str">
        <f>HYPERLINK("https://www.compass.com/listing/200-east-21st-street-unit-9b-manhattan-ny-10010/364321764839855201/","200 E 21st St, Unit 9B")</f>
        <v>200 E 21st St, Unit 9B</v>
      </c>
      <c r="B973" s="2" t="str">
        <f t="shared" si="178"/>
        <v>200 East 21st Street</v>
      </c>
      <c r="C973" s="1" t="s">
        <v>54</v>
      </c>
      <c r="D973" s="1" t="s">
        <v>41</v>
      </c>
      <c r="E973" s="3">
        <v>1670250</v>
      </c>
      <c r="F973" s="1">
        <v>2160.7373868046502</v>
      </c>
      <c r="G973" s="1">
        <v>3</v>
      </c>
      <c r="H973" s="1">
        <v>1</v>
      </c>
      <c r="I973" s="1">
        <v>1</v>
      </c>
      <c r="J973" s="1">
        <v>1</v>
      </c>
      <c r="K973" s="1">
        <v>1</v>
      </c>
      <c r="M973" s="1">
        <v>773</v>
      </c>
      <c r="N973" s="1">
        <v>762</v>
      </c>
      <c r="O973" s="1">
        <v>1352</v>
      </c>
      <c r="P973" s="1">
        <v>590</v>
      </c>
      <c r="Q973" s="1" t="s">
        <v>42</v>
      </c>
      <c r="S973" s="1" t="s">
        <v>42</v>
      </c>
      <c r="T973" s="1" t="s">
        <v>170</v>
      </c>
      <c r="V973" s="5">
        <v>43823</v>
      </c>
      <c r="W973" s="5">
        <v>43755</v>
      </c>
      <c r="X973" s="1">
        <v>1685000</v>
      </c>
      <c r="Y973" s="1">
        <v>1685000</v>
      </c>
      <c r="Z973" s="5">
        <v>43755</v>
      </c>
      <c r="AA973" s="1">
        <v>1670250</v>
      </c>
      <c r="AB973" s="1" t="s">
        <v>722</v>
      </c>
      <c r="AC973" s="5">
        <v>43811</v>
      </c>
      <c r="AF973" s="1">
        <v>10010</v>
      </c>
      <c r="AI973" s="1" t="s">
        <v>86</v>
      </c>
      <c r="AJ973" s="1">
        <v>2018</v>
      </c>
      <c r="AK973" s="1" t="s">
        <v>49</v>
      </c>
      <c r="AL973" s="1">
        <v>67</v>
      </c>
    </row>
    <row r="974" spans="1:38" x14ac:dyDescent="0.2">
      <c r="A974" s="2" t="str">
        <f>HYPERLINK("https://www.compass.com/listing/200-east-21st-street-unit-4d-manhattan-ny-10010/96242686163514161/","200 E 21st St, Unit 4D")</f>
        <v>200 E 21st St, Unit 4D</v>
      </c>
      <c r="B974" s="2" t="str">
        <f t="shared" si="178"/>
        <v>200 East 21st Street</v>
      </c>
      <c r="C974" s="1" t="s">
        <v>54</v>
      </c>
      <c r="D974" s="1" t="s">
        <v>41</v>
      </c>
      <c r="E974" s="3">
        <v>1438003</v>
      </c>
      <c r="F974" s="1">
        <v>2016.8348527349201</v>
      </c>
      <c r="G974" s="1">
        <v>3</v>
      </c>
      <c r="H974" s="1">
        <v>1</v>
      </c>
      <c r="I974" s="1">
        <v>1</v>
      </c>
      <c r="J974" s="1">
        <v>1</v>
      </c>
      <c r="K974" s="1">
        <v>1</v>
      </c>
      <c r="M974" s="1">
        <v>713</v>
      </c>
      <c r="N974" s="1">
        <v>693</v>
      </c>
      <c r="O974" s="1">
        <v>1990</v>
      </c>
      <c r="P974" s="1">
        <v>1297</v>
      </c>
      <c r="Q974" s="1" t="s">
        <v>42</v>
      </c>
      <c r="S974" s="1" t="s">
        <v>42</v>
      </c>
      <c r="T974" s="1" t="s">
        <v>170</v>
      </c>
      <c r="U974" s="1">
        <v>82</v>
      </c>
      <c r="V974" s="5">
        <v>43635</v>
      </c>
      <c r="W974" s="5">
        <v>43294</v>
      </c>
      <c r="X974" s="1">
        <v>1430000</v>
      </c>
      <c r="Y974" s="1">
        <v>1430000</v>
      </c>
      <c r="Z974" s="5">
        <v>43376</v>
      </c>
      <c r="AA974" s="1">
        <v>1438003.25</v>
      </c>
      <c r="AB974" s="1" t="s">
        <v>723</v>
      </c>
      <c r="AC974" s="5">
        <v>43595</v>
      </c>
      <c r="AF974" s="1">
        <v>10010</v>
      </c>
      <c r="AI974" s="1" t="s">
        <v>86</v>
      </c>
      <c r="AJ974" s="1">
        <v>2018</v>
      </c>
      <c r="AK974" s="1" t="s">
        <v>49</v>
      </c>
      <c r="AL974" s="1">
        <v>67</v>
      </c>
    </row>
    <row r="975" spans="1:38" x14ac:dyDescent="0.2">
      <c r="A975" s="2" t="str">
        <f>HYPERLINK("https://www.compass.com/listing/30-park-place-unit-51c-manhattan-ny-10007/29357569608784193/","30 Park Pl, Unit 51C")</f>
        <v>30 Park Pl, Unit 51C</v>
      </c>
      <c r="B975" s="2" t="str">
        <f t="shared" ref="B975:B976" si="179">HYPERLINK("https://www.compass.com/building/30-park-pl-manhattan-ny-10007/281896912905317605/","30 Park Pl")</f>
        <v>30 Park Pl</v>
      </c>
      <c r="C975" s="1" t="s">
        <v>40</v>
      </c>
      <c r="D975" s="1" t="s">
        <v>41</v>
      </c>
      <c r="E975" s="3">
        <v>3304221</v>
      </c>
      <c r="F975" s="1">
        <v>2982.1491425992699</v>
      </c>
      <c r="H975" s="1">
        <v>1</v>
      </c>
      <c r="J975" s="1">
        <v>1.5</v>
      </c>
      <c r="M975" s="4">
        <v>1108</v>
      </c>
      <c r="N975" s="1">
        <v>889</v>
      </c>
      <c r="O975" s="1">
        <v>3155</v>
      </c>
      <c r="P975" s="1">
        <v>2266</v>
      </c>
      <c r="Q975" s="1" t="s">
        <v>42</v>
      </c>
      <c r="S975" s="1" t="s">
        <v>42</v>
      </c>
      <c r="T975" s="1" t="s">
        <v>170</v>
      </c>
      <c r="AA975" s="1">
        <v>3304221.25</v>
      </c>
      <c r="AB975" s="1" t="s">
        <v>724</v>
      </c>
      <c r="AC975" s="5">
        <v>42696</v>
      </c>
      <c r="AF975" s="1">
        <v>10007</v>
      </c>
      <c r="AJ975" s="1">
        <v>2016</v>
      </c>
      <c r="AK975" s="1" t="s">
        <v>46</v>
      </c>
      <c r="AL975" s="1">
        <v>157</v>
      </c>
    </row>
    <row r="976" spans="1:38" x14ac:dyDescent="0.2">
      <c r="A976" s="2" t="str">
        <f>HYPERLINK("https://www.compass.com/listing/30-park-place-unit-44a-manhattan-ny-10007/841759974442501609/","30 Park Pl, Unit 44A")</f>
        <v>30 Park Pl, Unit 44A</v>
      </c>
      <c r="B976" s="2" t="str">
        <f t="shared" si="179"/>
        <v>30 Park Pl</v>
      </c>
      <c r="C976" s="1" t="s">
        <v>40</v>
      </c>
      <c r="D976" s="1" t="s">
        <v>41</v>
      </c>
      <c r="E976" s="3">
        <v>5600000</v>
      </c>
      <c r="F976" s="1">
        <v>2523.6593059936899</v>
      </c>
      <c r="H976" s="1">
        <v>3</v>
      </c>
      <c r="J976" s="1">
        <v>3</v>
      </c>
      <c r="K976" s="1">
        <v>3</v>
      </c>
      <c r="M976" s="4">
        <v>2219</v>
      </c>
      <c r="N976" s="1">
        <v>1807</v>
      </c>
      <c r="O976" s="1">
        <v>6413</v>
      </c>
      <c r="P976" s="1">
        <v>4606</v>
      </c>
      <c r="Q976" s="1" t="s">
        <v>42</v>
      </c>
      <c r="S976" s="1" t="s">
        <v>42</v>
      </c>
      <c r="T976" s="1" t="s">
        <v>170</v>
      </c>
      <c r="AA976" s="1">
        <v>5600000</v>
      </c>
      <c r="AB976" s="1" t="s">
        <v>725</v>
      </c>
      <c r="AC976" s="5">
        <v>44392</v>
      </c>
      <c r="AF976" s="1">
        <v>10007</v>
      </c>
      <c r="AJ976" s="1">
        <v>2016</v>
      </c>
      <c r="AK976" s="1" t="s">
        <v>46</v>
      </c>
      <c r="AL976" s="1">
        <v>157</v>
      </c>
    </row>
    <row r="977" spans="1:38" x14ac:dyDescent="0.2">
      <c r="A977" s="2" t="str">
        <f>HYPERLINK("https://www.compass.com/listing/200-east-21st-street-unit-5e-manhattan-ny-10010/615110260631773721/","200 E 21st St, Unit 5E")</f>
        <v>200 E 21st St, Unit 5E</v>
      </c>
      <c r="B977" s="2" t="str">
        <f>HYPERLINK("https://www.compass.com/building/200-east-21st-street-manhattan-ny/292796762689658005/","200 East 21st Street")</f>
        <v>200 East 21st Street</v>
      </c>
      <c r="C977" s="1" t="s">
        <v>54</v>
      </c>
      <c r="D977" s="1" t="s">
        <v>41</v>
      </c>
      <c r="E977" s="3">
        <v>1690255</v>
      </c>
      <c r="F977" s="1">
        <v>1641.02384466019</v>
      </c>
      <c r="G977" s="1">
        <v>3</v>
      </c>
      <c r="H977" s="1">
        <v>1</v>
      </c>
      <c r="I977" s="1">
        <v>2</v>
      </c>
      <c r="J977" s="1">
        <v>1.5</v>
      </c>
      <c r="K977" s="1">
        <v>1</v>
      </c>
      <c r="L977" s="1">
        <v>1</v>
      </c>
      <c r="M977" s="4">
        <v>1030</v>
      </c>
      <c r="N977" s="1">
        <v>985</v>
      </c>
      <c r="O977" s="1">
        <v>2181</v>
      </c>
      <c r="P977" s="1">
        <v>1196</v>
      </c>
      <c r="Q977" s="1" t="s">
        <v>694</v>
      </c>
      <c r="S977" s="1" t="s">
        <v>695</v>
      </c>
      <c r="T977" s="1" t="s">
        <v>170</v>
      </c>
      <c r="U977" s="1">
        <v>42</v>
      </c>
      <c r="V977" s="5">
        <v>44146</v>
      </c>
      <c r="W977" s="5">
        <v>44099</v>
      </c>
      <c r="X977" s="1">
        <v>1795000</v>
      </c>
      <c r="Y977" s="1">
        <v>1795000</v>
      </c>
      <c r="AA977" s="1">
        <v>1690254.56</v>
      </c>
      <c r="AB977" s="1" t="s">
        <v>726</v>
      </c>
      <c r="AC977" s="5">
        <v>44141</v>
      </c>
      <c r="AF977" s="1">
        <v>10010</v>
      </c>
      <c r="AI977" s="1" t="s">
        <v>86</v>
      </c>
      <c r="AJ977" s="1">
        <v>2018</v>
      </c>
      <c r="AK977" s="1" t="s">
        <v>49</v>
      </c>
      <c r="AL977" s="1">
        <v>67</v>
      </c>
    </row>
    <row r="978" spans="1:38" x14ac:dyDescent="0.2">
      <c r="A978" s="2" t="str">
        <f>HYPERLINK("https://www.compass.com/listing/100-barclay-street-unit-14ab-manhattan-ny-10007/29357194612960385/","100 Barclay St, Unit 14AB")</f>
        <v>100 Barclay St, Unit 14AB</v>
      </c>
      <c r="B978" s="2" t="str">
        <f>HYPERLINK("https://www.compass.com/building/100-barclay-manhattan-ny/281896670466155525/","100 Barclay")</f>
        <v>100 Barclay</v>
      </c>
      <c r="C978" s="1" t="s">
        <v>40</v>
      </c>
      <c r="D978" s="1" t="s">
        <v>41</v>
      </c>
      <c r="E978" s="3">
        <v>11862613</v>
      </c>
      <c r="F978" s="1">
        <v>2251.3973239703901</v>
      </c>
      <c r="H978" s="1">
        <v>5</v>
      </c>
      <c r="J978" s="1">
        <v>7</v>
      </c>
      <c r="M978" s="4">
        <v>5269</v>
      </c>
      <c r="N978" s="1">
        <v>6632</v>
      </c>
      <c r="O978" s="1">
        <v>12498</v>
      </c>
      <c r="P978" s="1">
        <v>5866</v>
      </c>
      <c r="Q978" s="1" t="s">
        <v>42</v>
      </c>
      <c r="S978" s="1" t="s">
        <v>42</v>
      </c>
      <c r="T978" s="1" t="s">
        <v>170</v>
      </c>
      <c r="AA978" s="1">
        <v>11862612.5</v>
      </c>
      <c r="AB978" s="1" t="s">
        <v>727</v>
      </c>
      <c r="AC978" s="5">
        <v>42703</v>
      </c>
      <c r="AF978" s="1">
        <v>10007</v>
      </c>
      <c r="AI978" s="1" t="s">
        <v>45</v>
      </c>
      <c r="AJ978" s="1">
        <v>1930</v>
      </c>
      <c r="AK978" s="1" t="s">
        <v>46</v>
      </c>
      <c r="AL978" s="1">
        <v>156</v>
      </c>
    </row>
    <row r="979" spans="1:38" x14ac:dyDescent="0.2">
      <c r="A979" s="2" t="str">
        <f>HYPERLINK("https://www.compass.com/listing/200-east-21st-street-unit-15c-manhattan-ny-10010/388971383363760721/","200 E 21st St, Unit 15C")</f>
        <v>200 E 21st St, Unit 15C</v>
      </c>
      <c r="B979" s="2" t="str">
        <f>HYPERLINK("https://www.compass.com/building/200-east-21st-street-manhattan-ny/292796762689658005/","200 East 21st Street")</f>
        <v>200 East 21st Street</v>
      </c>
      <c r="C979" s="1" t="s">
        <v>54</v>
      </c>
      <c r="D979" s="1" t="s">
        <v>41</v>
      </c>
      <c r="E979" s="3">
        <v>4100255</v>
      </c>
      <c r="F979" s="1">
        <v>2249.17992320351</v>
      </c>
      <c r="G979" s="1">
        <v>6.5</v>
      </c>
      <c r="H979" s="1">
        <v>3</v>
      </c>
      <c r="I979" s="1">
        <v>4</v>
      </c>
      <c r="J979" s="1">
        <v>3.5</v>
      </c>
      <c r="K979" s="1">
        <v>3</v>
      </c>
      <c r="L979" s="1">
        <v>1</v>
      </c>
      <c r="M979" s="4">
        <v>1823</v>
      </c>
      <c r="N979" s="1">
        <v>1872</v>
      </c>
      <c r="O979" s="1">
        <v>3321</v>
      </c>
      <c r="P979" s="1">
        <v>1449</v>
      </c>
      <c r="Q979" s="1" t="s">
        <v>694</v>
      </c>
      <c r="S979" s="1" t="s">
        <v>695</v>
      </c>
      <c r="T979" s="1" t="s">
        <v>170</v>
      </c>
      <c r="V979" s="5">
        <v>43901</v>
      </c>
      <c r="W979" s="5">
        <v>43789</v>
      </c>
      <c r="X979" s="1">
        <v>4600000</v>
      </c>
      <c r="Y979" s="1">
        <v>4600000</v>
      </c>
      <c r="Z979" s="5">
        <v>43789</v>
      </c>
      <c r="AA979" s="1">
        <v>4100255</v>
      </c>
      <c r="AB979" s="1" t="s">
        <v>728</v>
      </c>
      <c r="AC979" s="5">
        <v>43886</v>
      </c>
      <c r="AF979" s="1">
        <v>10010</v>
      </c>
      <c r="AI979" s="1" t="s">
        <v>86</v>
      </c>
      <c r="AJ979" s="1">
        <v>2018</v>
      </c>
      <c r="AK979" s="1" t="s">
        <v>49</v>
      </c>
      <c r="AL979" s="1">
        <v>67</v>
      </c>
    </row>
    <row r="980" spans="1:38" x14ac:dyDescent="0.2">
      <c r="A980" s="2" t="str">
        <f>HYPERLINK("https://www.compass.com/listing/121-east-22nd-street-unit-n703-manhattan-ny-10010/165104141373388721/","121 E 22nd St, Unit N703")</f>
        <v>121 E 22nd St, Unit N703</v>
      </c>
      <c r="B980" s="2" t="str">
        <f>HYPERLINK("https://www.compass.com/building/121-e-22nd-manhattan-ny/292795784653461493/","121 E 22nd")</f>
        <v>121 E 22nd</v>
      </c>
      <c r="C980" s="1" t="s">
        <v>54</v>
      </c>
      <c r="D980" s="1" t="s">
        <v>41</v>
      </c>
      <c r="E980" s="3">
        <v>1360000</v>
      </c>
      <c r="F980" s="1">
        <v>2207.7922077921999</v>
      </c>
      <c r="G980" s="1">
        <v>2</v>
      </c>
      <c r="H980" s="1" t="s">
        <v>79</v>
      </c>
      <c r="I980" s="1">
        <v>1</v>
      </c>
      <c r="J980" s="1">
        <v>1</v>
      </c>
      <c r="K980" s="1">
        <v>1</v>
      </c>
      <c r="M980" s="1">
        <v>616</v>
      </c>
      <c r="N980" s="1">
        <v>675</v>
      </c>
      <c r="O980" s="1">
        <v>1875</v>
      </c>
      <c r="P980" s="1">
        <v>1200</v>
      </c>
      <c r="Q980" s="1" t="s">
        <v>42</v>
      </c>
      <c r="S980" s="1" t="s">
        <v>42</v>
      </c>
      <c r="T980" s="1" t="s">
        <v>170</v>
      </c>
      <c r="U980" s="1">
        <v>209</v>
      </c>
      <c r="V980" s="5">
        <v>44334</v>
      </c>
      <c r="W980" s="5">
        <v>43480</v>
      </c>
      <c r="X980" s="1">
        <v>1360000</v>
      </c>
      <c r="Y980" s="1">
        <v>1360000</v>
      </c>
      <c r="Z980" s="5">
        <v>43689</v>
      </c>
      <c r="AA980" s="1">
        <v>1360000</v>
      </c>
      <c r="AB980" s="1" t="s">
        <v>181</v>
      </c>
      <c r="AC980" s="5">
        <v>43719</v>
      </c>
      <c r="AF980" s="1">
        <v>10010</v>
      </c>
      <c r="AI980" s="1" t="s">
        <v>159</v>
      </c>
      <c r="AJ980" s="1">
        <v>2016</v>
      </c>
      <c r="AK980" s="1" t="s">
        <v>73</v>
      </c>
      <c r="AL980" s="1">
        <v>140</v>
      </c>
    </row>
    <row r="981" spans="1:38" x14ac:dyDescent="0.2">
      <c r="A981" s="2" t="str">
        <f>HYPERLINK("https://www.compass.com/listing/200-east-21st-street-unit-16b-manhattan-ny-10010/602202968047415081/","200 E 21st St, Unit 16B")</f>
        <v>200 E 21st St, Unit 16B</v>
      </c>
      <c r="B981" s="2" t="str">
        <f t="shared" ref="B981:B983" si="180">HYPERLINK("https://www.compass.com/building/200-east-21st-street-manhattan-ny/292796762689658005/","200 East 21st Street")</f>
        <v>200 East 21st Street</v>
      </c>
      <c r="C981" s="1" t="s">
        <v>54</v>
      </c>
      <c r="D981" s="1" t="s">
        <v>41</v>
      </c>
      <c r="E981" s="3">
        <v>6500000</v>
      </c>
      <c r="F981" s="1">
        <v>2407.4074074074001</v>
      </c>
      <c r="G981" s="1">
        <v>6.5</v>
      </c>
      <c r="H981" s="1">
        <v>3</v>
      </c>
      <c r="I981" s="1">
        <v>4</v>
      </c>
      <c r="J981" s="1">
        <v>3.5</v>
      </c>
      <c r="K981" s="1">
        <v>3</v>
      </c>
      <c r="L981" s="1">
        <v>1</v>
      </c>
      <c r="M981" s="4">
        <v>2700</v>
      </c>
      <c r="N981" s="1">
        <v>2845</v>
      </c>
      <c r="O981" s="1">
        <v>6312</v>
      </c>
      <c r="P981" s="1">
        <v>3467</v>
      </c>
      <c r="Q981" s="1" t="s">
        <v>42</v>
      </c>
      <c r="S981" s="1" t="s">
        <v>42</v>
      </c>
      <c r="T981" s="1" t="s">
        <v>170</v>
      </c>
      <c r="V981" s="5">
        <v>44314</v>
      </c>
      <c r="W981" s="5">
        <v>44082</v>
      </c>
      <c r="X981" s="1">
        <v>7250000</v>
      </c>
      <c r="Y981" s="1">
        <v>7250000</v>
      </c>
      <c r="Z981" s="5">
        <v>44082</v>
      </c>
      <c r="AA981" s="1">
        <v>6500000</v>
      </c>
      <c r="AB981" s="1" t="s">
        <v>729</v>
      </c>
      <c r="AC981" s="5">
        <v>44279</v>
      </c>
      <c r="AF981" s="1">
        <v>10010</v>
      </c>
      <c r="AI981" s="1" t="s">
        <v>83</v>
      </c>
      <c r="AJ981" s="1">
        <v>2018</v>
      </c>
      <c r="AK981" s="1" t="s">
        <v>98</v>
      </c>
      <c r="AL981" s="1">
        <v>67</v>
      </c>
    </row>
    <row r="982" spans="1:38" x14ac:dyDescent="0.2">
      <c r="A982" s="2" t="str">
        <f>HYPERLINK("https://www.compass.com/listing/200-east-21st-street-unit-ph-manhattan-ny-10010/556964962743283313/","200 E 21st St, Unit PH")</f>
        <v>200 E 21st St, Unit PH</v>
      </c>
      <c r="B982" s="2" t="str">
        <f t="shared" si="180"/>
        <v>200 East 21st Street</v>
      </c>
      <c r="C982" s="1" t="s">
        <v>54</v>
      </c>
      <c r="D982" s="1" t="s">
        <v>41</v>
      </c>
      <c r="E982" s="3">
        <v>10800000</v>
      </c>
      <c r="F982" s="1">
        <v>2844.3508032657301</v>
      </c>
      <c r="G982" s="1">
        <v>9</v>
      </c>
      <c r="H982" s="1">
        <v>4</v>
      </c>
      <c r="I982" s="1">
        <v>5</v>
      </c>
      <c r="J982" s="1">
        <v>4.5</v>
      </c>
      <c r="K982" s="1">
        <v>4</v>
      </c>
      <c r="L982" s="1">
        <v>1</v>
      </c>
      <c r="M982" s="4">
        <v>3797</v>
      </c>
      <c r="N982" s="1">
        <v>4358</v>
      </c>
      <c r="O982" s="1">
        <v>9669</v>
      </c>
      <c r="P982" s="1">
        <v>5311</v>
      </c>
      <c r="Q982" s="1" t="s">
        <v>42</v>
      </c>
      <c r="S982" s="1" t="s">
        <v>42</v>
      </c>
      <c r="T982" s="1" t="s">
        <v>170</v>
      </c>
      <c r="V982" s="5">
        <v>44314</v>
      </c>
      <c r="W982" s="5">
        <v>44019</v>
      </c>
      <c r="X982" s="1">
        <v>13500000</v>
      </c>
      <c r="Y982" s="1">
        <v>13500000</v>
      </c>
      <c r="Z982" s="5">
        <v>44019</v>
      </c>
      <c r="AA982" s="1">
        <v>10800000</v>
      </c>
      <c r="AB982" s="1" t="s">
        <v>730</v>
      </c>
      <c r="AC982" s="5">
        <v>44278</v>
      </c>
      <c r="AF982" s="1">
        <v>10010</v>
      </c>
      <c r="AI982" s="1" t="s">
        <v>90</v>
      </c>
      <c r="AJ982" s="1">
        <v>2018</v>
      </c>
      <c r="AK982" s="1" t="s">
        <v>73</v>
      </c>
      <c r="AL982" s="1">
        <v>67</v>
      </c>
    </row>
    <row r="983" spans="1:38" x14ac:dyDescent="0.2">
      <c r="A983" s="2" t="str">
        <f>HYPERLINK("https://www.compass.com/listing/200-east-21st-street-unit-5e-manhattan-ny-10010/350532645355596177/","200 E 21st St, Unit 5E")</f>
        <v>200 E 21st St, Unit 5E</v>
      </c>
      <c r="B983" s="2" t="str">
        <f t="shared" si="180"/>
        <v>200 East 21st Street</v>
      </c>
      <c r="C983" s="1" t="s">
        <v>54</v>
      </c>
      <c r="D983" s="1" t="s">
        <v>41</v>
      </c>
      <c r="E983" s="3">
        <v>1690255</v>
      </c>
      <c r="F983" s="1">
        <v>1641.02384466019</v>
      </c>
      <c r="G983" s="1">
        <v>3</v>
      </c>
      <c r="H983" s="1">
        <v>1</v>
      </c>
      <c r="I983" s="1">
        <v>2</v>
      </c>
      <c r="J983" s="1">
        <v>1.5</v>
      </c>
      <c r="K983" s="1">
        <v>1</v>
      </c>
      <c r="L983" s="1">
        <v>1</v>
      </c>
      <c r="M983" s="4">
        <v>1030</v>
      </c>
      <c r="N983" s="1">
        <v>982</v>
      </c>
      <c r="O983" s="1">
        <v>2178</v>
      </c>
      <c r="P983" s="1">
        <v>1196</v>
      </c>
      <c r="Q983" s="1" t="s">
        <v>694</v>
      </c>
      <c r="S983" s="1" t="s">
        <v>695</v>
      </c>
      <c r="T983" s="1" t="s">
        <v>170</v>
      </c>
      <c r="U983" s="1">
        <v>254</v>
      </c>
      <c r="V983" s="5">
        <v>44084</v>
      </c>
      <c r="W983" s="5">
        <v>43734</v>
      </c>
      <c r="X983" s="1">
        <v>1900000</v>
      </c>
      <c r="Y983" s="1">
        <v>1795000</v>
      </c>
      <c r="AA983" s="1">
        <v>1690254.56</v>
      </c>
      <c r="AB983" s="1" t="s">
        <v>726</v>
      </c>
      <c r="AC983" s="5">
        <v>44141</v>
      </c>
      <c r="AF983" s="1">
        <v>10010</v>
      </c>
      <c r="AI983" s="1" t="s">
        <v>86</v>
      </c>
      <c r="AJ983" s="1">
        <v>2018</v>
      </c>
      <c r="AK983" s="1" t="s">
        <v>49</v>
      </c>
      <c r="AL983" s="1">
        <v>67</v>
      </c>
    </row>
    <row r="984" spans="1:38" x14ac:dyDescent="0.2">
      <c r="A984" s="2" t="str">
        <f>HYPERLINK("https://www.compass.com/listing/150-east-23rd-street-unit-9d-manhattan-ny-10010/122395327897592945/","150 E 23rd St, Unit 9D")</f>
        <v>150 E 23rd St, Unit 9D</v>
      </c>
      <c r="B984" s="2" t="str">
        <f>HYPERLINK("https://www.compass.com/building/celeste-gramercy-manhattan-ny/292795972759607813/","Celeste Gramercy")</f>
        <v>Celeste Gramercy</v>
      </c>
      <c r="C984" s="1" t="s">
        <v>54</v>
      </c>
      <c r="D984" s="1" t="s">
        <v>41</v>
      </c>
      <c r="E984" s="3">
        <v>2600000</v>
      </c>
      <c r="F984" s="1">
        <v>1996.9278033794101</v>
      </c>
      <c r="G984" s="1">
        <v>4</v>
      </c>
      <c r="H984" s="1">
        <v>2</v>
      </c>
      <c r="I984" s="1">
        <v>3</v>
      </c>
      <c r="J984" s="1">
        <v>2.5</v>
      </c>
      <c r="K984" s="1">
        <v>2</v>
      </c>
      <c r="L984" s="1">
        <v>1</v>
      </c>
      <c r="M984" s="4">
        <v>1302</v>
      </c>
      <c r="N984" s="1">
        <v>1785</v>
      </c>
      <c r="O984" s="1">
        <v>3458</v>
      </c>
      <c r="P984" s="1">
        <v>1673</v>
      </c>
      <c r="Q984" s="1" t="s">
        <v>42</v>
      </c>
      <c r="S984" s="1" t="s">
        <v>42</v>
      </c>
      <c r="T984" s="1" t="s">
        <v>170</v>
      </c>
      <c r="V984" s="5">
        <v>44412</v>
      </c>
      <c r="W984" s="5">
        <v>44279</v>
      </c>
      <c r="Y984" s="1">
        <v>2600000</v>
      </c>
      <c r="Z984" s="5">
        <v>44279</v>
      </c>
      <c r="AA984" s="1">
        <v>2600000</v>
      </c>
      <c r="AB984" s="1" t="s">
        <v>181</v>
      </c>
      <c r="AC984" s="5">
        <v>44411</v>
      </c>
      <c r="AF984" s="1">
        <v>10010</v>
      </c>
      <c r="AI984" s="1" t="s">
        <v>53</v>
      </c>
      <c r="AJ984" s="1">
        <v>2018</v>
      </c>
      <c r="AK984" s="1" t="s">
        <v>73</v>
      </c>
      <c r="AL984" s="1">
        <v>51</v>
      </c>
    </row>
    <row r="985" spans="1:38" x14ac:dyDescent="0.2">
      <c r="A985" s="2" t="str">
        <f>HYPERLINK("https://www.compass.com/listing/150-west-12th-street-unit-m5-manhattan-ny-10011/693103636537024345/","150 W 12th St, Unit M5")</f>
        <v>150 W 12th St, Unit M5</v>
      </c>
      <c r="B985" s="2" t="str">
        <f>HYPERLINK("https://www.compass.com/building/the-greenwich-lane-manhattan-ny/567553885067785157/","The Greenwich Lane")</f>
        <v>The Greenwich Lane</v>
      </c>
      <c r="C985" s="1" t="s">
        <v>71</v>
      </c>
      <c r="D985" s="1" t="s">
        <v>41</v>
      </c>
      <c r="E985" s="3">
        <v>15250000</v>
      </c>
      <c r="F985" s="1">
        <v>2668.8834441722001</v>
      </c>
      <c r="H985" s="1">
        <v>5</v>
      </c>
      <c r="J985" s="1">
        <v>5.5</v>
      </c>
      <c r="K985" s="1">
        <v>5</v>
      </c>
      <c r="L985" s="1">
        <v>1</v>
      </c>
      <c r="M985" s="4">
        <v>5714</v>
      </c>
      <c r="N985" s="1">
        <v>9912.98</v>
      </c>
      <c r="O985" s="1">
        <v>22348.48</v>
      </c>
      <c r="P985" s="1">
        <v>12435.5</v>
      </c>
      <c r="Q985" s="1" t="s">
        <v>42</v>
      </c>
      <c r="S985" s="1" t="s">
        <v>42</v>
      </c>
      <c r="T985" s="1" t="s">
        <v>170</v>
      </c>
      <c r="AA985" s="1">
        <v>15250000</v>
      </c>
      <c r="AB985" s="1" t="s">
        <v>731</v>
      </c>
      <c r="AC985" s="5">
        <v>43902</v>
      </c>
      <c r="AF985" s="1">
        <v>10011</v>
      </c>
      <c r="AI985" s="1" t="s">
        <v>59</v>
      </c>
      <c r="AK985" s="1" t="s">
        <v>49</v>
      </c>
      <c r="AL985" s="1">
        <v>24</v>
      </c>
    </row>
    <row r="986" spans="1:38" x14ac:dyDescent="0.2">
      <c r="A986" s="2" t="str">
        <f>HYPERLINK("https://www.compass.com/listing/80-east-10th-street-unit-3e-manhattan-ny-10003/29515141565414881/","80 E 10th St, Unit 3E")</f>
        <v>80 E 10th St, Unit 3E</v>
      </c>
      <c r="B986" s="2" t="str">
        <f>HYPERLINK("https://www.compass.com/building/80-e-10th-st-manhattan-ny-10003/282059393531414101/","80 E 10th St")</f>
        <v>80 E 10th St</v>
      </c>
      <c r="C986" s="1" t="s">
        <v>370</v>
      </c>
      <c r="D986" s="1" t="s">
        <v>41</v>
      </c>
      <c r="E986" s="3">
        <v>2087413</v>
      </c>
      <c r="F986" s="1">
        <v>2259.10443722943</v>
      </c>
      <c r="G986" s="1">
        <v>2</v>
      </c>
      <c r="H986" s="1">
        <v>1</v>
      </c>
      <c r="I986" s="1">
        <v>2</v>
      </c>
      <c r="J986" s="1">
        <v>1.5</v>
      </c>
      <c r="K986" s="1">
        <v>1</v>
      </c>
      <c r="L986" s="1">
        <v>1</v>
      </c>
      <c r="M986" s="1">
        <v>924</v>
      </c>
      <c r="N986" s="1">
        <v>1072</v>
      </c>
      <c r="O986" s="1">
        <v>1571</v>
      </c>
      <c r="P986" s="1">
        <v>499</v>
      </c>
      <c r="Q986" s="1" t="s">
        <v>42</v>
      </c>
      <c r="S986" s="1" t="s">
        <v>42</v>
      </c>
      <c r="T986" s="1" t="s">
        <v>170</v>
      </c>
      <c r="U986" s="1">
        <v>31</v>
      </c>
      <c r="V986" s="5">
        <v>43669</v>
      </c>
      <c r="W986" s="5">
        <v>43011</v>
      </c>
      <c r="X986" s="1">
        <v>2050000</v>
      </c>
      <c r="Y986" s="1">
        <v>2050000</v>
      </c>
      <c r="Z986" s="5">
        <v>43042</v>
      </c>
      <c r="AA986" s="1">
        <v>2087412.5</v>
      </c>
      <c r="AB986" s="1" t="s">
        <v>732</v>
      </c>
      <c r="AC986" s="5">
        <v>43647</v>
      </c>
      <c r="AF986" s="1">
        <v>10003</v>
      </c>
      <c r="AI986" s="1" t="s">
        <v>112</v>
      </c>
      <c r="AJ986" s="1">
        <v>2018</v>
      </c>
      <c r="AK986" s="1" t="s">
        <v>108</v>
      </c>
      <c r="AL986" s="1">
        <v>12</v>
      </c>
    </row>
    <row r="987" spans="1:38" x14ac:dyDescent="0.2">
      <c r="A987" s="2" t="str">
        <f>HYPERLINK("https://www.compass.com/listing/150-east-23rd-street-unit-6a-manhattan-ny-10010/196402795883117233/","150 E 23rd St, Unit 6A")</f>
        <v>150 E 23rd St, Unit 6A</v>
      </c>
      <c r="B987" s="2" t="str">
        <f>HYPERLINK("https://www.compass.com/building/celeste-gramercy-manhattan-ny/292795972759607813/","Celeste Gramercy")</f>
        <v>Celeste Gramercy</v>
      </c>
      <c r="C987" s="1" t="s">
        <v>54</v>
      </c>
      <c r="D987" s="1" t="s">
        <v>41</v>
      </c>
      <c r="E987" s="3">
        <v>1321689</v>
      </c>
      <c r="F987" s="1">
        <v>1882.7471509971499</v>
      </c>
      <c r="G987" s="1">
        <v>3</v>
      </c>
      <c r="H987" s="1">
        <v>1</v>
      </c>
      <c r="I987" s="1">
        <v>1</v>
      </c>
      <c r="J987" s="1">
        <v>1</v>
      </c>
      <c r="K987" s="1">
        <v>1</v>
      </c>
      <c r="M987" s="1">
        <v>702</v>
      </c>
      <c r="N987" s="1">
        <v>920</v>
      </c>
      <c r="O987" s="1">
        <v>1782</v>
      </c>
      <c r="P987" s="1">
        <v>862</v>
      </c>
      <c r="Q987" s="1" t="s">
        <v>42</v>
      </c>
      <c r="S987" s="1" t="s">
        <v>42</v>
      </c>
      <c r="T987" s="1" t="s">
        <v>170</v>
      </c>
      <c r="U987" s="1">
        <v>21</v>
      </c>
      <c r="V987" s="5">
        <v>44352</v>
      </c>
      <c r="W987" s="5">
        <v>44285</v>
      </c>
      <c r="X987" s="1">
        <v>1333000</v>
      </c>
      <c r="Y987" s="1">
        <v>1333000</v>
      </c>
      <c r="Z987" s="5">
        <v>44307</v>
      </c>
      <c r="AA987" s="1">
        <v>1321688.5</v>
      </c>
      <c r="AB987" s="1" t="s">
        <v>733</v>
      </c>
      <c r="AC987" s="5">
        <v>44350</v>
      </c>
      <c r="AF987" s="1">
        <v>10010</v>
      </c>
      <c r="AI987" s="1" t="s">
        <v>53</v>
      </c>
      <c r="AJ987" s="1">
        <v>2018</v>
      </c>
      <c r="AK987" s="1" t="s">
        <v>46</v>
      </c>
      <c r="AL987" s="1">
        <v>51</v>
      </c>
    </row>
    <row r="988" spans="1:38" x14ac:dyDescent="0.2">
      <c r="A988" s="2" t="str">
        <f>HYPERLINK("https://www.compass.com/listing/200-east-21st-street-unit-4e-manhattan-ny-10010/602588809664252841/","200 E 21st St, Unit 4E")</f>
        <v>200 E 21st St, Unit 4E</v>
      </c>
      <c r="B988" s="2" t="str">
        <f>HYPERLINK("https://www.compass.com/building/200-east-21st-street-manhattan-ny/292796762689658005/","200 East 21st Street")</f>
        <v>200 East 21st Street</v>
      </c>
      <c r="C988" s="1" t="s">
        <v>54</v>
      </c>
      <c r="D988" s="1" t="s">
        <v>41</v>
      </c>
      <c r="E988" s="3">
        <v>1600000</v>
      </c>
      <c r="F988" s="1">
        <v>1553.39805825242</v>
      </c>
      <c r="G988" s="1">
        <v>3</v>
      </c>
      <c r="H988" s="1">
        <v>1</v>
      </c>
      <c r="I988" s="1">
        <v>2</v>
      </c>
      <c r="J988" s="1">
        <v>1.5</v>
      </c>
      <c r="K988" s="1">
        <v>1</v>
      </c>
      <c r="L988" s="1">
        <v>1</v>
      </c>
      <c r="M988" s="4">
        <v>1030</v>
      </c>
      <c r="N988" s="1">
        <v>979</v>
      </c>
      <c r="O988" s="1">
        <v>2172</v>
      </c>
      <c r="P988" s="1">
        <v>1193</v>
      </c>
      <c r="Q988" s="1" t="s">
        <v>694</v>
      </c>
      <c r="S988" s="1" t="s">
        <v>695</v>
      </c>
      <c r="T988" s="1" t="s">
        <v>170</v>
      </c>
      <c r="U988" s="1">
        <v>64</v>
      </c>
      <c r="V988" s="5">
        <v>44180</v>
      </c>
      <c r="W988" s="5">
        <v>44082</v>
      </c>
      <c r="X988" s="1">
        <v>1775000</v>
      </c>
      <c r="Y988" s="1">
        <v>1775000</v>
      </c>
      <c r="Z988" s="5">
        <v>44147</v>
      </c>
      <c r="AA988" s="1">
        <v>1600000</v>
      </c>
      <c r="AB988" s="1" t="s">
        <v>734</v>
      </c>
      <c r="AC988" s="5">
        <v>44172</v>
      </c>
      <c r="AF988" s="1">
        <v>10010</v>
      </c>
      <c r="AI988" s="1" t="s">
        <v>86</v>
      </c>
      <c r="AJ988" s="1">
        <v>2018</v>
      </c>
      <c r="AK988" s="1" t="s">
        <v>77</v>
      </c>
      <c r="AL988" s="1">
        <v>67</v>
      </c>
    </row>
    <row r="989" spans="1:38" x14ac:dyDescent="0.2">
      <c r="A989" s="2" t="str">
        <f>HYPERLINK("https://www.compass.com/listing/121-east-22nd-street-unit-n507-manhattan-ny-10010/34698235679467921/","121 E 22nd St, Unit N507")</f>
        <v>121 E 22nd St, Unit N507</v>
      </c>
      <c r="B989" s="2" t="str">
        <f t="shared" ref="B989:B992" si="181">HYPERLINK("https://www.compass.com/building/121-e-22nd-manhattan-ny/292795784653461493/","121 E 22nd")</f>
        <v>121 E 22nd</v>
      </c>
      <c r="C989" s="1" t="s">
        <v>54</v>
      </c>
      <c r="D989" s="1" t="s">
        <v>41</v>
      </c>
      <c r="E989" s="3">
        <v>1374638</v>
      </c>
      <c r="F989" s="1">
        <v>1870.25578231292</v>
      </c>
      <c r="G989" s="1">
        <v>2</v>
      </c>
      <c r="H989" s="1" t="s">
        <v>79</v>
      </c>
      <c r="I989" s="1">
        <v>1</v>
      </c>
      <c r="J989" s="1">
        <v>1</v>
      </c>
      <c r="K989" s="1">
        <v>1</v>
      </c>
      <c r="M989" s="1">
        <v>735</v>
      </c>
      <c r="N989" s="1">
        <v>775</v>
      </c>
      <c r="O989" s="1">
        <v>2145</v>
      </c>
      <c r="P989" s="1">
        <v>1370</v>
      </c>
      <c r="Q989" s="1" t="s">
        <v>42</v>
      </c>
      <c r="S989" s="1" t="s">
        <v>42</v>
      </c>
      <c r="T989" s="1" t="s">
        <v>170</v>
      </c>
      <c r="V989" s="5">
        <v>44373</v>
      </c>
      <c r="W989" s="5">
        <v>43315</v>
      </c>
      <c r="X989" s="1">
        <v>1350000</v>
      </c>
      <c r="Y989" s="1">
        <v>1350000</v>
      </c>
      <c r="Z989" s="5">
        <v>43315</v>
      </c>
      <c r="AA989" s="1">
        <v>1374638</v>
      </c>
      <c r="AB989" s="1" t="s">
        <v>735</v>
      </c>
      <c r="AC989" s="5">
        <v>43546</v>
      </c>
      <c r="AF989" s="1">
        <v>10010</v>
      </c>
      <c r="AI989" s="1" t="s">
        <v>75</v>
      </c>
      <c r="AJ989" s="1">
        <v>2016</v>
      </c>
      <c r="AK989" s="1" t="s">
        <v>73</v>
      </c>
      <c r="AL989" s="1">
        <v>140</v>
      </c>
    </row>
    <row r="990" spans="1:38" x14ac:dyDescent="0.2">
      <c r="A990" s="2" t="str">
        <f>HYPERLINK("https://www.compass.com/listing/121-east-22nd-street-unit-n603-manhattan-ny-10010/34705205555708401/","121 E 22nd St, Unit N603")</f>
        <v>121 E 22nd St, Unit N603</v>
      </c>
      <c r="B990" s="2" t="str">
        <f t="shared" si="181"/>
        <v>121 E 22nd</v>
      </c>
      <c r="C990" s="1" t="s">
        <v>54</v>
      </c>
      <c r="D990" s="1" t="s">
        <v>41</v>
      </c>
      <c r="E990" s="3">
        <v>1359364</v>
      </c>
      <c r="F990" s="1">
        <v>2206.7597402597398</v>
      </c>
      <c r="G990" s="1">
        <v>2</v>
      </c>
      <c r="H990" s="1" t="s">
        <v>79</v>
      </c>
      <c r="I990" s="1">
        <v>1</v>
      </c>
      <c r="J990" s="1">
        <v>1</v>
      </c>
      <c r="K990" s="1">
        <v>1</v>
      </c>
      <c r="M990" s="1">
        <v>616</v>
      </c>
      <c r="N990" s="1">
        <v>667</v>
      </c>
      <c r="O990" s="1">
        <v>1849</v>
      </c>
      <c r="P990" s="1">
        <v>1182</v>
      </c>
      <c r="Q990" s="1" t="s">
        <v>42</v>
      </c>
      <c r="S990" s="1" t="s">
        <v>42</v>
      </c>
      <c r="T990" s="1" t="s">
        <v>170</v>
      </c>
      <c r="V990" s="5">
        <v>44373</v>
      </c>
      <c r="W990" s="5">
        <v>43315</v>
      </c>
      <c r="X990" s="1">
        <v>1335000</v>
      </c>
      <c r="Y990" s="1">
        <v>1335000</v>
      </c>
      <c r="Z990" s="5">
        <v>43315</v>
      </c>
      <c r="AA990" s="1">
        <v>1359364</v>
      </c>
      <c r="AB990" s="1" t="s">
        <v>736</v>
      </c>
      <c r="AC990" s="5">
        <v>43540</v>
      </c>
      <c r="AF990" s="1">
        <v>10010</v>
      </c>
      <c r="AI990" s="1" t="s">
        <v>75</v>
      </c>
      <c r="AJ990" s="1">
        <v>2016</v>
      </c>
      <c r="AK990" s="1" t="s">
        <v>73</v>
      </c>
      <c r="AL990" s="1">
        <v>140</v>
      </c>
    </row>
    <row r="991" spans="1:38" x14ac:dyDescent="0.2">
      <c r="A991" s="2" t="str">
        <f>HYPERLINK("https://www.compass.com/listing/121-east-22nd-street-unit-n407-manhattan-ny-10010/99043158318436657/","121 E 22nd St, Unit N407")</f>
        <v>121 E 22nd St, Unit N407</v>
      </c>
      <c r="B991" s="2" t="str">
        <f t="shared" si="181"/>
        <v>121 E 22nd</v>
      </c>
      <c r="C991" s="1" t="s">
        <v>54</v>
      </c>
      <c r="D991" s="1" t="s">
        <v>41</v>
      </c>
      <c r="E991" s="3">
        <v>1400094</v>
      </c>
      <c r="G991" s="1">
        <v>2</v>
      </c>
      <c r="H991" s="1" t="s">
        <v>79</v>
      </c>
      <c r="I991" s="1">
        <v>1</v>
      </c>
      <c r="J991" s="1">
        <v>1</v>
      </c>
      <c r="K991" s="1">
        <v>1</v>
      </c>
      <c r="Q991" s="1" t="s">
        <v>42</v>
      </c>
      <c r="S991" s="1" t="s">
        <v>42</v>
      </c>
      <c r="T991" s="1" t="s">
        <v>170</v>
      </c>
      <c r="V991" s="5">
        <v>44334</v>
      </c>
      <c r="W991" s="5">
        <v>43389</v>
      </c>
      <c r="X991" s="1">
        <v>1375000</v>
      </c>
      <c r="Y991" s="1">
        <v>1375000</v>
      </c>
      <c r="Z991" s="5">
        <v>43389</v>
      </c>
      <c r="AA991" s="1">
        <v>1400094</v>
      </c>
      <c r="AB991" s="1" t="s">
        <v>737</v>
      </c>
      <c r="AC991" s="5">
        <v>43543</v>
      </c>
      <c r="AF991" s="1">
        <v>10010</v>
      </c>
      <c r="AI991" s="1" t="s">
        <v>75</v>
      </c>
      <c r="AJ991" s="1">
        <v>2016</v>
      </c>
      <c r="AK991" s="1" t="s">
        <v>73</v>
      </c>
      <c r="AL991" s="1">
        <v>140</v>
      </c>
    </row>
    <row r="992" spans="1:38" x14ac:dyDescent="0.2">
      <c r="A992" s="2" t="str">
        <f>HYPERLINK("https://www.compass.com/listing/121-east-22nd-street-unit-n1203-manhattan-ny-10010/99043158905677409/","121 E 22nd St, Unit N1203")</f>
        <v>121 E 22nd St, Unit N1203</v>
      </c>
      <c r="B992" s="2" t="str">
        <f t="shared" si="181"/>
        <v>121 E 22nd</v>
      </c>
      <c r="C992" s="1" t="s">
        <v>54</v>
      </c>
      <c r="D992" s="1" t="s">
        <v>41</v>
      </c>
      <c r="E992" s="3">
        <v>1486645</v>
      </c>
      <c r="G992" s="1">
        <v>2</v>
      </c>
      <c r="H992" s="1" t="s">
        <v>79</v>
      </c>
      <c r="I992" s="1">
        <v>1</v>
      </c>
      <c r="J992" s="1">
        <v>1</v>
      </c>
      <c r="K992" s="1">
        <v>1</v>
      </c>
      <c r="Q992" s="1" t="s">
        <v>42</v>
      </c>
      <c r="S992" s="1" t="s">
        <v>42</v>
      </c>
      <c r="T992" s="1" t="s">
        <v>170</v>
      </c>
      <c r="V992" s="5">
        <v>44057</v>
      </c>
      <c r="W992" s="5">
        <v>43388</v>
      </c>
      <c r="X992" s="1">
        <v>1460000</v>
      </c>
      <c r="Y992" s="1">
        <v>1460000</v>
      </c>
      <c r="Z992" s="5">
        <v>43388</v>
      </c>
      <c r="AA992" s="1">
        <v>1486645</v>
      </c>
      <c r="AB992" s="1" t="s">
        <v>738</v>
      </c>
      <c r="AC992" s="5">
        <v>43592</v>
      </c>
      <c r="AF992" s="1">
        <v>10010</v>
      </c>
      <c r="AI992" s="1" t="s">
        <v>75</v>
      </c>
      <c r="AJ992" s="1">
        <v>2016</v>
      </c>
      <c r="AK992" s="1" t="s">
        <v>73</v>
      </c>
      <c r="AL992" s="1">
        <v>140</v>
      </c>
    </row>
    <row r="993" spans="1:38" x14ac:dyDescent="0.2">
      <c r="A993" s="2" t="str">
        <f>HYPERLINK("https://www.compass.com/listing/116-university-place-unit-ph-manhattan-ny-10003/29509476235132065/","116 University Pl, Unit PH")</f>
        <v>116 University Pl, Unit PH</v>
      </c>
      <c r="B993" s="2" t="str">
        <f>HYPERLINK("https://www.compass.com/building/116-university-pl-manhattan-ny-10003/281889070185973877/","116 University Pl")</f>
        <v>116 University Pl</v>
      </c>
      <c r="C993" s="1" t="s">
        <v>370</v>
      </c>
      <c r="D993" s="1" t="s">
        <v>41</v>
      </c>
      <c r="E993" s="3">
        <v>9700000</v>
      </c>
      <c r="F993" s="1">
        <v>3102.0147105852202</v>
      </c>
      <c r="G993" s="1">
        <v>7</v>
      </c>
      <c r="H993" s="1">
        <v>3</v>
      </c>
      <c r="I993" s="1">
        <v>4</v>
      </c>
      <c r="J993" s="1">
        <v>3.5</v>
      </c>
      <c r="K993" s="1">
        <v>3</v>
      </c>
      <c r="L993" s="1">
        <v>1</v>
      </c>
      <c r="M993" s="4">
        <v>3127</v>
      </c>
      <c r="N993" s="1">
        <v>8059</v>
      </c>
      <c r="O993" s="1">
        <v>11739</v>
      </c>
      <c r="P993" s="1">
        <v>3680</v>
      </c>
      <c r="Q993" s="1" t="s">
        <v>42</v>
      </c>
      <c r="S993" s="1" t="s">
        <v>42</v>
      </c>
      <c r="T993" s="1" t="s">
        <v>170</v>
      </c>
      <c r="U993" s="1">
        <v>120</v>
      </c>
      <c r="V993" s="5">
        <v>43630</v>
      </c>
      <c r="W993" s="5">
        <v>42893</v>
      </c>
      <c r="X993" s="1">
        <v>9950000</v>
      </c>
      <c r="Y993" s="1">
        <v>9950000</v>
      </c>
      <c r="Z993" s="5">
        <v>43013</v>
      </c>
      <c r="AA993" s="1">
        <v>9700000</v>
      </c>
      <c r="AB993" s="1" t="s">
        <v>181</v>
      </c>
      <c r="AC993" s="5">
        <v>43484</v>
      </c>
      <c r="AF993" s="1">
        <v>10003</v>
      </c>
      <c r="AI993" s="1" t="s">
        <v>739</v>
      </c>
      <c r="AJ993" s="1">
        <v>2018</v>
      </c>
      <c r="AK993" s="1" t="s">
        <v>740</v>
      </c>
      <c r="AL993" s="1">
        <v>5</v>
      </c>
    </row>
    <row r="994" spans="1:38" x14ac:dyDescent="0.2">
      <c r="A994" s="2" t="str">
        <f>HYPERLINK("https://www.compass.com/listing/200-east-21st-street-unit-6b-manhattan-ny-10010/803345916970860801/","200 E 21st St, Unit 6B")</f>
        <v>200 E 21st St, Unit 6B</v>
      </c>
      <c r="B994" s="2" t="str">
        <f t="shared" ref="B994:B995" si="182">HYPERLINK("https://www.compass.com/building/200-east-21st-street-manhattan-ny/292796762689658005/","200 East 21st Street")</f>
        <v>200 East 21st Street</v>
      </c>
      <c r="C994" s="1" t="s">
        <v>54</v>
      </c>
      <c r="D994" s="1" t="s">
        <v>41</v>
      </c>
      <c r="E994" s="3">
        <v>1600000</v>
      </c>
      <c r="F994" s="1">
        <v>2072.5388601036202</v>
      </c>
      <c r="G994" s="1">
        <v>3</v>
      </c>
      <c r="H994" s="1">
        <v>1</v>
      </c>
      <c r="I994" s="1">
        <v>1</v>
      </c>
      <c r="J994" s="1">
        <v>1</v>
      </c>
      <c r="K994" s="1">
        <v>1</v>
      </c>
      <c r="M994" s="1">
        <v>772</v>
      </c>
      <c r="N994" s="1">
        <v>755</v>
      </c>
      <c r="O994" s="1">
        <v>2169</v>
      </c>
      <c r="P994" s="1">
        <v>1414</v>
      </c>
      <c r="Q994" s="1" t="s">
        <v>694</v>
      </c>
      <c r="S994" s="1" t="s">
        <v>695</v>
      </c>
      <c r="T994" s="1" t="s">
        <v>170</v>
      </c>
      <c r="V994" s="5">
        <v>43740</v>
      </c>
      <c r="W994" s="5">
        <v>43396</v>
      </c>
      <c r="X994" s="1">
        <v>1565000</v>
      </c>
      <c r="Y994" s="1">
        <v>1565000</v>
      </c>
      <c r="Z994" s="5">
        <v>43397</v>
      </c>
      <c r="AA994" s="1">
        <v>1600000</v>
      </c>
      <c r="AB994" s="1" t="s">
        <v>693</v>
      </c>
      <c r="AC994" s="5">
        <v>43815</v>
      </c>
      <c r="AF994" s="1">
        <v>10010</v>
      </c>
      <c r="AI994" s="1" t="s">
        <v>86</v>
      </c>
      <c r="AJ994" s="1">
        <v>2018</v>
      </c>
      <c r="AK994" s="1" t="s">
        <v>49</v>
      </c>
      <c r="AL994" s="1">
        <v>67</v>
      </c>
    </row>
    <row r="995" spans="1:38" x14ac:dyDescent="0.2">
      <c r="A995" s="2" t="str">
        <f>HYPERLINK("https://www.compass.com/listing/200-east-21st-street-unit-9b-manhattan-ny-10010/803356988524432689/","200 E 21st St, Unit 9B")</f>
        <v>200 E 21st St, Unit 9B</v>
      </c>
      <c r="B995" s="2" t="str">
        <f t="shared" si="182"/>
        <v>200 East 21st Street</v>
      </c>
      <c r="C995" s="1" t="s">
        <v>54</v>
      </c>
      <c r="D995" s="1" t="s">
        <v>41</v>
      </c>
      <c r="E995" s="3">
        <v>1670250</v>
      </c>
      <c r="F995" s="1">
        <v>2160.7373868046502</v>
      </c>
      <c r="G995" s="1">
        <v>3</v>
      </c>
      <c r="H995" s="1">
        <v>1</v>
      </c>
      <c r="I995" s="1">
        <v>1</v>
      </c>
      <c r="J995" s="1">
        <v>1</v>
      </c>
      <c r="K995" s="1">
        <v>1</v>
      </c>
      <c r="M995" s="1">
        <v>773</v>
      </c>
      <c r="N995" s="1">
        <v>764</v>
      </c>
      <c r="O995" s="1">
        <v>2195</v>
      </c>
      <c r="P995" s="1">
        <v>1431</v>
      </c>
      <c r="Q995" s="1" t="s">
        <v>694</v>
      </c>
      <c r="S995" s="1" t="s">
        <v>695</v>
      </c>
      <c r="T995" s="1" t="s">
        <v>170</v>
      </c>
      <c r="U995" s="1">
        <v>132</v>
      </c>
      <c r="V995" s="5">
        <v>43742</v>
      </c>
      <c r="W995" s="5">
        <v>43245</v>
      </c>
      <c r="X995" s="1">
        <v>1625000</v>
      </c>
      <c r="Y995" s="1">
        <v>1625000</v>
      </c>
      <c r="Z995" s="5">
        <v>43378</v>
      </c>
      <c r="AA995" s="1">
        <v>1670250</v>
      </c>
      <c r="AB995" s="1" t="s">
        <v>722</v>
      </c>
      <c r="AC995" s="5">
        <v>43811</v>
      </c>
      <c r="AF995" s="1">
        <v>10010</v>
      </c>
      <c r="AI995" s="1" t="s">
        <v>86</v>
      </c>
      <c r="AJ995" s="1">
        <v>2018</v>
      </c>
      <c r="AK995" s="1" t="s">
        <v>49</v>
      </c>
      <c r="AL995" s="1">
        <v>67</v>
      </c>
    </row>
    <row r="996" spans="1:38" x14ac:dyDescent="0.2">
      <c r="A996" s="2" t="str">
        <f>HYPERLINK("https://www.compass.com/listing/150-east-23rd-street-unit-7a-manhattan-ny-10010/122395326630979793/","150 E 23rd St, Unit 7A")</f>
        <v>150 E 23rd St, Unit 7A</v>
      </c>
      <c r="B996" s="2" t="str">
        <f t="shared" ref="B996:B999" si="183">HYPERLINK("https://www.compass.com/building/celeste-gramercy-manhattan-ny/292795972759607813/","Celeste Gramercy")</f>
        <v>Celeste Gramercy</v>
      </c>
      <c r="C996" s="1" t="s">
        <v>54</v>
      </c>
      <c r="D996" s="1" t="s">
        <v>41</v>
      </c>
      <c r="E996" s="3">
        <v>1250000</v>
      </c>
      <c r="F996" s="1">
        <v>1780.6267806267799</v>
      </c>
      <c r="G996" s="1">
        <v>3</v>
      </c>
      <c r="H996" s="1">
        <v>1</v>
      </c>
      <c r="I996" s="1">
        <v>1</v>
      </c>
      <c r="J996" s="1">
        <v>1</v>
      </c>
      <c r="K996" s="1">
        <v>1</v>
      </c>
      <c r="M996" s="1">
        <v>702</v>
      </c>
      <c r="N996" s="1">
        <v>926</v>
      </c>
      <c r="O996" s="1">
        <v>1598</v>
      </c>
      <c r="P996" s="1">
        <v>672</v>
      </c>
      <c r="Q996" s="1" t="s">
        <v>42</v>
      </c>
      <c r="S996" s="1" t="s">
        <v>42</v>
      </c>
      <c r="T996" s="1" t="s">
        <v>170</v>
      </c>
      <c r="V996" s="5">
        <v>44328</v>
      </c>
      <c r="W996" s="5">
        <v>43420</v>
      </c>
      <c r="X996" s="1">
        <v>1185000</v>
      </c>
      <c r="Y996" s="1">
        <v>1185000</v>
      </c>
      <c r="Z996" s="5">
        <v>43420</v>
      </c>
      <c r="AA996" s="1">
        <v>1250000</v>
      </c>
      <c r="AB996" s="1" t="s">
        <v>181</v>
      </c>
      <c r="AC996" s="5">
        <v>44327</v>
      </c>
      <c r="AF996" s="1">
        <v>10010</v>
      </c>
      <c r="AI996" s="1" t="s">
        <v>53</v>
      </c>
      <c r="AJ996" s="1">
        <v>2018</v>
      </c>
      <c r="AK996" s="1" t="s">
        <v>73</v>
      </c>
      <c r="AL996" s="1">
        <v>51</v>
      </c>
    </row>
    <row r="997" spans="1:38" x14ac:dyDescent="0.2">
      <c r="A997" s="2" t="str">
        <f>HYPERLINK("https://www.compass.com/listing/150-east-23rd-street-unit-9a-manhattan-ny-10010/195706579587229153/","150 E 23rd St, Unit 9A")</f>
        <v>150 E 23rd St, Unit 9A</v>
      </c>
      <c r="B997" s="2" t="str">
        <f t="shared" si="183"/>
        <v>Celeste Gramercy</v>
      </c>
      <c r="C997" s="1" t="s">
        <v>54</v>
      </c>
      <c r="D997" s="1" t="s">
        <v>41</v>
      </c>
      <c r="E997" s="3">
        <v>1262920</v>
      </c>
      <c r="F997" s="1">
        <v>1799.03125356125</v>
      </c>
      <c r="G997" s="1">
        <v>3</v>
      </c>
      <c r="H997" s="1">
        <v>1</v>
      </c>
      <c r="I997" s="1">
        <v>1</v>
      </c>
      <c r="J997" s="1">
        <v>1</v>
      </c>
      <c r="K997" s="1">
        <v>1</v>
      </c>
      <c r="M997" s="1">
        <v>702</v>
      </c>
      <c r="N997" s="1">
        <v>936</v>
      </c>
      <c r="O997" s="1">
        <v>1615</v>
      </c>
      <c r="P997" s="1">
        <v>679</v>
      </c>
      <c r="Q997" s="1" t="s">
        <v>42</v>
      </c>
      <c r="S997" s="1" t="s">
        <v>42</v>
      </c>
      <c r="T997" s="1" t="s">
        <v>170</v>
      </c>
      <c r="V997" s="5">
        <v>44309</v>
      </c>
      <c r="W997" s="5">
        <v>43521</v>
      </c>
      <c r="X997" s="1">
        <v>1265000</v>
      </c>
      <c r="Y997" s="1">
        <v>1265000</v>
      </c>
      <c r="Z997" s="5">
        <v>43521</v>
      </c>
      <c r="AA997" s="1">
        <v>1262919.94</v>
      </c>
      <c r="AB997" s="1" t="s">
        <v>741</v>
      </c>
      <c r="AC997" s="5">
        <v>44308</v>
      </c>
      <c r="AF997" s="1">
        <v>10010</v>
      </c>
      <c r="AI997" s="1" t="s">
        <v>53</v>
      </c>
      <c r="AJ997" s="1">
        <v>2018</v>
      </c>
      <c r="AK997" s="1" t="s">
        <v>46</v>
      </c>
      <c r="AL997" s="1">
        <v>51</v>
      </c>
    </row>
    <row r="998" spans="1:38" x14ac:dyDescent="0.2">
      <c r="A998" s="2" t="str">
        <f>HYPERLINK("https://www.compass.com/listing/150-east-23rd-street-unit-5a-manhattan-ny-10010/195706580451255809/","150 E 23rd St, Unit 5A")</f>
        <v>150 E 23rd St, Unit 5A</v>
      </c>
      <c r="B998" s="2" t="str">
        <f t="shared" si="183"/>
        <v>Celeste Gramercy</v>
      </c>
      <c r="C998" s="1" t="s">
        <v>54</v>
      </c>
      <c r="D998" s="1" t="s">
        <v>41</v>
      </c>
      <c r="E998" s="3">
        <v>1193000</v>
      </c>
      <c r="F998" s="1">
        <v>1699.43019943019</v>
      </c>
      <c r="G998" s="1">
        <v>3</v>
      </c>
      <c r="H998" s="1">
        <v>1</v>
      </c>
      <c r="I998" s="1">
        <v>1</v>
      </c>
      <c r="J998" s="1">
        <v>1</v>
      </c>
      <c r="K998" s="1">
        <v>1</v>
      </c>
      <c r="M998" s="1">
        <v>702</v>
      </c>
      <c r="N998" s="1">
        <v>917</v>
      </c>
      <c r="O998" s="1">
        <v>1582</v>
      </c>
      <c r="P998" s="1">
        <v>665</v>
      </c>
      <c r="Q998" s="1" t="s">
        <v>42</v>
      </c>
      <c r="S998" s="1" t="s">
        <v>42</v>
      </c>
      <c r="T998" s="1" t="s">
        <v>170</v>
      </c>
      <c r="V998" s="5">
        <v>44364</v>
      </c>
      <c r="W998" s="5">
        <v>43521</v>
      </c>
      <c r="X998" s="1">
        <v>1210000</v>
      </c>
      <c r="Y998" s="1">
        <v>1210000</v>
      </c>
      <c r="Z998" s="5">
        <v>43521</v>
      </c>
      <c r="AA998" s="1">
        <v>1193000</v>
      </c>
      <c r="AB998" s="1" t="s">
        <v>742</v>
      </c>
      <c r="AC998" s="5">
        <v>44348</v>
      </c>
      <c r="AF998" s="1">
        <v>10010</v>
      </c>
      <c r="AI998" s="1" t="s">
        <v>53</v>
      </c>
      <c r="AJ998" s="1">
        <v>2018</v>
      </c>
      <c r="AK998" s="1" t="s">
        <v>46</v>
      </c>
      <c r="AL998" s="1">
        <v>51</v>
      </c>
    </row>
    <row r="999" spans="1:38" x14ac:dyDescent="0.2">
      <c r="A999" s="2" t="str">
        <f>HYPERLINK("https://www.compass.com/listing/150-east-23rd-street-unit-10a-manhattan-ny-10010/196402796487055025/","150 E 23rd St, Unit 10A")</f>
        <v>150 E 23rd St, Unit 10A</v>
      </c>
      <c r="B999" s="2" t="str">
        <f t="shared" si="183"/>
        <v>Celeste Gramercy</v>
      </c>
      <c r="C999" s="1" t="s">
        <v>54</v>
      </c>
      <c r="D999" s="1" t="s">
        <v>41</v>
      </c>
      <c r="E999" s="3">
        <v>1228000</v>
      </c>
      <c r="F999" s="1">
        <v>1749.2877492877401</v>
      </c>
      <c r="G999" s="1">
        <v>3</v>
      </c>
      <c r="H999" s="1">
        <v>1</v>
      </c>
      <c r="I999" s="1">
        <v>1</v>
      </c>
      <c r="J999" s="1">
        <v>1</v>
      </c>
      <c r="K999" s="1">
        <v>1</v>
      </c>
      <c r="M999" s="1">
        <v>702</v>
      </c>
      <c r="N999" s="1">
        <v>940</v>
      </c>
      <c r="O999" s="1">
        <v>1622</v>
      </c>
      <c r="P999" s="1">
        <v>682</v>
      </c>
      <c r="Q999" s="1" t="s">
        <v>42</v>
      </c>
      <c r="S999" s="1" t="s">
        <v>42</v>
      </c>
      <c r="T999" s="1" t="s">
        <v>170</v>
      </c>
      <c r="V999" s="5">
        <v>44290</v>
      </c>
      <c r="W999" s="5">
        <v>43522</v>
      </c>
      <c r="X999" s="1">
        <v>1285000</v>
      </c>
      <c r="Y999" s="1">
        <v>1285000</v>
      </c>
      <c r="Z999" s="5">
        <v>43522</v>
      </c>
      <c r="AA999" s="1">
        <v>1228000</v>
      </c>
      <c r="AB999" s="1" t="s">
        <v>743</v>
      </c>
      <c r="AC999" s="5">
        <v>44281</v>
      </c>
      <c r="AF999" s="1">
        <v>10010</v>
      </c>
      <c r="AI999" s="1" t="s">
        <v>53</v>
      </c>
      <c r="AJ999" s="1">
        <v>2018</v>
      </c>
      <c r="AK999" s="1" t="s">
        <v>46</v>
      </c>
      <c r="AL999" s="1">
        <v>51</v>
      </c>
    </row>
    <row r="1000" spans="1:38" x14ac:dyDescent="0.2">
      <c r="A1000" s="2" t="str">
        <f>HYPERLINK("https://www.compass.com/listing/100-barrow-street-unit-6b-manhattan-ny-10014/391346542690055809/","100 Barrow St, Unit 6B")</f>
        <v>100 Barrow St, Unit 6B</v>
      </c>
      <c r="B1000" s="2" t="str">
        <f t="shared" ref="B1000:B1002" si="184">HYPERLINK("https://www.compass.com/building/100-barrow-manhattan-ny/292834978184618837/","100 Barrow")</f>
        <v>100 Barrow</v>
      </c>
      <c r="C1000" s="1" t="s">
        <v>71</v>
      </c>
      <c r="D1000" s="1" t="s">
        <v>41</v>
      </c>
      <c r="E1000" s="3">
        <v>4400000</v>
      </c>
      <c r="F1000" s="1">
        <v>1821.94616977225</v>
      </c>
      <c r="H1000" s="1">
        <v>3</v>
      </c>
      <c r="I1000" s="1">
        <v>4</v>
      </c>
      <c r="J1000" s="1">
        <v>3.5</v>
      </c>
      <c r="K1000" s="1">
        <v>3</v>
      </c>
      <c r="L1000" s="1">
        <v>1</v>
      </c>
      <c r="M1000" s="4">
        <v>2415</v>
      </c>
      <c r="S1000" s="1" t="s">
        <v>645</v>
      </c>
      <c r="T1000" s="1" t="s">
        <v>170</v>
      </c>
      <c r="V1000" s="5">
        <v>44247</v>
      </c>
      <c r="AA1000" s="1">
        <v>4400000</v>
      </c>
      <c r="AB1000" s="1" t="s">
        <v>181</v>
      </c>
      <c r="AC1000" s="5">
        <v>43679</v>
      </c>
      <c r="AF1000" s="1">
        <v>10014</v>
      </c>
      <c r="AJ1000" s="1">
        <v>2015</v>
      </c>
      <c r="AK1000" s="1" t="s">
        <v>172</v>
      </c>
      <c r="AL1000" s="1">
        <v>33</v>
      </c>
    </row>
    <row r="1001" spans="1:38" x14ac:dyDescent="0.2">
      <c r="A1001" s="2" t="str">
        <f>HYPERLINK("https://www.compass.com/listing/100-barrow-street-unit-4b-manhattan-ny-10014/391838749423715425/","100 Barrow St, Unit 4B")</f>
        <v>100 Barrow St, Unit 4B</v>
      </c>
      <c r="B1001" s="2" t="str">
        <f t="shared" si="184"/>
        <v>100 Barrow</v>
      </c>
      <c r="C1001" s="1" t="s">
        <v>71</v>
      </c>
      <c r="D1001" s="1" t="s">
        <v>41</v>
      </c>
      <c r="E1001" s="3">
        <v>4382625</v>
      </c>
      <c r="F1001" s="1">
        <v>1814.75155279503</v>
      </c>
      <c r="H1001" s="1">
        <v>3</v>
      </c>
      <c r="J1001" s="1">
        <v>3.5</v>
      </c>
      <c r="M1001" s="4">
        <v>2415</v>
      </c>
      <c r="N1001" s="1">
        <v>6417</v>
      </c>
      <c r="O1001" s="1">
        <v>6417</v>
      </c>
      <c r="S1001" s="1" t="s">
        <v>645</v>
      </c>
      <c r="T1001" s="1" t="s">
        <v>170</v>
      </c>
      <c r="V1001" s="5">
        <v>43792</v>
      </c>
      <c r="AA1001" s="1">
        <v>4382625</v>
      </c>
      <c r="AB1001" s="1" t="s">
        <v>181</v>
      </c>
      <c r="AC1001" s="5">
        <v>43679</v>
      </c>
      <c r="AF1001" s="1">
        <v>10014</v>
      </c>
      <c r="AJ1001" s="1">
        <v>2015</v>
      </c>
      <c r="AK1001" s="1" t="s">
        <v>172</v>
      </c>
      <c r="AL1001" s="1">
        <v>33</v>
      </c>
    </row>
    <row r="1002" spans="1:38" x14ac:dyDescent="0.2">
      <c r="A1002" s="2" t="str">
        <f>HYPERLINK("https://www.compass.com/listing/100-barrow-street-unit-5b-manhattan-ny-10014/391906693541152161/","100 Barrow St, Unit 5B")</f>
        <v>100 Barrow St, Unit 5B</v>
      </c>
      <c r="B1002" s="2" t="str">
        <f t="shared" si="184"/>
        <v>100 Barrow</v>
      </c>
      <c r="C1002" s="1" t="s">
        <v>71</v>
      </c>
      <c r="D1002" s="1" t="s">
        <v>41</v>
      </c>
      <c r="E1002" s="3">
        <v>4400000</v>
      </c>
      <c r="F1002" s="1">
        <v>1821.94616977225</v>
      </c>
      <c r="H1002" s="1">
        <v>3</v>
      </c>
      <c r="J1002" s="1">
        <v>3.5</v>
      </c>
      <c r="M1002" s="4">
        <v>2415</v>
      </c>
      <c r="N1002" s="1">
        <v>6475</v>
      </c>
      <c r="O1002" s="1">
        <v>6475</v>
      </c>
      <c r="S1002" s="1" t="s">
        <v>645</v>
      </c>
      <c r="T1002" s="1" t="s">
        <v>170</v>
      </c>
      <c r="V1002" s="5">
        <v>44247</v>
      </c>
      <c r="AA1002" s="1">
        <v>4400000</v>
      </c>
      <c r="AB1002" s="1" t="s">
        <v>181</v>
      </c>
      <c r="AC1002" s="5">
        <v>43679</v>
      </c>
      <c r="AF1002" s="1">
        <v>10014</v>
      </c>
      <c r="AJ1002" s="1">
        <v>2015</v>
      </c>
      <c r="AK1002" s="1" t="s">
        <v>172</v>
      </c>
      <c r="AL1002" s="1">
        <v>33</v>
      </c>
    </row>
    <row r="1003" spans="1:38" x14ac:dyDescent="0.2">
      <c r="A1003" s="2" t="str">
        <f>HYPERLINK("https://www.compass.com/listing/200-east-21st-street-unit-3b-manhattan-ny-10010/444031762143224473/","200 E 21st St, Unit 3B")</f>
        <v>200 E 21st St, Unit 3B</v>
      </c>
      <c r="B1003" s="2" t="str">
        <f t="shared" ref="B1003:B1005" si="185">HYPERLINK("https://www.compass.com/building/200-east-21st-street-manhattan-ny/292796762689658005/","200 East 21st Street")</f>
        <v>200 East 21st Street</v>
      </c>
      <c r="C1003" s="1" t="s">
        <v>54</v>
      </c>
      <c r="D1003" s="1" t="s">
        <v>41</v>
      </c>
      <c r="E1003" s="3">
        <v>1485255</v>
      </c>
      <c r="F1003" s="1">
        <v>1923.9048704663201</v>
      </c>
      <c r="G1003" s="1">
        <v>3</v>
      </c>
      <c r="H1003" s="1">
        <v>1</v>
      </c>
      <c r="I1003" s="1">
        <v>1</v>
      </c>
      <c r="J1003" s="1">
        <v>1</v>
      </c>
      <c r="K1003" s="1">
        <v>1</v>
      </c>
      <c r="M1003" s="1">
        <v>772</v>
      </c>
      <c r="N1003" s="1">
        <v>744</v>
      </c>
      <c r="O1003" s="1">
        <v>1320</v>
      </c>
      <c r="P1003" s="1">
        <v>576</v>
      </c>
      <c r="Q1003" s="1" t="s">
        <v>694</v>
      </c>
      <c r="S1003" s="1" t="s">
        <v>695</v>
      </c>
      <c r="T1003" s="1" t="s">
        <v>170</v>
      </c>
      <c r="U1003" s="1">
        <v>29</v>
      </c>
      <c r="V1003" s="5">
        <v>43965</v>
      </c>
      <c r="W1003" s="5">
        <v>43864</v>
      </c>
      <c r="X1003" s="1">
        <v>1525000</v>
      </c>
      <c r="Y1003" s="1">
        <v>1525000</v>
      </c>
      <c r="Z1003" s="5">
        <v>43894</v>
      </c>
      <c r="AA1003" s="1">
        <v>1485254.56</v>
      </c>
      <c r="AB1003" s="1" t="s">
        <v>744</v>
      </c>
      <c r="AC1003" s="5">
        <v>43963</v>
      </c>
      <c r="AF1003" s="1">
        <v>10010</v>
      </c>
      <c r="AI1003" s="1" t="s">
        <v>52</v>
      </c>
      <c r="AJ1003" s="1">
        <v>2018</v>
      </c>
      <c r="AK1003" s="1" t="s">
        <v>49</v>
      </c>
      <c r="AL1003" s="1">
        <v>67</v>
      </c>
    </row>
    <row r="1004" spans="1:38" x14ac:dyDescent="0.2">
      <c r="A1004" s="2" t="str">
        <f>HYPERLINK("https://www.compass.com/listing/200-east-21st-street-unit-2a-manhattan-ny-10010/465146621594833329/","200 E 21st St, Unit 2A")</f>
        <v>200 E 21st St, Unit 2A</v>
      </c>
      <c r="B1004" s="2" t="str">
        <f t="shared" si="185"/>
        <v>200 East 21st Street</v>
      </c>
      <c r="C1004" s="1" t="s">
        <v>54</v>
      </c>
      <c r="D1004" s="1" t="s">
        <v>41</v>
      </c>
      <c r="E1004" s="3">
        <v>1630255</v>
      </c>
      <c r="F1004" s="1">
        <v>1891.2465893271401</v>
      </c>
      <c r="G1004" s="1">
        <v>3</v>
      </c>
      <c r="H1004" s="1">
        <v>1</v>
      </c>
      <c r="I1004" s="1">
        <v>1</v>
      </c>
      <c r="J1004" s="1">
        <v>1</v>
      </c>
      <c r="K1004" s="1">
        <v>1</v>
      </c>
      <c r="M1004" s="1">
        <v>862</v>
      </c>
      <c r="Q1004" s="1" t="s">
        <v>694</v>
      </c>
      <c r="S1004" s="1" t="s">
        <v>695</v>
      </c>
      <c r="T1004" s="1" t="s">
        <v>170</v>
      </c>
      <c r="U1004" s="1">
        <v>328</v>
      </c>
      <c r="V1004" s="5">
        <v>43968</v>
      </c>
      <c r="W1004" s="5">
        <v>43565</v>
      </c>
      <c r="X1004" s="1">
        <v>1695000</v>
      </c>
      <c r="Y1004" s="1">
        <v>1695000</v>
      </c>
      <c r="Z1004" s="5">
        <v>43894</v>
      </c>
      <c r="AA1004" s="1">
        <v>1630254.56</v>
      </c>
      <c r="AB1004" s="1" t="s">
        <v>745</v>
      </c>
      <c r="AC1004" s="5">
        <v>43966</v>
      </c>
      <c r="AF1004" s="1">
        <v>10010</v>
      </c>
      <c r="AI1004" s="1" t="s">
        <v>86</v>
      </c>
      <c r="AJ1004" s="1">
        <v>2018</v>
      </c>
      <c r="AK1004" s="1" t="s">
        <v>49</v>
      </c>
      <c r="AL1004" s="1">
        <v>67</v>
      </c>
    </row>
    <row r="1005" spans="1:38" x14ac:dyDescent="0.2">
      <c r="A1005" s="2" t="str">
        <f>HYPERLINK("https://www.compass.com/listing/200-east-21st-street-unit-4b-manhattan-ny-10010/803343082225513729/","200 E 21st St, Unit 4B")</f>
        <v>200 E 21st St, Unit 4B</v>
      </c>
      <c r="B1005" s="2" t="str">
        <f t="shared" si="185"/>
        <v>200 East 21st Street</v>
      </c>
      <c r="C1005" s="1" t="s">
        <v>54</v>
      </c>
      <c r="D1005" s="1" t="s">
        <v>41</v>
      </c>
      <c r="E1005" s="3">
        <v>1554053</v>
      </c>
      <c r="F1005" s="1">
        <v>2013.0213730569899</v>
      </c>
      <c r="G1005" s="1">
        <v>3</v>
      </c>
      <c r="H1005" s="1">
        <v>1</v>
      </c>
      <c r="I1005" s="1">
        <v>1</v>
      </c>
      <c r="J1005" s="1">
        <v>1</v>
      </c>
      <c r="K1005" s="1">
        <v>1</v>
      </c>
      <c r="M1005" s="1">
        <v>772</v>
      </c>
      <c r="N1005" s="1">
        <v>749</v>
      </c>
      <c r="O1005" s="1">
        <v>2153</v>
      </c>
      <c r="P1005" s="1">
        <v>1404</v>
      </c>
      <c r="Q1005" s="1" t="s">
        <v>694</v>
      </c>
      <c r="S1005" s="1" t="s">
        <v>695</v>
      </c>
      <c r="T1005" s="1" t="s">
        <v>170</v>
      </c>
      <c r="U1005" s="1">
        <v>609</v>
      </c>
      <c r="V1005" s="5">
        <v>43565</v>
      </c>
      <c r="W1005" s="5">
        <v>42955</v>
      </c>
      <c r="X1005" s="1">
        <v>1540000</v>
      </c>
      <c r="Y1005" s="1">
        <v>1540000</v>
      </c>
      <c r="AA1005" s="1">
        <v>1554052.5</v>
      </c>
      <c r="AB1005" s="1" t="s">
        <v>687</v>
      </c>
      <c r="AC1005" s="5">
        <v>43648</v>
      </c>
      <c r="AF1005" s="1">
        <v>10010</v>
      </c>
      <c r="AI1005" s="1" t="s">
        <v>86</v>
      </c>
      <c r="AJ1005" s="1">
        <v>2018</v>
      </c>
      <c r="AK1005" s="1" t="s">
        <v>49</v>
      </c>
      <c r="AL1005" s="1">
        <v>67</v>
      </c>
    </row>
    <row r="1006" spans="1:38" x14ac:dyDescent="0.2">
      <c r="A1006" s="2" t="str">
        <f>HYPERLINK("https://www.compass.com/listing/116-university-place-unit-4-manhattan-ny-10003/200766342624743329/","116 University Pl, Unit 4")</f>
        <v>116 University Pl, Unit 4</v>
      </c>
      <c r="B1006" s="2" t="str">
        <f>HYPERLINK("https://www.compass.com/building/116-university-pl-manhattan-ny-10003/281889070185973877/","116 University Pl")</f>
        <v>116 University Pl</v>
      </c>
      <c r="C1006" s="1" t="s">
        <v>370</v>
      </c>
      <c r="D1006" s="1" t="s">
        <v>41</v>
      </c>
      <c r="E1006" s="3">
        <v>7475000</v>
      </c>
      <c r="F1006" s="1">
        <v>2446.00785340314</v>
      </c>
      <c r="G1006" s="1">
        <v>7</v>
      </c>
      <c r="H1006" s="1">
        <v>3</v>
      </c>
      <c r="I1006" s="1">
        <v>4</v>
      </c>
      <c r="J1006" s="1">
        <v>3.5</v>
      </c>
      <c r="K1006" s="1">
        <v>3</v>
      </c>
      <c r="L1006" s="1">
        <v>1</v>
      </c>
      <c r="M1006" s="4">
        <v>3056</v>
      </c>
      <c r="N1006" s="1">
        <v>6056</v>
      </c>
      <c r="O1006" s="1">
        <v>9829</v>
      </c>
      <c r="P1006" s="1">
        <v>3773</v>
      </c>
      <c r="Q1006" s="1" t="s">
        <v>42</v>
      </c>
      <c r="S1006" s="1" t="s">
        <v>42</v>
      </c>
      <c r="T1006" s="1" t="s">
        <v>170</v>
      </c>
      <c r="V1006" s="5">
        <v>43694</v>
      </c>
      <c r="W1006" s="5">
        <v>43529</v>
      </c>
      <c r="X1006" s="1">
        <v>7475000</v>
      </c>
      <c r="Y1006" s="1">
        <v>7475000</v>
      </c>
      <c r="Z1006" s="5">
        <v>43529</v>
      </c>
      <c r="AA1006" s="1">
        <v>7475000</v>
      </c>
      <c r="AB1006" s="1" t="s">
        <v>181</v>
      </c>
      <c r="AC1006" s="5">
        <v>43620</v>
      </c>
      <c r="AF1006" s="1">
        <v>10003</v>
      </c>
      <c r="AI1006" s="1" t="s">
        <v>53</v>
      </c>
      <c r="AJ1006" s="1">
        <v>2018</v>
      </c>
      <c r="AK1006" s="1" t="s">
        <v>73</v>
      </c>
      <c r="AL1006" s="1">
        <v>5</v>
      </c>
    </row>
    <row r="1007" spans="1:38" x14ac:dyDescent="0.2">
      <c r="A1007" s="2" t="str">
        <f>HYPERLINK("https://www.compass.com/listing/21-east-12th-street-unit-5a-manhattan-ny-10003/728317736242709969/","21 E 12th St, Unit 5A")</f>
        <v>21 E 12th St, Unit 5A</v>
      </c>
      <c r="B1007" s="2" t="str">
        <f>HYPERLINK("https://www.compass.com/building/21-east-12th-street-manhattan-ny/292779727154847925/","21 East 12th Street")</f>
        <v>21 East 12th Street</v>
      </c>
      <c r="C1007" s="1" t="s">
        <v>370</v>
      </c>
      <c r="D1007" s="1" t="s">
        <v>41</v>
      </c>
      <c r="E1007" s="3">
        <v>3750000</v>
      </c>
      <c r="F1007" s="1">
        <v>2537.21244925575</v>
      </c>
      <c r="G1007" s="1">
        <v>4</v>
      </c>
      <c r="H1007" s="1">
        <v>2</v>
      </c>
      <c r="I1007" s="1">
        <v>3</v>
      </c>
      <c r="J1007" s="1">
        <v>2.5</v>
      </c>
      <c r="K1007" s="1">
        <v>2</v>
      </c>
      <c r="L1007" s="1">
        <v>1</v>
      </c>
      <c r="M1007" s="4">
        <v>1478</v>
      </c>
      <c r="N1007" s="1">
        <v>2149</v>
      </c>
      <c r="O1007" s="1">
        <v>4083</v>
      </c>
      <c r="P1007" s="1">
        <v>1934</v>
      </c>
      <c r="Q1007" s="1" t="s">
        <v>42</v>
      </c>
      <c r="S1007" s="1" t="s">
        <v>42</v>
      </c>
      <c r="T1007" s="1" t="s">
        <v>170</v>
      </c>
      <c r="U1007" s="1">
        <v>14</v>
      </c>
      <c r="V1007" s="5">
        <v>44357</v>
      </c>
      <c r="W1007" s="5">
        <v>44253</v>
      </c>
      <c r="X1007" s="1">
        <v>3850000</v>
      </c>
      <c r="Y1007" s="1">
        <v>3850000</v>
      </c>
      <c r="Z1007" s="5">
        <v>44271</v>
      </c>
      <c r="AA1007" s="1">
        <v>3750000</v>
      </c>
      <c r="AB1007" s="1" t="s">
        <v>746</v>
      </c>
      <c r="AC1007" s="5">
        <v>44333</v>
      </c>
      <c r="AF1007" s="1">
        <v>10003</v>
      </c>
      <c r="AI1007" s="1" t="s">
        <v>747</v>
      </c>
      <c r="AJ1007" s="1">
        <v>2018</v>
      </c>
      <c r="AK1007" s="1" t="s">
        <v>73</v>
      </c>
      <c r="AL1007" s="1">
        <v>52</v>
      </c>
    </row>
    <row r="1008" spans="1:38" x14ac:dyDescent="0.2">
      <c r="A1008" s="2" t="str">
        <f>HYPERLINK("https://www.compass.com/listing/150-east-23rd-street-unit-4a-manhattan-ny-10010/195706580140912625/","150 E 23rd St, Unit 4A")</f>
        <v>150 E 23rd St, Unit 4A</v>
      </c>
      <c r="B1008" s="2" t="str">
        <f>HYPERLINK("https://www.compass.com/building/celeste-gramercy-manhattan-ny/292795972759607813/","Celeste Gramercy")</f>
        <v>Celeste Gramercy</v>
      </c>
      <c r="C1008" s="1" t="s">
        <v>54</v>
      </c>
      <c r="D1008" s="1" t="s">
        <v>41</v>
      </c>
      <c r="E1008" s="3">
        <v>1138293</v>
      </c>
      <c r="F1008" s="1">
        <v>1621.5</v>
      </c>
      <c r="G1008" s="1">
        <v>3</v>
      </c>
      <c r="H1008" s="1">
        <v>1</v>
      </c>
      <c r="I1008" s="1">
        <v>1</v>
      </c>
      <c r="J1008" s="1">
        <v>1</v>
      </c>
      <c r="K1008" s="1">
        <v>1</v>
      </c>
      <c r="M1008" s="1">
        <v>702</v>
      </c>
      <c r="N1008" s="1">
        <v>913</v>
      </c>
      <c r="O1008" s="1">
        <v>1575</v>
      </c>
      <c r="P1008" s="1">
        <v>662</v>
      </c>
      <c r="Q1008" s="1" t="s">
        <v>42</v>
      </c>
      <c r="S1008" s="1" t="s">
        <v>42</v>
      </c>
      <c r="T1008" s="1" t="s">
        <v>170</v>
      </c>
      <c r="V1008" s="5">
        <v>44328</v>
      </c>
      <c r="W1008" s="5">
        <v>43521</v>
      </c>
      <c r="X1008" s="1">
        <v>1190000</v>
      </c>
      <c r="Y1008" s="1">
        <v>1190000</v>
      </c>
      <c r="Z1008" s="5">
        <v>43521</v>
      </c>
      <c r="AA1008" s="1">
        <v>1138293</v>
      </c>
      <c r="AB1008" s="1" t="s">
        <v>748</v>
      </c>
      <c r="AC1008" s="5">
        <v>44327</v>
      </c>
      <c r="AF1008" s="1">
        <v>10010</v>
      </c>
      <c r="AI1008" s="1" t="s">
        <v>53</v>
      </c>
      <c r="AJ1008" s="1">
        <v>2018</v>
      </c>
      <c r="AK1008" s="1" t="s">
        <v>46</v>
      </c>
      <c r="AL1008" s="1">
        <v>51</v>
      </c>
    </row>
    <row r="1009" spans="1:38" x14ac:dyDescent="0.2">
      <c r="A1009" s="2" t="str">
        <f>HYPERLINK("https://www.compass.com/listing/100-barrow-street-unit-9b-manhattan-ny-10014/391878299806090753/","100 Barrow St, Unit 9B")</f>
        <v>100 Barrow St, Unit 9B</v>
      </c>
      <c r="B1009" s="2" t="str">
        <f t="shared" ref="B1009:B1010" si="186">HYPERLINK("https://www.compass.com/building/100-barrow-manhattan-ny/292834978184618837/","100 Barrow")</f>
        <v>100 Barrow</v>
      </c>
      <c r="C1009" s="1" t="s">
        <v>71</v>
      </c>
      <c r="D1009" s="1" t="s">
        <v>41</v>
      </c>
      <c r="E1009" s="3">
        <v>6499990</v>
      </c>
      <c r="F1009" s="1">
        <v>2775.4013663535402</v>
      </c>
      <c r="H1009" s="1">
        <v>3</v>
      </c>
      <c r="J1009" s="1">
        <v>3.5</v>
      </c>
      <c r="M1009" s="4">
        <v>2342</v>
      </c>
      <c r="N1009" s="1">
        <v>6520</v>
      </c>
      <c r="O1009" s="1">
        <v>6520</v>
      </c>
      <c r="S1009" s="1" t="s">
        <v>645</v>
      </c>
      <c r="T1009" s="1" t="s">
        <v>170</v>
      </c>
      <c r="V1009" s="5">
        <v>43793</v>
      </c>
      <c r="AA1009" s="1">
        <v>6499990</v>
      </c>
      <c r="AB1009" s="1" t="s">
        <v>181</v>
      </c>
      <c r="AC1009" s="5">
        <v>43679</v>
      </c>
      <c r="AF1009" s="1">
        <v>10014</v>
      </c>
      <c r="AJ1009" s="1">
        <v>2015</v>
      </c>
      <c r="AK1009" s="1" t="s">
        <v>172</v>
      </c>
      <c r="AL1009" s="1">
        <v>33</v>
      </c>
    </row>
    <row r="1010" spans="1:38" x14ac:dyDescent="0.2">
      <c r="A1010" s="2" t="str">
        <f>HYPERLINK("https://www.compass.com/listing/100-barrow-street-unit-10b-manhattan-ny-10014/391883786048128593/","100 Barrow St, Unit 10B")</f>
        <v>100 Barrow St, Unit 10B</v>
      </c>
      <c r="B1010" s="2" t="str">
        <f t="shared" si="186"/>
        <v>100 Barrow</v>
      </c>
      <c r="C1010" s="1" t="s">
        <v>71</v>
      </c>
      <c r="D1010" s="1" t="s">
        <v>41</v>
      </c>
      <c r="E1010" s="3">
        <v>6539990</v>
      </c>
      <c r="F1010" s="1">
        <v>2812.8989247311802</v>
      </c>
      <c r="H1010" s="1">
        <v>3</v>
      </c>
      <c r="J1010" s="1">
        <v>3.5</v>
      </c>
      <c r="M1010" s="4">
        <v>2325</v>
      </c>
      <c r="N1010" s="1">
        <v>6535</v>
      </c>
      <c r="O1010" s="1">
        <v>6535</v>
      </c>
      <c r="S1010" s="1" t="s">
        <v>645</v>
      </c>
      <c r="T1010" s="1" t="s">
        <v>170</v>
      </c>
      <c r="V1010" s="5">
        <v>44247</v>
      </c>
      <c r="AA1010" s="1">
        <v>6539990</v>
      </c>
      <c r="AB1010" s="1" t="s">
        <v>181</v>
      </c>
      <c r="AC1010" s="5">
        <v>43679</v>
      </c>
      <c r="AF1010" s="1">
        <v>10014</v>
      </c>
      <c r="AJ1010" s="1">
        <v>2015</v>
      </c>
      <c r="AK1010" s="1" t="s">
        <v>172</v>
      </c>
      <c r="AL1010" s="1">
        <v>33</v>
      </c>
    </row>
    <row r="1011" spans="1:38" x14ac:dyDescent="0.2">
      <c r="A1011" s="2" t="str">
        <f>HYPERLINK("https://www.compass.com/listing/116-university-place-unit-2-manhattan-ny-10003/70769812426584561/","116 University Pl, Unit 2")</f>
        <v>116 University Pl, Unit 2</v>
      </c>
      <c r="B1011" s="2" t="str">
        <f>HYPERLINK("https://www.compass.com/building/116-university-pl-manhattan-ny-10003/281889070185973877/","116 University Pl")</f>
        <v>116 University Pl</v>
      </c>
      <c r="C1011" s="1" t="s">
        <v>370</v>
      </c>
      <c r="D1011" s="1" t="s">
        <v>41</v>
      </c>
      <c r="E1011" s="3">
        <v>6750000</v>
      </c>
      <c r="F1011" s="1">
        <v>2208.7696335078499</v>
      </c>
      <c r="G1011" s="1">
        <v>7</v>
      </c>
      <c r="H1011" s="1">
        <v>3</v>
      </c>
      <c r="I1011" s="1">
        <v>4</v>
      </c>
      <c r="J1011" s="1">
        <v>3.5</v>
      </c>
      <c r="K1011" s="1">
        <v>3</v>
      </c>
      <c r="L1011" s="1">
        <v>1</v>
      </c>
      <c r="M1011" s="4">
        <v>3056</v>
      </c>
      <c r="N1011" s="1">
        <v>5834</v>
      </c>
      <c r="O1011" s="1">
        <v>9470</v>
      </c>
      <c r="P1011" s="1">
        <v>3636</v>
      </c>
      <c r="Q1011" s="1" t="s">
        <v>42</v>
      </c>
      <c r="S1011" s="1" t="s">
        <v>42</v>
      </c>
      <c r="T1011" s="1" t="s">
        <v>170</v>
      </c>
      <c r="U1011" s="1">
        <v>295</v>
      </c>
      <c r="V1011" s="5">
        <v>43669</v>
      </c>
      <c r="W1011" s="5">
        <v>43350</v>
      </c>
      <c r="X1011" s="1">
        <v>6995000</v>
      </c>
      <c r="Y1011" s="1">
        <v>6750000</v>
      </c>
      <c r="Z1011" s="5">
        <v>43645</v>
      </c>
      <c r="AA1011" s="1">
        <v>6750000</v>
      </c>
      <c r="AB1011" s="1" t="s">
        <v>181</v>
      </c>
      <c r="AC1011" s="5">
        <v>43654</v>
      </c>
      <c r="AF1011" s="1">
        <v>10003</v>
      </c>
      <c r="AI1011" s="1" t="s">
        <v>53</v>
      </c>
      <c r="AJ1011" s="1">
        <v>2018</v>
      </c>
      <c r="AK1011" s="1" t="s">
        <v>73</v>
      </c>
      <c r="AL1011" s="1">
        <v>5</v>
      </c>
    </row>
    <row r="1012" spans="1:38" x14ac:dyDescent="0.2">
      <c r="A1012" s="2" t="str">
        <f>HYPERLINK("https://www.compass.com/listing/80-east-10th-street-unit-4e-manhattan-ny-10003/29515142622379521/","80 E 10th St, Unit 4E")</f>
        <v>80 E 10th St, Unit 4E</v>
      </c>
      <c r="B1012" s="2" t="str">
        <f t="shared" ref="B1012:B1013" si="187">HYPERLINK("https://www.compass.com/building/80-e-10th-st-manhattan-ny-10003/282059393531414101/","80 E 10th St")</f>
        <v>80 E 10th St</v>
      </c>
      <c r="C1012" s="1" t="s">
        <v>370</v>
      </c>
      <c r="D1012" s="1" t="s">
        <v>41</v>
      </c>
      <c r="E1012" s="3">
        <v>2218128</v>
      </c>
      <c r="F1012" s="1">
        <v>2400.5716991341901</v>
      </c>
      <c r="G1012" s="1">
        <v>2</v>
      </c>
      <c r="H1012" s="1">
        <v>1</v>
      </c>
      <c r="I1012" s="1">
        <v>2</v>
      </c>
      <c r="J1012" s="1">
        <v>1.5</v>
      </c>
      <c r="K1012" s="1">
        <v>1</v>
      </c>
      <c r="L1012" s="1">
        <v>1</v>
      </c>
      <c r="M1012" s="1">
        <v>924</v>
      </c>
      <c r="N1012" s="1">
        <v>1072</v>
      </c>
      <c r="O1012" s="1">
        <v>1571</v>
      </c>
      <c r="P1012" s="1">
        <v>499</v>
      </c>
      <c r="Q1012" s="1" t="s">
        <v>42</v>
      </c>
      <c r="S1012" s="1" t="s">
        <v>42</v>
      </c>
      <c r="T1012" s="1" t="s">
        <v>170</v>
      </c>
      <c r="U1012" s="1">
        <v>98</v>
      </c>
      <c r="V1012" s="5">
        <v>43697</v>
      </c>
      <c r="W1012" s="5">
        <v>43034</v>
      </c>
      <c r="X1012" s="1">
        <v>2150000</v>
      </c>
      <c r="Y1012" s="1">
        <v>2150000</v>
      </c>
      <c r="Z1012" s="5">
        <v>43132</v>
      </c>
      <c r="AA1012" s="1">
        <v>2218128.25</v>
      </c>
      <c r="AB1012" s="1" t="s">
        <v>749</v>
      </c>
      <c r="AC1012" s="5">
        <v>43641</v>
      </c>
      <c r="AF1012" s="1">
        <v>10003</v>
      </c>
      <c r="AI1012" s="1" t="s">
        <v>76</v>
      </c>
      <c r="AJ1012" s="1">
        <v>2018</v>
      </c>
      <c r="AK1012" s="1" t="s">
        <v>108</v>
      </c>
      <c r="AL1012" s="1">
        <v>12</v>
      </c>
    </row>
    <row r="1013" spans="1:38" x14ac:dyDescent="0.2">
      <c r="A1013" s="2" t="str">
        <f>HYPERLINK("https://www.compass.com/listing/80-east-10th-street-unit-5e-manhattan-ny-10003/29515142991505329/","80 E 10th St, Unit 5E")</f>
        <v>80 E 10th St, Unit 5E</v>
      </c>
      <c r="B1013" s="2" t="str">
        <f t="shared" si="187"/>
        <v>80 E 10th St</v>
      </c>
      <c r="C1013" s="1" t="s">
        <v>370</v>
      </c>
      <c r="D1013" s="1" t="s">
        <v>41</v>
      </c>
      <c r="E1013" s="3">
        <v>2321153</v>
      </c>
      <c r="F1013" s="1">
        <v>2512.0706168831098</v>
      </c>
      <c r="G1013" s="1">
        <v>2</v>
      </c>
      <c r="H1013" s="1">
        <v>1</v>
      </c>
      <c r="I1013" s="1">
        <v>2</v>
      </c>
      <c r="J1013" s="1">
        <v>1.5</v>
      </c>
      <c r="K1013" s="1">
        <v>1</v>
      </c>
      <c r="L1013" s="1">
        <v>1</v>
      </c>
      <c r="M1013" s="1">
        <v>924</v>
      </c>
      <c r="N1013" s="1">
        <v>1072</v>
      </c>
      <c r="O1013" s="1">
        <v>1571</v>
      </c>
      <c r="P1013" s="1">
        <v>499</v>
      </c>
      <c r="Q1013" s="1" t="s">
        <v>42</v>
      </c>
      <c r="S1013" s="1" t="s">
        <v>42</v>
      </c>
      <c r="T1013" s="1" t="s">
        <v>170</v>
      </c>
      <c r="V1013" s="5">
        <v>43697</v>
      </c>
      <c r="W1013" s="5">
        <v>43132</v>
      </c>
      <c r="X1013" s="1">
        <v>2250000</v>
      </c>
      <c r="Y1013" s="1">
        <v>2250000</v>
      </c>
      <c r="Z1013" s="5">
        <v>43132</v>
      </c>
      <c r="AA1013" s="1">
        <v>2321153.25</v>
      </c>
      <c r="AB1013" s="1" t="s">
        <v>750</v>
      </c>
      <c r="AC1013" s="5">
        <v>43641</v>
      </c>
      <c r="AF1013" s="1">
        <v>10003</v>
      </c>
      <c r="AI1013" s="1" t="s">
        <v>76</v>
      </c>
      <c r="AJ1013" s="1">
        <v>2018</v>
      </c>
      <c r="AK1013" s="1" t="s">
        <v>108</v>
      </c>
      <c r="AL1013" s="1">
        <v>12</v>
      </c>
    </row>
    <row r="1014" spans="1:38" x14ac:dyDescent="0.2">
      <c r="A1014" s="2" t="str">
        <f>HYPERLINK("https://www.compass.com/listing/100-barrow-street-unit-6d-manhattan-ny-10014/29367156454059985/","100 Barrow St, Unit 6D")</f>
        <v>100 Barrow St, Unit 6D</v>
      </c>
      <c r="B1014" s="2" t="str">
        <f t="shared" ref="B1014:B1015" si="188">HYPERLINK("https://www.compass.com/building/100-barrow-manhattan-ny/292834978184618837/","100 Barrow")</f>
        <v>100 Barrow</v>
      </c>
      <c r="C1014" s="1" t="s">
        <v>71</v>
      </c>
      <c r="D1014" s="1" t="s">
        <v>41</v>
      </c>
      <c r="E1014" s="3">
        <v>3387000</v>
      </c>
      <c r="F1014" s="1">
        <v>2097.2136222910199</v>
      </c>
      <c r="H1014" s="1">
        <v>2</v>
      </c>
      <c r="J1014" s="1">
        <v>2.5</v>
      </c>
      <c r="M1014" s="4">
        <v>1615</v>
      </c>
      <c r="N1014" s="1">
        <v>4512</v>
      </c>
      <c r="O1014" s="1">
        <v>4512</v>
      </c>
      <c r="Q1014" s="1" t="s">
        <v>129</v>
      </c>
      <c r="S1014" s="1" t="s">
        <v>129</v>
      </c>
      <c r="T1014" s="1" t="s">
        <v>170</v>
      </c>
      <c r="AA1014" s="1">
        <v>3387000</v>
      </c>
      <c r="AB1014" s="1" t="s">
        <v>751</v>
      </c>
      <c r="AC1014" s="5">
        <v>43034</v>
      </c>
      <c r="AF1014" s="1">
        <v>10014</v>
      </c>
      <c r="AJ1014" s="1">
        <v>2015</v>
      </c>
      <c r="AK1014" s="1" t="s">
        <v>172</v>
      </c>
      <c r="AL1014" s="1">
        <v>33</v>
      </c>
    </row>
    <row r="1015" spans="1:38" x14ac:dyDescent="0.2">
      <c r="A1015" s="2" t="str">
        <f>HYPERLINK("https://www.compass.com/listing/100-barrow-street-unit-11a-manhattan-ny-10014/317235003527877137/","100 Barrow St, Unit 11A")</f>
        <v>100 Barrow St, Unit 11A</v>
      </c>
      <c r="B1015" s="2" t="str">
        <f t="shared" si="188"/>
        <v>100 Barrow</v>
      </c>
      <c r="C1015" s="1" t="s">
        <v>71</v>
      </c>
      <c r="D1015" s="1" t="s">
        <v>41</v>
      </c>
      <c r="E1015" s="3">
        <v>4200000</v>
      </c>
      <c r="F1015" s="1">
        <v>2360.8768971332202</v>
      </c>
      <c r="H1015" s="1">
        <v>2</v>
      </c>
      <c r="J1015" s="1">
        <v>2.5</v>
      </c>
      <c r="M1015" s="4">
        <v>1779</v>
      </c>
      <c r="N1015" s="1">
        <v>5195</v>
      </c>
      <c r="O1015" s="1">
        <v>5195</v>
      </c>
      <c r="Q1015" s="1" t="s">
        <v>129</v>
      </c>
      <c r="S1015" s="1" t="s">
        <v>129</v>
      </c>
      <c r="T1015" s="1" t="s">
        <v>170</v>
      </c>
      <c r="AA1015" s="1">
        <v>4200000</v>
      </c>
      <c r="AB1015" s="1" t="s">
        <v>752</v>
      </c>
      <c r="AC1015" s="5">
        <v>43236</v>
      </c>
      <c r="AF1015" s="1">
        <v>10014</v>
      </c>
      <c r="AJ1015" s="1">
        <v>2015</v>
      </c>
      <c r="AK1015" s="1" t="s">
        <v>172</v>
      </c>
      <c r="AL1015" s="1">
        <v>33</v>
      </c>
    </row>
    <row r="1016" spans="1:38" x14ac:dyDescent="0.2">
      <c r="A1016" s="2" t="str">
        <f>HYPERLINK("https://www.compass.com/listing/116-university-place-unit-5-manhattan-ny-10003/29509475698287089/","116 University Pl, Unit 5")</f>
        <v>116 University Pl, Unit 5</v>
      </c>
      <c r="B1016" s="2" t="str">
        <f>HYPERLINK("https://www.compass.com/building/116-university-pl-manhattan-ny-10003/281889070185973877/","116 University Pl")</f>
        <v>116 University Pl</v>
      </c>
      <c r="C1016" s="1" t="s">
        <v>370</v>
      </c>
      <c r="D1016" s="1" t="s">
        <v>41</v>
      </c>
      <c r="E1016" s="3">
        <v>7600000</v>
      </c>
      <c r="F1016" s="1">
        <v>2486.9109947643901</v>
      </c>
      <c r="G1016" s="1">
        <v>7</v>
      </c>
      <c r="H1016" s="1">
        <v>3</v>
      </c>
      <c r="I1016" s="1">
        <v>4</v>
      </c>
      <c r="J1016" s="1">
        <v>3.5</v>
      </c>
      <c r="K1016" s="1">
        <v>3</v>
      </c>
      <c r="L1016" s="1">
        <v>1</v>
      </c>
      <c r="M1016" s="4">
        <v>3056</v>
      </c>
      <c r="N1016" s="1">
        <v>6155</v>
      </c>
      <c r="O1016" s="1">
        <v>8965</v>
      </c>
      <c r="P1016" s="1">
        <v>2810</v>
      </c>
      <c r="Q1016" s="1" t="s">
        <v>42</v>
      </c>
      <c r="S1016" s="1" t="s">
        <v>42</v>
      </c>
      <c r="T1016" s="1" t="s">
        <v>170</v>
      </c>
      <c r="U1016" s="1">
        <v>76</v>
      </c>
      <c r="V1016" s="5">
        <v>43659</v>
      </c>
      <c r="W1016" s="5">
        <v>43013</v>
      </c>
      <c r="X1016" s="1">
        <v>7600000</v>
      </c>
      <c r="Y1016" s="1">
        <v>7600000</v>
      </c>
      <c r="Z1016" s="5">
        <v>43089</v>
      </c>
      <c r="AA1016" s="1">
        <v>7600000</v>
      </c>
      <c r="AB1016" s="1" t="s">
        <v>181</v>
      </c>
      <c r="AC1016" s="5">
        <v>43428</v>
      </c>
      <c r="AF1016" s="1">
        <v>10003</v>
      </c>
      <c r="AI1016" s="1" t="s">
        <v>53</v>
      </c>
      <c r="AJ1016" s="1">
        <v>2018</v>
      </c>
      <c r="AK1016" s="1" t="s">
        <v>740</v>
      </c>
      <c r="AL1016" s="1">
        <v>5</v>
      </c>
    </row>
    <row r="1017" spans="1:38" x14ac:dyDescent="0.2">
      <c r="A1017" s="2" t="str">
        <f>HYPERLINK("https://www.compass.com/listing/90-morton-street-unit-3d-manhattan-ny-10014/76213069797223841/","90 Morton St, Unit 3D")</f>
        <v>90 Morton St, Unit 3D</v>
      </c>
      <c r="B1017" s="2" t="str">
        <f>HYPERLINK("https://www.compass.com/building/90-morton-street-manhattan-ny/292834843018978005/","90 Morton Street")</f>
        <v>90 Morton Street</v>
      </c>
      <c r="C1017" s="1" t="s">
        <v>71</v>
      </c>
      <c r="D1017" s="1" t="s">
        <v>41</v>
      </c>
      <c r="E1017" s="3">
        <v>4900000</v>
      </c>
      <c r="F1017" s="1">
        <v>2705.6874654886801</v>
      </c>
      <c r="G1017" s="1">
        <v>4</v>
      </c>
      <c r="H1017" s="1">
        <v>2</v>
      </c>
      <c r="I1017" s="1">
        <v>3</v>
      </c>
      <c r="J1017" s="1">
        <v>2.5</v>
      </c>
      <c r="K1017" s="1">
        <v>2</v>
      </c>
      <c r="L1017" s="1">
        <v>1</v>
      </c>
      <c r="M1017" s="4">
        <v>1811</v>
      </c>
      <c r="N1017" s="1">
        <v>2388.7600000000002</v>
      </c>
      <c r="O1017" s="1">
        <v>4307.2299999999996</v>
      </c>
      <c r="P1017" s="1">
        <v>1918.5</v>
      </c>
      <c r="Q1017" s="1" t="s">
        <v>42</v>
      </c>
      <c r="S1017" s="1" t="s">
        <v>42</v>
      </c>
      <c r="T1017" s="1" t="s">
        <v>170</v>
      </c>
      <c r="U1017" s="1">
        <v>100</v>
      </c>
      <c r="V1017" s="5">
        <v>43851</v>
      </c>
      <c r="W1017" s="5">
        <v>43586</v>
      </c>
      <c r="X1017" s="1">
        <v>5400000</v>
      </c>
      <c r="Y1017" s="1">
        <v>5400000</v>
      </c>
      <c r="Z1017" s="5">
        <v>43805</v>
      </c>
      <c r="AA1017" s="1">
        <v>4900000</v>
      </c>
      <c r="AB1017" s="1" t="s">
        <v>753</v>
      </c>
      <c r="AC1017" s="5">
        <v>43837</v>
      </c>
      <c r="AF1017" s="1">
        <v>10014</v>
      </c>
      <c r="AI1017" s="1" t="s">
        <v>80</v>
      </c>
      <c r="AJ1017" s="1">
        <v>2018</v>
      </c>
      <c r="AK1017" s="1" t="s">
        <v>46</v>
      </c>
      <c r="AL1017" s="1">
        <v>35</v>
      </c>
    </row>
    <row r="1018" spans="1:38" x14ac:dyDescent="0.2">
      <c r="A1018" s="2" t="str">
        <f>HYPERLINK("https://www.compass.com/listing/100-barrow-street-unit-7a-manhattan-ny-10014/391339003487335809/","100 Barrow St, Unit 7A")</f>
        <v>100 Barrow St, Unit 7A</v>
      </c>
      <c r="B1018" s="2" t="str">
        <f>HYPERLINK("https://www.compass.com/building/100-barrow-manhattan-ny/292834978184618837/","100 Barrow")</f>
        <v>100 Barrow</v>
      </c>
      <c r="C1018" s="1" t="s">
        <v>71</v>
      </c>
      <c r="D1018" s="1" t="s">
        <v>41</v>
      </c>
      <c r="E1018" s="3">
        <v>11810000</v>
      </c>
      <c r="F1018" s="1">
        <v>3097.2987149226301</v>
      </c>
      <c r="H1018" s="1">
        <v>4</v>
      </c>
      <c r="I1018" s="1">
        <v>5</v>
      </c>
      <c r="J1018" s="1">
        <v>4.5</v>
      </c>
      <c r="K1018" s="1">
        <v>4</v>
      </c>
      <c r="L1018" s="1">
        <v>1</v>
      </c>
      <c r="M1018" s="4">
        <v>3813</v>
      </c>
      <c r="N1018" s="1">
        <v>10926</v>
      </c>
      <c r="O1018" s="1">
        <v>10926</v>
      </c>
      <c r="S1018" s="1" t="s">
        <v>645</v>
      </c>
      <c r="T1018" s="1" t="s">
        <v>170</v>
      </c>
      <c r="V1018" s="5">
        <v>44247</v>
      </c>
      <c r="AA1018" s="1">
        <v>11810000</v>
      </c>
      <c r="AB1018" s="1" t="s">
        <v>181</v>
      </c>
      <c r="AC1018" s="5">
        <v>43679</v>
      </c>
      <c r="AF1018" s="1">
        <v>10014</v>
      </c>
      <c r="AI1018" s="1" t="s">
        <v>754</v>
      </c>
      <c r="AJ1018" s="1">
        <v>2015</v>
      </c>
      <c r="AK1018" s="1" t="s">
        <v>172</v>
      </c>
      <c r="AL1018" s="1">
        <v>33</v>
      </c>
    </row>
    <row r="1019" spans="1:38" x14ac:dyDescent="0.2">
      <c r="A1019" s="2" t="str">
        <f>HYPERLINK("https://www.compass.com/listing/116-university-place-unit-3-manhattan-ny-10003/236074149817208513/","116 University Pl, Unit 3")</f>
        <v>116 University Pl, Unit 3</v>
      </c>
      <c r="B1019" s="2" t="str">
        <f>HYPERLINK("https://www.compass.com/building/116-university-pl-manhattan-ny-10003/281889070185973877/","116 University Pl")</f>
        <v>116 University Pl</v>
      </c>
      <c r="C1019" s="1" t="s">
        <v>370</v>
      </c>
      <c r="D1019" s="1" t="s">
        <v>41</v>
      </c>
      <c r="E1019" s="3">
        <v>7000000</v>
      </c>
      <c r="F1019" s="1">
        <v>2290.5759162303598</v>
      </c>
      <c r="G1019" s="1">
        <v>7</v>
      </c>
      <c r="H1019" s="1">
        <v>4</v>
      </c>
      <c r="I1019" s="1">
        <v>4</v>
      </c>
      <c r="J1019" s="1">
        <v>3.5</v>
      </c>
      <c r="K1019" s="1">
        <v>3</v>
      </c>
      <c r="L1019" s="1">
        <v>1</v>
      </c>
      <c r="M1019" s="4">
        <v>3056</v>
      </c>
      <c r="N1019" s="1">
        <v>5953</v>
      </c>
      <c r="O1019" s="1">
        <v>9663</v>
      </c>
      <c r="P1019" s="1">
        <v>3710</v>
      </c>
      <c r="Q1019" s="1" t="s">
        <v>42</v>
      </c>
      <c r="S1019" s="1" t="s">
        <v>42</v>
      </c>
      <c r="T1019" s="1" t="s">
        <v>170</v>
      </c>
      <c r="U1019" s="1">
        <v>58</v>
      </c>
      <c r="V1019" s="5">
        <v>43694</v>
      </c>
      <c r="W1019" s="5">
        <v>43578</v>
      </c>
      <c r="X1019" s="1">
        <v>7000000</v>
      </c>
      <c r="Y1019" s="1">
        <v>7000000</v>
      </c>
      <c r="Z1019" s="5">
        <v>43636</v>
      </c>
      <c r="AA1019" s="1">
        <v>7000000</v>
      </c>
      <c r="AB1019" s="1" t="s">
        <v>181</v>
      </c>
      <c r="AC1019" s="5">
        <v>43650</v>
      </c>
      <c r="AF1019" s="1">
        <v>10003</v>
      </c>
      <c r="AI1019" s="1" t="s">
        <v>53</v>
      </c>
      <c r="AJ1019" s="1">
        <v>2018</v>
      </c>
      <c r="AK1019" s="1" t="s">
        <v>73</v>
      </c>
      <c r="AL1019" s="1">
        <v>5</v>
      </c>
    </row>
    <row r="1020" spans="1:38" x14ac:dyDescent="0.2">
      <c r="A1020" s="2" t="str">
        <f>HYPERLINK("https://www.compass.com/listing/215-east-19th-street-unit-5h-manhattan-ny-10003/804979147449199337/","215 E 19th St, Unit 5H")</f>
        <v>215 E 19th St, Unit 5H</v>
      </c>
      <c r="B1020" s="2" t="str">
        <f>HYPERLINK("https://www.compass.com/building/the-tower-at-gramercy-square-manhattan-ny/281890815108713781/","The Tower at Gramercy Square")</f>
        <v>The Tower at Gramercy Square</v>
      </c>
      <c r="C1020" s="1" t="s">
        <v>54</v>
      </c>
      <c r="D1020" s="1" t="s">
        <v>41</v>
      </c>
      <c r="E1020" s="3">
        <v>3925000</v>
      </c>
      <c r="F1020" s="1">
        <v>1899.8063891577899</v>
      </c>
      <c r="G1020" s="1">
        <v>6.5</v>
      </c>
      <c r="H1020" s="1">
        <v>3</v>
      </c>
      <c r="I1020" s="1">
        <v>4</v>
      </c>
      <c r="J1020" s="1">
        <v>3.5</v>
      </c>
      <c r="K1020" s="1">
        <v>3</v>
      </c>
      <c r="L1020" s="1">
        <v>1</v>
      </c>
      <c r="M1020" s="4">
        <v>2066</v>
      </c>
      <c r="N1020" s="1">
        <v>2345</v>
      </c>
      <c r="O1020" s="1">
        <v>6381</v>
      </c>
      <c r="P1020" s="1">
        <v>4036</v>
      </c>
      <c r="Q1020" s="1" t="s">
        <v>42</v>
      </c>
      <c r="S1020" s="1" t="s">
        <v>42</v>
      </c>
      <c r="T1020" s="1" t="s">
        <v>170</v>
      </c>
      <c r="V1020" s="5">
        <v>44401</v>
      </c>
      <c r="W1020" s="5">
        <v>44362</v>
      </c>
      <c r="Y1020" s="1">
        <v>3925000</v>
      </c>
      <c r="Z1020" s="5">
        <v>44362</v>
      </c>
      <c r="AA1020" s="1">
        <v>3925000</v>
      </c>
      <c r="AB1020" s="1" t="s">
        <v>181</v>
      </c>
      <c r="AC1020" s="5">
        <v>44399</v>
      </c>
      <c r="AF1020" s="1">
        <v>10003</v>
      </c>
      <c r="AI1020" s="1" t="s">
        <v>76</v>
      </c>
      <c r="AJ1020" s="1">
        <v>1920</v>
      </c>
      <c r="AK1020" s="1" t="s">
        <v>46</v>
      </c>
      <c r="AL1020" s="1">
        <v>130</v>
      </c>
    </row>
    <row r="1021" spans="1:38" x14ac:dyDescent="0.2">
      <c r="A1021" s="2" t="str">
        <f>HYPERLINK("https://www.compass.com/listing/90-morton-street-unit-2d-manhattan-ny-10014/29515684283228305/","90 Morton St, Unit 2D")</f>
        <v>90 Morton St, Unit 2D</v>
      </c>
      <c r="B1021" s="2" t="str">
        <f>HYPERLINK("https://www.compass.com/building/90-morton-street-manhattan-ny/292834843018978005/","90 Morton Street")</f>
        <v>90 Morton Street</v>
      </c>
      <c r="C1021" s="1" t="s">
        <v>71</v>
      </c>
      <c r="D1021" s="1" t="s">
        <v>41</v>
      </c>
      <c r="E1021" s="3">
        <v>4900000</v>
      </c>
      <c r="F1021" s="1">
        <v>2705.6874654886801</v>
      </c>
      <c r="G1021" s="1">
        <v>4</v>
      </c>
      <c r="H1021" s="1">
        <v>2</v>
      </c>
      <c r="I1021" s="1">
        <v>3</v>
      </c>
      <c r="J1021" s="1">
        <v>2.5</v>
      </c>
      <c r="K1021" s="1">
        <v>2</v>
      </c>
      <c r="L1021" s="1">
        <v>1</v>
      </c>
      <c r="M1021" s="4">
        <v>1811</v>
      </c>
      <c r="N1021" s="1">
        <v>2364.44</v>
      </c>
      <c r="O1021" s="1">
        <v>4263.38</v>
      </c>
      <c r="P1021" s="1">
        <v>1898.9166666666599</v>
      </c>
      <c r="Q1021" s="1" t="s">
        <v>42</v>
      </c>
      <c r="S1021" s="1" t="s">
        <v>42</v>
      </c>
      <c r="T1021" s="1" t="s">
        <v>170</v>
      </c>
      <c r="U1021" s="1">
        <v>417</v>
      </c>
      <c r="V1021" s="5">
        <v>44349</v>
      </c>
      <c r="W1021" s="5">
        <v>43685</v>
      </c>
      <c r="Y1021" s="1">
        <v>5300000</v>
      </c>
      <c r="Z1021" s="5">
        <v>44282</v>
      </c>
      <c r="AA1021" s="1">
        <v>4900000</v>
      </c>
      <c r="AB1021" s="1" t="s">
        <v>755</v>
      </c>
      <c r="AC1021" s="5">
        <v>44330</v>
      </c>
      <c r="AF1021" s="1">
        <v>10014</v>
      </c>
      <c r="AI1021" s="1" t="s">
        <v>80</v>
      </c>
      <c r="AJ1021" s="1">
        <v>2018</v>
      </c>
      <c r="AK1021" s="1" t="s">
        <v>46</v>
      </c>
      <c r="AL1021" s="1">
        <v>35</v>
      </c>
    </row>
    <row r="1022" spans="1:38" x14ac:dyDescent="0.2">
      <c r="A1022" s="2" t="str">
        <f>HYPERLINK("https://www.compass.com/listing/100-barrow-street-unit-3b-manhattan-ny-10014/391334657156592929/","100 Barrow St, Unit 3B")</f>
        <v>100 Barrow St, Unit 3B</v>
      </c>
      <c r="B1022" s="2" t="str">
        <f>HYPERLINK("https://www.compass.com/building/100-barrow-manhattan-ny/292834978184618837/","100 Barrow")</f>
        <v>100 Barrow</v>
      </c>
      <c r="C1022" s="1" t="s">
        <v>71</v>
      </c>
      <c r="D1022" s="1" t="s">
        <v>41</v>
      </c>
      <c r="E1022" s="3">
        <v>4367000</v>
      </c>
      <c r="F1022" s="1">
        <v>1808.2815734989599</v>
      </c>
      <c r="H1022" s="1">
        <v>3</v>
      </c>
      <c r="I1022" s="1">
        <v>4</v>
      </c>
      <c r="J1022" s="1">
        <v>3.5</v>
      </c>
      <c r="K1022" s="1">
        <v>3</v>
      </c>
      <c r="L1022" s="1">
        <v>1</v>
      </c>
      <c r="M1022" s="4">
        <v>2415</v>
      </c>
      <c r="N1022" s="1">
        <v>6359</v>
      </c>
      <c r="O1022" s="1">
        <v>6359</v>
      </c>
      <c r="S1022" s="1" t="s">
        <v>42</v>
      </c>
      <c r="T1022" s="1" t="s">
        <v>170</v>
      </c>
      <c r="V1022" s="5">
        <v>44247</v>
      </c>
      <c r="AA1022" s="1">
        <v>4367000</v>
      </c>
      <c r="AB1022" s="1" t="s">
        <v>181</v>
      </c>
      <c r="AC1022" s="5">
        <v>43679</v>
      </c>
      <c r="AF1022" s="1">
        <v>10014</v>
      </c>
      <c r="AJ1022" s="1">
        <v>2015</v>
      </c>
      <c r="AK1022" s="1" t="s">
        <v>172</v>
      </c>
      <c r="AL1022" s="1">
        <v>33</v>
      </c>
    </row>
    <row r="1023" spans="1:38" x14ac:dyDescent="0.2">
      <c r="A1023" s="2" t="str">
        <f>HYPERLINK("https://www.compass.com/listing/200-east-21st-street-unit-6d-manhattan-ny-10010/95578134195236705/","200 E 21st St, Unit 6D")</f>
        <v>200 E 21st St, Unit 6D</v>
      </c>
      <c r="B1023" s="2" t="str">
        <f>HYPERLINK("https://www.compass.com/building/200-east-21st-street-manhattan-ny/292796762689658005/","200 East 21st Street")</f>
        <v>200 East 21st Street</v>
      </c>
      <c r="C1023" s="1" t="s">
        <v>54</v>
      </c>
      <c r="D1023" s="1" t="s">
        <v>41</v>
      </c>
      <c r="E1023" s="3">
        <v>1486645</v>
      </c>
      <c r="F1023" s="1">
        <v>2085.0561009817602</v>
      </c>
      <c r="G1023" s="1">
        <v>3</v>
      </c>
      <c r="H1023" s="1">
        <v>1</v>
      </c>
      <c r="I1023" s="1">
        <v>1</v>
      </c>
      <c r="J1023" s="1">
        <v>1</v>
      </c>
      <c r="K1023" s="1">
        <v>1</v>
      </c>
      <c r="M1023" s="1">
        <v>713</v>
      </c>
      <c r="N1023" s="1">
        <v>698</v>
      </c>
      <c r="O1023" s="1">
        <v>2006</v>
      </c>
      <c r="P1023" s="1">
        <v>1308</v>
      </c>
      <c r="Q1023" s="1" t="s">
        <v>694</v>
      </c>
      <c r="S1023" s="1" t="s">
        <v>695</v>
      </c>
      <c r="T1023" s="1" t="s">
        <v>170</v>
      </c>
      <c r="U1023" s="1">
        <v>428</v>
      </c>
      <c r="V1023" s="5">
        <v>44225</v>
      </c>
      <c r="W1023" s="5">
        <v>42955</v>
      </c>
      <c r="X1023" s="1">
        <v>1460000</v>
      </c>
      <c r="Y1023" s="1">
        <v>1460000</v>
      </c>
      <c r="Z1023" s="5">
        <v>43384</v>
      </c>
      <c r="AA1023" s="1">
        <v>1486645</v>
      </c>
      <c r="AB1023" s="1" t="s">
        <v>685</v>
      </c>
      <c r="AC1023" s="5">
        <v>43668</v>
      </c>
      <c r="AF1023" s="1">
        <v>10010</v>
      </c>
      <c r="AI1023" s="1" t="s">
        <v>86</v>
      </c>
      <c r="AJ1023" s="1">
        <v>2018</v>
      </c>
      <c r="AK1023" s="1" t="s">
        <v>49</v>
      </c>
      <c r="AL1023" s="1">
        <v>67</v>
      </c>
    </row>
    <row r="1024" spans="1:38" x14ac:dyDescent="0.2">
      <c r="A1024" s="2" t="str">
        <f>HYPERLINK("https://www.compass.com/listing/100-barrow-street-unit-ph-manhattan-ny-10014/483771170345540673/","100 Barrow St, Unit PH")</f>
        <v>100 Barrow St, Unit PH</v>
      </c>
      <c r="B1024" s="2" t="str">
        <f>HYPERLINK("https://www.compass.com/building/100-barrow-manhattan-ny/292834978184618837/","100 Barrow")</f>
        <v>100 Barrow</v>
      </c>
      <c r="C1024" s="1" t="s">
        <v>71</v>
      </c>
      <c r="D1024" s="1" t="s">
        <v>41</v>
      </c>
      <c r="E1024" s="3">
        <v>14000000</v>
      </c>
      <c r="F1024" s="1">
        <v>4724.9409382382701</v>
      </c>
      <c r="H1024" s="1">
        <v>3</v>
      </c>
      <c r="J1024" s="1">
        <v>3.5</v>
      </c>
      <c r="M1024" s="4">
        <v>2963</v>
      </c>
      <c r="N1024" s="1">
        <v>8885</v>
      </c>
      <c r="O1024" s="1">
        <v>8885</v>
      </c>
      <c r="Q1024" s="1" t="s">
        <v>129</v>
      </c>
      <c r="S1024" s="1" t="s">
        <v>129</v>
      </c>
      <c r="T1024" s="1" t="s">
        <v>170</v>
      </c>
      <c r="AA1024" s="1">
        <v>14000000</v>
      </c>
      <c r="AB1024" s="1" t="s">
        <v>756</v>
      </c>
      <c r="AC1024" s="5">
        <v>43180</v>
      </c>
      <c r="AF1024" s="1">
        <v>10014</v>
      </c>
      <c r="AJ1024" s="1">
        <v>2015</v>
      </c>
      <c r="AK1024" s="1" t="s">
        <v>172</v>
      </c>
      <c r="AL1024" s="1">
        <v>33</v>
      </c>
    </row>
    <row r="1025" spans="1:38" x14ac:dyDescent="0.2">
      <c r="A1025" s="2" t="str">
        <f>HYPERLINK("https://www.compass.com/listing/21-east-12th-street-unit-6d-manhattan-ny-10003/29514932630346721/","21 E 12th St, Unit 6D")</f>
        <v>21 E 12th St, Unit 6D</v>
      </c>
      <c r="B1025" s="2" t="str">
        <f t="shared" ref="B1025:B1027" si="189">HYPERLINK("https://www.compass.com/building/21-east-12th-street-manhattan-ny/292779727154847925/","21 East 12th Street")</f>
        <v>21 East 12th Street</v>
      </c>
      <c r="C1025" s="1" t="s">
        <v>370</v>
      </c>
      <c r="D1025" s="1" t="s">
        <v>41</v>
      </c>
      <c r="E1025" s="3">
        <v>2421419</v>
      </c>
      <c r="F1025" s="1">
        <v>2406.9771371769298</v>
      </c>
      <c r="G1025" s="1">
        <v>3</v>
      </c>
      <c r="H1025" s="1">
        <v>1</v>
      </c>
      <c r="I1025" s="1">
        <v>2</v>
      </c>
      <c r="J1025" s="1">
        <v>1.5</v>
      </c>
      <c r="K1025" s="1">
        <v>1</v>
      </c>
      <c r="L1025" s="1">
        <v>1</v>
      </c>
      <c r="M1025" s="4">
        <v>1006</v>
      </c>
      <c r="N1025" s="1">
        <v>1313</v>
      </c>
      <c r="O1025" s="1">
        <v>3317</v>
      </c>
      <c r="P1025" s="1">
        <v>2004</v>
      </c>
      <c r="Q1025" s="1" t="s">
        <v>42</v>
      </c>
      <c r="S1025" s="1" t="s">
        <v>42</v>
      </c>
      <c r="T1025" s="1" t="s">
        <v>170</v>
      </c>
      <c r="U1025" s="1">
        <v>285</v>
      </c>
      <c r="V1025" s="5">
        <v>43647</v>
      </c>
      <c r="W1025" s="5">
        <v>42588</v>
      </c>
      <c r="X1025" s="1">
        <v>2425000</v>
      </c>
      <c r="Y1025" s="1">
        <v>2575000</v>
      </c>
      <c r="Z1025" s="5">
        <v>42873</v>
      </c>
      <c r="AA1025" s="1">
        <v>2421419</v>
      </c>
      <c r="AB1025" s="1" t="s">
        <v>757</v>
      </c>
      <c r="AC1025" s="5">
        <v>43545</v>
      </c>
      <c r="AF1025" s="1">
        <v>10003</v>
      </c>
      <c r="AI1025" s="1" t="s">
        <v>59</v>
      </c>
      <c r="AJ1025" s="1">
        <v>2018</v>
      </c>
      <c r="AK1025" s="1" t="s">
        <v>740</v>
      </c>
      <c r="AL1025" s="1">
        <v>52</v>
      </c>
    </row>
    <row r="1026" spans="1:38" x14ac:dyDescent="0.2">
      <c r="A1026" s="2" t="str">
        <f>HYPERLINK("https://www.compass.com/listing/21-east-12th-street-unit-7d-manhattan-ny-10003/29514924745082257/","21 E 12th St, Unit 7D")</f>
        <v>21 E 12th St, Unit 7D</v>
      </c>
      <c r="B1026" s="2" t="str">
        <f t="shared" si="189"/>
        <v>21 East 12th Street</v>
      </c>
      <c r="C1026" s="1" t="s">
        <v>370</v>
      </c>
      <c r="D1026" s="1" t="s">
        <v>41</v>
      </c>
      <c r="E1026" s="3">
        <v>2446647</v>
      </c>
      <c r="F1026" s="1">
        <v>2432.0546719681902</v>
      </c>
      <c r="G1026" s="1">
        <v>3</v>
      </c>
      <c r="H1026" s="1">
        <v>1</v>
      </c>
      <c r="I1026" s="1">
        <v>2</v>
      </c>
      <c r="J1026" s="1">
        <v>1.5</v>
      </c>
      <c r="K1026" s="1">
        <v>1</v>
      </c>
      <c r="L1026" s="1">
        <v>1</v>
      </c>
      <c r="M1026" s="4">
        <v>1006</v>
      </c>
      <c r="N1026" s="1">
        <v>1311</v>
      </c>
      <c r="O1026" s="1">
        <v>3315</v>
      </c>
      <c r="P1026" s="1">
        <v>2004</v>
      </c>
      <c r="Q1026" s="1" t="s">
        <v>42</v>
      </c>
      <c r="S1026" s="1" t="s">
        <v>42</v>
      </c>
      <c r="T1026" s="1" t="s">
        <v>170</v>
      </c>
      <c r="V1026" s="5">
        <v>43678</v>
      </c>
      <c r="W1026" s="5">
        <v>42873</v>
      </c>
      <c r="X1026" s="1">
        <v>2450000</v>
      </c>
      <c r="Y1026" s="1">
        <v>2625000</v>
      </c>
      <c r="Z1026" s="5">
        <v>42873</v>
      </c>
      <c r="AA1026" s="1">
        <v>2446647</v>
      </c>
      <c r="AB1026" s="1" t="s">
        <v>758</v>
      </c>
      <c r="AC1026" s="5">
        <v>43571</v>
      </c>
      <c r="AF1026" s="1">
        <v>10003</v>
      </c>
      <c r="AI1026" s="1" t="s">
        <v>59</v>
      </c>
      <c r="AJ1026" s="1">
        <v>2018</v>
      </c>
      <c r="AK1026" s="1" t="s">
        <v>740</v>
      </c>
      <c r="AL1026" s="1">
        <v>52</v>
      </c>
    </row>
    <row r="1027" spans="1:38" x14ac:dyDescent="0.2">
      <c r="A1027" s="2" t="str">
        <f>HYPERLINK("https://www.compass.com/listing/21-east-12th-street-unit-8d-manhattan-ny-10003/29514931338501057/","21 E 12th St, Unit 8D")</f>
        <v>21 E 12th St, Unit 8D</v>
      </c>
      <c r="B1027" s="2" t="str">
        <f t="shared" si="189"/>
        <v>21 East 12th Street</v>
      </c>
      <c r="C1027" s="1" t="s">
        <v>370</v>
      </c>
      <c r="D1027" s="1" t="s">
        <v>41</v>
      </c>
      <c r="E1027" s="3">
        <v>2544916</v>
      </c>
      <c r="F1027" s="1">
        <v>2529.7375745526801</v>
      </c>
      <c r="G1027" s="1">
        <v>3</v>
      </c>
      <c r="H1027" s="1">
        <v>1</v>
      </c>
      <c r="I1027" s="1">
        <v>2</v>
      </c>
      <c r="J1027" s="1">
        <v>1.5</v>
      </c>
      <c r="K1027" s="1">
        <v>1</v>
      </c>
      <c r="L1027" s="1">
        <v>1</v>
      </c>
      <c r="M1027" s="4">
        <v>1006</v>
      </c>
      <c r="N1027" s="1">
        <v>1311</v>
      </c>
      <c r="O1027" s="1">
        <v>3315</v>
      </c>
      <c r="P1027" s="1">
        <v>2004</v>
      </c>
      <c r="Q1027" s="1" t="s">
        <v>42</v>
      </c>
      <c r="S1027" s="1" t="s">
        <v>42</v>
      </c>
      <c r="T1027" s="1" t="s">
        <v>170</v>
      </c>
      <c r="U1027" s="1">
        <v>12</v>
      </c>
      <c r="V1027" s="5">
        <v>43637</v>
      </c>
      <c r="W1027" s="5">
        <v>42573</v>
      </c>
      <c r="X1027" s="1">
        <v>2475000</v>
      </c>
      <c r="Y1027" s="1">
        <v>2675000</v>
      </c>
      <c r="Z1027" s="5">
        <v>42585</v>
      </c>
      <c r="AA1027" s="1">
        <v>2544916</v>
      </c>
      <c r="AB1027" s="1" t="s">
        <v>759</v>
      </c>
      <c r="AC1027" s="5">
        <v>43594</v>
      </c>
      <c r="AF1027" s="1">
        <v>10003</v>
      </c>
      <c r="AI1027" s="1" t="s">
        <v>59</v>
      </c>
      <c r="AJ1027" s="1">
        <v>2018</v>
      </c>
      <c r="AK1027" s="1" t="s">
        <v>740</v>
      </c>
      <c r="AL1027" s="1">
        <v>52</v>
      </c>
    </row>
    <row r="1028" spans="1:38" x14ac:dyDescent="0.2">
      <c r="A1028" s="2" t="str">
        <f>HYPERLINK("https://www.compass.com/listing/90-morton-street-unit-6d-manhattan-ny-10014/76220637378630369/","90 Morton St, Unit 6D")</f>
        <v>90 Morton St, Unit 6D</v>
      </c>
      <c r="B1028" s="2" t="str">
        <f t="shared" ref="B1028:B1029" si="190">HYPERLINK("https://www.compass.com/building/90-morton-street-manhattan-ny/292834843018978005/","90 Morton Street")</f>
        <v>90 Morton Street</v>
      </c>
      <c r="C1028" s="1" t="s">
        <v>71</v>
      </c>
      <c r="D1028" s="1" t="s">
        <v>41</v>
      </c>
      <c r="E1028" s="3">
        <v>5900000</v>
      </c>
      <c r="F1028" s="1">
        <v>2629.2335115864498</v>
      </c>
      <c r="G1028" s="1">
        <v>5</v>
      </c>
      <c r="H1028" s="1">
        <v>3</v>
      </c>
      <c r="I1028" s="1">
        <v>4</v>
      </c>
      <c r="J1028" s="1">
        <v>3.5</v>
      </c>
      <c r="K1028" s="1">
        <v>3</v>
      </c>
      <c r="L1028" s="1">
        <v>1</v>
      </c>
      <c r="M1028" s="4">
        <v>2244</v>
      </c>
      <c r="N1028" s="1">
        <v>3003.57</v>
      </c>
      <c r="O1028" s="1">
        <v>5415.8</v>
      </c>
      <c r="P1028" s="1">
        <v>2412.25</v>
      </c>
      <c r="Q1028" s="1" t="s">
        <v>42</v>
      </c>
      <c r="S1028" s="1" t="s">
        <v>42</v>
      </c>
      <c r="T1028" s="1" t="s">
        <v>170</v>
      </c>
      <c r="U1028" s="1">
        <v>541</v>
      </c>
      <c r="V1028" s="5">
        <v>44102</v>
      </c>
      <c r="W1028" s="5">
        <v>43356</v>
      </c>
      <c r="X1028" s="1">
        <v>6900000</v>
      </c>
      <c r="Y1028" s="1">
        <v>6900000</v>
      </c>
      <c r="Z1028" s="5">
        <v>44055</v>
      </c>
      <c r="AA1028" s="1">
        <v>5900000</v>
      </c>
      <c r="AB1028" s="1" t="s">
        <v>760</v>
      </c>
      <c r="AC1028" s="5">
        <v>44084</v>
      </c>
      <c r="AF1028" s="1">
        <v>10014</v>
      </c>
      <c r="AI1028" s="1" t="s">
        <v>761</v>
      </c>
      <c r="AJ1028" s="1">
        <v>2018</v>
      </c>
      <c r="AK1028" s="1" t="s">
        <v>46</v>
      </c>
      <c r="AL1028" s="1">
        <v>35</v>
      </c>
    </row>
    <row r="1029" spans="1:38" x14ac:dyDescent="0.2">
      <c r="A1029" s="2" t="str">
        <f>HYPERLINK("https://www.compass.com/listing/90-morton-street-unit-ph10b-manhattan-ny-10014/29515687168957089/","90 Morton St, Unit PH10B")</f>
        <v>90 Morton St, Unit PH10B</v>
      </c>
      <c r="B1029" s="2" t="str">
        <f t="shared" si="190"/>
        <v>90 Morton Street</v>
      </c>
      <c r="C1029" s="1" t="s">
        <v>71</v>
      </c>
      <c r="D1029" s="1" t="s">
        <v>41</v>
      </c>
      <c r="E1029" s="3">
        <v>15566438</v>
      </c>
      <c r="F1029" s="1">
        <v>4332.4345950459201</v>
      </c>
      <c r="G1029" s="1">
        <v>6</v>
      </c>
      <c r="H1029" s="1">
        <v>3</v>
      </c>
      <c r="I1029" s="1">
        <v>5</v>
      </c>
      <c r="J1029" s="1">
        <v>4.5</v>
      </c>
      <c r="K1029" s="1">
        <v>4</v>
      </c>
      <c r="L1029" s="1">
        <v>1</v>
      </c>
      <c r="M1029" s="4">
        <v>3593</v>
      </c>
      <c r="N1029" s="1">
        <v>6252.42</v>
      </c>
      <c r="O1029" s="1">
        <v>11273.89</v>
      </c>
      <c r="P1029" s="1">
        <v>5021.5</v>
      </c>
      <c r="Q1029" s="1" t="s">
        <v>42</v>
      </c>
      <c r="S1029" s="1" t="s">
        <v>42</v>
      </c>
      <c r="T1029" s="1" t="s">
        <v>170</v>
      </c>
      <c r="U1029" s="1">
        <v>893</v>
      </c>
      <c r="V1029" s="5">
        <v>44385</v>
      </c>
      <c r="W1029" s="5">
        <v>43357</v>
      </c>
      <c r="Y1029" s="1">
        <v>17700000</v>
      </c>
      <c r="Z1029" s="5">
        <v>44344</v>
      </c>
      <c r="AA1029" s="1">
        <v>15566437.5</v>
      </c>
      <c r="AB1029" s="1" t="s">
        <v>762</v>
      </c>
      <c r="AC1029" s="5">
        <v>44372</v>
      </c>
      <c r="AF1029" s="1">
        <v>10014</v>
      </c>
      <c r="AI1029" s="1" t="s">
        <v>763</v>
      </c>
      <c r="AJ1029" s="1">
        <v>2018</v>
      </c>
      <c r="AK1029" s="1" t="s">
        <v>46</v>
      </c>
      <c r="AL1029" s="1">
        <v>35</v>
      </c>
    </row>
    <row r="1030" spans="1:38" x14ac:dyDescent="0.2">
      <c r="A1030" s="2" t="str">
        <f>HYPERLINK("https://www.compass.com/listing/21-east-12th-street-unit-5d-manhattan-ny-10003/29514924115977601/","21 E 12th St, Unit 5D")</f>
        <v>21 E 12th St, Unit 5D</v>
      </c>
      <c r="B1030" s="2" t="str">
        <f t="shared" ref="B1030:B1036" si="191">HYPERLINK("https://www.compass.com/building/21-east-12th-street-manhattan-ny/292779727154847925/","21 East 12th Street")</f>
        <v>21 East 12th Street</v>
      </c>
      <c r="C1030" s="1" t="s">
        <v>370</v>
      </c>
      <c r="D1030" s="1" t="s">
        <v>41</v>
      </c>
      <c r="E1030" s="3">
        <v>2507195</v>
      </c>
      <c r="F1030" s="1">
        <v>2492.24155069582</v>
      </c>
      <c r="G1030" s="1">
        <v>3</v>
      </c>
      <c r="H1030" s="1">
        <v>1</v>
      </c>
      <c r="I1030" s="1">
        <v>2</v>
      </c>
      <c r="J1030" s="1">
        <v>1.5</v>
      </c>
      <c r="K1030" s="1">
        <v>1</v>
      </c>
      <c r="L1030" s="1">
        <v>1</v>
      </c>
      <c r="M1030" s="4">
        <v>1006</v>
      </c>
      <c r="N1030" s="1">
        <v>1311</v>
      </c>
      <c r="O1030" s="1">
        <v>3315</v>
      </c>
      <c r="P1030" s="1">
        <v>2004</v>
      </c>
      <c r="Q1030" s="1" t="s">
        <v>42</v>
      </c>
      <c r="S1030" s="1" t="s">
        <v>42</v>
      </c>
      <c r="T1030" s="1" t="s">
        <v>170</v>
      </c>
      <c r="U1030" s="1">
        <v>558</v>
      </c>
      <c r="V1030" s="5">
        <v>43648</v>
      </c>
      <c r="W1030" s="5">
        <v>42873</v>
      </c>
      <c r="X1030" s="1">
        <v>2450000</v>
      </c>
      <c r="Y1030" s="1">
        <v>2595000</v>
      </c>
      <c r="Z1030" s="5">
        <v>43431</v>
      </c>
      <c r="AA1030" s="1">
        <v>2507195</v>
      </c>
      <c r="AB1030" s="1" t="s">
        <v>764</v>
      </c>
      <c r="AC1030" s="5">
        <v>43544</v>
      </c>
      <c r="AF1030" s="1">
        <v>10003</v>
      </c>
      <c r="AI1030" s="1" t="s">
        <v>59</v>
      </c>
      <c r="AJ1030" s="1">
        <v>2018</v>
      </c>
      <c r="AK1030" s="1" t="s">
        <v>740</v>
      </c>
      <c r="AL1030" s="1">
        <v>52</v>
      </c>
    </row>
    <row r="1031" spans="1:38" x14ac:dyDescent="0.2">
      <c r="A1031" s="2" t="str">
        <f>HYPERLINK("https://www.compass.com/listing/21-east-12th-street-unit-14a-manhattan-ny-10003/29514929878910561/","21 E 12th St, Unit 14A")</f>
        <v>21 E 12th St, Unit 14A</v>
      </c>
      <c r="B1031" s="2" t="str">
        <f t="shared" si="191"/>
        <v>21 East 12th Street</v>
      </c>
      <c r="C1031" s="1" t="s">
        <v>370</v>
      </c>
      <c r="D1031" s="1" t="s">
        <v>41</v>
      </c>
      <c r="E1031" s="3">
        <v>4170485</v>
      </c>
      <c r="F1031" s="1">
        <v>2821.70846414073</v>
      </c>
      <c r="G1031" s="1">
        <v>4</v>
      </c>
      <c r="H1031" s="1">
        <v>2</v>
      </c>
      <c r="I1031" s="1">
        <v>3</v>
      </c>
      <c r="J1031" s="1">
        <v>2.5</v>
      </c>
      <c r="K1031" s="1">
        <v>2</v>
      </c>
      <c r="L1031" s="1">
        <v>1</v>
      </c>
      <c r="M1031" s="4">
        <v>1478</v>
      </c>
      <c r="N1031" s="1">
        <v>1927</v>
      </c>
      <c r="O1031" s="1">
        <v>4871</v>
      </c>
      <c r="P1031" s="1">
        <v>2944</v>
      </c>
      <c r="Q1031" s="1" t="s">
        <v>42</v>
      </c>
      <c r="S1031" s="1" t="s">
        <v>42</v>
      </c>
      <c r="T1031" s="1" t="s">
        <v>170</v>
      </c>
      <c r="U1031" s="1">
        <v>289</v>
      </c>
      <c r="V1031" s="5">
        <v>44426</v>
      </c>
      <c r="W1031" s="5">
        <v>43596</v>
      </c>
      <c r="Y1031" s="1">
        <v>4500000</v>
      </c>
      <c r="Z1031" s="5">
        <v>43886</v>
      </c>
      <c r="AA1031" s="1">
        <v>4170485.11</v>
      </c>
      <c r="AB1031" s="1" t="s">
        <v>765</v>
      </c>
      <c r="AC1031" s="5">
        <v>43977</v>
      </c>
      <c r="AF1031" s="1">
        <v>10003</v>
      </c>
      <c r="AI1031" s="1" t="s">
        <v>59</v>
      </c>
      <c r="AJ1031" s="1">
        <v>2018</v>
      </c>
      <c r="AK1031" s="1" t="s">
        <v>740</v>
      </c>
      <c r="AL1031" s="1">
        <v>52</v>
      </c>
    </row>
    <row r="1032" spans="1:38" x14ac:dyDescent="0.2">
      <c r="A1032" s="2" t="str">
        <f>HYPERLINK("https://www.compass.com/listing/21-east-12th-street-unit-11c-manhattan-ny-10003/26452756994810209/","21 E 12th St, Unit 11C")</f>
        <v>21 E 12th St, Unit 11C</v>
      </c>
      <c r="B1032" s="2" t="str">
        <f t="shared" si="191"/>
        <v>21 East 12th Street</v>
      </c>
      <c r="C1032" s="1" t="s">
        <v>370</v>
      </c>
      <c r="D1032" s="1" t="s">
        <v>41</v>
      </c>
      <c r="E1032" s="3">
        <v>4217808</v>
      </c>
      <c r="F1032" s="1">
        <v>2079.7867603550199</v>
      </c>
      <c r="G1032" s="1">
        <v>4.5</v>
      </c>
      <c r="H1032" s="1">
        <v>2</v>
      </c>
      <c r="I1032" s="1">
        <v>3</v>
      </c>
      <c r="J1032" s="1">
        <v>2.5</v>
      </c>
      <c r="K1032" s="1">
        <v>2</v>
      </c>
      <c r="L1032" s="1">
        <v>1</v>
      </c>
      <c r="M1032" s="4">
        <v>2028</v>
      </c>
      <c r="N1032" s="1">
        <v>2644</v>
      </c>
      <c r="O1032" s="1">
        <v>6684</v>
      </c>
      <c r="P1032" s="1">
        <v>4040</v>
      </c>
      <c r="Q1032" s="1" t="s">
        <v>42</v>
      </c>
      <c r="S1032" s="1" t="s">
        <v>42</v>
      </c>
      <c r="T1032" s="1" t="s">
        <v>170</v>
      </c>
      <c r="U1032" s="1">
        <v>118</v>
      </c>
      <c r="V1032" s="5">
        <v>43872</v>
      </c>
      <c r="W1032" s="5">
        <v>43675</v>
      </c>
      <c r="X1032" s="1">
        <v>4900000</v>
      </c>
      <c r="Y1032" s="1">
        <v>4375000</v>
      </c>
      <c r="Z1032" s="5">
        <v>43793</v>
      </c>
      <c r="AA1032" s="1">
        <v>4217807.55</v>
      </c>
      <c r="AB1032" s="1" t="s">
        <v>766</v>
      </c>
      <c r="AC1032" s="5">
        <v>43845</v>
      </c>
      <c r="AF1032" s="1">
        <v>10003</v>
      </c>
      <c r="AI1032" s="1" t="s">
        <v>59</v>
      </c>
      <c r="AJ1032" s="1">
        <v>2018</v>
      </c>
      <c r="AK1032" s="1" t="s">
        <v>740</v>
      </c>
      <c r="AL1032" s="1">
        <v>52</v>
      </c>
    </row>
    <row r="1033" spans="1:38" x14ac:dyDescent="0.2">
      <c r="A1033" s="2" t="str">
        <f>HYPERLINK("https://www.compass.com/listing/21-east-12th-street-unit-5c-manhattan-ny-10003/29514924451453633/","21 E 12th St, Unit 5C")</f>
        <v>21 E 12th St, Unit 5C</v>
      </c>
      <c r="B1033" s="2" t="str">
        <f t="shared" si="191"/>
        <v>21 East 12th Street</v>
      </c>
      <c r="C1033" s="1" t="s">
        <v>370</v>
      </c>
      <c r="D1033" s="1" t="s">
        <v>41</v>
      </c>
      <c r="E1033" s="3">
        <v>2638241</v>
      </c>
      <c r="F1033" s="1">
        <v>2553.9603097773402</v>
      </c>
      <c r="G1033" s="1">
        <v>3</v>
      </c>
      <c r="H1033" s="1">
        <v>1</v>
      </c>
      <c r="I1033" s="1">
        <v>2</v>
      </c>
      <c r="J1033" s="1">
        <v>1.5</v>
      </c>
      <c r="K1033" s="1">
        <v>1</v>
      </c>
      <c r="L1033" s="1">
        <v>1</v>
      </c>
      <c r="M1033" s="4">
        <v>1033</v>
      </c>
      <c r="N1033" s="1">
        <v>1347</v>
      </c>
      <c r="O1033" s="1">
        <v>3404</v>
      </c>
      <c r="P1033" s="1">
        <v>2057</v>
      </c>
      <c r="Q1033" s="1" t="s">
        <v>42</v>
      </c>
      <c r="S1033" s="1" t="s">
        <v>42</v>
      </c>
      <c r="T1033" s="1" t="s">
        <v>170</v>
      </c>
      <c r="U1033" s="1">
        <v>478</v>
      </c>
      <c r="V1033" s="5">
        <v>43637</v>
      </c>
      <c r="W1033" s="5">
        <v>42873</v>
      </c>
      <c r="X1033" s="1">
        <v>2600000</v>
      </c>
      <c r="Y1033" s="1">
        <v>2650000</v>
      </c>
      <c r="Z1033" s="5">
        <v>43351</v>
      </c>
      <c r="AA1033" s="1">
        <v>2638241</v>
      </c>
      <c r="AB1033" s="1" t="s">
        <v>767</v>
      </c>
      <c r="AC1033" s="5">
        <v>43551</v>
      </c>
      <c r="AF1033" s="1">
        <v>10003</v>
      </c>
      <c r="AI1033" s="1" t="s">
        <v>59</v>
      </c>
      <c r="AJ1033" s="1">
        <v>2018</v>
      </c>
      <c r="AK1033" s="1" t="s">
        <v>740</v>
      </c>
      <c r="AL1033" s="1">
        <v>52</v>
      </c>
    </row>
    <row r="1034" spans="1:38" x14ac:dyDescent="0.2">
      <c r="A1034" s="2" t="str">
        <f>HYPERLINK("https://www.compass.com/listing/21-east-12th-street-unit-8c-manhattan-ny-10003/29514930776491633/","21 E 12th St, Unit 8C")</f>
        <v>21 E 12th St, Unit 8C</v>
      </c>
      <c r="B1034" s="2" t="str">
        <f t="shared" si="191"/>
        <v>21 East 12th Street</v>
      </c>
      <c r="C1034" s="1" t="s">
        <v>370</v>
      </c>
      <c r="D1034" s="1" t="s">
        <v>41</v>
      </c>
      <c r="E1034" s="3">
        <v>2723774</v>
      </c>
      <c r="F1034" s="1">
        <v>2636.7608809293301</v>
      </c>
      <c r="G1034" s="1">
        <v>3</v>
      </c>
      <c r="H1034" s="1">
        <v>1</v>
      </c>
      <c r="I1034" s="1">
        <v>2</v>
      </c>
      <c r="J1034" s="1">
        <v>1.5</v>
      </c>
      <c r="K1034" s="1">
        <v>1</v>
      </c>
      <c r="L1034" s="1">
        <v>1</v>
      </c>
      <c r="M1034" s="4">
        <v>1033</v>
      </c>
      <c r="N1034" s="1">
        <v>1348</v>
      </c>
      <c r="O1034" s="1">
        <v>3405</v>
      </c>
      <c r="P1034" s="1">
        <v>2057</v>
      </c>
      <c r="Q1034" s="1" t="s">
        <v>42</v>
      </c>
      <c r="S1034" s="1" t="s">
        <v>42</v>
      </c>
      <c r="T1034" s="1" t="s">
        <v>170</v>
      </c>
      <c r="U1034" s="1">
        <v>11</v>
      </c>
      <c r="V1034" s="5">
        <v>43684</v>
      </c>
      <c r="W1034" s="5">
        <v>42580</v>
      </c>
      <c r="X1034" s="1">
        <v>2650000</v>
      </c>
      <c r="Y1034" s="1">
        <v>2725000</v>
      </c>
      <c r="Z1034" s="5">
        <v>42592</v>
      </c>
      <c r="AA1034" s="1">
        <v>2723773.99</v>
      </c>
      <c r="AB1034" s="1" t="s">
        <v>768</v>
      </c>
      <c r="AC1034" s="5">
        <v>43572</v>
      </c>
      <c r="AF1034" s="1">
        <v>10003</v>
      </c>
      <c r="AI1034" s="1" t="s">
        <v>59</v>
      </c>
      <c r="AJ1034" s="1">
        <v>2018</v>
      </c>
      <c r="AK1034" s="1" t="s">
        <v>740</v>
      </c>
      <c r="AL1034" s="1">
        <v>52</v>
      </c>
    </row>
    <row r="1035" spans="1:38" x14ac:dyDescent="0.2">
      <c r="A1035" s="2" t="str">
        <f>HYPERLINK("https://www.compass.com/listing/21-east-12th-street-unit-6c-manhattan-ny-10003/29514933385389777/","21 E 12th St, Unit 6C")</f>
        <v>21 E 12th St, Unit 6C</v>
      </c>
      <c r="B1035" s="2" t="str">
        <f t="shared" si="191"/>
        <v>21 East 12th Street</v>
      </c>
      <c r="C1035" s="1" t="s">
        <v>370</v>
      </c>
      <c r="D1035" s="1" t="s">
        <v>41</v>
      </c>
      <c r="E1035" s="3">
        <v>2608771</v>
      </c>
      <c r="F1035" s="1">
        <v>2525.43175217812</v>
      </c>
      <c r="G1035" s="1">
        <v>3</v>
      </c>
      <c r="H1035" s="1">
        <v>1</v>
      </c>
      <c r="I1035" s="1">
        <v>2</v>
      </c>
      <c r="J1035" s="1">
        <v>1.5</v>
      </c>
      <c r="K1035" s="1">
        <v>1</v>
      </c>
      <c r="L1035" s="1">
        <v>1</v>
      </c>
      <c r="M1035" s="4">
        <v>1033</v>
      </c>
      <c r="N1035" s="1">
        <v>1349</v>
      </c>
      <c r="O1035" s="1">
        <v>3406</v>
      </c>
      <c r="P1035" s="1">
        <v>2057</v>
      </c>
      <c r="Q1035" s="1" t="s">
        <v>42</v>
      </c>
      <c r="S1035" s="1" t="s">
        <v>42</v>
      </c>
      <c r="T1035" s="1" t="s">
        <v>170</v>
      </c>
      <c r="U1035" s="1">
        <v>287</v>
      </c>
      <c r="V1035" s="5">
        <v>43643</v>
      </c>
      <c r="W1035" s="5">
        <v>42586</v>
      </c>
      <c r="X1035" s="1">
        <v>2575000</v>
      </c>
      <c r="Y1035" s="1">
        <v>2625000</v>
      </c>
      <c r="Z1035" s="5">
        <v>42873</v>
      </c>
      <c r="AA1035" s="1">
        <v>2608771</v>
      </c>
      <c r="AB1035" s="1" t="s">
        <v>769</v>
      </c>
      <c r="AC1035" s="5">
        <v>43545</v>
      </c>
      <c r="AF1035" s="1">
        <v>10003</v>
      </c>
      <c r="AI1035" s="1" t="s">
        <v>59</v>
      </c>
      <c r="AJ1035" s="1">
        <v>2018</v>
      </c>
      <c r="AK1035" s="1" t="s">
        <v>740</v>
      </c>
      <c r="AL1035" s="1">
        <v>52</v>
      </c>
    </row>
    <row r="1036" spans="1:38" x14ac:dyDescent="0.2">
      <c r="A1036" s="2" t="str">
        <f>HYPERLINK("https://www.compass.com/listing/21-east-12th-street-unit-7c-manhattan-ny-10003/29514934853355297/","21 E 12th St, Unit 7C")</f>
        <v>21 E 12th St, Unit 7C</v>
      </c>
      <c r="B1036" s="2" t="str">
        <f t="shared" si="191"/>
        <v>21 East 12th Street</v>
      </c>
      <c r="C1036" s="1" t="s">
        <v>370</v>
      </c>
      <c r="D1036" s="1" t="s">
        <v>41</v>
      </c>
      <c r="E1036" s="3">
        <v>2675411</v>
      </c>
      <c r="F1036" s="1">
        <v>2589.94288480154</v>
      </c>
      <c r="G1036" s="1">
        <v>3</v>
      </c>
      <c r="H1036" s="1">
        <v>1</v>
      </c>
      <c r="I1036" s="1">
        <v>2</v>
      </c>
      <c r="J1036" s="1">
        <v>1.5</v>
      </c>
      <c r="K1036" s="1">
        <v>1</v>
      </c>
      <c r="L1036" s="1">
        <v>1</v>
      </c>
      <c r="M1036" s="4">
        <v>1033</v>
      </c>
      <c r="N1036" s="1">
        <v>1346</v>
      </c>
      <c r="O1036" s="1">
        <v>3403</v>
      </c>
      <c r="P1036" s="1">
        <v>2057</v>
      </c>
      <c r="Q1036" s="1" t="s">
        <v>42</v>
      </c>
      <c r="S1036" s="1" t="s">
        <v>42</v>
      </c>
      <c r="T1036" s="1" t="s">
        <v>170</v>
      </c>
      <c r="U1036" s="1">
        <v>5</v>
      </c>
      <c r="V1036" s="5">
        <v>43637</v>
      </c>
      <c r="W1036" s="5">
        <v>42950</v>
      </c>
      <c r="X1036" s="1">
        <v>2675000</v>
      </c>
      <c r="Y1036" s="1">
        <v>2675000</v>
      </c>
      <c r="Z1036" s="5">
        <v>42955</v>
      </c>
      <c r="AA1036" s="1">
        <v>2675411</v>
      </c>
      <c r="AB1036" s="1" t="s">
        <v>770</v>
      </c>
      <c r="AC1036" s="5">
        <v>43580</v>
      </c>
      <c r="AF1036" s="1">
        <v>10003</v>
      </c>
      <c r="AI1036" s="1" t="s">
        <v>59</v>
      </c>
      <c r="AJ1036" s="1">
        <v>2018</v>
      </c>
      <c r="AK1036" s="1" t="s">
        <v>740</v>
      </c>
      <c r="AL1036" s="1">
        <v>52</v>
      </c>
    </row>
    <row r="1037" spans="1:38" x14ac:dyDescent="0.2">
      <c r="A1037" s="2" t="str">
        <f>HYPERLINK("https://www.compass.com/listing/90-morton-street-unit-5d-manhattan-ny-10014/29515688276253393/","90 Morton St, Unit 5D")</f>
        <v>90 Morton St, Unit 5D</v>
      </c>
      <c r="B1037" s="2" t="str">
        <f>HYPERLINK("https://www.compass.com/building/90-morton-street-manhattan-ny/292834843018978005/","90 Morton Street")</f>
        <v>90 Morton Street</v>
      </c>
      <c r="C1037" s="1" t="s">
        <v>71</v>
      </c>
      <c r="D1037" s="1" t="s">
        <v>41</v>
      </c>
      <c r="E1037" s="3">
        <v>6400000</v>
      </c>
      <c r="F1037" s="1">
        <v>2852.0499108734398</v>
      </c>
      <c r="G1037" s="1">
        <v>5</v>
      </c>
      <c r="H1037" s="1">
        <v>3</v>
      </c>
      <c r="I1037" s="1">
        <v>4</v>
      </c>
      <c r="J1037" s="1">
        <v>3.5</v>
      </c>
      <c r="K1037" s="1">
        <v>3</v>
      </c>
      <c r="L1037" s="1">
        <v>1</v>
      </c>
      <c r="M1037" s="4">
        <v>2244</v>
      </c>
      <c r="N1037" s="1">
        <v>2999.51</v>
      </c>
      <c r="O1037" s="1">
        <v>5408.48</v>
      </c>
      <c r="P1037" s="1">
        <v>2409</v>
      </c>
      <c r="Q1037" s="1" t="s">
        <v>42</v>
      </c>
      <c r="S1037" s="1" t="s">
        <v>42</v>
      </c>
      <c r="T1037" s="1" t="s">
        <v>170</v>
      </c>
      <c r="U1037" s="1">
        <v>62</v>
      </c>
      <c r="V1037" s="5">
        <v>43824</v>
      </c>
      <c r="W1037" s="5">
        <v>43476</v>
      </c>
      <c r="X1037" s="1">
        <v>6880000</v>
      </c>
      <c r="Y1037" s="1">
        <v>6880000</v>
      </c>
      <c r="Z1037" s="5">
        <v>43538</v>
      </c>
      <c r="AA1037" s="1">
        <v>6400000</v>
      </c>
      <c r="AB1037" s="1" t="s">
        <v>771</v>
      </c>
      <c r="AC1037" s="5">
        <v>43809</v>
      </c>
      <c r="AF1037" s="1">
        <v>10014</v>
      </c>
      <c r="AI1037" s="1" t="s">
        <v>772</v>
      </c>
      <c r="AJ1037" s="1">
        <v>2018</v>
      </c>
      <c r="AK1037" s="1" t="s">
        <v>46</v>
      </c>
      <c r="AL1037" s="1">
        <v>35</v>
      </c>
    </row>
    <row r="1038" spans="1:38" x14ac:dyDescent="0.2">
      <c r="A1038" s="2" t="str">
        <f>HYPERLINK("https://www.compass.com/listing/21-east-12th-street-unit-9c-manhattan-ny-10003/29514935683827521/","21 E 12th St, Unit 9C")</f>
        <v>21 E 12th St, Unit 9C</v>
      </c>
      <c r="B1038" s="2" t="str">
        <f>HYPERLINK("https://www.compass.com/building/21-east-12th-street-manhattan-ny/292779727154847925/","21 East 12th Street")</f>
        <v>21 East 12th Street</v>
      </c>
      <c r="C1038" s="1" t="s">
        <v>370</v>
      </c>
      <c r="D1038" s="1" t="s">
        <v>41</v>
      </c>
      <c r="E1038" s="3">
        <v>4025011</v>
      </c>
      <c r="F1038" s="1">
        <v>1984.7192652859901</v>
      </c>
      <c r="G1038" s="1">
        <v>4</v>
      </c>
      <c r="H1038" s="1">
        <v>2</v>
      </c>
      <c r="I1038" s="1">
        <v>3</v>
      </c>
      <c r="J1038" s="1">
        <v>2.5</v>
      </c>
      <c r="K1038" s="1">
        <v>2</v>
      </c>
      <c r="L1038" s="1">
        <v>1</v>
      </c>
      <c r="M1038" s="4">
        <v>2028</v>
      </c>
      <c r="N1038" s="1">
        <v>2648</v>
      </c>
      <c r="O1038" s="1">
        <v>6688</v>
      </c>
      <c r="P1038" s="1">
        <v>4040</v>
      </c>
      <c r="Q1038" s="1" t="s">
        <v>42</v>
      </c>
      <c r="S1038" s="1" t="s">
        <v>42</v>
      </c>
      <c r="T1038" s="1" t="s">
        <v>170</v>
      </c>
      <c r="U1038" s="1">
        <v>225</v>
      </c>
      <c r="V1038" s="5">
        <v>44067</v>
      </c>
      <c r="W1038" s="5">
        <v>43678</v>
      </c>
      <c r="X1038" s="1">
        <v>4750000</v>
      </c>
      <c r="Y1038" s="1">
        <v>4750000</v>
      </c>
      <c r="Z1038" s="5">
        <v>43904</v>
      </c>
      <c r="AA1038" s="1">
        <v>4025010.67</v>
      </c>
      <c r="AB1038" s="1" t="s">
        <v>773</v>
      </c>
      <c r="AC1038" s="5">
        <v>44035</v>
      </c>
      <c r="AF1038" s="1">
        <v>10003</v>
      </c>
      <c r="AI1038" s="1" t="s">
        <v>59</v>
      </c>
      <c r="AJ1038" s="1">
        <v>2018</v>
      </c>
      <c r="AK1038" s="1" t="s">
        <v>73</v>
      </c>
      <c r="AL1038" s="1">
        <v>52</v>
      </c>
    </row>
    <row r="1039" spans="1:38" x14ac:dyDescent="0.2">
      <c r="A1039" s="2" t="str">
        <f>HYPERLINK("https://www.compass.com/listing/10-madison-square-west-unit-2d-manhattan-ny-10010/29374712668819889/","10 Madison Sq W, Unit 2D")</f>
        <v>10 Madison Sq W, Unit 2D</v>
      </c>
      <c r="B1039" s="2" t="str">
        <f>HYPERLINK("https://www.compass.com/building/10-madison-square-west-manhattan-ny/294838725091521285/","10 Madison Square West")</f>
        <v>10 Madison Square West</v>
      </c>
      <c r="C1039" s="1" t="s">
        <v>154</v>
      </c>
      <c r="D1039" s="1" t="s">
        <v>41</v>
      </c>
      <c r="E1039" s="3">
        <v>1545337</v>
      </c>
      <c r="F1039" s="1">
        <v>914.40050887573898</v>
      </c>
      <c r="H1039" s="1">
        <v>2</v>
      </c>
      <c r="J1039" s="1">
        <v>2.5</v>
      </c>
      <c r="M1039" s="4">
        <v>1690</v>
      </c>
      <c r="N1039" s="1">
        <v>2123</v>
      </c>
      <c r="O1039" s="1">
        <v>5414</v>
      </c>
      <c r="P1039" s="1">
        <v>3291</v>
      </c>
      <c r="Q1039" s="1" t="s">
        <v>42</v>
      </c>
      <c r="S1039" s="1" t="s">
        <v>42</v>
      </c>
      <c r="T1039" s="1" t="s">
        <v>170</v>
      </c>
      <c r="AA1039" s="1">
        <v>1545336.86</v>
      </c>
      <c r="AB1039" s="1" t="s">
        <v>774</v>
      </c>
      <c r="AC1039" s="5">
        <v>43010</v>
      </c>
      <c r="AF1039" s="1">
        <v>10010</v>
      </c>
      <c r="AI1039" s="1" t="s">
        <v>59</v>
      </c>
      <c r="AJ1039" s="1">
        <v>1915</v>
      </c>
      <c r="AK1039" s="1" t="s">
        <v>46</v>
      </c>
      <c r="AL1039" s="1">
        <v>125</v>
      </c>
    </row>
    <row r="1040" spans="1:38" x14ac:dyDescent="0.2">
      <c r="A1040" s="2" t="str">
        <f>HYPERLINK("https://www.compass.com/listing/121-east-22nd-street-unit-s503-manhattan-ny-10010/34697600812834721/","121 E 22nd St, Unit S503")</f>
        <v>121 E 22nd St, Unit S503</v>
      </c>
      <c r="B1040" s="2" t="str">
        <f>HYPERLINK("https://www.compass.com/building/121-e-22nd-manhattan-ny/292795784653461493/","121 E 22nd")</f>
        <v>121 E 22nd</v>
      </c>
      <c r="C1040" s="1" t="s">
        <v>54</v>
      </c>
      <c r="D1040" s="1" t="s">
        <v>41</v>
      </c>
      <c r="E1040" s="3">
        <v>14942</v>
      </c>
      <c r="F1040" s="1">
        <v>9.2865133623368497</v>
      </c>
      <c r="G1040" s="1">
        <v>4</v>
      </c>
      <c r="H1040" s="1">
        <v>2</v>
      </c>
      <c r="I1040" s="1">
        <v>3</v>
      </c>
      <c r="J1040" s="1">
        <v>2.5</v>
      </c>
      <c r="K1040" s="1">
        <v>2</v>
      </c>
      <c r="L1040" s="1">
        <v>1</v>
      </c>
      <c r="M1040" s="4">
        <v>1609</v>
      </c>
      <c r="N1040" s="1">
        <v>1698</v>
      </c>
      <c r="O1040" s="1">
        <v>4699</v>
      </c>
      <c r="P1040" s="1">
        <v>3001</v>
      </c>
      <c r="Q1040" s="1" t="s">
        <v>42</v>
      </c>
      <c r="S1040" s="1" t="s">
        <v>42</v>
      </c>
      <c r="T1040" s="1" t="s">
        <v>170</v>
      </c>
      <c r="V1040" s="5">
        <v>44373</v>
      </c>
      <c r="W1040" s="5">
        <v>43315</v>
      </c>
      <c r="X1040" s="1">
        <v>3405000</v>
      </c>
      <c r="Y1040" s="1">
        <v>3405000</v>
      </c>
      <c r="Z1040" s="5">
        <v>43315</v>
      </c>
      <c r="AA1040" s="1">
        <v>14942</v>
      </c>
      <c r="AB1040" s="1" t="s">
        <v>181</v>
      </c>
      <c r="AC1040" s="5">
        <v>43561</v>
      </c>
      <c r="AF1040" s="1">
        <v>10010</v>
      </c>
      <c r="AI1040" s="1" t="s">
        <v>75</v>
      </c>
      <c r="AJ1040" s="1">
        <v>2016</v>
      </c>
      <c r="AK1040" s="1" t="s">
        <v>73</v>
      </c>
      <c r="AL1040" s="1">
        <v>140</v>
      </c>
    </row>
    <row r="1041" spans="1:38" x14ac:dyDescent="0.2">
      <c r="A1041" s="2" t="str">
        <f>HYPERLINK("https://www.compass.com/listing/90-morton-street-unit-2a-manhattan-ny-10014/710507939897931889/","90 Morton St, Unit 2A")</f>
        <v>90 Morton St, Unit 2A</v>
      </c>
      <c r="B1041" s="2" t="str">
        <f t="shared" ref="B1041:B1047" si="192">HYPERLINK("https://www.compass.com/building/90-morton-street-manhattan-ny/292834843018978005/","90 Morton Street")</f>
        <v>90 Morton Street</v>
      </c>
      <c r="C1041" s="1" t="s">
        <v>71</v>
      </c>
      <c r="D1041" s="1" t="s">
        <v>41</v>
      </c>
      <c r="E1041" s="3">
        <v>9000000</v>
      </c>
      <c r="F1041" s="1">
        <v>2770.0831024930699</v>
      </c>
      <c r="G1041" s="1">
        <v>6</v>
      </c>
      <c r="H1041" s="1">
        <v>4</v>
      </c>
      <c r="I1041" s="1">
        <v>5</v>
      </c>
      <c r="J1041" s="1">
        <v>4.5</v>
      </c>
      <c r="K1041" s="1">
        <v>4</v>
      </c>
      <c r="L1041" s="1">
        <v>1</v>
      </c>
      <c r="M1041" s="4">
        <v>3249</v>
      </c>
      <c r="N1041" s="1">
        <v>4247</v>
      </c>
      <c r="O1041" s="1">
        <v>7658</v>
      </c>
      <c r="P1041" s="1">
        <v>3411</v>
      </c>
      <c r="Q1041" s="1" t="s">
        <v>42</v>
      </c>
      <c r="S1041" s="1" t="s">
        <v>42</v>
      </c>
      <c r="T1041" s="1" t="s">
        <v>170</v>
      </c>
      <c r="V1041" s="5">
        <v>44363</v>
      </c>
      <c r="W1041" s="5">
        <v>44239</v>
      </c>
      <c r="Y1041" s="1">
        <v>9500000</v>
      </c>
      <c r="Z1041" s="5">
        <v>44239</v>
      </c>
      <c r="AA1041" s="1">
        <v>9000000</v>
      </c>
      <c r="AB1041" s="1" t="s">
        <v>775</v>
      </c>
      <c r="AC1041" s="5">
        <v>44351</v>
      </c>
      <c r="AF1041" s="1">
        <v>10014</v>
      </c>
      <c r="AI1041" s="1" t="s">
        <v>80</v>
      </c>
      <c r="AJ1041" s="1">
        <v>2018</v>
      </c>
      <c r="AK1041" s="1" t="s">
        <v>46</v>
      </c>
      <c r="AL1041" s="1">
        <v>35</v>
      </c>
    </row>
    <row r="1042" spans="1:38" x14ac:dyDescent="0.2">
      <c r="A1042" s="2" t="str">
        <f>HYPERLINK("https://www.compass.com/listing/90-morton-street-unit-6a-manhattan-ny-10014/76213070048837985/","90 Morton St, Unit 6A")</f>
        <v>90 Morton St, Unit 6A</v>
      </c>
      <c r="B1042" s="2" t="str">
        <f t="shared" si="192"/>
        <v>90 Morton Street</v>
      </c>
      <c r="C1042" s="1" t="s">
        <v>71</v>
      </c>
      <c r="D1042" s="1" t="s">
        <v>41</v>
      </c>
      <c r="E1042" s="3">
        <v>9250000</v>
      </c>
      <c r="F1042" s="1">
        <v>2847.0298553400999</v>
      </c>
      <c r="G1042" s="1">
        <v>6</v>
      </c>
      <c r="H1042" s="1">
        <v>4</v>
      </c>
      <c r="I1042" s="1">
        <v>5</v>
      </c>
      <c r="J1042" s="1">
        <v>4.5</v>
      </c>
      <c r="K1042" s="1">
        <v>4</v>
      </c>
      <c r="L1042" s="1">
        <v>1</v>
      </c>
      <c r="M1042" s="4">
        <v>3249</v>
      </c>
      <c r="N1042" s="1">
        <v>4339</v>
      </c>
      <c r="O1042" s="1">
        <v>7824</v>
      </c>
      <c r="P1042" s="1">
        <v>3485</v>
      </c>
      <c r="Q1042" s="1" t="s">
        <v>42</v>
      </c>
      <c r="S1042" s="1" t="s">
        <v>42</v>
      </c>
      <c r="T1042" s="1" t="s">
        <v>170</v>
      </c>
      <c r="U1042" s="1">
        <v>18</v>
      </c>
      <c r="V1042" s="5">
        <v>44303</v>
      </c>
      <c r="W1042" s="5">
        <v>44239</v>
      </c>
      <c r="Y1042" s="1">
        <v>9950000</v>
      </c>
      <c r="Z1042" s="5">
        <v>44257</v>
      </c>
      <c r="AA1042" s="1">
        <v>9250000</v>
      </c>
      <c r="AB1042" s="1" t="s">
        <v>776</v>
      </c>
      <c r="AC1042" s="5">
        <v>44302</v>
      </c>
      <c r="AF1042" s="1">
        <v>10014</v>
      </c>
      <c r="AI1042" s="1" t="s">
        <v>80</v>
      </c>
      <c r="AJ1042" s="1">
        <v>2018</v>
      </c>
      <c r="AK1042" s="1" t="s">
        <v>46</v>
      </c>
      <c r="AL1042" s="1">
        <v>35</v>
      </c>
    </row>
    <row r="1043" spans="1:38" x14ac:dyDescent="0.2">
      <c r="A1043" s="2" t="str">
        <f>HYPERLINK("https://www.compass.com/listing/90-morton-street-unit-6b-manhattan-ny-10014/714544364440109065/","90 Morton St, Unit 6B")</f>
        <v>90 Morton St, Unit 6B</v>
      </c>
      <c r="B1043" s="2" t="str">
        <f t="shared" si="192"/>
        <v>90 Morton Street</v>
      </c>
      <c r="C1043" s="1" t="s">
        <v>71</v>
      </c>
      <c r="D1043" s="1" t="s">
        <v>41</v>
      </c>
      <c r="E1043" s="3">
        <v>7600000</v>
      </c>
      <c r="F1043" s="1">
        <v>2608.0988332189399</v>
      </c>
      <c r="G1043" s="1">
        <v>6</v>
      </c>
      <c r="H1043" s="1">
        <v>4</v>
      </c>
      <c r="I1043" s="1">
        <v>4</v>
      </c>
      <c r="J1043" s="1">
        <v>4.5</v>
      </c>
      <c r="K1043" s="1">
        <v>4</v>
      </c>
      <c r="L1043" s="1">
        <v>1</v>
      </c>
      <c r="M1043" s="4">
        <v>2914</v>
      </c>
      <c r="N1043" s="1">
        <v>3891</v>
      </c>
      <c r="O1043" s="1">
        <v>7016</v>
      </c>
      <c r="P1043" s="1">
        <v>3125</v>
      </c>
      <c r="Q1043" s="1" t="s">
        <v>42</v>
      </c>
      <c r="S1043" s="1" t="s">
        <v>42</v>
      </c>
      <c r="T1043" s="1" t="s">
        <v>170</v>
      </c>
      <c r="V1043" s="5">
        <v>44307</v>
      </c>
      <c r="W1043" s="5">
        <v>44237</v>
      </c>
      <c r="X1043" s="1">
        <v>8920000</v>
      </c>
      <c r="Y1043" s="1">
        <v>8920000</v>
      </c>
      <c r="Z1043" s="5">
        <v>44237</v>
      </c>
      <c r="AA1043" s="1">
        <v>7600000</v>
      </c>
      <c r="AB1043" s="1" t="s">
        <v>777</v>
      </c>
      <c r="AC1043" s="5">
        <v>44288</v>
      </c>
      <c r="AF1043" s="1">
        <v>10014</v>
      </c>
      <c r="AI1043" s="1" t="s">
        <v>80</v>
      </c>
      <c r="AJ1043" s="1">
        <v>2018</v>
      </c>
      <c r="AK1043" s="1" t="s">
        <v>46</v>
      </c>
      <c r="AL1043" s="1">
        <v>35</v>
      </c>
    </row>
    <row r="1044" spans="1:38" x14ac:dyDescent="0.2">
      <c r="A1044" s="2" t="str">
        <f>HYPERLINK("https://www.compass.com/listing/90-morton-street-unit-ph11a-manhattan-ny-10014/147807250671472065/","90 Morton St, Unit PH11A")</f>
        <v>90 Morton St, Unit PH11A</v>
      </c>
      <c r="B1044" s="2" t="str">
        <f t="shared" si="192"/>
        <v>90 Morton Street</v>
      </c>
      <c r="C1044" s="1" t="s">
        <v>71</v>
      </c>
      <c r="D1044" s="1" t="s">
        <v>41</v>
      </c>
      <c r="E1044" s="3">
        <v>24900000</v>
      </c>
      <c r="F1044" s="1">
        <v>4739.24628854206</v>
      </c>
      <c r="G1044" s="1">
        <v>9</v>
      </c>
      <c r="H1044" s="1">
        <v>5</v>
      </c>
      <c r="I1044" s="1">
        <v>6</v>
      </c>
      <c r="J1044" s="1">
        <v>5.5</v>
      </c>
      <c r="K1044" s="1">
        <v>5</v>
      </c>
      <c r="L1044" s="1">
        <v>1</v>
      </c>
      <c r="M1044" s="4">
        <v>5254</v>
      </c>
      <c r="N1044" s="1">
        <v>11877</v>
      </c>
      <c r="O1044" s="1">
        <v>21416</v>
      </c>
      <c r="P1044" s="1">
        <v>9539</v>
      </c>
      <c r="Q1044" s="1" t="s">
        <v>42</v>
      </c>
      <c r="S1044" s="1" t="s">
        <v>42</v>
      </c>
      <c r="T1044" s="1" t="s">
        <v>170</v>
      </c>
      <c r="V1044" s="5">
        <v>44194</v>
      </c>
      <c r="W1044" s="5">
        <v>43943</v>
      </c>
      <c r="Y1044" s="1">
        <v>33000000</v>
      </c>
      <c r="Z1044" s="5">
        <v>43944</v>
      </c>
      <c r="AA1044" s="1">
        <v>24900000</v>
      </c>
      <c r="AB1044" s="1" t="s">
        <v>778</v>
      </c>
      <c r="AC1044" s="5">
        <v>44188</v>
      </c>
      <c r="AF1044" s="1">
        <v>10014</v>
      </c>
      <c r="AI1044" s="1" t="s">
        <v>779</v>
      </c>
      <c r="AJ1044" s="1">
        <v>2018</v>
      </c>
      <c r="AK1044" s="1" t="s">
        <v>46</v>
      </c>
      <c r="AL1044" s="1">
        <v>35</v>
      </c>
    </row>
    <row r="1045" spans="1:38" x14ac:dyDescent="0.2">
      <c r="A1045" s="2" t="str">
        <f>HYPERLINK("https://www.compass.com/listing/90-morton-street-unit-ph11b-manhattan-ny-10014/157950645003887105/","90 Morton St, Unit PH11B")</f>
        <v>90 Morton St, Unit PH11B</v>
      </c>
      <c r="B1045" s="2" t="str">
        <f t="shared" si="192"/>
        <v>90 Morton Street</v>
      </c>
      <c r="C1045" s="1" t="s">
        <v>71</v>
      </c>
      <c r="D1045" s="1" t="s">
        <v>41</v>
      </c>
      <c r="E1045" s="3">
        <v>24802505</v>
      </c>
      <c r="F1045" s="1">
        <v>5294.02454642476</v>
      </c>
      <c r="G1045" s="1">
        <v>9</v>
      </c>
      <c r="H1045" s="1">
        <v>5</v>
      </c>
      <c r="I1045" s="1">
        <v>5</v>
      </c>
      <c r="J1045" s="1">
        <v>4.5</v>
      </c>
      <c r="K1045" s="1">
        <v>4</v>
      </c>
      <c r="L1045" s="1">
        <v>1</v>
      </c>
      <c r="M1045" s="4">
        <v>4685</v>
      </c>
      <c r="N1045" s="1">
        <v>10534.76</v>
      </c>
      <c r="O1045" s="1">
        <v>18995.48</v>
      </c>
      <c r="P1045" s="1">
        <v>8460.75</v>
      </c>
      <c r="Q1045" s="1" t="s">
        <v>42</v>
      </c>
      <c r="S1045" s="1" t="s">
        <v>42</v>
      </c>
      <c r="T1045" s="1" t="s">
        <v>170</v>
      </c>
      <c r="U1045" s="1">
        <v>391</v>
      </c>
      <c r="V1045" s="5">
        <v>44194</v>
      </c>
      <c r="W1045" s="5">
        <v>43469</v>
      </c>
      <c r="X1045" s="1">
        <v>26500000</v>
      </c>
      <c r="Y1045" s="1">
        <v>31000000</v>
      </c>
      <c r="Z1045" s="5">
        <v>43861</v>
      </c>
      <c r="AA1045" s="1">
        <v>24802505</v>
      </c>
      <c r="AB1045" s="1" t="s">
        <v>780</v>
      </c>
      <c r="AC1045" s="5">
        <v>44173</v>
      </c>
      <c r="AF1045" s="1">
        <v>10014</v>
      </c>
      <c r="AI1045" s="1" t="s">
        <v>781</v>
      </c>
      <c r="AJ1045" s="1">
        <v>2018</v>
      </c>
      <c r="AK1045" s="1" t="s">
        <v>46</v>
      </c>
      <c r="AL1045" s="1">
        <v>35</v>
      </c>
    </row>
    <row r="1046" spans="1:38" x14ac:dyDescent="0.2">
      <c r="A1046" s="2" t="str">
        <f>HYPERLINK("https://www.compass.com/listing/90-morton-street-unit-5a-manhattan-ny-10014/29515686883696913/","90 Morton St, Unit 5A")</f>
        <v>90 Morton St, Unit 5A</v>
      </c>
      <c r="B1046" s="2" t="str">
        <f t="shared" si="192"/>
        <v>90 Morton Street</v>
      </c>
      <c r="C1046" s="1" t="s">
        <v>71</v>
      </c>
      <c r="D1046" s="1" t="s">
        <v>41</v>
      </c>
      <c r="E1046" s="3">
        <v>9244931</v>
      </c>
      <c r="F1046" s="1">
        <v>2845.4697599261299</v>
      </c>
      <c r="G1046" s="1">
        <v>6</v>
      </c>
      <c r="H1046" s="1">
        <v>4</v>
      </c>
      <c r="I1046" s="1">
        <v>5</v>
      </c>
      <c r="J1046" s="1">
        <v>4.5</v>
      </c>
      <c r="K1046" s="1">
        <v>4</v>
      </c>
      <c r="L1046" s="1">
        <v>1</v>
      </c>
      <c r="M1046" s="4">
        <v>3249</v>
      </c>
      <c r="N1046" s="1">
        <v>4318</v>
      </c>
      <c r="O1046" s="1">
        <v>7786</v>
      </c>
      <c r="P1046" s="1">
        <v>3468</v>
      </c>
      <c r="Q1046" s="1" t="s">
        <v>42</v>
      </c>
      <c r="S1046" s="1" t="s">
        <v>42</v>
      </c>
      <c r="T1046" s="1" t="s">
        <v>170</v>
      </c>
      <c r="U1046" s="1">
        <v>480</v>
      </c>
      <c r="V1046" s="5">
        <v>44357</v>
      </c>
      <c r="W1046" s="5">
        <v>43685</v>
      </c>
      <c r="Y1046" s="1">
        <v>9850000</v>
      </c>
      <c r="Z1046" s="5">
        <v>44286</v>
      </c>
      <c r="AA1046" s="1">
        <v>9244931.25</v>
      </c>
      <c r="AB1046" s="1" t="s">
        <v>782</v>
      </c>
      <c r="AC1046" s="5">
        <v>44337</v>
      </c>
      <c r="AF1046" s="1">
        <v>10014</v>
      </c>
      <c r="AI1046" s="1" t="s">
        <v>80</v>
      </c>
      <c r="AJ1046" s="1">
        <v>2018</v>
      </c>
      <c r="AK1046" s="1" t="s">
        <v>46</v>
      </c>
      <c r="AL1046" s="1">
        <v>35</v>
      </c>
    </row>
    <row r="1047" spans="1:38" x14ac:dyDescent="0.2">
      <c r="A1047" s="2" t="str">
        <f>HYPERLINK("https://www.compass.com/listing/90-morton-street-unit-5b-manhattan-ny-10014/29515687982604593/","90 Morton St, Unit 5B")</f>
        <v>90 Morton St, Unit 5B</v>
      </c>
      <c r="B1047" s="2" t="str">
        <f t="shared" si="192"/>
        <v>90 Morton Street</v>
      </c>
      <c r="C1047" s="1" t="s">
        <v>71</v>
      </c>
      <c r="D1047" s="1" t="s">
        <v>41</v>
      </c>
      <c r="E1047" s="3">
        <v>7500000</v>
      </c>
      <c r="F1047" s="1">
        <v>2573.78174330816</v>
      </c>
      <c r="G1047" s="1">
        <v>6</v>
      </c>
      <c r="H1047" s="1">
        <v>4</v>
      </c>
      <c r="I1047" s="1">
        <v>4</v>
      </c>
      <c r="J1047" s="1">
        <v>4.5</v>
      </c>
      <c r="K1047" s="1">
        <v>4</v>
      </c>
      <c r="L1047" s="1">
        <v>1</v>
      </c>
      <c r="M1047" s="4">
        <v>2914</v>
      </c>
      <c r="N1047" s="1">
        <v>3870.24</v>
      </c>
      <c r="O1047" s="1">
        <v>6978.52</v>
      </c>
      <c r="P1047" s="1">
        <v>3108.25</v>
      </c>
      <c r="Q1047" s="1" t="s">
        <v>42</v>
      </c>
      <c r="S1047" s="1" t="s">
        <v>42</v>
      </c>
      <c r="T1047" s="1" t="s">
        <v>170</v>
      </c>
      <c r="U1047" s="1">
        <v>273</v>
      </c>
      <c r="V1047" s="5">
        <v>44284</v>
      </c>
      <c r="W1047" s="5">
        <v>43863</v>
      </c>
      <c r="Z1047" s="5">
        <v>44231</v>
      </c>
      <c r="AA1047" s="1">
        <v>7500000</v>
      </c>
      <c r="AB1047" s="1" t="s">
        <v>783</v>
      </c>
      <c r="AC1047" s="5">
        <v>44267</v>
      </c>
      <c r="AF1047" s="1">
        <v>10014</v>
      </c>
      <c r="AI1047" s="1" t="s">
        <v>80</v>
      </c>
      <c r="AJ1047" s="1">
        <v>2018</v>
      </c>
      <c r="AK1047" s="1" t="s">
        <v>46</v>
      </c>
      <c r="AL1047" s="1">
        <v>35</v>
      </c>
    </row>
    <row r="1048" spans="1:38" x14ac:dyDescent="0.2">
      <c r="A1048" s="2" t="str">
        <f>HYPERLINK("https://www.compass.com/listing/21-east-12th-street-unit-14c-manhattan-ny-10003/420937992152188113/","21 E 12th St, Unit 14C")</f>
        <v>21 E 12th St, Unit 14C</v>
      </c>
      <c r="B1048" s="2" t="str">
        <f>HYPERLINK("https://www.compass.com/building/21-east-12th-street-manhattan-ny/292779727154847925/","21 East 12th Street")</f>
        <v>21 East 12th Street</v>
      </c>
      <c r="C1048" s="1" t="s">
        <v>370</v>
      </c>
      <c r="D1048" s="1" t="s">
        <v>41</v>
      </c>
      <c r="E1048" s="3">
        <v>4475011</v>
      </c>
      <c r="F1048" s="1">
        <v>2206.6127564102499</v>
      </c>
      <c r="G1048" s="1">
        <v>4.5</v>
      </c>
      <c r="H1048" s="1">
        <v>2</v>
      </c>
      <c r="I1048" s="1">
        <v>3</v>
      </c>
      <c r="J1048" s="1">
        <v>2.5</v>
      </c>
      <c r="K1048" s="1">
        <v>2</v>
      </c>
      <c r="L1048" s="1">
        <v>1</v>
      </c>
      <c r="M1048" s="4">
        <v>2028</v>
      </c>
      <c r="N1048" s="1">
        <v>2648</v>
      </c>
      <c r="O1048" s="1">
        <v>6688</v>
      </c>
      <c r="P1048" s="1">
        <v>4040</v>
      </c>
      <c r="Q1048" s="1" t="s">
        <v>42</v>
      </c>
      <c r="S1048" s="1" t="s">
        <v>42</v>
      </c>
      <c r="T1048" s="1" t="s">
        <v>170</v>
      </c>
      <c r="V1048" s="5">
        <v>44427</v>
      </c>
      <c r="W1048" s="5">
        <v>43832</v>
      </c>
      <c r="X1048" s="1">
        <v>4775000</v>
      </c>
      <c r="Y1048" s="1">
        <v>4775000</v>
      </c>
      <c r="Z1048" s="5">
        <v>43832</v>
      </c>
      <c r="AA1048" s="1">
        <v>4475010.67</v>
      </c>
      <c r="AB1048" s="1" t="s">
        <v>784</v>
      </c>
      <c r="AC1048" s="5">
        <v>43949</v>
      </c>
      <c r="AF1048" s="1">
        <v>10003</v>
      </c>
      <c r="AI1048" s="1" t="s">
        <v>59</v>
      </c>
      <c r="AJ1048" s="1">
        <v>2018</v>
      </c>
      <c r="AK1048" s="1" t="s">
        <v>740</v>
      </c>
      <c r="AL1048" s="1">
        <v>52</v>
      </c>
    </row>
    <row r="1049" spans="1:38" x14ac:dyDescent="0.2">
      <c r="A1049" s="2" t="str">
        <f>HYPERLINK("https://www.compass.com/listing/63-greene-street-unit-5b-manhattan-ny-10012/13087406232283985/","63 Greene St, Unit 5B")</f>
        <v>63 Greene St, Unit 5B</v>
      </c>
      <c r="B1049" s="2" t="str">
        <f>HYPERLINK("https://www.compass.com/building/63-greene-street-manhattan-ny/292812252044627637/","63 Greene Street")</f>
        <v>63 Greene Street</v>
      </c>
      <c r="C1049" s="1" t="s">
        <v>104</v>
      </c>
      <c r="D1049" s="1" t="s">
        <v>41</v>
      </c>
      <c r="E1049" s="3">
        <v>4350000</v>
      </c>
      <c r="F1049" s="1">
        <v>2102.46495891735</v>
      </c>
      <c r="G1049" s="1">
        <v>4</v>
      </c>
      <c r="H1049" s="1">
        <v>2</v>
      </c>
      <c r="I1049" s="1">
        <v>3</v>
      </c>
      <c r="J1049" s="1">
        <v>0.5</v>
      </c>
      <c r="L1049" s="1">
        <v>1</v>
      </c>
      <c r="M1049" s="4">
        <v>2069</v>
      </c>
      <c r="N1049" s="1">
        <v>2073</v>
      </c>
      <c r="O1049" s="1">
        <v>4500</v>
      </c>
      <c r="P1049" s="1">
        <v>2427</v>
      </c>
      <c r="Q1049" s="1" t="s">
        <v>42</v>
      </c>
      <c r="S1049" s="1" t="s">
        <v>42</v>
      </c>
      <c r="T1049" s="1" t="s">
        <v>170</v>
      </c>
      <c r="U1049" s="1">
        <v>410</v>
      </c>
      <c r="V1049" s="5">
        <v>43650</v>
      </c>
      <c r="W1049" s="5">
        <v>42440</v>
      </c>
      <c r="X1049" s="1">
        <v>5450000</v>
      </c>
      <c r="Y1049" s="1">
        <v>4950000</v>
      </c>
      <c r="Z1049" s="5">
        <v>42850</v>
      </c>
      <c r="AA1049" s="1">
        <v>4350000</v>
      </c>
      <c r="AB1049" s="1" t="s">
        <v>785</v>
      </c>
      <c r="AC1049" s="5">
        <v>42895</v>
      </c>
      <c r="AF1049" s="1">
        <v>10012</v>
      </c>
      <c r="AI1049" s="1" t="s">
        <v>786</v>
      </c>
      <c r="AJ1049" s="1">
        <v>1877</v>
      </c>
      <c r="AK1049" s="1" t="s">
        <v>139</v>
      </c>
      <c r="AL1049" s="1">
        <v>23</v>
      </c>
    </row>
    <row r="1050" spans="1:38" x14ac:dyDescent="0.2">
      <c r="A1050" s="2" t="str">
        <f>HYPERLINK("https://www.compass.com/listing/21-east-12th-street-unit-10c-manhattan-ny-10003/26452769946822497/","21 E 12th St, Unit 10C")</f>
        <v>21 E 12th St, Unit 10C</v>
      </c>
      <c r="B1050" s="2" t="str">
        <f>HYPERLINK("https://www.compass.com/building/21-east-12th-street-manhattan-ny/292779727154847925/","21 East 12th Street")</f>
        <v>21 East 12th Street</v>
      </c>
      <c r="C1050" s="1" t="s">
        <v>370</v>
      </c>
      <c r="D1050" s="1" t="s">
        <v>41</v>
      </c>
      <c r="E1050" s="3">
        <v>4050011</v>
      </c>
      <c r="F1050" s="1">
        <v>1997.04668145956</v>
      </c>
      <c r="G1050" s="1">
        <v>4.5</v>
      </c>
      <c r="H1050" s="1">
        <v>2</v>
      </c>
      <c r="I1050" s="1">
        <v>3</v>
      </c>
      <c r="J1050" s="1">
        <v>2.5</v>
      </c>
      <c r="K1050" s="1">
        <v>2</v>
      </c>
      <c r="L1050" s="1">
        <v>1</v>
      </c>
      <c r="M1050" s="4">
        <v>2028</v>
      </c>
      <c r="N1050" s="1">
        <v>2644</v>
      </c>
      <c r="O1050" s="1">
        <v>6684</v>
      </c>
      <c r="P1050" s="1">
        <v>4040</v>
      </c>
      <c r="Q1050" s="1" t="s">
        <v>42</v>
      </c>
      <c r="S1050" s="1" t="s">
        <v>42</v>
      </c>
      <c r="T1050" s="1" t="s">
        <v>170</v>
      </c>
      <c r="U1050" s="1">
        <v>137</v>
      </c>
      <c r="V1050" s="5">
        <v>43868</v>
      </c>
      <c r="W1050" s="5">
        <v>43553</v>
      </c>
      <c r="Y1050" s="1">
        <v>4175000</v>
      </c>
      <c r="AA1050" s="1">
        <v>4050010.67</v>
      </c>
      <c r="AB1050" s="1" t="s">
        <v>787</v>
      </c>
      <c r="AC1050" s="5">
        <v>43866</v>
      </c>
      <c r="AF1050" s="1">
        <v>10003</v>
      </c>
      <c r="AI1050" s="1" t="s">
        <v>59</v>
      </c>
      <c r="AJ1050" s="1">
        <v>2018</v>
      </c>
      <c r="AK1050" s="1" t="s">
        <v>740</v>
      </c>
      <c r="AL1050" s="1">
        <v>52</v>
      </c>
    </row>
    <row r="1051" spans="1:38" x14ac:dyDescent="0.2">
      <c r="A1051" s="2" t="str">
        <f>HYPERLINK("https://www.compass.com/listing/63-greene-street-unit-ph-c-manhattan-ny-10012/736308055590018321/","63 Greene St, Unit PH C")</f>
        <v>63 Greene St, Unit PH C</v>
      </c>
      <c r="B1051" s="2" t="str">
        <f>HYPERLINK("https://www.compass.com/building/63-greene-street-manhattan-ny/292812252044627637/","63 Greene Street")</f>
        <v>63 Greene Street</v>
      </c>
      <c r="C1051" s="1" t="s">
        <v>104</v>
      </c>
      <c r="D1051" s="1" t="s">
        <v>41</v>
      </c>
      <c r="E1051" s="3">
        <v>6350000</v>
      </c>
      <c r="F1051" s="1">
        <v>2471.7789022966099</v>
      </c>
      <c r="G1051" s="1">
        <v>5</v>
      </c>
      <c r="H1051" s="1">
        <v>2</v>
      </c>
      <c r="I1051" s="1">
        <v>2</v>
      </c>
      <c r="J1051" s="1">
        <v>2</v>
      </c>
      <c r="K1051" s="1">
        <v>2</v>
      </c>
      <c r="M1051" s="4">
        <v>2569</v>
      </c>
      <c r="N1051" s="1">
        <v>2381</v>
      </c>
      <c r="O1051" s="1">
        <v>7283</v>
      </c>
      <c r="P1051" s="1">
        <v>4902</v>
      </c>
      <c r="Q1051" s="1" t="s">
        <v>42</v>
      </c>
      <c r="S1051" s="1" t="s">
        <v>42</v>
      </c>
      <c r="T1051" s="1" t="s">
        <v>170</v>
      </c>
      <c r="U1051" s="1">
        <v>33</v>
      </c>
      <c r="V1051" s="5">
        <v>44394</v>
      </c>
      <c r="W1051" s="5">
        <v>44268</v>
      </c>
      <c r="X1051" s="1">
        <v>6499000</v>
      </c>
      <c r="Y1051" s="1">
        <v>6499000</v>
      </c>
      <c r="Z1051" s="5">
        <v>44301</v>
      </c>
      <c r="AA1051" s="1">
        <v>6350000</v>
      </c>
      <c r="AB1051" s="1" t="s">
        <v>788</v>
      </c>
      <c r="AC1051" s="5">
        <v>44368</v>
      </c>
      <c r="AF1051" s="1">
        <v>10012</v>
      </c>
      <c r="AI1051" s="1" t="s">
        <v>789</v>
      </c>
      <c r="AJ1051" s="1">
        <v>1877</v>
      </c>
      <c r="AK1051" s="1" t="s">
        <v>139</v>
      </c>
      <c r="AL1051" s="1">
        <v>23</v>
      </c>
    </row>
    <row r="1052" spans="1:38" x14ac:dyDescent="0.2">
      <c r="A1052" s="2" t="str">
        <f>HYPERLINK("https://www.compass.com/listing/121-east-22nd-street-unit-n601-manhattan-ny-10010/720792258752534233/","121 E 22nd St, Unit N601")</f>
        <v>121 E 22nd St, Unit N601</v>
      </c>
      <c r="B1052" s="2" t="str">
        <f>HYPERLINK("https://www.compass.com/building/121-e-22nd-manhattan-ny/292795784653461493/","121 E 22nd")</f>
        <v>121 E 22nd</v>
      </c>
      <c r="C1052" s="1" t="s">
        <v>54</v>
      </c>
      <c r="D1052" s="1" t="s">
        <v>41</v>
      </c>
      <c r="E1052" s="3">
        <v>2540000</v>
      </c>
      <c r="F1052" s="1">
        <v>1877.30968218773</v>
      </c>
      <c r="H1052" s="1">
        <v>2</v>
      </c>
      <c r="J1052" s="1">
        <v>2.5</v>
      </c>
      <c r="K1052" s="1">
        <v>2</v>
      </c>
      <c r="L1052" s="1">
        <v>1</v>
      </c>
      <c r="M1052" s="4">
        <v>1353</v>
      </c>
      <c r="N1052" s="1">
        <v>1451</v>
      </c>
      <c r="O1052" s="1">
        <v>4027</v>
      </c>
      <c r="P1052" s="1">
        <v>2576</v>
      </c>
      <c r="Q1052" s="1" t="s">
        <v>42</v>
      </c>
      <c r="S1052" s="1" t="s">
        <v>42</v>
      </c>
      <c r="T1052" s="1" t="s">
        <v>170</v>
      </c>
      <c r="AA1052" s="1">
        <v>2540000</v>
      </c>
      <c r="AB1052" s="1" t="s">
        <v>790</v>
      </c>
      <c r="AC1052" s="5">
        <v>44231</v>
      </c>
      <c r="AF1052" s="1">
        <v>10010</v>
      </c>
      <c r="AI1052" s="1" t="s">
        <v>55</v>
      </c>
      <c r="AJ1052" s="1">
        <v>2016</v>
      </c>
      <c r="AK1052" s="1" t="s">
        <v>49</v>
      </c>
      <c r="AL1052" s="1">
        <v>140</v>
      </c>
    </row>
    <row r="1053" spans="1:38" x14ac:dyDescent="0.2">
      <c r="A1053" s="2" t="str">
        <f>HYPERLINK("https://www.compass.com/listing/63-greene-street-unit-2a-manhattan-ny-10012/13087393682861137/","63 Greene St, Unit 2A")</f>
        <v>63 Greene St, Unit 2A</v>
      </c>
      <c r="B1053" s="2" t="str">
        <f t="shared" ref="B1053:B1054" si="193">HYPERLINK("https://www.compass.com/building/63-greene-street-manhattan-ny/292812252044627637/","63 Greene Street")</f>
        <v>63 Greene Street</v>
      </c>
      <c r="C1053" s="1" t="s">
        <v>104</v>
      </c>
      <c r="D1053" s="1" t="s">
        <v>41</v>
      </c>
      <c r="E1053" s="3">
        <v>2250000</v>
      </c>
      <c r="F1053" s="1">
        <v>2401.2806830309501</v>
      </c>
      <c r="G1053" s="1">
        <v>3</v>
      </c>
      <c r="H1053" s="1">
        <v>1</v>
      </c>
      <c r="I1053" s="1">
        <v>1</v>
      </c>
      <c r="M1053" s="1">
        <v>937</v>
      </c>
      <c r="N1053" s="1">
        <v>917</v>
      </c>
      <c r="O1053" s="1">
        <v>1991</v>
      </c>
      <c r="P1053" s="1">
        <v>1074</v>
      </c>
      <c r="Q1053" s="1" t="s">
        <v>42</v>
      </c>
      <c r="S1053" s="1" t="s">
        <v>42</v>
      </c>
      <c r="T1053" s="1" t="s">
        <v>170</v>
      </c>
      <c r="U1053" s="1">
        <v>380</v>
      </c>
      <c r="V1053" s="5">
        <v>43693</v>
      </c>
      <c r="W1053" s="5">
        <v>42440</v>
      </c>
      <c r="X1053" s="1">
        <v>2375000</v>
      </c>
      <c r="Y1053" s="1">
        <v>2375000</v>
      </c>
      <c r="Z1053" s="5">
        <v>42820</v>
      </c>
      <c r="AA1053" s="1">
        <v>2250000</v>
      </c>
      <c r="AB1053" s="1" t="s">
        <v>791</v>
      </c>
      <c r="AC1053" s="5">
        <v>42852</v>
      </c>
      <c r="AF1053" s="1">
        <v>10012</v>
      </c>
      <c r="AI1053" s="1" t="s">
        <v>786</v>
      </c>
      <c r="AJ1053" s="1">
        <v>1877</v>
      </c>
      <c r="AK1053" s="1" t="s">
        <v>139</v>
      </c>
      <c r="AL1053" s="1">
        <v>23</v>
      </c>
    </row>
    <row r="1054" spans="1:38" x14ac:dyDescent="0.2">
      <c r="A1054" s="2" t="str">
        <f>HYPERLINK("https://www.compass.com/listing/63-greene-street-unit-2a-manhattan-ny-10012/13087393682861153/","63 Greene St, Unit 2A")</f>
        <v>63 Greene St, Unit 2A</v>
      </c>
      <c r="B1054" s="2" t="str">
        <f t="shared" si="193"/>
        <v>63 Greene Street</v>
      </c>
      <c r="C1054" s="1" t="s">
        <v>104</v>
      </c>
      <c r="D1054" s="1" t="s">
        <v>41</v>
      </c>
      <c r="E1054" s="3">
        <v>2250000</v>
      </c>
      <c r="F1054" s="1">
        <v>2401.2806830309501</v>
      </c>
      <c r="G1054" s="1">
        <v>3</v>
      </c>
      <c r="H1054" s="1">
        <v>1</v>
      </c>
      <c r="I1054" s="1">
        <v>1</v>
      </c>
      <c r="J1054" s="1">
        <v>1</v>
      </c>
      <c r="M1054" s="1">
        <v>937</v>
      </c>
      <c r="N1054" s="1">
        <v>917</v>
      </c>
      <c r="O1054" s="1">
        <v>1991</v>
      </c>
      <c r="P1054" s="1">
        <v>1074</v>
      </c>
      <c r="Q1054" s="1" t="s">
        <v>42</v>
      </c>
      <c r="S1054" s="1" t="s">
        <v>42</v>
      </c>
      <c r="T1054" s="1" t="s">
        <v>170</v>
      </c>
      <c r="U1054" s="1">
        <v>380</v>
      </c>
      <c r="V1054" s="5">
        <v>43666</v>
      </c>
      <c r="W1054" s="5">
        <v>42440</v>
      </c>
      <c r="X1054" s="1">
        <v>2375000</v>
      </c>
      <c r="Y1054" s="1">
        <v>2375000</v>
      </c>
      <c r="Z1054" s="5">
        <v>42820</v>
      </c>
      <c r="AA1054" s="1">
        <v>2250000</v>
      </c>
      <c r="AB1054" s="1" t="s">
        <v>791</v>
      </c>
      <c r="AC1054" s="5">
        <v>42852</v>
      </c>
      <c r="AF1054" s="1">
        <v>10012</v>
      </c>
      <c r="AI1054" s="1" t="s">
        <v>786</v>
      </c>
      <c r="AJ1054" s="1">
        <v>1877</v>
      </c>
      <c r="AK1054" s="1" t="s">
        <v>87</v>
      </c>
      <c r="AL1054" s="1">
        <v>23</v>
      </c>
    </row>
    <row r="1055" spans="1:38" x14ac:dyDescent="0.2">
      <c r="A1055" s="2" t="str">
        <f>HYPERLINK("https://www.compass.com/listing/90-morton-street-unit-2b-manhattan-ny-10014/248539167464657665/","90 Morton St, Unit 2B")</f>
        <v>90 Morton St, Unit 2B</v>
      </c>
      <c r="B1055" s="2" t="str">
        <f>HYPERLINK("https://www.compass.com/building/90-morton-street-manhattan-ny/292834843018978005/","90 Morton Street")</f>
        <v>90 Morton Street</v>
      </c>
      <c r="C1055" s="1" t="s">
        <v>71</v>
      </c>
      <c r="D1055" s="1" t="s">
        <v>41</v>
      </c>
      <c r="E1055" s="3">
        <v>7577813</v>
      </c>
      <c r="F1055" s="1">
        <v>2600.48472889498</v>
      </c>
      <c r="G1055" s="1">
        <v>6</v>
      </c>
      <c r="H1055" s="1">
        <v>4</v>
      </c>
      <c r="I1055" s="1">
        <v>4</v>
      </c>
      <c r="J1055" s="1">
        <v>4.5</v>
      </c>
      <c r="K1055" s="1">
        <v>4</v>
      </c>
      <c r="L1055" s="1">
        <v>1</v>
      </c>
      <c r="M1055" s="4">
        <v>2914</v>
      </c>
      <c r="N1055" s="1">
        <v>3809</v>
      </c>
      <c r="O1055" s="1">
        <v>6868</v>
      </c>
      <c r="P1055" s="1">
        <v>3059</v>
      </c>
      <c r="Q1055" s="1" t="s">
        <v>42</v>
      </c>
      <c r="S1055" s="1" t="s">
        <v>42</v>
      </c>
      <c r="T1055" s="1" t="s">
        <v>170</v>
      </c>
      <c r="U1055" s="1">
        <v>59</v>
      </c>
      <c r="V1055" s="5">
        <v>44338</v>
      </c>
      <c r="W1055" s="5">
        <v>44238</v>
      </c>
      <c r="Y1055" s="1">
        <v>8520000</v>
      </c>
      <c r="Z1055" s="5">
        <v>44297</v>
      </c>
      <c r="AA1055" s="1">
        <v>7577812.5</v>
      </c>
      <c r="AB1055" s="1" t="s">
        <v>792</v>
      </c>
      <c r="AC1055" s="5">
        <v>44336</v>
      </c>
      <c r="AF1055" s="1">
        <v>10014</v>
      </c>
      <c r="AI1055" s="1" t="s">
        <v>80</v>
      </c>
      <c r="AJ1055" s="1">
        <v>2018</v>
      </c>
      <c r="AK1055" s="1" t="s">
        <v>46</v>
      </c>
      <c r="AL1055" s="1">
        <v>35</v>
      </c>
    </row>
    <row r="1056" spans="1:38" x14ac:dyDescent="0.2">
      <c r="A1056" s="2" t="str">
        <f>HYPERLINK("https://www.compass.com/listing/10-madison-square-west-unit-2d-manhattan-ny-10010/29374712668819873/","10 Madison Sq W, Unit 2D")</f>
        <v>10 Madison Sq W, Unit 2D</v>
      </c>
      <c r="B1056" s="2" t="str">
        <f>HYPERLINK("https://www.compass.com/building/10-madison-square-west-manhattan-ny/294838725091521285/","10 Madison Square West")</f>
        <v>10 Madison Square West</v>
      </c>
      <c r="C1056" s="1" t="s">
        <v>154</v>
      </c>
      <c r="D1056" s="1" t="s">
        <v>41</v>
      </c>
      <c r="E1056" s="3">
        <v>3003838</v>
      </c>
      <c r="F1056" s="1">
        <v>1777.41863905325</v>
      </c>
      <c r="H1056" s="1">
        <v>2</v>
      </c>
      <c r="J1056" s="1">
        <v>2.5</v>
      </c>
      <c r="M1056" s="4">
        <v>1690</v>
      </c>
      <c r="N1056" s="1">
        <v>2123</v>
      </c>
      <c r="O1056" s="1">
        <v>5414</v>
      </c>
      <c r="P1056" s="1">
        <v>3291</v>
      </c>
      <c r="Q1056" s="1" t="s">
        <v>42</v>
      </c>
      <c r="S1056" s="1" t="s">
        <v>42</v>
      </c>
      <c r="T1056" s="1" t="s">
        <v>170</v>
      </c>
      <c r="AA1056" s="1">
        <v>3003837.5</v>
      </c>
      <c r="AB1056" s="1" t="s">
        <v>793</v>
      </c>
      <c r="AC1056" s="5">
        <v>42797</v>
      </c>
      <c r="AF1056" s="1">
        <v>10010</v>
      </c>
      <c r="AI1056" s="1" t="s">
        <v>59</v>
      </c>
      <c r="AJ1056" s="1">
        <v>1915</v>
      </c>
      <c r="AK1056" s="1" t="s">
        <v>46</v>
      </c>
      <c r="AL1056" s="1">
        <v>125</v>
      </c>
    </row>
    <row r="1057" spans="1:38" x14ac:dyDescent="0.2">
      <c r="A1057" s="2" t="str">
        <f>HYPERLINK("https://www.compass.com/listing/90-morton-street-unit-3a-manhattan-ny-10014/162515127470459329/","90 Morton St, Unit 3A")</f>
        <v>90 Morton St, Unit 3A</v>
      </c>
      <c r="B1057" s="2" t="str">
        <f t="shared" ref="B1057:B1060" si="194">HYPERLINK("https://www.compass.com/building/90-morton-street-manhattan-ny/292834843018978005/","90 Morton Street")</f>
        <v>90 Morton Street</v>
      </c>
      <c r="C1057" s="1" t="s">
        <v>71</v>
      </c>
      <c r="D1057" s="1" t="s">
        <v>41</v>
      </c>
      <c r="E1057" s="3">
        <v>8800000</v>
      </c>
      <c r="F1057" s="1">
        <v>2708.5257002154499</v>
      </c>
      <c r="G1057" s="1">
        <v>6</v>
      </c>
      <c r="H1057" s="1">
        <v>4</v>
      </c>
      <c r="I1057" s="1">
        <v>5</v>
      </c>
      <c r="J1057" s="1">
        <v>4.5</v>
      </c>
      <c r="K1057" s="1">
        <v>4</v>
      </c>
      <c r="L1057" s="1">
        <v>1</v>
      </c>
      <c r="M1057" s="4">
        <v>3249</v>
      </c>
      <c r="N1057" s="1">
        <v>4267</v>
      </c>
      <c r="O1057" s="1">
        <v>7695</v>
      </c>
      <c r="P1057" s="1">
        <v>3428</v>
      </c>
      <c r="Q1057" s="1" t="s">
        <v>42</v>
      </c>
      <c r="S1057" s="1" t="s">
        <v>42</v>
      </c>
      <c r="T1057" s="1" t="s">
        <v>170</v>
      </c>
      <c r="U1057" s="1">
        <v>57</v>
      </c>
      <c r="V1057" s="5">
        <v>43697</v>
      </c>
      <c r="W1057" s="5">
        <v>43476</v>
      </c>
      <c r="X1057" s="1">
        <v>9600000</v>
      </c>
      <c r="Y1057" s="1">
        <v>9600000</v>
      </c>
      <c r="Z1057" s="5">
        <v>43620</v>
      </c>
      <c r="AA1057" s="1">
        <v>8800000</v>
      </c>
      <c r="AB1057" s="1" t="s">
        <v>794</v>
      </c>
      <c r="AC1057" s="5">
        <v>43644</v>
      </c>
      <c r="AF1057" s="1">
        <v>10014</v>
      </c>
      <c r="AI1057" s="1" t="s">
        <v>795</v>
      </c>
      <c r="AJ1057" s="1">
        <v>2018</v>
      </c>
      <c r="AK1057" s="1" t="s">
        <v>46</v>
      </c>
      <c r="AL1057" s="1">
        <v>35</v>
      </c>
    </row>
    <row r="1058" spans="1:38" x14ac:dyDescent="0.2">
      <c r="A1058" s="2" t="str">
        <f>HYPERLINK("https://www.compass.com/listing/90-morton-street-unit-7b-manhattan-ny-10014/162515127755678833/","90 Morton St, Unit 7B")</f>
        <v>90 Morton St, Unit 7B</v>
      </c>
      <c r="B1058" s="2" t="str">
        <f t="shared" si="194"/>
        <v>90 Morton Street</v>
      </c>
      <c r="C1058" s="1" t="s">
        <v>71</v>
      </c>
      <c r="D1058" s="1" t="s">
        <v>41</v>
      </c>
      <c r="E1058" s="3">
        <v>8200000</v>
      </c>
      <c r="F1058" s="1">
        <v>2814.00137268359</v>
      </c>
      <c r="G1058" s="1">
        <v>6</v>
      </c>
      <c r="H1058" s="1">
        <v>4</v>
      </c>
      <c r="I1058" s="1">
        <v>4</v>
      </c>
      <c r="J1058" s="1">
        <v>4.5</v>
      </c>
      <c r="K1058" s="1">
        <v>4</v>
      </c>
      <c r="L1058" s="1">
        <v>1</v>
      </c>
      <c r="M1058" s="4">
        <v>2914</v>
      </c>
      <c r="N1058" s="1">
        <v>3906.85</v>
      </c>
      <c r="O1058" s="1">
        <v>7044.53</v>
      </c>
      <c r="P1058" s="1">
        <v>3137.6666666666601</v>
      </c>
      <c r="Q1058" s="1" t="s">
        <v>42</v>
      </c>
      <c r="S1058" s="1" t="s">
        <v>42</v>
      </c>
      <c r="T1058" s="1" t="s">
        <v>170</v>
      </c>
      <c r="U1058" s="1">
        <v>175</v>
      </c>
      <c r="V1058" s="5">
        <v>43894</v>
      </c>
      <c r="W1058" s="5">
        <v>43685</v>
      </c>
      <c r="Y1058" s="1">
        <v>9000000</v>
      </c>
      <c r="Z1058" s="5">
        <v>43861</v>
      </c>
      <c r="AA1058" s="1">
        <v>8200000</v>
      </c>
      <c r="AB1058" s="1" t="s">
        <v>796</v>
      </c>
      <c r="AC1058" s="5">
        <v>43867</v>
      </c>
      <c r="AF1058" s="1">
        <v>10014</v>
      </c>
      <c r="AI1058" s="1" t="s">
        <v>795</v>
      </c>
      <c r="AJ1058" s="1">
        <v>2018</v>
      </c>
      <c r="AK1058" s="1" t="s">
        <v>46</v>
      </c>
      <c r="AL1058" s="1">
        <v>35</v>
      </c>
    </row>
    <row r="1059" spans="1:38" x14ac:dyDescent="0.2">
      <c r="A1059" s="2" t="str">
        <f>HYPERLINK("https://www.compass.com/listing/90-morton-street-unit-4a-manhattan-ny-10014/203579585856663889/","90 Morton St, Unit 4A")</f>
        <v>90 Morton St, Unit 4A</v>
      </c>
      <c r="B1059" s="2" t="str">
        <f t="shared" si="194"/>
        <v>90 Morton Street</v>
      </c>
      <c r="C1059" s="1" t="s">
        <v>71</v>
      </c>
      <c r="D1059" s="1" t="s">
        <v>41</v>
      </c>
      <c r="E1059" s="3">
        <v>8850000</v>
      </c>
      <c r="F1059" s="1">
        <v>2723.9150507848499</v>
      </c>
      <c r="G1059" s="1">
        <v>6</v>
      </c>
      <c r="H1059" s="1">
        <v>4</v>
      </c>
      <c r="I1059" s="1">
        <v>5</v>
      </c>
      <c r="J1059" s="1">
        <v>4.5</v>
      </c>
      <c r="K1059" s="1">
        <v>4</v>
      </c>
      <c r="L1059" s="1">
        <v>1</v>
      </c>
      <c r="M1059" s="4">
        <v>3249</v>
      </c>
      <c r="N1059" s="1">
        <v>4298.17</v>
      </c>
      <c r="O1059" s="1">
        <v>7750.13</v>
      </c>
      <c r="P1059" s="1">
        <v>3452</v>
      </c>
      <c r="Q1059" s="1" t="s">
        <v>42</v>
      </c>
      <c r="S1059" s="1" t="s">
        <v>42</v>
      </c>
      <c r="T1059" s="1" t="s">
        <v>170</v>
      </c>
      <c r="U1059" s="1">
        <v>52</v>
      </c>
      <c r="V1059" s="5">
        <v>43781</v>
      </c>
      <c r="W1059" s="5">
        <v>43533</v>
      </c>
      <c r="X1059" s="1">
        <v>9750000</v>
      </c>
      <c r="Y1059" s="1">
        <v>9750000</v>
      </c>
      <c r="Z1059" s="5">
        <v>43635</v>
      </c>
      <c r="AA1059" s="1">
        <v>8850000</v>
      </c>
      <c r="AB1059" s="1" t="s">
        <v>797</v>
      </c>
      <c r="AC1059" s="5">
        <v>43768</v>
      </c>
      <c r="AF1059" s="1">
        <v>10014</v>
      </c>
      <c r="AI1059" s="1" t="s">
        <v>80</v>
      </c>
      <c r="AJ1059" s="1">
        <v>2018</v>
      </c>
      <c r="AK1059" s="1" t="s">
        <v>46</v>
      </c>
      <c r="AL1059" s="1">
        <v>35</v>
      </c>
    </row>
    <row r="1060" spans="1:38" x14ac:dyDescent="0.2">
      <c r="A1060" s="2" t="str">
        <f>HYPERLINK("https://www.compass.com/listing/90-morton-street-unit-3b-manhattan-ny-10014/297323939952940465/","90 Morton St, Unit 3B")</f>
        <v>90 Morton St, Unit 3B</v>
      </c>
      <c r="B1060" s="2" t="str">
        <f t="shared" si="194"/>
        <v>90 Morton Street</v>
      </c>
      <c r="C1060" s="1" t="s">
        <v>71</v>
      </c>
      <c r="D1060" s="1" t="s">
        <v>41</v>
      </c>
      <c r="E1060" s="3">
        <v>7800000</v>
      </c>
      <c r="F1060" s="1">
        <v>2676.7330130404898</v>
      </c>
      <c r="G1060" s="1">
        <v>6</v>
      </c>
      <c r="H1060" s="1">
        <v>4</v>
      </c>
      <c r="I1060" s="1">
        <v>4</v>
      </c>
      <c r="J1060" s="1">
        <v>4.5</v>
      </c>
      <c r="K1060" s="1">
        <v>4</v>
      </c>
      <c r="L1060" s="1">
        <v>1</v>
      </c>
      <c r="M1060" s="4">
        <v>2914</v>
      </c>
      <c r="N1060" s="1">
        <v>3829.66</v>
      </c>
      <c r="O1060" s="1">
        <v>6905.35</v>
      </c>
      <c r="P1060" s="1">
        <v>3075.6666666666601</v>
      </c>
      <c r="Q1060" s="1" t="s">
        <v>42</v>
      </c>
      <c r="S1060" s="1" t="s">
        <v>42</v>
      </c>
      <c r="T1060" s="1" t="s">
        <v>170</v>
      </c>
      <c r="V1060" s="5">
        <v>43794</v>
      </c>
      <c r="W1060" s="5">
        <v>43661</v>
      </c>
      <c r="X1060" s="1">
        <v>8620000</v>
      </c>
      <c r="Y1060" s="1">
        <v>8620000</v>
      </c>
      <c r="Z1060" s="5">
        <v>43661</v>
      </c>
      <c r="AA1060" s="1">
        <v>7800000</v>
      </c>
      <c r="AB1060" s="1" t="s">
        <v>798</v>
      </c>
      <c r="AC1060" s="5">
        <v>43791</v>
      </c>
      <c r="AF1060" s="1">
        <v>10014</v>
      </c>
      <c r="AI1060" s="1" t="s">
        <v>795</v>
      </c>
      <c r="AJ1060" s="1">
        <v>2018</v>
      </c>
      <c r="AK1060" s="1" t="s">
        <v>46</v>
      </c>
      <c r="AL1060" s="1">
        <v>35</v>
      </c>
    </row>
    <row r="1061" spans="1:38" x14ac:dyDescent="0.2">
      <c r="A1061" s="2" t="str">
        <f>HYPERLINK("https://www.compass.com/listing/63-greene-street-unit-phc-manhattan-ny-10012/126721393667693329/","63 Greene St, Unit PHC")</f>
        <v>63 Greene St, Unit PHC</v>
      </c>
      <c r="B1061" s="2" t="str">
        <f>HYPERLINK("https://www.compass.com/building/63-greene-street-manhattan-ny/292812252044627637/","63 Greene Street")</f>
        <v>63 Greene Street</v>
      </c>
      <c r="C1061" s="1" t="s">
        <v>104</v>
      </c>
      <c r="D1061" s="1" t="s">
        <v>41</v>
      </c>
      <c r="E1061" s="3">
        <v>6100000</v>
      </c>
      <c r="F1061" s="1">
        <v>2798.1651376146701</v>
      </c>
      <c r="G1061" s="1">
        <v>5</v>
      </c>
      <c r="H1061" s="1">
        <v>2</v>
      </c>
      <c r="I1061" s="1">
        <v>2</v>
      </c>
      <c r="J1061" s="1">
        <v>2</v>
      </c>
      <c r="K1061" s="1">
        <v>2</v>
      </c>
      <c r="M1061" s="4">
        <v>2180</v>
      </c>
      <c r="N1061" s="1">
        <v>1755</v>
      </c>
      <c r="O1061" s="1">
        <v>6674</v>
      </c>
      <c r="P1061" s="1">
        <v>4919</v>
      </c>
      <c r="Q1061" s="1" t="s">
        <v>42</v>
      </c>
      <c r="S1061" s="1" t="s">
        <v>42</v>
      </c>
      <c r="T1061" s="1" t="s">
        <v>170</v>
      </c>
      <c r="U1061" s="1">
        <v>315</v>
      </c>
      <c r="V1061" s="5">
        <v>43802</v>
      </c>
      <c r="W1061" s="5">
        <v>43427</v>
      </c>
      <c r="X1061" s="1">
        <v>6995000</v>
      </c>
      <c r="Y1061" s="1">
        <v>6495000</v>
      </c>
      <c r="Z1061" s="5">
        <v>43742</v>
      </c>
      <c r="AA1061" s="1">
        <v>6100000</v>
      </c>
      <c r="AB1061" s="1" t="s">
        <v>799</v>
      </c>
      <c r="AC1061" s="5">
        <v>43789</v>
      </c>
      <c r="AF1061" s="1">
        <v>10012</v>
      </c>
      <c r="AI1061" s="1" t="s">
        <v>800</v>
      </c>
      <c r="AJ1061" s="1">
        <v>1877</v>
      </c>
      <c r="AK1061" s="1" t="s">
        <v>139</v>
      </c>
      <c r="AL1061" s="1">
        <v>23</v>
      </c>
    </row>
    <row r="1062" spans="1:38" x14ac:dyDescent="0.2">
      <c r="A1062" s="2" t="str">
        <f>HYPERLINK("https://www.compass.com/listing/121-east-22nd-street-unit-n302-manhattan-ny-10010/761297227246117457/","121 E 22nd St, Unit N302")</f>
        <v>121 E 22nd St, Unit N302</v>
      </c>
      <c r="B1062" s="2" t="str">
        <f>HYPERLINK("https://www.compass.com/building/121-e-22nd-manhattan-ny/292795784653461493/","121 E 22nd")</f>
        <v>121 E 22nd</v>
      </c>
      <c r="C1062" s="1" t="s">
        <v>54</v>
      </c>
      <c r="D1062" s="1" t="s">
        <v>41</v>
      </c>
      <c r="E1062" s="3">
        <v>2825644</v>
      </c>
      <c r="F1062" s="1">
        <v>1687.9590800477799</v>
      </c>
      <c r="H1062" s="1">
        <v>2</v>
      </c>
      <c r="J1062" s="1">
        <v>2.5</v>
      </c>
      <c r="K1062" s="1">
        <v>2</v>
      </c>
      <c r="L1062" s="1">
        <v>1</v>
      </c>
      <c r="M1062" s="4">
        <v>1674</v>
      </c>
      <c r="N1062" s="1">
        <v>1822</v>
      </c>
      <c r="O1062" s="1">
        <v>5480</v>
      </c>
      <c r="P1062" s="1">
        <v>3658</v>
      </c>
      <c r="Q1062" s="1" t="s">
        <v>42</v>
      </c>
      <c r="S1062" s="1" t="s">
        <v>42</v>
      </c>
      <c r="T1062" s="1" t="s">
        <v>170</v>
      </c>
      <c r="AA1062" s="1">
        <v>2825643.5</v>
      </c>
      <c r="AB1062" s="1" t="s">
        <v>801</v>
      </c>
      <c r="AC1062" s="5">
        <v>44286</v>
      </c>
      <c r="AF1062" s="1">
        <v>10010</v>
      </c>
      <c r="AI1062" s="1" t="s">
        <v>55</v>
      </c>
      <c r="AJ1062" s="1">
        <v>2016</v>
      </c>
      <c r="AK1062" s="1" t="s">
        <v>49</v>
      </c>
      <c r="AL1062" s="1">
        <v>140</v>
      </c>
    </row>
    <row r="1063" spans="1:38" x14ac:dyDescent="0.2">
      <c r="A1063" s="2" t="str">
        <f>HYPERLINK("https://www.compass.com/listing/21-east-12th-street-unit-15c-manhattan-ny-10003/218015138995858753/","21 E 12th St, Unit 15C")</f>
        <v>21 E 12th St, Unit 15C</v>
      </c>
      <c r="B1063" s="2" t="str">
        <f>HYPERLINK("https://www.compass.com/building/21-east-12th-street-manhattan-ny/292779727154847925/","21 East 12th Street")</f>
        <v>21 East 12th Street</v>
      </c>
      <c r="C1063" s="1" t="s">
        <v>370</v>
      </c>
      <c r="D1063" s="1" t="s">
        <v>41</v>
      </c>
      <c r="E1063" s="3">
        <v>4550011</v>
      </c>
      <c r="F1063" s="1">
        <v>2243.5950049309599</v>
      </c>
      <c r="G1063" s="1">
        <v>4.5</v>
      </c>
      <c r="H1063" s="1">
        <v>2</v>
      </c>
      <c r="I1063" s="1">
        <v>3</v>
      </c>
      <c r="J1063" s="1">
        <v>2.5</v>
      </c>
      <c r="K1063" s="1">
        <v>2</v>
      </c>
      <c r="L1063" s="1">
        <v>1</v>
      </c>
      <c r="M1063" s="4">
        <v>2028</v>
      </c>
      <c r="N1063" s="1">
        <v>2644</v>
      </c>
      <c r="O1063" s="1">
        <v>6684</v>
      </c>
      <c r="P1063" s="1">
        <v>4040</v>
      </c>
      <c r="Q1063" s="1" t="s">
        <v>42</v>
      </c>
      <c r="S1063" s="1" t="s">
        <v>42</v>
      </c>
      <c r="T1063" s="1" t="s">
        <v>170</v>
      </c>
      <c r="U1063" s="1">
        <v>334</v>
      </c>
      <c r="V1063" s="5">
        <v>44004</v>
      </c>
      <c r="W1063" s="5">
        <v>43552</v>
      </c>
      <c r="X1063" s="1">
        <v>6075000</v>
      </c>
      <c r="Y1063" s="1">
        <v>4975000</v>
      </c>
      <c r="Z1063" s="5">
        <v>43887</v>
      </c>
      <c r="AA1063" s="1">
        <v>4550010.67</v>
      </c>
      <c r="AB1063" s="1" t="s">
        <v>802</v>
      </c>
      <c r="AC1063" s="5">
        <v>43938</v>
      </c>
      <c r="AF1063" s="1">
        <v>10003</v>
      </c>
      <c r="AI1063" s="1" t="s">
        <v>59</v>
      </c>
      <c r="AJ1063" s="1">
        <v>2018</v>
      </c>
      <c r="AK1063" s="1" t="s">
        <v>740</v>
      </c>
      <c r="AL1063" s="1">
        <v>52</v>
      </c>
    </row>
    <row r="1064" spans="1:38" x14ac:dyDescent="0.2">
      <c r="A1064" s="2" t="str">
        <f>HYPERLINK("https://www.compass.com/listing/32-east-1st-street-unit-5b-manhattan-ny-10003/29515145063491585/","32 E 1st St, Unit 5B")</f>
        <v>32 E 1st St, Unit 5B</v>
      </c>
      <c r="B1064" s="2" t="str">
        <f>HYPERLINK("https://www.compass.com/building/32-east-1st-street-manhattan-ny/292783157810310133/","32 East 1st Street")</f>
        <v>32 East 1st Street</v>
      </c>
      <c r="C1064" s="1" t="s">
        <v>89</v>
      </c>
      <c r="D1064" s="1" t="s">
        <v>41</v>
      </c>
      <c r="E1064" s="3">
        <v>1552831</v>
      </c>
      <c r="F1064" s="1">
        <v>2668.0949312714702</v>
      </c>
      <c r="G1064" s="1">
        <v>3</v>
      </c>
      <c r="H1064" s="1">
        <v>1</v>
      </c>
      <c r="I1064" s="1">
        <v>1</v>
      </c>
      <c r="J1064" s="1">
        <v>1</v>
      </c>
      <c r="K1064" s="1">
        <v>1</v>
      </c>
      <c r="M1064" s="1">
        <v>582</v>
      </c>
      <c r="N1064" s="1">
        <v>769</v>
      </c>
      <c r="O1064" s="1">
        <v>1610</v>
      </c>
      <c r="P1064" s="1">
        <v>841</v>
      </c>
      <c r="Q1064" s="1" t="s">
        <v>42</v>
      </c>
      <c r="S1064" s="1" t="s">
        <v>42</v>
      </c>
      <c r="T1064" s="1" t="s">
        <v>170</v>
      </c>
      <c r="U1064" s="1">
        <v>174</v>
      </c>
      <c r="V1064" s="5">
        <v>43600</v>
      </c>
      <c r="W1064" s="5">
        <v>42956</v>
      </c>
      <c r="X1064" s="1">
        <v>1525000</v>
      </c>
      <c r="Y1064" s="1">
        <v>1525000</v>
      </c>
      <c r="Z1064" s="5">
        <v>43131</v>
      </c>
      <c r="AA1064" s="1">
        <v>1552831.25</v>
      </c>
      <c r="AB1064" s="1" t="s">
        <v>803</v>
      </c>
      <c r="AC1064" s="5">
        <v>43591</v>
      </c>
      <c r="AF1064" s="1">
        <v>10003</v>
      </c>
      <c r="AI1064" s="1" t="s">
        <v>53</v>
      </c>
      <c r="AJ1064" s="1">
        <v>2019</v>
      </c>
      <c r="AK1064" s="1" t="s">
        <v>49</v>
      </c>
      <c r="AL1064" s="1">
        <v>30</v>
      </c>
    </row>
    <row r="1065" spans="1:38" x14ac:dyDescent="0.2">
      <c r="A1065" s="2" t="str">
        <f>HYPERLINK("https://www.compass.com/listing/63-greene-street-unit-3e-manhattan-ny-10012/13087395796853009/","63 Greene St, Unit 3E")</f>
        <v>63 Greene St, Unit 3E</v>
      </c>
      <c r="B1065" s="2" t="str">
        <f t="shared" ref="B1065:B1070" si="195">HYPERLINK("https://www.compass.com/building/63-greene-street-manhattan-ny/292812252044627637/","63 Greene Street")</f>
        <v>63 Greene Street</v>
      </c>
      <c r="C1065" s="1" t="s">
        <v>104</v>
      </c>
      <c r="D1065" s="1" t="s">
        <v>41</v>
      </c>
      <c r="E1065" s="3">
        <v>2800187</v>
      </c>
      <c r="F1065" s="1">
        <v>2095.94835329341</v>
      </c>
      <c r="G1065" s="1">
        <v>4</v>
      </c>
      <c r="H1065" s="1">
        <v>1</v>
      </c>
      <c r="I1065" s="1">
        <v>2</v>
      </c>
      <c r="J1065" s="1">
        <v>2</v>
      </c>
      <c r="M1065" s="4">
        <v>1336</v>
      </c>
      <c r="N1065" s="1">
        <v>1262</v>
      </c>
      <c r="O1065" s="1">
        <v>2739</v>
      </c>
      <c r="P1065" s="1">
        <v>1477</v>
      </c>
      <c r="Q1065" s="1" t="s">
        <v>42</v>
      </c>
      <c r="S1065" s="1" t="s">
        <v>42</v>
      </c>
      <c r="T1065" s="1" t="s">
        <v>170</v>
      </c>
      <c r="V1065" s="5">
        <v>43636</v>
      </c>
      <c r="W1065" s="5">
        <v>42448</v>
      </c>
      <c r="X1065" s="1">
        <v>2750000</v>
      </c>
      <c r="Y1065" s="1">
        <v>2750000</v>
      </c>
      <c r="Z1065" s="5">
        <v>42448</v>
      </c>
      <c r="AA1065" s="1">
        <v>2800187</v>
      </c>
      <c r="AB1065" s="1" t="s">
        <v>181</v>
      </c>
      <c r="AC1065" s="5">
        <v>42711</v>
      </c>
      <c r="AF1065" s="1">
        <v>10012</v>
      </c>
      <c r="AI1065" s="1" t="s">
        <v>786</v>
      </c>
      <c r="AJ1065" s="1">
        <v>1877</v>
      </c>
      <c r="AK1065" s="1" t="s">
        <v>139</v>
      </c>
      <c r="AL1065" s="1">
        <v>23</v>
      </c>
    </row>
    <row r="1066" spans="1:38" x14ac:dyDescent="0.2">
      <c r="A1066" s="2" t="str">
        <f>HYPERLINK("https://www.compass.com/listing/63-greene-street-unit-2e-manhattan-ny-10012/13087414352397105/","63 Greene St, Unit 2E")</f>
        <v>63 Greene St, Unit 2E</v>
      </c>
      <c r="B1066" s="2" t="str">
        <f t="shared" si="195"/>
        <v>63 Greene Street</v>
      </c>
      <c r="C1066" s="1" t="s">
        <v>104</v>
      </c>
      <c r="D1066" s="1" t="s">
        <v>41</v>
      </c>
      <c r="E1066" s="3">
        <v>2800187</v>
      </c>
      <c r="F1066" s="1">
        <v>1936.50553250345</v>
      </c>
      <c r="G1066" s="1">
        <v>4</v>
      </c>
      <c r="H1066" s="1">
        <v>1</v>
      </c>
      <c r="I1066" s="1">
        <v>2</v>
      </c>
      <c r="J1066" s="1">
        <v>2</v>
      </c>
      <c r="M1066" s="4">
        <v>1446</v>
      </c>
      <c r="N1066" s="1">
        <v>1352</v>
      </c>
      <c r="O1066" s="1">
        <v>2935</v>
      </c>
      <c r="P1066" s="1">
        <v>1583</v>
      </c>
      <c r="Q1066" s="1" t="s">
        <v>42</v>
      </c>
      <c r="S1066" s="1" t="s">
        <v>42</v>
      </c>
      <c r="T1066" s="1" t="s">
        <v>170</v>
      </c>
      <c r="V1066" s="5">
        <v>43673</v>
      </c>
      <c r="W1066" s="5">
        <v>42440</v>
      </c>
      <c r="X1066" s="1">
        <v>2750000</v>
      </c>
      <c r="Y1066" s="1">
        <v>2750000</v>
      </c>
      <c r="Z1066" s="5">
        <v>42440</v>
      </c>
      <c r="AA1066" s="1">
        <v>2800187</v>
      </c>
      <c r="AB1066" s="1" t="s">
        <v>181</v>
      </c>
      <c r="AC1066" s="5">
        <v>42712</v>
      </c>
      <c r="AF1066" s="1">
        <v>10012</v>
      </c>
      <c r="AI1066" s="1" t="s">
        <v>786</v>
      </c>
      <c r="AJ1066" s="1">
        <v>1877</v>
      </c>
      <c r="AK1066" s="1" t="s">
        <v>139</v>
      </c>
      <c r="AL1066" s="1">
        <v>23</v>
      </c>
    </row>
    <row r="1067" spans="1:38" x14ac:dyDescent="0.2">
      <c r="A1067" s="2" t="str">
        <f>HYPERLINK("https://www.compass.com/listing/63-greene-street-unit-2f-manhattan-ny-10012/4845166084342427297/","63 Greene St, Unit 2F")</f>
        <v>63 Greene St, Unit 2F</v>
      </c>
      <c r="B1067" s="2" t="str">
        <f t="shared" si="195"/>
        <v>63 Greene Street</v>
      </c>
      <c r="C1067" s="1" t="s">
        <v>104</v>
      </c>
      <c r="D1067" s="1" t="s">
        <v>41</v>
      </c>
      <c r="E1067" s="3">
        <v>2700000</v>
      </c>
      <c r="F1067" s="1">
        <v>1718.6505410566499</v>
      </c>
      <c r="G1067" s="1">
        <v>4</v>
      </c>
      <c r="H1067" s="1">
        <v>1</v>
      </c>
      <c r="I1067" s="1">
        <v>2</v>
      </c>
      <c r="J1067" s="1">
        <v>2</v>
      </c>
      <c r="M1067" s="4">
        <v>1571</v>
      </c>
      <c r="N1067" s="1">
        <v>1469</v>
      </c>
      <c r="O1067" s="1">
        <v>3189</v>
      </c>
      <c r="P1067" s="1">
        <v>1720</v>
      </c>
      <c r="Q1067" s="1" t="s">
        <v>42</v>
      </c>
      <c r="S1067" s="1" t="s">
        <v>42</v>
      </c>
      <c r="T1067" s="1" t="s">
        <v>170</v>
      </c>
      <c r="U1067" s="1">
        <v>281</v>
      </c>
      <c r="V1067" s="5">
        <v>43689</v>
      </c>
      <c r="W1067" s="5">
        <v>42495</v>
      </c>
      <c r="X1067" s="1">
        <v>3000000</v>
      </c>
      <c r="Y1067" s="1">
        <v>2850000</v>
      </c>
      <c r="Z1067" s="5">
        <v>42776</v>
      </c>
      <c r="AA1067" s="1">
        <v>2700000</v>
      </c>
      <c r="AB1067" s="1" t="s">
        <v>804</v>
      </c>
      <c r="AC1067" s="5">
        <v>42825</v>
      </c>
      <c r="AF1067" s="1">
        <v>10012</v>
      </c>
      <c r="AI1067" s="1" t="s">
        <v>786</v>
      </c>
      <c r="AJ1067" s="1">
        <v>1877</v>
      </c>
      <c r="AK1067" s="1" t="s">
        <v>139</v>
      </c>
      <c r="AL1067" s="1">
        <v>23</v>
      </c>
    </row>
    <row r="1068" spans="1:38" x14ac:dyDescent="0.2">
      <c r="A1068" s="2" t="str">
        <f>HYPERLINK("https://www.compass.com/listing/63-greene-street-unit-2f-manhattan-ny-10012/4845166084342427281/","63 Greene St, Unit 2F")</f>
        <v>63 Greene St, Unit 2F</v>
      </c>
      <c r="B1068" s="2" t="str">
        <f t="shared" si="195"/>
        <v>63 Greene Street</v>
      </c>
      <c r="C1068" s="1" t="s">
        <v>104</v>
      </c>
      <c r="D1068" s="1" t="s">
        <v>41</v>
      </c>
      <c r="E1068" s="3">
        <v>2700000</v>
      </c>
      <c r="F1068" s="1">
        <v>1718.6505410566499</v>
      </c>
      <c r="G1068" s="1">
        <v>4</v>
      </c>
      <c r="H1068" s="1">
        <v>1</v>
      </c>
      <c r="I1068" s="1">
        <v>2</v>
      </c>
      <c r="M1068" s="4">
        <v>1571</v>
      </c>
      <c r="N1068" s="1">
        <v>1469</v>
      </c>
      <c r="O1068" s="1">
        <v>3189</v>
      </c>
      <c r="P1068" s="1">
        <v>1720</v>
      </c>
      <c r="Q1068" s="1" t="s">
        <v>42</v>
      </c>
      <c r="S1068" s="1" t="s">
        <v>42</v>
      </c>
      <c r="T1068" s="1" t="s">
        <v>170</v>
      </c>
      <c r="U1068" s="1">
        <v>281</v>
      </c>
      <c r="V1068" s="5">
        <v>43694</v>
      </c>
      <c r="W1068" s="5">
        <v>42495</v>
      </c>
      <c r="X1068" s="1">
        <v>3000000</v>
      </c>
      <c r="Y1068" s="1">
        <v>2850000</v>
      </c>
      <c r="Z1068" s="5">
        <v>42776</v>
      </c>
      <c r="AA1068" s="1">
        <v>2700000</v>
      </c>
      <c r="AB1068" s="1" t="s">
        <v>804</v>
      </c>
      <c r="AC1068" s="5">
        <v>42825</v>
      </c>
      <c r="AF1068" s="1">
        <v>10012</v>
      </c>
      <c r="AI1068" s="1" t="s">
        <v>786</v>
      </c>
      <c r="AJ1068" s="1">
        <v>1877</v>
      </c>
      <c r="AK1068" s="1" t="s">
        <v>139</v>
      </c>
      <c r="AL1068" s="1">
        <v>23</v>
      </c>
    </row>
    <row r="1069" spans="1:38" x14ac:dyDescent="0.2">
      <c r="A1069" s="2" t="str">
        <f>HYPERLINK("https://www.compass.com/listing/63-greene-street-unit-3e-manhattan-ny-10012/13087395796852993/","63 Greene St, Unit 3E")</f>
        <v>63 Greene St, Unit 3E</v>
      </c>
      <c r="B1069" s="2" t="str">
        <f t="shared" si="195"/>
        <v>63 Greene Street</v>
      </c>
      <c r="C1069" s="1" t="s">
        <v>104</v>
      </c>
      <c r="D1069" s="1" t="s">
        <v>41</v>
      </c>
      <c r="E1069" s="3">
        <v>2800187</v>
      </c>
      <c r="F1069" s="1">
        <v>2095.94835329341</v>
      </c>
      <c r="G1069" s="1">
        <v>4</v>
      </c>
      <c r="H1069" s="1">
        <v>1</v>
      </c>
      <c r="I1069" s="1">
        <v>2</v>
      </c>
      <c r="M1069" s="4">
        <v>1336</v>
      </c>
      <c r="N1069" s="1">
        <v>1262</v>
      </c>
      <c r="O1069" s="1">
        <v>2739</v>
      </c>
      <c r="P1069" s="1">
        <v>1477</v>
      </c>
      <c r="Q1069" s="1" t="s">
        <v>42</v>
      </c>
      <c r="S1069" s="1" t="s">
        <v>42</v>
      </c>
      <c r="T1069" s="1" t="s">
        <v>170</v>
      </c>
      <c r="V1069" s="5">
        <v>43693</v>
      </c>
      <c r="W1069" s="5">
        <v>42448</v>
      </c>
      <c r="X1069" s="1">
        <v>2750000</v>
      </c>
      <c r="Y1069" s="1">
        <v>2750000</v>
      </c>
      <c r="Z1069" s="5">
        <v>42448</v>
      </c>
      <c r="AA1069" s="1">
        <v>2800187</v>
      </c>
      <c r="AB1069" s="1" t="s">
        <v>181</v>
      </c>
      <c r="AC1069" s="5">
        <v>42711</v>
      </c>
      <c r="AF1069" s="1">
        <v>10012</v>
      </c>
      <c r="AI1069" s="1" t="s">
        <v>786</v>
      </c>
      <c r="AJ1069" s="1">
        <v>1877</v>
      </c>
      <c r="AK1069" s="1" t="s">
        <v>139</v>
      </c>
      <c r="AL1069" s="1">
        <v>23</v>
      </c>
    </row>
    <row r="1070" spans="1:38" x14ac:dyDescent="0.2">
      <c r="A1070" s="2" t="str">
        <f>HYPERLINK("https://www.compass.com/listing/63-greene-street-unit-2e-manhattan-ny-10012/13087414352397089/","63 Greene St, Unit 2E")</f>
        <v>63 Greene St, Unit 2E</v>
      </c>
      <c r="B1070" s="2" t="str">
        <f t="shared" si="195"/>
        <v>63 Greene Street</v>
      </c>
      <c r="C1070" s="1" t="s">
        <v>104</v>
      </c>
      <c r="D1070" s="1" t="s">
        <v>41</v>
      </c>
      <c r="E1070" s="3">
        <v>2800187</v>
      </c>
      <c r="F1070" s="1">
        <v>1936.50553250345</v>
      </c>
      <c r="G1070" s="1">
        <v>4</v>
      </c>
      <c r="H1070" s="1">
        <v>1</v>
      </c>
      <c r="I1070" s="1">
        <v>2</v>
      </c>
      <c r="M1070" s="4">
        <v>1446</v>
      </c>
      <c r="N1070" s="1">
        <v>1352</v>
      </c>
      <c r="O1070" s="1">
        <v>2935</v>
      </c>
      <c r="P1070" s="1">
        <v>1583</v>
      </c>
      <c r="Q1070" s="1" t="s">
        <v>42</v>
      </c>
      <c r="S1070" s="1" t="s">
        <v>42</v>
      </c>
      <c r="T1070" s="1" t="s">
        <v>170</v>
      </c>
      <c r="V1070" s="5">
        <v>43691</v>
      </c>
      <c r="W1070" s="5">
        <v>42440</v>
      </c>
      <c r="X1070" s="1">
        <v>2750000</v>
      </c>
      <c r="Y1070" s="1">
        <v>2750000</v>
      </c>
      <c r="Z1070" s="5">
        <v>42440</v>
      </c>
      <c r="AA1070" s="1">
        <v>2800187</v>
      </c>
      <c r="AB1070" s="1" t="s">
        <v>181</v>
      </c>
      <c r="AC1070" s="5">
        <v>42712</v>
      </c>
      <c r="AF1070" s="1">
        <v>10012</v>
      </c>
      <c r="AI1070" s="1" t="s">
        <v>786</v>
      </c>
      <c r="AJ1070" s="1">
        <v>1877</v>
      </c>
      <c r="AK1070" s="1" t="s">
        <v>139</v>
      </c>
      <c r="AL1070" s="1">
        <v>23</v>
      </c>
    </row>
    <row r="1071" spans="1:38" x14ac:dyDescent="0.2">
      <c r="A1071" s="2" t="str">
        <f>HYPERLINK("https://www.compass.com/listing/10-madison-square-west-unit-3d-manhattan-ny-10010/29374715051239793/","10 Madison Sq W, Unit 3D")</f>
        <v>10 Madison Sq W, Unit 3D</v>
      </c>
      <c r="B1071" s="2" t="str">
        <f t="shared" ref="B1071:B1077" si="196">HYPERLINK("https://www.compass.com/building/10-madison-square-west-manhattan-ny/294838725091521285/","10 Madison Square West")</f>
        <v>10 Madison Square West</v>
      </c>
      <c r="C1071" s="1" t="s">
        <v>154</v>
      </c>
      <c r="D1071" s="1" t="s">
        <v>41</v>
      </c>
      <c r="E1071" s="3">
        <v>4327563</v>
      </c>
      <c r="F1071" s="1">
        <v>2560.68786982248</v>
      </c>
      <c r="H1071" s="1">
        <v>2</v>
      </c>
      <c r="J1071" s="1">
        <v>2.5</v>
      </c>
      <c r="M1071" s="4">
        <v>1690</v>
      </c>
      <c r="N1071" s="1">
        <v>2117</v>
      </c>
      <c r="O1071" s="1">
        <v>3850</v>
      </c>
      <c r="P1071" s="1">
        <v>1733</v>
      </c>
      <c r="Q1071" s="1" t="s">
        <v>42</v>
      </c>
      <c r="S1071" s="1" t="s">
        <v>42</v>
      </c>
      <c r="T1071" s="1" t="s">
        <v>170</v>
      </c>
      <c r="AA1071" s="1">
        <v>4327562.5</v>
      </c>
      <c r="AB1071" s="1" t="s">
        <v>805</v>
      </c>
      <c r="AC1071" s="5">
        <v>42704</v>
      </c>
      <c r="AF1071" s="1">
        <v>10010</v>
      </c>
      <c r="AI1071" s="1" t="s">
        <v>59</v>
      </c>
      <c r="AJ1071" s="1">
        <v>1915</v>
      </c>
      <c r="AK1071" s="1" t="s">
        <v>46</v>
      </c>
      <c r="AL1071" s="1">
        <v>125</v>
      </c>
    </row>
    <row r="1072" spans="1:38" x14ac:dyDescent="0.2">
      <c r="A1072" s="2" t="str">
        <f>HYPERLINK("https://www.compass.com/listing/10-madison-square-west-unit-4c-manhattan-ny-10010/29374717064505745/","10 Madison Sq W, Unit 4C")</f>
        <v>10 Madison Sq W, Unit 4C</v>
      </c>
      <c r="B1072" s="2" t="str">
        <f t="shared" si="196"/>
        <v>10 Madison Square West</v>
      </c>
      <c r="C1072" s="1" t="s">
        <v>154</v>
      </c>
      <c r="D1072" s="1" t="s">
        <v>41</v>
      </c>
      <c r="E1072" s="3">
        <v>3714067</v>
      </c>
      <c r="F1072" s="1">
        <v>2591.8121981856202</v>
      </c>
      <c r="H1072" s="1">
        <v>2</v>
      </c>
      <c r="J1072" s="1">
        <v>2.5</v>
      </c>
      <c r="K1072" s="1">
        <v>2</v>
      </c>
      <c r="L1072" s="1">
        <v>1</v>
      </c>
      <c r="M1072" s="4">
        <v>1433</v>
      </c>
      <c r="N1072" s="1">
        <v>1800</v>
      </c>
      <c r="O1072" s="1">
        <v>4784</v>
      </c>
      <c r="P1072" s="1">
        <v>2984</v>
      </c>
      <c r="Q1072" s="1" t="s">
        <v>42</v>
      </c>
      <c r="S1072" s="1" t="s">
        <v>42</v>
      </c>
      <c r="T1072" s="1" t="s">
        <v>170</v>
      </c>
      <c r="AA1072" s="1">
        <v>3714066.88</v>
      </c>
      <c r="AB1072" s="1" t="s">
        <v>806</v>
      </c>
      <c r="AC1072" s="5">
        <v>42625</v>
      </c>
      <c r="AF1072" s="1">
        <v>10010</v>
      </c>
      <c r="AI1072" s="1" t="s">
        <v>59</v>
      </c>
      <c r="AJ1072" s="1">
        <v>1915</v>
      </c>
      <c r="AK1072" s="1" t="s">
        <v>46</v>
      </c>
      <c r="AL1072" s="1">
        <v>125</v>
      </c>
    </row>
    <row r="1073" spans="1:38" x14ac:dyDescent="0.2">
      <c r="A1073" s="2" t="str">
        <f>HYPERLINK("https://www.compass.com/listing/10-madison-square-west-unit-4d-manhattan-ny-10010/29374717358108241/","10 Madison Sq W, Unit 4D")</f>
        <v>10 Madison Sq W, Unit 4D</v>
      </c>
      <c r="B1073" s="2" t="str">
        <f t="shared" si="196"/>
        <v>10 Madison Square West</v>
      </c>
      <c r="C1073" s="1" t="s">
        <v>154</v>
      </c>
      <c r="D1073" s="1" t="s">
        <v>41</v>
      </c>
      <c r="E1073" s="3">
        <v>3563875</v>
      </c>
      <c r="F1073" s="1">
        <v>2108.8017751479201</v>
      </c>
      <c r="H1073" s="1">
        <v>2</v>
      </c>
      <c r="J1073" s="1">
        <v>2.5</v>
      </c>
      <c r="K1073" s="1">
        <v>2</v>
      </c>
      <c r="L1073" s="1">
        <v>1</v>
      </c>
      <c r="M1073" s="4">
        <v>1690</v>
      </c>
      <c r="N1073" s="1">
        <v>2123</v>
      </c>
      <c r="O1073" s="1">
        <v>4253</v>
      </c>
      <c r="P1073" s="1">
        <v>2130</v>
      </c>
      <c r="Q1073" s="1" t="s">
        <v>42</v>
      </c>
      <c r="S1073" s="1" t="s">
        <v>42</v>
      </c>
      <c r="T1073" s="1" t="s">
        <v>170</v>
      </c>
      <c r="AA1073" s="1">
        <v>3563875</v>
      </c>
      <c r="AB1073" s="1" t="s">
        <v>807</v>
      </c>
      <c r="AC1073" s="5">
        <v>42640</v>
      </c>
      <c r="AF1073" s="1">
        <v>10010</v>
      </c>
      <c r="AI1073" s="1" t="s">
        <v>59</v>
      </c>
      <c r="AJ1073" s="1">
        <v>1915</v>
      </c>
      <c r="AK1073" s="1" t="s">
        <v>46</v>
      </c>
      <c r="AL1073" s="1">
        <v>125</v>
      </c>
    </row>
    <row r="1074" spans="1:38" x14ac:dyDescent="0.2">
      <c r="A1074" s="2" t="str">
        <f>HYPERLINK("https://www.compass.com/listing/10-madison-square-west-unit-7c-manhattan-ny-10010/29374726854011537/","10 Madison Sq W, Unit 7C")</f>
        <v>10 Madison Sq W, Unit 7C</v>
      </c>
      <c r="B1074" s="2" t="str">
        <f t="shared" si="196"/>
        <v>10 Madison Square West</v>
      </c>
      <c r="C1074" s="1" t="s">
        <v>154</v>
      </c>
      <c r="D1074" s="1" t="s">
        <v>41</v>
      </c>
      <c r="E1074" s="3">
        <v>3971175</v>
      </c>
      <c r="F1074" s="1">
        <v>2771.2316817864598</v>
      </c>
      <c r="H1074" s="1">
        <v>2</v>
      </c>
      <c r="J1074" s="1">
        <v>2.5</v>
      </c>
      <c r="K1074" s="1">
        <v>2</v>
      </c>
      <c r="L1074" s="1">
        <v>1</v>
      </c>
      <c r="M1074" s="4">
        <v>1433</v>
      </c>
      <c r="N1074" s="1">
        <v>1800</v>
      </c>
      <c r="O1074" s="1">
        <v>4266</v>
      </c>
      <c r="P1074" s="1">
        <v>2466</v>
      </c>
      <c r="Q1074" s="1" t="s">
        <v>42</v>
      </c>
      <c r="S1074" s="1" t="s">
        <v>42</v>
      </c>
      <c r="T1074" s="1" t="s">
        <v>170</v>
      </c>
      <c r="AA1074" s="1">
        <v>3971175</v>
      </c>
      <c r="AB1074" s="1" t="s">
        <v>808</v>
      </c>
      <c r="AC1074" s="5">
        <v>42430</v>
      </c>
      <c r="AF1074" s="1">
        <v>10010</v>
      </c>
      <c r="AI1074" s="1" t="s">
        <v>59</v>
      </c>
      <c r="AJ1074" s="1">
        <v>1915</v>
      </c>
      <c r="AK1074" s="1" t="s">
        <v>46</v>
      </c>
      <c r="AL1074" s="1">
        <v>125</v>
      </c>
    </row>
    <row r="1075" spans="1:38" x14ac:dyDescent="0.2">
      <c r="A1075" s="2" t="str">
        <f>HYPERLINK("https://www.compass.com/listing/10-madison-square-west-unit-7d-manhattan-ny-10010/29374727348940593/","10 Madison Sq W, Unit 7D")</f>
        <v>10 Madison Sq W, Unit 7D</v>
      </c>
      <c r="B1075" s="2" t="str">
        <f t="shared" si="196"/>
        <v>10 Madison Square West</v>
      </c>
      <c r="C1075" s="1" t="s">
        <v>154</v>
      </c>
      <c r="D1075" s="1" t="s">
        <v>41</v>
      </c>
      <c r="E1075" s="3">
        <v>3309313</v>
      </c>
      <c r="F1075" s="1">
        <v>1958.1730769230701</v>
      </c>
      <c r="H1075" s="1">
        <v>2</v>
      </c>
      <c r="J1075" s="1">
        <v>2.5</v>
      </c>
      <c r="K1075" s="1">
        <v>2</v>
      </c>
      <c r="L1075" s="1">
        <v>1</v>
      </c>
      <c r="M1075" s="4">
        <v>1690</v>
      </c>
      <c r="N1075" s="1">
        <v>2122</v>
      </c>
      <c r="O1075" s="1">
        <v>5467</v>
      </c>
      <c r="P1075" s="1">
        <v>3345</v>
      </c>
      <c r="Q1075" s="1" t="s">
        <v>42</v>
      </c>
      <c r="S1075" s="1" t="s">
        <v>42</v>
      </c>
      <c r="T1075" s="1" t="s">
        <v>170</v>
      </c>
      <c r="AA1075" s="1">
        <v>3309312.5</v>
      </c>
      <c r="AB1075" s="1" t="s">
        <v>809</v>
      </c>
      <c r="AC1075" s="5">
        <v>42496</v>
      </c>
      <c r="AF1075" s="1">
        <v>10010</v>
      </c>
      <c r="AI1075" s="1" t="s">
        <v>59</v>
      </c>
      <c r="AJ1075" s="1">
        <v>1915</v>
      </c>
      <c r="AK1075" s="1" t="s">
        <v>46</v>
      </c>
      <c r="AL1075" s="1">
        <v>125</v>
      </c>
    </row>
    <row r="1076" spans="1:38" x14ac:dyDescent="0.2">
      <c r="A1076" s="2" t="str">
        <f>HYPERLINK("https://www.compass.com/listing/10-madison-square-west-unit-15c-manhattan-ny-10010/29374744872686657/","10 Madison Sq W, Unit 15C")</f>
        <v>10 Madison Sq W, Unit 15C</v>
      </c>
      <c r="B1076" s="2" t="str">
        <f t="shared" si="196"/>
        <v>10 Madison Square West</v>
      </c>
      <c r="C1076" s="1" t="s">
        <v>154</v>
      </c>
      <c r="D1076" s="1" t="s">
        <v>41</v>
      </c>
      <c r="E1076" s="3">
        <v>4327563</v>
      </c>
      <c r="F1076" s="1">
        <v>2432.5815064643002</v>
      </c>
      <c r="H1076" s="1">
        <v>2</v>
      </c>
      <c r="J1076" s="1">
        <v>2.5</v>
      </c>
      <c r="K1076" s="1">
        <v>2</v>
      </c>
      <c r="L1076" s="1">
        <v>1</v>
      </c>
      <c r="M1076" s="4">
        <v>1779</v>
      </c>
      <c r="N1076" s="1">
        <v>2234</v>
      </c>
      <c r="O1076" s="1">
        <v>5939</v>
      </c>
      <c r="P1076" s="1">
        <v>3705</v>
      </c>
      <c r="Q1076" s="1" t="s">
        <v>42</v>
      </c>
      <c r="S1076" s="1" t="s">
        <v>42</v>
      </c>
      <c r="T1076" s="1" t="s">
        <v>170</v>
      </c>
      <c r="AA1076" s="1">
        <v>4327562.5</v>
      </c>
      <c r="AB1076" s="1" t="s">
        <v>810</v>
      </c>
      <c r="AC1076" s="5">
        <v>42543</v>
      </c>
      <c r="AF1076" s="1">
        <v>10010</v>
      </c>
      <c r="AI1076" s="1" t="s">
        <v>59</v>
      </c>
      <c r="AJ1076" s="1">
        <v>1915</v>
      </c>
      <c r="AK1076" s="1" t="s">
        <v>46</v>
      </c>
      <c r="AL1076" s="1">
        <v>125</v>
      </c>
    </row>
    <row r="1077" spans="1:38" x14ac:dyDescent="0.2">
      <c r="A1077" s="2" t="str">
        <f>HYPERLINK("https://www.compass.com/listing/10-madison-square-west-unit-5c-manhattan-ny-10010/29513460219993537/","10 Madison Sq W, Unit 5C")</f>
        <v>10 Madison Sq W, Unit 5C</v>
      </c>
      <c r="B1077" s="2" t="str">
        <f t="shared" si="196"/>
        <v>10 Madison Square West</v>
      </c>
      <c r="C1077" s="1" t="s">
        <v>154</v>
      </c>
      <c r="D1077" s="1" t="s">
        <v>41</v>
      </c>
      <c r="E1077" s="3">
        <v>3207488</v>
      </c>
      <c r="F1077" s="1">
        <v>2238.3025122121398</v>
      </c>
      <c r="H1077" s="1">
        <v>2</v>
      </c>
      <c r="J1077" s="1">
        <v>2.5</v>
      </c>
      <c r="M1077" s="4">
        <v>1433</v>
      </c>
      <c r="N1077" s="1">
        <v>1800</v>
      </c>
      <c r="O1077" s="1">
        <v>4717</v>
      </c>
      <c r="P1077" s="1">
        <v>2917</v>
      </c>
      <c r="Q1077" s="1" t="s">
        <v>42</v>
      </c>
      <c r="S1077" s="1" t="s">
        <v>42</v>
      </c>
      <c r="T1077" s="1" t="s">
        <v>170</v>
      </c>
      <c r="AA1077" s="1">
        <v>3207487.5</v>
      </c>
      <c r="AB1077" s="1" t="s">
        <v>811</v>
      </c>
      <c r="AC1077" s="5">
        <v>42409</v>
      </c>
      <c r="AF1077" s="1">
        <v>10010</v>
      </c>
      <c r="AI1077" s="1" t="s">
        <v>59</v>
      </c>
      <c r="AJ1077" s="1">
        <v>1915</v>
      </c>
      <c r="AK1077" s="1" t="s">
        <v>46</v>
      </c>
      <c r="AL1077" s="1">
        <v>125</v>
      </c>
    </row>
    <row r="1078" spans="1:38" x14ac:dyDescent="0.2">
      <c r="A1078" s="2" t="str">
        <f>HYPERLINK("https://www.compass.com/listing/121-east-22nd-street-unit-n506-manhattan-ny-10010/200660095208532913/","121 E 22nd St, Unit N506")</f>
        <v>121 E 22nd St, Unit N506</v>
      </c>
      <c r="B1078" s="2" t="str">
        <f t="shared" ref="B1078:B1079" si="197">HYPERLINK("https://www.compass.com/building/121-e-22nd-manhattan-ny/292795784653461493/","121 E 22nd")</f>
        <v>121 E 22nd</v>
      </c>
      <c r="C1078" s="1" t="s">
        <v>54</v>
      </c>
      <c r="D1078" s="1" t="s">
        <v>41</v>
      </c>
      <c r="E1078" s="3">
        <v>3568329</v>
      </c>
      <c r="F1078" s="1">
        <v>2065.0052083333298</v>
      </c>
      <c r="G1078" s="1">
        <v>4.5</v>
      </c>
      <c r="H1078" s="1">
        <v>2</v>
      </c>
      <c r="I1078" s="1">
        <v>3</v>
      </c>
      <c r="J1078" s="1">
        <v>2.5</v>
      </c>
      <c r="K1078" s="1">
        <v>2</v>
      </c>
      <c r="L1078" s="1">
        <v>1</v>
      </c>
      <c r="M1078" s="4">
        <v>1728</v>
      </c>
      <c r="N1078" s="1">
        <v>1747</v>
      </c>
      <c r="O1078" s="1">
        <v>4836</v>
      </c>
      <c r="P1078" s="1">
        <v>3089</v>
      </c>
      <c r="Q1078" s="1" t="s">
        <v>42</v>
      </c>
      <c r="S1078" s="1" t="s">
        <v>42</v>
      </c>
      <c r="T1078" s="1" t="s">
        <v>170</v>
      </c>
      <c r="V1078" s="5">
        <v>44373</v>
      </c>
      <c r="W1078" s="5">
        <v>43529</v>
      </c>
      <c r="X1078" s="1">
        <v>3700000</v>
      </c>
      <c r="Y1078" s="1">
        <v>3700000</v>
      </c>
      <c r="Z1078" s="5">
        <v>43529</v>
      </c>
      <c r="AA1078" s="1">
        <v>3568329</v>
      </c>
      <c r="AB1078" s="1" t="s">
        <v>812</v>
      </c>
      <c r="AC1078" s="5">
        <v>43560</v>
      </c>
      <c r="AF1078" s="1">
        <v>10010</v>
      </c>
      <c r="AI1078" s="1" t="s">
        <v>159</v>
      </c>
      <c r="AJ1078" s="1">
        <v>2016</v>
      </c>
      <c r="AK1078" s="1" t="s">
        <v>77</v>
      </c>
      <c r="AL1078" s="1">
        <v>140</v>
      </c>
    </row>
    <row r="1079" spans="1:38" x14ac:dyDescent="0.2">
      <c r="A1079" s="2" t="str">
        <f>HYPERLINK("https://www.compass.com/listing/121-east-22nd-street-unit-s701-manhattan-ny-10010/840321490212983785/","121 E 22nd St, Unit S701")</f>
        <v>121 E 22nd St, Unit S701</v>
      </c>
      <c r="B1079" s="2" t="str">
        <f t="shared" si="197"/>
        <v>121 E 22nd</v>
      </c>
      <c r="C1079" s="1" t="s">
        <v>54</v>
      </c>
      <c r="D1079" s="1" t="s">
        <v>41</v>
      </c>
      <c r="E1079" s="3">
        <v>3062250</v>
      </c>
      <c r="F1079" s="1">
        <v>1823.8534842167901</v>
      </c>
      <c r="H1079" s="1">
        <v>2</v>
      </c>
      <c r="J1079" s="1">
        <v>2.5</v>
      </c>
      <c r="K1079" s="1">
        <v>2</v>
      </c>
      <c r="L1079" s="1">
        <v>1</v>
      </c>
      <c r="M1079" s="4">
        <v>1679</v>
      </c>
      <c r="N1079" s="1">
        <v>1801</v>
      </c>
      <c r="O1079" s="1">
        <v>5460</v>
      </c>
      <c r="P1079" s="1">
        <v>3659</v>
      </c>
      <c r="Q1079" s="1" t="s">
        <v>42</v>
      </c>
      <c r="S1079" s="1" t="s">
        <v>42</v>
      </c>
      <c r="T1079" s="1" t="s">
        <v>170</v>
      </c>
      <c r="AA1079" s="1">
        <v>3062250</v>
      </c>
      <c r="AB1079" s="1" t="s">
        <v>813</v>
      </c>
      <c r="AC1079" s="5">
        <v>44392</v>
      </c>
      <c r="AF1079" s="1">
        <v>10010</v>
      </c>
      <c r="AI1079" s="1" t="s">
        <v>55</v>
      </c>
      <c r="AJ1079" s="1">
        <v>2016</v>
      </c>
      <c r="AK1079" s="1" t="s">
        <v>49</v>
      </c>
      <c r="AL1079" s="1">
        <v>140</v>
      </c>
    </row>
    <row r="1080" spans="1:38" x14ac:dyDescent="0.2">
      <c r="A1080" s="2" t="str">
        <f>HYPERLINK("https://www.compass.com/listing/10-madison-square-west-unit-14b-manhattan-ny-10010/29374741290750977/","10 Madison Sq W, Unit 14B")</f>
        <v>10 Madison Sq W, Unit 14B</v>
      </c>
      <c r="B1080" s="2" t="str">
        <f t="shared" ref="B1080:B1082" si="198">HYPERLINK("https://www.compass.com/building/10-madison-square-west-manhattan-ny/294838725091521285/","10 Madison Square West")</f>
        <v>10 Madison Square West</v>
      </c>
      <c r="C1080" s="1" t="s">
        <v>154</v>
      </c>
      <c r="D1080" s="1" t="s">
        <v>41</v>
      </c>
      <c r="E1080" s="3">
        <v>1832850</v>
      </c>
      <c r="F1080" s="1">
        <v>1786.4035087719201</v>
      </c>
      <c r="H1080" s="1">
        <v>1</v>
      </c>
      <c r="J1080" s="1">
        <v>1.5</v>
      </c>
      <c r="M1080" s="4">
        <v>1026</v>
      </c>
      <c r="N1080" s="1">
        <v>1285</v>
      </c>
      <c r="O1080" s="1">
        <v>2337</v>
      </c>
      <c r="P1080" s="1">
        <v>1052</v>
      </c>
      <c r="Q1080" s="1" t="s">
        <v>42</v>
      </c>
      <c r="S1080" s="1" t="s">
        <v>42</v>
      </c>
      <c r="T1080" s="1" t="s">
        <v>170</v>
      </c>
      <c r="AA1080" s="1">
        <v>1832850</v>
      </c>
      <c r="AB1080" s="1" t="s">
        <v>814</v>
      </c>
      <c r="AC1080" s="5">
        <v>42620</v>
      </c>
      <c r="AF1080" s="1">
        <v>10010</v>
      </c>
      <c r="AI1080" s="1" t="s">
        <v>59</v>
      </c>
      <c r="AJ1080" s="1">
        <v>1915</v>
      </c>
      <c r="AK1080" s="1" t="s">
        <v>46</v>
      </c>
      <c r="AL1080" s="1">
        <v>125</v>
      </c>
    </row>
    <row r="1081" spans="1:38" x14ac:dyDescent="0.2">
      <c r="A1081" s="2" t="str">
        <f>HYPERLINK("https://www.compass.com/listing/10-madison-square-west-unit-15b-manhattan-ny-10010/29374744528810145/","10 Madison Sq W, Unit 15B")</f>
        <v>10 Madison Sq W, Unit 15B</v>
      </c>
      <c r="B1081" s="2" t="str">
        <f t="shared" si="198"/>
        <v>10 Madison Square West</v>
      </c>
      <c r="C1081" s="1" t="s">
        <v>154</v>
      </c>
      <c r="D1081" s="1" t="s">
        <v>41</v>
      </c>
      <c r="E1081" s="3">
        <v>1832850</v>
      </c>
      <c r="F1081" s="1">
        <v>1786.4035087719201</v>
      </c>
      <c r="H1081" s="1">
        <v>1</v>
      </c>
      <c r="J1081" s="1">
        <v>1.5</v>
      </c>
      <c r="K1081" s="1">
        <v>1</v>
      </c>
      <c r="L1081" s="1">
        <v>1</v>
      </c>
      <c r="M1081" s="4">
        <v>1026</v>
      </c>
      <c r="N1081" s="1">
        <v>1288</v>
      </c>
      <c r="O1081" s="1">
        <v>3090</v>
      </c>
      <c r="P1081" s="1">
        <v>1802</v>
      </c>
      <c r="Q1081" s="1" t="s">
        <v>42</v>
      </c>
      <c r="S1081" s="1" t="s">
        <v>42</v>
      </c>
      <c r="T1081" s="1" t="s">
        <v>170</v>
      </c>
      <c r="AA1081" s="1">
        <v>1832850</v>
      </c>
      <c r="AB1081" s="1" t="s">
        <v>815</v>
      </c>
      <c r="AC1081" s="5">
        <v>42531</v>
      </c>
      <c r="AF1081" s="1">
        <v>10010</v>
      </c>
      <c r="AI1081" s="1" t="s">
        <v>59</v>
      </c>
      <c r="AJ1081" s="1">
        <v>1915</v>
      </c>
      <c r="AK1081" s="1" t="s">
        <v>46</v>
      </c>
      <c r="AL1081" s="1">
        <v>125</v>
      </c>
    </row>
    <row r="1082" spans="1:38" x14ac:dyDescent="0.2">
      <c r="A1082" s="2" t="str">
        <f>HYPERLINK("https://www.compass.com/listing/10-madison-square-west-unit-11g-manhattan-ny-10010/29513460664625505/","10 Madison Sq W, Unit 11G")</f>
        <v>10 Madison Sq W, Unit 11G</v>
      </c>
      <c r="B1082" s="2" t="str">
        <f t="shared" si="198"/>
        <v>10 Madison Square West</v>
      </c>
      <c r="C1082" s="1" t="s">
        <v>154</v>
      </c>
      <c r="D1082" s="1" t="s">
        <v>41</v>
      </c>
      <c r="E1082" s="3">
        <v>2138325</v>
      </c>
      <c r="F1082" s="1">
        <v>2040.3864503816701</v>
      </c>
      <c r="H1082" s="1">
        <v>1</v>
      </c>
      <c r="J1082" s="1">
        <v>1.5</v>
      </c>
      <c r="M1082" s="4">
        <v>1048</v>
      </c>
      <c r="N1082" s="1">
        <v>1316</v>
      </c>
      <c r="O1082" s="1">
        <v>3120</v>
      </c>
      <c r="P1082" s="1">
        <v>1804</v>
      </c>
      <c r="Q1082" s="1" t="s">
        <v>42</v>
      </c>
      <c r="S1082" s="1" t="s">
        <v>42</v>
      </c>
      <c r="T1082" s="1" t="s">
        <v>170</v>
      </c>
      <c r="AA1082" s="1">
        <v>2138325</v>
      </c>
      <c r="AB1082" s="1" t="s">
        <v>816</v>
      </c>
      <c r="AC1082" s="5">
        <v>42550</v>
      </c>
      <c r="AF1082" s="1">
        <v>10010</v>
      </c>
      <c r="AI1082" s="1" t="s">
        <v>59</v>
      </c>
      <c r="AJ1082" s="1">
        <v>1915</v>
      </c>
      <c r="AK1082" s="1" t="s">
        <v>46</v>
      </c>
      <c r="AL1082" s="1">
        <v>125</v>
      </c>
    </row>
    <row r="1083" spans="1:38" x14ac:dyDescent="0.2">
      <c r="A1083" s="2" t="str">
        <f>HYPERLINK("https://www.compass.com/listing/32-east-1st-street-unit-4b-manhattan-ny-10003/29515146372155505/","32 E 1st St, Unit 4B")</f>
        <v>32 E 1st St, Unit 4B</v>
      </c>
      <c r="B1083" s="2" t="str">
        <f t="shared" ref="B1083:B1084" si="199">HYPERLINK("https://www.compass.com/building/32-east-1st-street-manhattan-ny/292783157810310133/","32 East 1st Street")</f>
        <v>32 East 1st Street</v>
      </c>
      <c r="C1083" s="1" t="s">
        <v>89</v>
      </c>
      <c r="D1083" s="1" t="s">
        <v>41</v>
      </c>
      <c r="E1083" s="3">
        <v>1501918</v>
      </c>
      <c r="F1083" s="1">
        <v>2580.6151202749102</v>
      </c>
      <c r="G1083" s="1">
        <v>3</v>
      </c>
      <c r="H1083" s="1">
        <v>1</v>
      </c>
      <c r="I1083" s="1">
        <v>1</v>
      </c>
      <c r="J1083" s="1">
        <v>1</v>
      </c>
      <c r="K1083" s="1">
        <v>1</v>
      </c>
      <c r="M1083" s="1">
        <v>582</v>
      </c>
      <c r="N1083" s="1">
        <v>748</v>
      </c>
      <c r="O1083" s="1">
        <v>1565</v>
      </c>
      <c r="P1083" s="1">
        <v>817</v>
      </c>
      <c r="Q1083" s="1" t="s">
        <v>42</v>
      </c>
      <c r="S1083" s="1" t="s">
        <v>42</v>
      </c>
      <c r="T1083" s="1" t="s">
        <v>170</v>
      </c>
      <c r="U1083" s="1">
        <v>150</v>
      </c>
      <c r="V1083" s="5">
        <v>43636</v>
      </c>
      <c r="W1083" s="5">
        <v>43053</v>
      </c>
      <c r="X1083" s="1">
        <v>1475000</v>
      </c>
      <c r="Y1083" s="1">
        <v>1475000</v>
      </c>
      <c r="Z1083" s="5">
        <v>43203</v>
      </c>
      <c r="AA1083" s="1">
        <v>1501918</v>
      </c>
      <c r="AB1083" s="1" t="s">
        <v>817</v>
      </c>
      <c r="AC1083" s="5">
        <v>43589</v>
      </c>
      <c r="AF1083" s="1">
        <v>10003</v>
      </c>
      <c r="AI1083" s="1" t="s">
        <v>53</v>
      </c>
      <c r="AJ1083" s="1">
        <v>2019</v>
      </c>
      <c r="AK1083" s="1" t="s">
        <v>49</v>
      </c>
      <c r="AL1083" s="1">
        <v>30</v>
      </c>
    </row>
    <row r="1084" spans="1:38" x14ac:dyDescent="0.2">
      <c r="A1084" s="2" t="str">
        <f>HYPERLINK("https://www.compass.com/listing/32-east-1st-street-unit-3b-manhattan-ny-10003/29515148326660241/","32 E 1st St, Unit 3B")</f>
        <v>32 E 1st St, Unit 3B</v>
      </c>
      <c r="B1084" s="2" t="str">
        <f t="shared" si="199"/>
        <v>32 East 1st Street</v>
      </c>
      <c r="C1084" s="1" t="s">
        <v>89</v>
      </c>
      <c r="D1084" s="1" t="s">
        <v>41</v>
      </c>
      <c r="E1084" s="3">
        <v>1475000</v>
      </c>
      <c r="F1084" s="1">
        <v>2534.3642611683799</v>
      </c>
      <c r="G1084" s="1">
        <v>3</v>
      </c>
      <c r="H1084" s="1">
        <v>1</v>
      </c>
      <c r="I1084" s="1">
        <v>1</v>
      </c>
      <c r="J1084" s="1">
        <v>1</v>
      </c>
      <c r="K1084" s="1">
        <v>1</v>
      </c>
      <c r="M1084" s="1">
        <v>582</v>
      </c>
      <c r="N1084" s="1">
        <v>727</v>
      </c>
      <c r="O1084" s="1">
        <v>1522</v>
      </c>
      <c r="P1084" s="1">
        <v>795</v>
      </c>
      <c r="Q1084" s="1" t="s">
        <v>42</v>
      </c>
      <c r="S1084" s="1" t="s">
        <v>42</v>
      </c>
      <c r="T1084" s="1" t="s">
        <v>170</v>
      </c>
      <c r="U1084" s="1">
        <v>21</v>
      </c>
      <c r="V1084" s="5">
        <v>43636</v>
      </c>
      <c r="W1084" s="5">
        <v>43231</v>
      </c>
      <c r="X1084" s="1">
        <v>1475000</v>
      </c>
      <c r="Y1084" s="1">
        <v>1475000</v>
      </c>
      <c r="Z1084" s="5">
        <v>43252</v>
      </c>
      <c r="AA1084" s="1">
        <v>1475000</v>
      </c>
      <c r="AB1084" s="1" t="s">
        <v>818</v>
      </c>
      <c r="AC1084" s="5">
        <v>43577</v>
      </c>
      <c r="AF1084" s="1">
        <v>10003</v>
      </c>
      <c r="AI1084" s="1" t="s">
        <v>53</v>
      </c>
      <c r="AJ1084" s="1">
        <v>2019</v>
      </c>
      <c r="AK1084" s="1" t="s">
        <v>49</v>
      </c>
      <c r="AL1084" s="1">
        <v>30</v>
      </c>
    </row>
    <row r="1085" spans="1:38" x14ac:dyDescent="0.2">
      <c r="A1085" s="2" t="str">
        <f>HYPERLINK("https://www.compass.com/listing/10-madison-square-west-unit-5d-manhattan-ny-10010/29374720679997105/","10 Madison Sq W, Unit 5D")</f>
        <v>10 Madison Sq W, Unit 5D</v>
      </c>
      <c r="B1085" s="2" t="str">
        <f t="shared" ref="B1085:B1086" si="200">HYPERLINK("https://www.compass.com/building/10-madison-square-west-manhattan-ny/294838725091521285/","10 Madison Square West")</f>
        <v>10 Madison Square West</v>
      </c>
      <c r="C1085" s="1" t="s">
        <v>154</v>
      </c>
      <c r="D1085" s="1" t="s">
        <v>41</v>
      </c>
      <c r="E1085" s="3">
        <v>3512963</v>
      </c>
      <c r="F1085" s="1">
        <v>2078.6760355029501</v>
      </c>
      <c r="H1085" s="1">
        <v>2</v>
      </c>
      <c r="J1085" s="1">
        <v>2</v>
      </c>
      <c r="K1085" s="1">
        <v>2</v>
      </c>
      <c r="M1085" s="4">
        <v>1690</v>
      </c>
      <c r="N1085" s="1">
        <v>2122.92</v>
      </c>
      <c r="O1085" s="1">
        <v>4012.92</v>
      </c>
      <c r="P1085" s="1">
        <v>1890</v>
      </c>
      <c r="Q1085" s="1" t="s">
        <v>42</v>
      </c>
      <c r="S1085" s="1" t="s">
        <v>42</v>
      </c>
      <c r="T1085" s="1" t="s">
        <v>170</v>
      </c>
      <c r="AA1085" s="1">
        <v>3512962.5</v>
      </c>
      <c r="AB1085" s="1" t="s">
        <v>819</v>
      </c>
      <c r="AC1085" s="5">
        <v>42355</v>
      </c>
      <c r="AF1085" s="1">
        <v>10010</v>
      </c>
      <c r="AI1085" s="1" t="s">
        <v>59</v>
      </c>
      <c r="AJ1085" s="1">
        <v>1915</v>
      </c>
      <c r="AK1085" s="1" t="s">
        <v>46</v>
      </c>
      <c r="AL1085" s="1">
        <v>125</v>
      </c>
    </row>
    <row r="1086" spans="1:38" x14ac:dyDescent="0.2">
      <c r="A1086" s="2" t="str">
        <f>HYPERLINK("https://www.compass.com/listing/10-madison-square-west-unit-6d-manhattan-ny-10010/29374724362539713/","10 Madison Sq W, Unit 6D")</f>
        <v>10 Madison Sq W, Unit 6D</v>
      </c>
      <c r="B1086" s="2" t="str">
        <f t="shared" si="200"/>
        <v>10 Madison Square West</v>
      </c>
      <c r="C1086" s="1" t="s">
        <v>154</v>
      </c>
      <c r="D1086" s="1" t="s">
        <v>41</v>
      </c>
      <c r="E1086" s="3">
        <v>3614788</v>
      </c>
      <c r="F1086" s="1">
        <v>2138.9275147928902</v>
      </c>
      <c r="H1086" s="1">
        <v>2</v>
      </c>
      <c r="J1086" s="1">
        <v>2</v>
      </c>
      <c r="K1086" s="1">
        <v>2</v>
      </c>
      <c r="M1086" s="4">
        <v>1690</v>
      </c>
      <c r="N1086" s="1">
        <v>2122.92</v>
      </c>
      <c r="O1086" s="1">
        <v>4012.92</v>
      </c>
      <c r="P1086" s="1">
        <v>1890</v>
      </c>
      <c r="Q1086" s="1" t="s">
        <v>42</v>
      </c>
      <c r="S1086" s="1" t="s">
        <v>42</v>
      </c>
      <c r="T1086" s="1" t="s">
        <v>170</v>
      </c>
      <c r="AA1086" s="1">
        <v>3614787.5</v>
      </c>
      <c r="AB1086" s="1" t="s">
        <v>820</v>
      </c>
      <c r="AC1086" s="5">
        <v>42355</v>
      </c>
      <c r="AF1086" s="1">
        <v>10010</v>
      </c>
      <c r="AI1086" s="1" t="s">
        <v>59</v>
      </c>
      <c r="AJ1086" s="1">
        <v>1915</v>
      </c>
      <c r="AK1086" s="1" t="s">
        <v>46</v>
      </c>
      <c r="AL1086" s="1">
        <v>125</v>
      </c>
    </row>
    <row r="1087" spans="1:38" x14ac:dyDescent="0.2">
      <c r="A1087" s="2" t="str">
        <f>HYPERLINK("https://www.compass.com/listing/80-east-10th-street-unit-4w-manhattan-ny-10003/29515141187995553/","80 E 10th St, Unit 4W")</f>
        <v>80 E 10th St, Unit 4W</v>
      </c>
      <c r="B1087" s="2" t="str">
        <f>HYPERLINK("https://www.compass.com/building/80-e-10th-st-manhattan-ny-10003/282059393531414101/","80 E 10th St")</f>
        <v>80 E 10th St</v>
      </c>
      <c r="C1087" s="1" t="s">
        <v>370</v>
      </c>
      <c r="D1087" s="1" t="s">
        <v>41</v>
      </c>
      <c r="E1087" s="3">
        <v>4381530</v>
      </c>
      <c r="F1087" s="1">
        <v>2392.9709175314001</v>
      </c>
      <c r="G1087" s="1">
        <v>4</v>
      </c>
      <c r="H1087" s="1">
        <v>2</v>
      </c>
      <c r="I1087" s="1">
        <v>3</v>
      </c>
      <c r="J1087" s="1">
        <v>2.5</v>
      </c>
      <c r="K1087" s="1">
        <v>2</v>
      </c>
      <c r="L1087" s="1">
        <v>1</v>
      </c>
      <c r="M1087" s="4">
        <v>1831</v>
      </c>
      <c r="N1087" s="1">
        <v>2124</v>
      </c>
      <c r="O1087" s="1">
        <v>3113</v>
      </c>
      <c r="P1087" s="1">
        <v>989</v>
      </c>
      <c r="Q1087" s="1" t="s">
        <v>42</v>
      </c>
      <c r="S1087" s="1" t="s">
        <v>42</v>
      </c>
      <c r="T1087" s="1" t="s">
        <v>170</v>
      </c>
      <c r="U1087" s="1">
        <v>24</v>
      </c>
      <c r="V1087" s="5">
        <v>43697</v>
      </c>
      <c r="W1087" s="5">
        <v>43008</v>
      </c>
      <c r="X1087" s="1">
        <v>4300000</v>
      </c>
      <c r="Y1087" s="1">
        <v>4300000</v>
      </c>
      <c r="Z1087" s="5">
        <v>43032</v>
      </c>
      <c r="AA1087" s="1">
        <v>4381529.75</v>
      </c>
      <c r="AB1087" s="1" t="s">
        <v>821</v>
      </c>
      <c r="AC1087" s="5">
        <v>43644</v>
      </c>
      <c r="AF1087" s="1">
        <v>10003</v>
      </c>
      <c r="AI1087" s="1" t="s">
        <v>76</v>
      </c>
      <c r="AJ1087" s="1">
        <v>2018</v>
      </c>
      <c r="AK1087" s="1" t="s">
        <v>108</v>
      </c>
      <c r="AL1087" s="1">
        <v>12</v>
      </c>
    </row>
    <row r="1088" spans="1:38" x14ac:dyDescent="0.2">
      <c r="A1088" s="2" t="str">
        <f>HYPERLINK("https://www.compass.com/listing/63-greene-street-unit-4d-manhattan-ny-10012/13087402239243585/","63 Greene St, Unit 4D")</f>
        <v>63 Greene St, Unit 4D</v>
      </c>
      <c r="B1088" s="2" t="str">
        <f t="shared" ref="B1088:B1089" si="201">HYPERLINK("https://www.compass.com/building/63-greene-street-manhattan-ny/292812252044627637/","63 Greene Street")</f>
        <v>63 Greene Street</v>
      </c>
      <c r="C1088" s="1" t="s">
        <v>104</v>
      </c>
      <c r="D1088" s="1" t="s">
        <v>41</v>
      </c>
      <c r="E1088" s="3">
        <v>4450000</v>
      </c>
      <c r="F1088" s="1">
        <v>1848.7744079767299</v>
      </c>
      <c r="G1088" s="1">
        <v>5</v>
      </c>
      <c r="H1088" s="1">
        <v>3</v>
      </c>
      <c r="I1088" s="1">
        <v>4</v>
      </c>
      <c r="J1088" s="1">
        <v>0.5</v>
      </c>
      <c r="L1088" s="1">
        <v>1</v>
      </c>
      <c r="M1088" s="4">
        <v>2407</v>
      </c>
      <c r="N1088" s="1">
        <v>2316</v>
      </c>
      <c r="O1088" s="1">
        <v>5027</v>
      </c>
      <c r="P1088" s="1">
        <v>2711</v>
      </c>
      <c r="Q1088" s="1" t="s">
        <v>42</v>
      </c>
      <c r="S1088" s="1" t="s">
        <v>42</v>
      </c>
      <c r="T1088" s="1" t="s">
        <v>170</v>
      </c>
      <c r="U1088" s="1">
        <v>462</v>
      </c>
      <c r="V1088" s="5">
        <v>43694</v>
      </c>
      <c r="W1088" s="5">
        <v>42409</v>
      </c>
      <c r="X1088" s="1">
        <v>5000000</v>
      </c>
      <c r="Y1088" s="1">
        <v>4500000</v>
      </c>
      <c r="Z1088" s="5">
        <v>42871</v>
      </c>
      <c r="AA1088" s="1">
        <v>4450000</v>
      </c>
      <c r="AB1088" s="1" t="s">
        <v>822</v>
      </c>
      <c r="AC1088" s="5">
        <v>42905</v>
      </c>
      <c r="AF1088" s="1">
        <v>10012</v>
      </c>
      <c r="AI1088" s="1" t="s">
        <v>786</v>
      </c>
      <c r="AJ1088" s="1">
        <v>1877</v>
      </c>
      <c r="AK1088" s="1" t="s">
        <v>139</v>
      </c>
      <c r="AL1088" s="1">
        <v>23</v>
      </c>
    </row>
    <row r="1089" spans="1:38" x14ac:dyDescent="0.2">
      <c r="A1089" s="2" t="str">
        <f>HYPERLINK("https://www.compass.com/listing/63-greene-street-unit-3a-manhattan-ny-10012/13087414713063265/","63 Greene St, Unit 3A")</f>
        <v>63 Greene St, Unit 3A</v>
      </c>
      <c r="B1089" s="2" t="str">
        <f t="shared" si="201"/>
        <v>63 Greene Street</v>
      </c>
      <c r="C1089" s="1" t="s">
        <v>104</v>
      </c>
      <c r="D1089" s="1" t="s">
        <v>41</v>
      </c>
      <c r="E1089" s="3">
        <v>5600375</v>
      </c>
      <c r="F1089" s="1">
        <v>2333.4895833333298</v>
      </c>
      <c r="G1089" s="1">
        <v>5</v>
      </c>
      <c r="H1089" s="1">
        <v>3</v>
      </c>
      <c r="I1089" s="1">
        <v>3</v>
      </c>
      <c r="M1089" s="4">
        <v>2400</v>
      </c>
      <c r="N1089" s="1">
        <v>2343</v>
      </c>
      <c r="O1089" s="1">
        <v>5086</v>
      </c>
      <c r="P1089" s="1">
        <v>2743</v>
      </c>
      <c r="Q1089" s="1" t="s">
        <v>42</v>
      </c>
      <c r="S1089" s="1" t="s">
        <v>42</v>
      </c>
      <c r="T1089" s="1" t="s">
        <v>170</v>
      </c>
      <c r="U1089" s="1">
        <v>53</v>
      </c>
      <c r="V1089" s="5">
        <v>43693</v>
      </c>
      <c r="W1089" s="5">
        <v>42535</v>
      </c>
      <c r="X1089" s="1">
        <v>5900000</v>
      </c>
      <c r="Y1089" s="1">
        <v>5900000</v>
      </c>
      <c r="Z1089" s="5">
        <v>42588</v>
      </c>
      <c r="AA1089" s="1">
        <v>5600375</v>
      </c>
      <c r="AB1089" s="1" t="s">
        <v>181</v>
      </c>
      <c r="AC1089" s="5">
        <v>42707</v>
      </c>
      <c r="AF1089" s="1">
        <v>10012</v>
      </c>
      <c r="AI1089" s="1" t="s">
        <v>786</v>
      </c>
      <c r="AJ1089" s="1">
        <v>1877</v>
      </c>
      <c r="AK1089" s="1" t="s">
        <v>139</v>
      </c>
      <c r="AL1089" s="1">
        <v>23</v>
      </c>
    </row>
    <row r="1090" spans="1:38" x14ac:dyDescent="0.2">
      <c r="A1090" s="2" t="str">
        <f>HYPERLINK("https://www.compass.com/listing/10-madison-square-west-unit-6b-manhattan-ny-10010/29374723599231553/","10 Madison Sq W, Unit 6B")</f>
        <v>10 Madison Sq W, Unit 6B</v>
      </c>
      <c r="B1090" s="2" t="str">
        <f>HYPERLINK("https://www.compass.com/building/10-madison-square-west-manhattan-ny/294838725091521285/","10 Madison Square West")</f>
        <v>10 Madison Square West</v>
      </c>
      <c r="C1090" s="1" t="s">
        <v>154</v>
      </c>
      <c r="D1090" s="1" t="s">
        <v>41</v>
      </c>
      <c r="E1090" s="3">
        <v>3869350</v>
      </c>
      <c r="F1090" s="1">
        <v>1914.5719940623401</v>
      </c>
      <c r="H1090" s="1">
        <v>3</v>
      </c>
      <c r="J1090" s="1">
        <v>2.5</v>
      </c>
      <c r="K1090" s="1">
        <v>2</v>
      </c>
      <c r="L1090" s="1">
        <v>1</v>
      </c>
      <c r="M1090" s="4">
        <v>2021</v>
      </c>
      <c r="N1090" s="1">
        <v>2538</v>
      </c>
      <c r="O1090" s="1">
        <v>6746.89</v>
      </c>
      <c r="P1090" s="1">
        <v>4208.9166666666597</v>
      </c>
      <c r="Q1090" s="1" t="s">
        <v>42</v>
      </c>
      <c r="S1090" s="1" t="s">
        <v>42</v>
      </c>
      <c r="T1090" s="1" t="s">
        <v>170</v>
      </c>
      <c r="AA1090" s="1">
        <v>3869350</v>
      </c>
      <c r="AB1090" s="1" t="s">
        <v>823</v>
      </c>
      <c r="AC1090" s="5">
        <v>42318</v>
      </c>
      <c r="AF1090" s="1">
        <v>10010</v>
      </c>
      <c r="AI1090" s="1" t="s">
        <v>59</v>
      </c>
      <c r="AJ1090" s="1">
        <v>1915</v>
      </c>
      <c r="AK1090" s="1" t="s">
        <v>46</v>
      </c>
      <c r="AL1090" s="1">
        <v>125</v>
      </c>
    </row>
    <row r="1091" spans="1:38" x14ac:dyDescent="0.2">
      <c r="A1091" s="2" t="str">
        <f>HYPERLINK("https://www.compass.com/listing/32-east-1st-street-unit-6e-manhattan-ny-10003/177530541233427425/","32 E 1st St, Unit 6E")</f>
        <v>32 E 1st St, Unit 6E</v>
      </c>
      <c r="B1091" s="2" t="str">
        <f>HYPERLINK("https://www.compass.com/building/32-east-1st-street-manhattan-ny/292783157810310133/","32 East 1st Street")</f>
        <v>32 East 1st Street</v>
      </c>
      <c r="C1091" s="1" t="s">
        <v>89</v>
      </c>
      <c r="D1091" s="1" t="s">
        <v>41</v>
      </c>
      <c r="E1091" s="3">
        <v>1237174</v>
      </c>
      <c r="F1091" s="1">
        <v>2556.1441115702401</v>
      </c>
      <c r="G1091" s="1">
        <v>3</v>
      </c>
      <c r="H1091" s="1">
        <v>1</v>
      </c>
      <c r="I1091" s="1">
        <v>1</v>
      </c>
      <c r="J1091" s="1">
        <v>1</v>
      </c>
      <c r="K1091" s="1">
        <v>1</v>
      </c>
      <c r="M1091" s="1">
        <v>484</v>
      </c>
      <c r="N1091" s="1">
        <v>634</v>
      </c>
      <c r="O1091" s="1">
        <v>1351</v>
      </c>
      <c r="P1091" s="1">
        <v>717</v>
      </c>
      <c r="Q1091" s="1" t="s">
        <v>42</v>
      </c>
      <c r="S1091" s="1" t="s">
        <v>42</v>
      </c>
      <c r="T1091" s="1" t="s">
        <v>170</v>
      </c>
      <c r="U1091" s="1">
        <v>121</v>
      </c>
      <c r="V1091" s="5">
        <v>43698</v>
      </c>
      <c r="W1091" s="5">
        <v>43496</v>
      </c>
      <c r="X1091" s="1">
        <v>1300000</v>
      </c>
      <c r="Y1091" s="1">
        <v>1300000</v>
      </c>
      <c r="Z1091" s="5">
        <v>43497</v>
      </c>
      <c r="AA1091" s="1">
        <v>1237173.75</v>
      </c>
      <c r="AB1091" s="1" t="s">
        <v>824</v>
      </c>
      <c r="AC1091" s="5">
        <v>43739</v>
      </c>
      <c r="AF1091" s="1">
        <v>10003</v>
      </c>
      <c r="AI1091" s="1" t="s">
        <v>53</v>
      </c>
      <c r="AJ1091" s="1">
        <v>2019</v>
      </c>
      <c r="AK1091" s="1" t="s">
        <v>49</v>
      </c>
      <c r="AL1091" s="1">
        <v>30</v>
      </c>
    </row>
    <row r="1092" spans="1:38" x14ac:dyDescent="0.2">
      <c r="A1092" s="2" t="str">
        <f>HYPERLINK("https://www.compass.com/listing/10-madison-square-west-unit-9a-manhattan-ny-10010/29374731325140865/","10 Madison Sq W, Unit 9A")</f>
        <v>10 Madison Sq W, Unit 9A</v>
      </c>
      <c r="B1092" s="2" t="str">
        <f>HYPERLINK("https://www.compass.com/building/10-madison-square-west-manhattan-ny/294838725091521285/","10 Madison Square West")</f>
        <v>10 Madison Square West</v>
      </c>
      <c r="C1092" s="1" t="s">
        <v>154</v>
      </c>
      <c r="D1092" s="1" t="s">
        <v>41</v>
      </c>
      <c r="E1092" s="3">
        <v>4225738</v>
      </c>
      <c r="F1092" s="1">
        <v>1916.43424036281</v>
      </c>
      <c r="H1092" s="1">
        <v>3</v>
      </c>
      <c r="J1092" s="1">
        <v>3.5</v>
      </c>
      <c r="M1092" s="4">
        <v>2205</v>
      </c>
      <c r="N1092" s="1">
        <v>2770</v>
      </c>
      <c r="O1092" s="1">
        <v>6565</v>
      </c>
      <c r="P1092" s="1">
        <v>3795</v>
      </c>
      <c r="Q1092" s="1" t="s">
        <v>42</v>
      </c>
      <c r="S1092" s="1" t="s">
        <v>42</v>
      </c>
      <c r="T1092" s="1" t="s">
        <v>170</v>
      </c>
      <c r="AA1092" s="1">
        <v>4225737.5</v>
      </c>
      <c r="AB1092" s="1" t="s">
        <v>825</v>
      </c>
      <c r="AC1092" s="5">
        <v>42304</v>
      </c>
      <c r="AF1092" s="1">
        <v>10010</v>
      </c>
      <c r="AI1092" s="1" t="s">
        <v>59</v>
      </c>
      <c r="AJ1092" s="1">
        <v>1915</v>
      </c>
      <c r="AK1092" s="1" t="s">
        <v>46</v>
      </c>
      <c r="AL1092" s="1">
        <v>125</v>
      </c>
    </row>
    <row r="1093" spans="1:38" x14ac:dyDescent="0.2">
      <c r="A1093" s="2" t="str">
        <f>HYPERLINK("https://www.compass.com/listing/21-east-12th-street-unit-9a-manhattan-ny-10003/29514923126121809/","21 E 12th St, Unit 9A")</f>
        <v>21 E 12th St, Unit 9A</v>
      </c>
      <c r="B1093" s="2" t="str">
        <f t="shared" ref="B1093:B1096" si="202">HYPERLINK("https://www.compass.com/building/21-east-12th-street-manhattan-ny/292779727154847925/","21 East 12th Street")</f>
        <v>21 East 12th Street</v>
      </c>
      <c r="C1093" s="1" t="s">
        <v>370</v>
      </c>
      <c r="D1093" s="1" t="s">
        <v>41</v>
      </c>
      <c r="E1093" s="3">
        <v>4323858</v>
      </c>
      <c r="F1093" s="1">
        <v>2925.47902571041</v>
      </c>
      <c r="G1093" s="1">
        <v>4</v>
      </c>
      <c r="H1093" s="1">
        <v>2</v>
      </c>
      <c r="I1093" s="1">
        <v>3</v>
      </c>
      <c r="J1093" s="1">
        <v>2.5</v>
      </c>
      <c r="K1093" s="1">
        <v>2</v>
      </c>
      <c r="L1093" s="1">
        <v>1</v>
      </c>
      <c r="M1093" s="4">
        <v>1478</v>
      </c>
      <c r="N1093" s="1">
        <v>1927</v>
      </c>
      <c r="O1093" s="1">
        <v>4871</v>
      </c>
      <c r="P1093" s="1">
        <v>2944</v>
      </c>
      <c r="Q1093" s="1" t="s">
        <v>42</v>
      </c>
      <c r="S1093" s="1" t="s">
        <v>42</v>
      </c>
      <c r="T1093" s="1" t="s">
        <v>170</v>
      </c>
      <c r="U1093" s="1">
        <v>61</v>
      </c>
      <c r="V1093" s="5">
        <v>43648</v>
      </c>
      <c r="W1093" s="5">
        <v>42889</v>
      </c>
      <c r="X1093" s="1">
        <v>4350000</v>
      </c>
      <c r="Y1093" s="1">
        <v>4375000</v>
      </c>
      <c r="Z1093" s="5">
        <v>42975</v>
      </c>
      <c r="AA1093" s="1">
        <v>4323858</v>
      </c>
      <c r="AB1093" s="1" t="s">
        <v>826</v>
      </c>
      <c r="AC1093" s="5">
        <v>43574</v>
      </c>
      <c r="AF1093" s="1">
        <v>10003</v>
      </c>
      <c r="AI1093" s="1" t="s">
        <v>59</v>
      </c>
      <c r="AJ1093" s="1">
        <v>2018</v>
      </c>
      <c r="AK1093" s="1" t="s">
        <v>740</v>
      </c>
      <c r="AL1093" s="1">
        <v>52</v>
      </c>
    </row>
    <row r="1094" spans="1:38" x14ac:dyDescent="0.2">
      <c r="A1094" s="2" t="str">
        <f>HYPERLINK("https://www.compass.com/listing/21-east-12th-street-unit-10a-manhattan-ny-10003/29514929048438337/","21 E 12th St, Unit 10A")</f>
        <v>21 E 12th St, Unit 10A</v>
      </c>
      <c r="B1094" s="2" t="str">
        <f t="shared" si="202"/>
        <v>21 East 12th Street</v>
      </c>
      <c r="C1094" s="1" t="s">
        <v>370</v>
      </c>
      <c r="D1094" s="1" t="s">
        <v>41</v>
      </c>
      <c r="E1094" s="3">
        <v>4329496</v>
      </c>
      <c r="F1094" s="1">
        <v>2929.2936400541198</v>
      </c>
      <c r="G1094" s="1">
        <v>4</v>
      </c>
      <c r="H1094" s="1">
        <v>2</v>
      </c>
      <c r="I1094" s="1">
        <v>3</v>
      </c>
      <c r="J1094" s="1">
        <v>2.5</v>
      </c>
      <c r="K1094" s="1">
        <v>2</v>
      </c>
      <c r="L1094" s="1">
        <v>1</v>
      </c>
      <c r="M1094" s="4">
        <v>1478</v>
      </c>
      <c r="N1094" s="1">
        <v>1927</v>
      </c>
      <c r="O1094" s="1">
        <v>4871</v>
      </c>
      <c r="P1094" s="1">
        <v>2944</v>
      </c>
      <c r="Q1094" s="1" t="s">
        <v>42</v>
      </c>
      <c r="S1094" s="1" t="s">
        <v>42</v>
      </c>
      <c r="T1094" s="1" t="s">
        <v>170</v>
      </c>
      <c r="U1094" s="1">
        <v>4</v>
      </c>
      <c r="V1094" s="5">
        <v>43648</v>
      </c>
      <c r="W1094" s="5">
        <v>42581</v>
      </c>
      <c r="X1094" s="1">
        <v>4400000</v>
      </c>
      <c r="Y1094" s="1">
        <v>4425000</v>
      </c>
      <c r="Z1094" s="5">
        <v>42585</v>
      </c>
      <c r="AA1094" s="1">
        <v>4329496</v>
      </c>
      <c r="AB1094" s="1" t="s">
        <v>827</v>
      </c>
      <c r="AC1094" s="5">
        <v>43601</v>
      </c>
      <c r="AF1094" s="1">
        <v>10003</v>
      </c>
      <c r="AI1094" s="1" t="s">
        <v>59</v>
      </c>
      <c r="AJ1094" s="1">
        <v>2018</v>
      </c>
      <c r="AK1094" s="1" t="s">
        <v>740</v>
      </c>
      <c r="AL1094" s="1">
        <v>52</v>
      </c>
    </row>
    <row r="1095" spans="1:38" x14ac:dyDescent="0.2">
      <c r="A1095" s="2" t="str">
        <f>HYPERLINK("https://www.compass.com/listing/21-east-12th-street-unit-7a-manhattan-ny-10003/29514931883787921/","21 E 12th St, Unit 7A")</f>
        <v>21 E 12th St, Unit 7A</v>
      </c>
      <c r="B1095" s="2" t="str">
        <f t="shared" si="202"/>
        <v>21 East 12th Street</v>
      </c>
      <c r="C1095" s="1" t="s">
        <v>370</v>
      </c>
      <c r="D1095" s="1" t="s">
        <v>41</v>
      </c>
      <c r="E1095" s="3">
        <v>4067812</v>
      </c>
      <c r="F1095" s="1">
        <v>2752.2408660351798</v>
      </c>
      <c r="G1095" s="1">
        <v>4</v>
      </c>
      <c r="H1095" s="1">
        <v>2</v>
      </c>
      <c r="I1095" s="1">
        <v>3</v>
      </c>
      <c r="J1095" s="1">
        <v>2.5</v>
      </c>
      <c r="K1095" s="1">
        <v>2</v>
      </c>
      <c r="L1095" s="1">
        <v>1</v>
      </c>
      <c r="M1095" s="4">
        <v>1478</v>
      </c>
      <c r="N1095" s="1">
        <v>1927</v>
      </c>
      <c r="O1095" s="1">
        <v>4871</v>
      </c>
      <c r="P1095" s="1">
        <v>2944</v>
      </c>
      <c r="Q1095" s="1" t="s">
        <v>42</v>
      </c>
      <c r="S1095" s="1" t="s">
        <v>42</v>
      </c>
      <c r="T1095" s="1" t="s">
        <v>170</v>
      </c>
      <c r="U1095" s="1">
        <v>250</v>
      </c>
      <c r="V1095" s="5">
        <v>43694</v>
      </c>
      <c r="W1095" s="5">
        <v>43120</v>
      </c>
      <c r="X1095" s="1">
        <v>4175000</v>
      </c>
      <c r="Y1095" s="1">
        <v>4175000</v>
      </c>
      <c r="Z1095" s="5">
        <v>43586</v>
      </c>
      <c r="AA1095" s="1">
        <v>4067812</v>
      </c>
      <c r="AB1095" s="1" t="s">
        <v>828</v>
      </c>
      <c r="AC1095" s="5">
        <v>43631</v>
      </c>
      <c r="AF1095" s="1">
        <v>10003</v>
      </c>
      <c r="AI1095" s="1" t="s">
        <v>59</v>
      </c>
      <c r="AJ1095" s="1">
        <v>2018</v>
      </c>
      <c r="AK1095" s="1" t="s">
        <v>740</v>
      </c>
      <c r="AL1095" s="1">
        <v>52</v>
      </c>
    </row>
    <row r="1096" spans="1:38" x14ac:dyDescent="0.2">
      <c r="A1096" s="2" t="str">
        <f>HYPERLINK("https://www.compass.com/listing/21-east-12th-street-unit-6a-manhattan-ny-10003/85485151571774433/","21 E 12th St, Unit 6A")</f>
        <v>21 E 12th St, Unit 6A</v>
      </c>
      <c r="B1096" s="2" t="str">
        <f t="shared" si="202"/>
        <v>21 East 12th Street</v>
      </c>
      <c r="C1096" s="1" t="s">
        <v>370</v>
      </c>
      <c r="D1096" s="1" t="s">
        <v>41</v>
      </c>
      <c r="E1096" s="3">
        <v>3926358</v>
      </c>
      <c r="F1096" s="1">
        <v>2656.5345060893101</v>
      </c>
      <c r="G1096" s="1">
        <v>4</v>
      </c>
      <c r="H1096" s="1">
        <v>2</v>
      </c>
      <c r="I1096" s="1">
        <v>3</v>
      </c>
      <c r="J1096" s="1">
        <v>2.5</v>
      </c>
      <c r="K1096" s="1">
        <v>2</v>
      </c>
      <c r="L1096" s="1">
        <v>1</v>
      </c>
      <c r="M1096" s="4">
        <v>1478</v>
      </c>
      <c r="N1096" s="1">
        <v>1930</v>
      </c>
      <c r="O1096" s="1">
        <v>4874</v>
      </c>
      <c r="P1096" s="1">
        <v>2944</v>
      </c>
      <c r="Q1096" s="1" t="s">
        <v>42</v>
      </c>
      <c r="S1096" s="1" t="s">
        <v>42</v>
      </c>
      <c r="T1096" s="1" t="s">
        <v>170</v>
      </c>
      <c r="U1096" s="1">
        <v>210</v>
      </c>
      <c r="V1096" s="5">
        <v>43694</v>
      </c>
      <c r="W1096" s="5">
        <v>43370</v>
      </c>
      <c r="X1096" s="1">
        <v>4075000</v>
      </c>
      <c r="Y1096" s="1">
        <v>4075000</v>
      </c>
      <c r="Z1096" s="5">
        <v>43582</v>
      </c>
      <c r="AA1096" s="1">
        <v>3926358</v>
      </c>
      <c r="AB1096" s="1" t="s">
        <v>829</v>
      </c>
      <c r="AC1096" s="5">
        <v>43631</v>
      </c>
      <c r="AF1096" s="1">
        <v>10003</v>
      </c>
      <c r="AI1096" s="1" t="s">
        <v>59</v>
      </c>
      <c r="AJ1096" s="1">
        <v>2018</v>
      </c>
      <c r="AK1096" s="1" t="s">
        <v>740</v>
      </c>
      <c r="AL1096" s="1">
        <v>52</v>
      </c>
    </row>
    <row r="1097" spans="1:38" x14ac:dyDescent="0.2">
      <c r="A1097" s="2" t="str">
        <f>HYPERLINK("https://www.compass.com/listing/10-madison-square-west-unit-5a-manhattan-ny-10010/29374719555923601/","10 Madison Sq W, Unit 5A")</f>
        <v>10 Madison Sq W, Unit 5A</v>
      </c>
      <c r="B1097" s="2" t="str">
        <f t="shared" ref="B1097:B1101" si="203">HYPERLINK("https://www.compass.com/building/10-madison-square-west-manhattan-ny/294838725091521285/","10 Madison Square West")</f>
        <v>10 Madison Square West</v>
      </c>
      <c r="C1097" s="1" t="s">
        <v>154</v>
      </c>
      <c r="D1097" s="1" t="s">
        <v>41</v>
      </c>
      <c r="E1097" s="3">
        <v>1325214</v>
      </c>
      <c r="F1097" s="1">
        <v>1489.0044943820201</v>
      </c>
      <c r="H1097" s="1">
        <v>1</v>
      </c>
      <c r="J1097" s="1">
        <v>1</v>
      </c>
      <c r="M1097" s="1">
        <v>890</v>
      </c>
      <c r="N1097" s="1">
        <v>1118</v>
      </c>
      <c r="O1097" s="1">
        <v>2031</v>
      </c>
      <c r="P1097" s="1">
        <v>913</v>
      </c>
      <c r="Q1097" s="1" t="s">
        <v>42</v>
      </c>
      <c r="S1097" s="1" t="s">
        <v>42</v>
      </c>
      <c r="T1097" s="1" t="s">
        <v>170</v>
      </c>
      <c r="AA1097" s="1">
        <v>1325214</v>
      </c>
      <c r="AB1097" s="1" t="s">
        <v>830</v>
      </c>
      <c r="AC1097" s="5">
        <v>42307</v>
      </c>
      <c r="AF1097" s="1">
        <v>10010</v>
      </c>
      <c r="AI1097" s="1" t="s">
        <v>59</v>
      </c>
      <c r="AJ1097" s="1">
        <v>1915</v>
      </c>
      <c r="AK1097" s="1" t="s">
        <v>46</v>
      </c>
      <c r="AL1097" s="1">
        <v>125</v>
      </c>
    </row>
    <row r="1098" spans="1:38" x14ac:dyDescent="0.2">
      <c r="A1098" s="2" t="str">
        <f>HYPERLINK("https://www.compass.com/listing/10-madison-square-west-unit-14c-manhattan-ny-10010/29374741626350497/","10 Madison Sq W, Unit 14C")</f>
        <v>10 Madison Sq W, Unit 14C</v>
      </c>
      <c r="B1098" s="2" t="str">
        <f t="shared" si="203"/>
        <v>10 Madison Square West</v>
      </c>
      <c r="C1098" s="1" t="s">
        <v>154</v>
      </c>
      <c r="D1098" s="1" t="s">
        <v>41</v>
      </c>
      <c r="E1098" s="3">
        <v>5091250</v>
      </c>
      <c r="F1098" s="1">
        <v>2861.86059584035</v>
      </c>
      <c r="H1098" s="1">
        <v>2</v>
      </c>
      <c r="J1098" s="1">
        <v>2.5</v>
      </c>
      <c r="M1098" s="4">
        <v>1779</v>
      </c>
      <c r="N1098" s="1">
        <v>1800</v>
      </c>
      <c r="O1098" s="1">
        <v>4784</v>
      </c>
      <c r="P1098" s="1">
        <v>2984</v>
      </c>
      <c r="Q1098" s="1" t="s">
        <v>42</v>
      </c>
      <c r="S1098" s="1" t="s">
        <v>42</v>
      </c>
      <c r="T1098" s="1" t="s">
        <v>170</v>
      </c>
      <c r="AA1098" s="1">
        <v>5091250</v>
      </c>
      <c r="AB1098" s="1" t="s">
        <v>831</v>
      </c>
      <c r="AC1098" s="5">
        <v>42506</v>
      </c>
      <c r="AF1098" s="1">
        <v>10010</v>
      </c>
      <c r="AI1098" s="1" t="s">
        <v>59</v>
      </c>
      <c r="AJ1098" s="1">
        <v>1915</v>
      </c>
      <c r="AK1098" s="1" t="s">
        <v>46</v>
      </c>
      <c r="AL1098" s="1">
        <v>125</v>
      </c>
    </row>
    <row r="1099" spans="1:38" x14ac:dyDescent="0.2">
      <c r="A1099" s="2" t="str">
        <f>HYPERLINK("https://www.compass.com/listing/10-madison-square-west-unit-17c-manhattan-ny-10010/29374750266561729/","10 Madison Sq W, Unit 17C")</f>
        <v>10 Madison Sq W, Unit 17C</v>
      </c>
      <c r="B1099" s="2" t="str">
        <f t="shared" si="203"/>
        <v>10 Madison Square West</v>
      </c>
      <c r="C1099" s="1" t="s">
        <v>154</v>
      </c>
      <c r="D1099" s="1" t="s">
        <v>41</v>
      </c>
      <c r="E1099" s="3">
        <v>4454844</v>
      </c>
      <c r="F1099" s="1">
        <v>2504.12802136031</v>
      </c>
      <c r="H1099" s="1">
        <v>2</v>
      </c>
      <c r="J1099" s="1">
        <v>2.5</v>
      </c>
      <c r="K1099" s="1">
        <v>2</v>
      </c>
      <c r="L1099" s="1">
        <v>1</v>
      </c>
      <c r="M1099" s="4">
        <v>1779</v>
      </c>
      <c r="N1099" s="1">
        <v>2228</v>
      </c>
      <c r="O1099" s="1">
        <v>5779</v>
      </c>
      <c r="P1099" s="1">
        <v>3551</v>
      </c>
      <c r="Q1099" s="1" t="s">
        <v>42</v>
      </c>
      <c r="S1099" s="1" t="s">
        <v>42</v>
      </c>
      <c r="T1099" s="1" t="s">
        <v>170</v>
      </c>
      <c r="AA1099" s="1">
        <v>4454843.75</v>
      </c>
      <c r="AB1099" s="1" t="s">
        <v>832</v>
      </c>
      <c r="AC1099" s="5">
        <v>42726</v>
      </c>
      <c r="AF1099" s="1">
        <v>10010</v>
      </c>
      <c r="AI1099" s="1" t="s">
        <v>59</v>
      </c>
      <c r="AJ1099" s="1">
        <v>1915</v>
      </c>
      <c r="AK1099" s="1" t="s">
        <v>46</v>
      </c>
      <c r="AL1099" s="1">
        <v>125</v>
      </c>
    </row>
    <row r="1100" spans="1:38" x14ac:dyDescent="0.2">
      <c r="A1100" s="2" t="str">
        <f>HYPERLINK("https://www.compass.com/listing/10-madison-square-west-unit-21a-manhattan-ny-10010/29374754335093073/","10 Madison Sq W, Unit 21A")</f>
        <v>10 Madison Sq W, Unit 21A</v>
      </c>
      <c r="B1100" s="2" t="str">
        <f t="shared" si="203"/>
        <v>10 Madison Square West</v>
      </c>
      <c r="C1100" s="1" t="s">
        <v>154</v>
      </c>
      <c r="D1100" s="1" t="s">
        <v>41</v>
      </c>
      <c r="E1100" s="3">
        <v>7636875</v>
      </c>
      <c r="F1100" s="1">
        <v>3963.09029579657</v>
      </c>
      <c r="H1100" s="1">
        <v>2</v>
      </c>
      <c r="J1100" s="1">
        <v>2.5</v>
      </c>
      <c r="M1100" s="4">
        <v>1927</v>
      </c>
      <c r="N1100" s="1">
        <v>2414</v>
      </c>
      <c r="O1100" s="1">
        <v>4390</v>
      </c>
      <c r="P1100" s="1">
        <v>1976</v>
      </c>
      <c r="Q1100" s="1" t="s">
        <v>42</v>
      </c>
      <c r="S1100" s="1" t="s">
        <v>42</v>
      </c>
      <c r="T1100" s="1" t="s">
        <v>170</v>
      </c>
      <c r="AA1100" s="1">
        <v>7636875</v>
      </c>
      <c r="AB1100" s="1" t="s">
        <v>833</v>
      </c>
      <c r="AC1100" s="5">
        <v>42830</v>
      </c>
      <c r="AF1100" s="1">
        <v>10010</v>
      </c>
      <c r="AI1100" s="1" t="s">
        <v>59</v>
      </c>
      <c r="AJ1100" s="1">
        <v>1915</v>
      </c>
      <c r="AK1100" s="1" t="s">
        <v>46</v>
      </c>
      <c r="AL1100" s="1">
        <v>125</v>
      </c>
    </row>
    <row r="1101" spans="1:38" x14ac:dyDescent="0.2">
      <c r="A1101" s="2" t="str">
        <f>HYPERLINK("https://www.compass.com/listing/10-madison-square-west-unit-12c-manhattan-ny-10010/528128669716701433/","10 Madison Sq W, Unit 12C")</f>
        <v>10 Madison Sq W, Unit 12C</v>
      </c>
      <c r="B1101" s="2" t="str">
        <f t="shared" si="203"/>
        <v>10 Madison Square West</v>
      </c>
      <c r="C1101" s="1" t="s">
        <v>154</v>
      </c>
      <c r="D1101" s="1" t="s">
        <v>41</v>
      </c>
      <c r="E1101" s="3">
        <v>4836688</v>
      </c>
      <c r="F1101" s="1">
        <v>2718.7675660483401</v>
      </c>
      <c r="H1101" s="1">
        <v>2</v>
      </c>
      <c r="J1101" s="1">
        <v>2.5</v>
      </c>
      <c r="M1101" s="4">
        <v>1779</v>
      </c>
      <c r="N1101" s="1">
        <v>2228</v>
      </c>
      <c r="O1101" s="1">
        <v>4052</v>
      </c>
      <c r="P1101" s="1">
        <v>1824</v>
      </c>
      <c r="Q1101" s="1" t="s">
        <v>42</v>
      </c>
      <c r="S1101" s="1" t="s">
        <v>42</v>
      </c>
      <c r="T1101" s="1" t="s">
        <v>170</v>
      </c>
      <c r="AA1101" s="1">
        <v>4836687.5</v>
      </c>
      <c r="AB1101" s="1" t="s">
        <v>834</v>
      </c>
      <c r="AC1101" s="5">
        <v>42489</v>
      </c>
      <c r="AF1101" s="1">
        <v>10010</v>
      </c>
      <c r="AI1101" s="1" t="s">
        <v>59</v>
      </c>
      <c r="AJ1101" s="1">
        <v>1915</v>
      </c>
      <c r="AK1101" s="1" t="s">
        <v>46</v>
      </c>
      <c r="AL1101" s="1">
        <v>125</v>
      </c>
    </row>
    <row r="1102" spans="1:38" x14ac:dyDescent="0.2">
      <c r="A1102" s="2" t="str">
        <f>HYPERLINK("https://www.compass.com/listing/63-greene-street-unit-5b-manhattan-ny-10012/13087406240672609/","63 Greene St, Unit 5B")</f>
        <v>63 Greene St, Unit 5B</v>
      </c>
      <c r="B1102" s="2" t="str">
        <f t="shared" ref="B1102:B1104" si="204">HYPERLINK("https://www.compass.com/building/63-greene-street-manhattan-ny/292812252044627637/","63 Greene Street")</f>
        <v>63 Greene Street</v>
      </c>
      <c r="C1102" s="1" t="s">
        <v>104</v>
      </c>
      <c r="D1102" s="1" t="s">
        <v>41</v>
      </c>
      <c r="E1102" s="3">
        <v>4350000</v>
      </c>
      <c r="F1102" s="1">
        <v>2102.46495891735</v>
      </c>
      <c r="G1102" s="1">
        <v>4</v>
      </c>
      <c r="H1102" s="1">
        <v>2</v>
      </c>
      <c r="I1102" s="1">
        <v>3</v>
      </c>
      <c r="J1102" s="1">
        <v>2.5</v>
      </c>
      <c r="M1102" s="4">
        <v>2069</v>
      </c>
      <c r="N1102" s="1">
        <v>2073</v>
      </c>
      <c r="O1102" s="1">
        <v>4500</v>
      </c>
      <c r="P1102" s="1">
        <v>2427</v>
      </c>
      <c r="Q1102" s="1" t="s">
        <v>42</v>
      </c>
      <c r="S1102" s="1" t="s">
        <v>42</v>
      </c>
      <c r="T1102" s="1" t="s">
        <v>170</v>
      </c>
      <c r="U1102" s="1">
        <v>410</v>
      </c>
      <c r="V1102" s="5">
        <v>43638</v>
      </c>
      <c r="W1102" s="5">
        <v>42440</v>
      </c>
      <c r="X1102" s="1">
        <v>5450000</v>
      </c>
      <c r="Y1102" s="1">
        <v>4950000</v>
      </c>
      <c r="Z1102" s="5">
        <v>42850</v>
      </c>
      <c r="AA1102" s="1">
        <v>4350000</v>
      </c>
      <c r="AB1102" s="1" t="s">
        <v>785</v>
      </c>
      <c r="AC1102" s="5">
        <v>42895</v>
      </c>
      <c r="AF1102" s="1">
        <v>10012</v>
      </c>
      <c r="AI1102" s="1" t="s">
        <v>786</v>
      </c>
      <c r="AJ1102" s="1">
        <v>1877</v>
      </c>
      <c r="AK1102" s="1" t="s">
        <v>87</v>
      </c>
      <c r="AL1102" s="1">
        <v>23</v>
      </c>
    </row>
    <row r="1103" spans="1:38" x14ac:dyDescent="0.2">
      <c r="A1103" s="2" t="str">
        <f>HYPERLINK("https://www.compass.com/listing/63-greene-street-unit-phb-manhattan-ny-10012/19416289550349729/","63 Greene St, Unit PHB")</f>
        <v>63 Greene St, Unit PHB</v>
      </c>
      <c r="B1103" s="2" t="str">
        <f t="shared" si="204"/>
        <v>63 Greene Street</v>
      </c>
      <c r="C1103" s="1" t="s">
        <v>104</v>
      </c>
      <c r="D1103" s="1" t="s">
        <v>41</v>
      </c>
      <c r="E1103" s="3">
        <v>4582125</v>
      </c>
      <c r="F1103" s="1">
        <v>2382.8003120124799</v>
      </c>
      <c r="G1103" s="1">
        <v>4</v>
      </c>
      <c r="H1103" s="1">
        <v>2</v>
      </c>
      <c r="I1103" s="1">
        <v>3</v>
      </c>
      <c r="J1103" s="1">
        <v>2.5</v>
      </c>
      <c r="M1103" s="4">
        <v>1923</v>
      </c>
      <c r="N1103" s="1">
        <v>2241</v>
      </c>
      <c r="O1103" s="1">
        <v>6584</v>
      </c>
      <c r="P1103" s="1">
        <v>4343</v>
      </c>
      <c r="Q1103" s="1" t="s">
        <v>42</v>
      </c>
      <c r="S1103" s="1" t="s">
        <v>42</v>
      </c>
      <c r="T1103" s="1" t="s">
        <v>170</v>
      </c>
      <c r="U1103" s="1">
        <v>509</v>
      </c>
      <c r="V1103" s="5">
        <v>43648</v>
      </c>
      <c r="W1103" s="5">
        <v>42637</v>
      </c>
      <c r="X1103" s="1">
        <v>5195000</v>
      </c>
      <c r="Y1103" s="1">
        <v>4450000</v>
      </c>
      <c r="Z1103" s="5">
        <v>43146</v>
      </c>
      <c r="AA1103" s="1">
        <v>4582125</v>
      </c>
      <c r="AB1103" s="1" t="s">
        <v>835</v>
      </c>
      <c r="AC1103" s="5">
        <v>43168</v>
      </c>
      <c r="AF1103" s="1">
        <v>10012</v>
      </c>
      <c r="AI1103" s="1" t="s">
        <v>836</v>
      </c>
      <c r="AJ1103" s="1">
        <v>1877</v>
      </c>
      <c r="AK1103" s="1" t="s">
        <v>139</v>
      </c>
      <c r="AL1103" s="1">
        <v>23</v>
      </c>
    </row>
    <row r="1104" spans="1:38" x14ac:dyDescent="0.2">
      <c r="A1104" s="2" t="str">
        <f>HYPERLINK("https://www.compass.com/listing/63-greene-street-unit-phb-manhattan-ny-10012/803351504773570505/","63 Greene St, Unit PHB")</f>
        <v>63 Greene St, Unit PHB</v>
      </c>
      <c r="B1104" s="2" t="str">
        <f t="shared" si="204"/>
        <v>63 Greene Street</v>
      </c>
      <c r="C1104" s="1" t="s">
        <v>104</v>
      </c>
      <c r="D1104" s="1" t="s">
        <v>41</v>
      </c>
      <c r="E1104" s="3">
        <v>4582125</v>
      </c>
      <c r="F1104" s="1">
        <v>2382.8003120124799</v>
      </c>
      <c r="G1104" s="1">
        <v>4</v>
      </c>
      <c r="H1104" s="1">
        <v>2</v>
      </c>
      <c r="I1104" s="1">
        <v>3</v>
      </c>
      <c r="J1104" s="1">
        <v>2.5</v>
      </c>
      <c r="K1104" s="1">
        <v>2</v>
      </c>
      <c r="L1104" s="1">
        <v>1</v>
      </c>
      <c r="M1104" s="4">
        <v>1923</v>
      </c>
      <c r="N1104" s="1">
        <v>2241</v>
      </c>
      <c r="O1104" s="1">
        <v>6584</v>
      </c>
      <c r="P1104" s="1">
        <v>4343</v>
      </c>
      <c r="Q1104" s="1" t="s">
        <v>42</v>
      </c>
      <c r="S1104" s="1" t="s">
        <v>42</v>
      </c>
      <c r="T1104" s="1" t="s">
        <v>170</v>
      </c>
      <c r="U1104" s="1">
        <v>533</v>
      </c>
      <c r="V1104" s="5">
        <v>43678</v>
      </c>
      <c r="W1104" s="5">
        <v>42635</v>
      </c>
      <c r="X1104" s="1">
        <v>5195000</v>
      </c>
      <c r="Y1104" s="1">
        <v>5195000</v>
      </c>
      <c r="AA1104" s="1">
        <v>4582125</v>
      </c>
      <c r="AB1104" s="1" t="s">
        <v>835</v>
      </c>
      <c r="AC1104" s="5">
        <v>43168</v>
      </c>
      <c r="AF1104" s="1">
        <v>10012</v>
      </c>
      <c r="AI1104" s="1" t="s">
        <v>837</v>
      </c>
      <c r="AJ1104" s="1">
        <v>1877</v>
      </c>
      <c r="AK1104" s="1" t="s">
        <v>139</v>
      </c>
      <c r="AL1104" s="1">
        <v>23</v>
      </c>
    </row>
    <row r="1105" spans="1:38" x14ac:dyDescent="0.2">
      <c r="A1105" s="2" t="str">
        <f>HYPERLINK("https://www.compass.com/listing/121-east-22nd-street-unit-n1006-manhattan-ny-10010/429940705293975041/","121 E 22nd St, Unit N1006")</f>
        <v>121 E 22nd St, Unit N1006</v>
      </c>
      <c r="B1105" s="2" t="str">
        <f t="shared" ref="B1105:B1106" si="205">HYPERLINK("https://www.compass.com/building/121-e-22nd-manhattan-ny/292795784653461493/","121 E 22nd")</f>
        <v>121 E 22nd</v>
      </c>
      <c r="C1105" s="1" t="s">
        <v>54</v>
      </c>
      <c r="D1105" s="1" t="s">
        <v>41</v>
      </c>
      <c r="E1105" s="3">
        <v>5150000</v>
      </c>
      <c r="F1105" s="1">
        <v>2075.7758968158</v>
      </c>
      <c r="H1105" s="1">
        <v>3</v>
      </c>
      <c r="J1105" s="1">
        <v>3.5</v>
      </c>
      <c r="K1105" s="1">
        <v>3</v>
      </c>
      <c r="L1105" s="1">
        <v>1</v>
      </c>
      <c r="M1105" s="4">
        <v>2481</v>
      </c>
      <c r="N1105" s="1">
        <v>2540</v>
      </c>
      <c r="O1105" s="1">
        <v>7019</v>
      </c>
      <c r="P1105" s="1">
        <v>4479</v>
      </c>
      <c r="Q1105" s="1" t="s">
        <v>42</v>
      </c>
      <c r="S1105" s="1" t="s">
        <v>42</v>
      </c>
      <c r="T1105" s="1" t="s">
        <v>170</v>
      </c>
      <c r="AA1105" s="1">
        <v>5150000</v>
      </c>
      <c r="AB1105" s="1" t="s">
        <v>838</v>
      </c>
      <c r="AC1105" s="5">
        <v>43789</v>
      </c>
      <c r="AF1105" s="1">
        <v>10010</v>
      </c>
      <c r="AI1105" s="1" t="s">
        <v>55</v>
      </c>
      <c r="AJ1105" s="1">
        <v>2016</v>
      </c>
      <c r="AK1105" s="1" t="s">
        <v>49</v>
      </c>
      <c r="AL1105" s="1">
        <v>140</v>
      </c>
    </row>
    <row r="1106" spans="1:38" x14ac:dyDescent="0.2">
      <c r="A1106" s="2" t="str">
        <f>HYPERLINK("https://www.compass.com/listing/121-east-22nd-street-unit-n806-manhattan-ny-10010/653594861812259761/","121 E 22nd St, Unit N806")</f>
        <v>121 E 22nd St, Unit N806</v>
      </c>
      <c r="B1106" s="2" t="str">
        <f t="shared" si="205"/>
        <v>121 E 22nd</v>
      </c>
      <c r="C1106" s="1" t="s">
        <v>54</v>
      </c>
      <c r="D1106" s="1" t="s">
        <v>41</v>
      </c>
      <c r="E1106" s="3">
        <v>4752015</v>
      </c>
      <c r="F1106" s="1">
        <v>1913.81997583568</v>
      </c>
      <c r="H1106" s="1">
        <v>3</v>
      </c>
      <c r="J1106" s="1">
        <v>3.5</v>
      </c>
      <c r="M1106" s="4">
        <v>2483</v>
      </c>
      <c r="N1106" s="1">
        <v>2524</v>
      </c>
      <c r="O1106" s="1">
        <v>6972</v>
      </c>
      <c r="P1106" s="1">
        <v>4448</v>
      </c>
      <c r="Q1106" s="1" t="s">
        <v>42</v>
      </c>
      <c r="S1106" s="1" t="s">
        <v>42</v>
      </c>
      <c r="T1106" s="1" t="s">
        <v>170</v>
      </c>
      <c r="AA1106" s="1">
        <v>4752015</v>
      </c>
      <c r="AB1106" s="1" t="s">
        <v>839</v>
      </c>
      <c r="AC1106" s="5">
        <v>44098</v>
      </c>
      <c r="AF1106" s="1">
        <v>10010</v>
      </c>
      <c r="AI1106" s="1" t="s">
        <v>55</v>
      </c>
      <c r="AJ1106" s="1">
        <v>2016</v>
      </c>
      <c r="AK1106" s="1" t="s">
        <v>49</v>
      </c>
      <c r="AL1106" s="1">
        <v>140</v>
      </c>
    </row>
    <row r="1107" spans="1:38" x14ac:dyDescent="0.2">
      <c r="A1107" s="2" t="str">
        <f>HYPERLINK("https://www.compass.com/listing/225-east-19th-street-unit-802-manhattan-ny-10003/29514966260277665/","225 E 19th St, Unit 802")</f>
        <v>225 E 19th St, Unit 802</v>
      </c>
      <c r="B1107" s="2" t="str">
        <f>HYPERLINK("https://www.compass.com/building/the-prewar-at-gramercy-square-manhattan-ny/282059248584654437/","The Prewar at Gramercy Square")</f>
        <v>The Prewar at Gramercy Square</v>
      </c>
      <c r="C1107" s="1" t="s">
        <v>54</v>
      </c>
      <c r="D1107" s="1" t="s">
        <v>41</v>
      </c>
      <c r="E1107" s="3">
        <v>1710660</v>
      </c>
      <c r="F1107" s="1">
        <v>2088.7179487179401</v>
      </c>
      <c r="G1107" s="1">
        <v>3</v>
      </c>
      <c r="H1107" s="1">
        <v>1</v>
      </c>
      <c r="I1107" s="1">
        <v>1</v>
      </c>
      <c r="J1107" s="1">
        <v>1</v>
      </c>
      <c r="K1107" s="1">
        <v>1</v>
      </c>
      <c r="M1107" s="1">
        <v>819</v>
      </c>
      <c r="N1107" s="1">
        <v>930</v>
      </c>
      <c r="O1107" s="1">
        <v>2108</v>
      </c>
      <c r="P1107" s="1">
        <v>1178</v>
      </c>
      <c r="Q1107" s="1" t="s">
        <v>42</v>
      </c>
      <c r="S1107" s="1" t="s">
        <v>42</v>
      </c>
      <c r="T1107" s="1" t="s">
        <v>170</v>
      </c>
      <c r="U1107" s="1">
        <v>1</v>
      </c>
      <c r="V1107" s="5">
        <v>43757</v>
      </c>
      <c r="W1107" s="5">
        <v>43005</v>
      </c>
      <c r="X1107" s="1">
        <v>1680000</v>
      </c>
      <c r="Y1107" s="1">
        <v>1730000</v>
      </c>
      <c r="Z1107" s="5">
        <v>43006</v>
      </c>
      <c r="AA1107" s="1">
        <v>1710660</v>
      </c>
      <c r="AB1107" s="1" t="s">
        <v>840</v>
      </c>
      <c r="AC1107" s="5">
        <v>43403</v>
      </c>
      <c r="AF1107" s="1">
        <v>10003</v>
      </c>
      <c r="AI1107" s="1" t="s">
        <v>76</v>
      </c>
      <c r="AJ1107" s="1">
        <v>1920</v>
      </c>
      <c r="AK1107" s="1" t="s">
        <v>46</v>
      </c>
      <c r="AL1107" s="1">
        <v>48</v>
      </c>
    </row>
    <row r="1108" spans="1:38" x14ac:dyDescent="0.2">
      <c r="A1108" s="2" t="str">
        <f>HYPERLINK("https://www.compass.com/listing/21-east-12th-street-unit-pha-manhattan-ny-10003/29514926548633057/","21 E 12th St, Unit PHA")</f>
        <v>21 E 12th St, Unit PHA</v>
      </c>
      <c r="B1108" s="2" t="str">
        <f t="shared" ref="B1108:B1110" si="206">HYPERLINK("https://www.compass.com/building/21-east-12th-street-manhattan-ny/292779727154847925/","21 East 12th Street")</f>
        <v>21 East 12th Street</v>
      </c>
      <c r="C1108" s="1" t="s">
        <v>370</v>
      </c>
      <c r="D1108" s="1" t="s">
        <v>41</v>
      </c>
      <c r="E1108" s="3">
        <v>15001496</v>
      </c>
      <c r="F1108" s="1">
        <v>4617.2655032317598</v>
      </c>
      <c r="G1108" s="1">
        <v>5</v>
      </c>
      <c r="H1108" s="1">
        <v>3</v>
      </c>
      <c r="I1108" s="1">
        <v>4</v>
      </c>
      <c r="J1108" s="1">
        <v>3.5</v>
      </c>
      <c r="K1108" s="1">
        <v>3</v>
      </c>
      <c r="L1108" s="1">
        <v>1</v>
      </c>
      <c r="M1108" s="4">
        <v>3249</v>
      </c>
      <c r="N1108" s="1">
        <v>4382</v>
      </c>
      <c r="O1108" s="1">
        <v>11047</v>
      </c>
      <c r="P1108" s="1">
        <v>6665</v>
      </c>
      <c r="Q1108" s="1" t="s">
        <v>42</v>
      </c>
      <c r="S1108" s="1" t="s">
        <v>42</v>
      </c>
      <c r="T1108" s="1" t="s">
        <v>170</v>
      </c>
      <c r="V1108" s="5">
        <v>43775</v>
      </c>
      <c r="W1108" s="5">
        <v>42584</v>
      </c>
      <c r="X1108" s="1">
        <v>14750000</v>
      </c>
      <c r="Y1108" s="1">
        <v>15500000</v>
      </c>
      <c r="Z1108" s="5">
        <v>42585</v>
      </c>
      <c r="AA1108" s="1">
        <v>15001495.619999999</v>
      </c>
      <c r="AB1108" s="1" t="s">
        <v>841</v>
      </c>
      <c r="AC1108" s="5">
        <v>43735</v>
      </c>
      <c r="AF1108" s="1">
        <v>10003</v>
      </c>
      <c r="AI1108" s="1" t="s">
        <v>842</v>
      </c>
      <c r="AJ1108" s="1">
        <v>2018</v>
      </c>
      <c r="AK1108" s="1" t="s">
        <v>740</v>
      </c>
      <c r="AL1108" s="1">
        <v>52</v>
      </c>
    </row>
    <row r="1109" spans="1:38" x14ac:dyDescent="0.2">
      <c r="A1109" s="2" t="str">
        <f>HYPERLINK("https://www.compass.com/listing/21-east-12th-street-unit-5a-manhattan-ny-10003/29514934576503873/","21 E 12th St, Unit 5A")</f>
        <v>21 E 12th St, Unit 5A</v>
      </c>
      <c r="B1109" s="2" t="str">
        <f t="shared" si="206"/>
        <v>21 East 12th Street</v>
      </c>
      <c r="C1109" s="1" t="s">
        <v>370</v>
      </c>
      <c r="D1109" s="1" t="s">
        <v>41</v>
      </c>
      <c r="E1109" s="3">
        <v>3886358</v>
      </c>
      <c r="F1109" s="1">
        <v>2629.47090663058</v>
      </c>
      <c r="G1109" s="1">
        <v>4</v>
      </c>
      <c r="H1109" s="1">
        <v>2</v>
      </c>
      <c r="I1109" s="1">
        <v>3</v>
      </c>
      <c r="J1109" s="1">
        <v>2.5</v>
      </c>
      <c r="K1109" s="1">
        <v>2</v>
      </c>
      <c r="L1109" s="1">
        <v>1</v>
      </c>
      <c r="M1109" s="4">
        <v>1478</v>
      </c>
      <c r="N1109" s="1">
        <v>1927</v>
      </c>
      <c r="O1109" s="1">
        <v>4871</v>
      </c>
      <c r="P1109" s="1">
        <v>2944</v>
      </c>
      <c r="Q1109" s="1" t="s">
        <v>42</v>
      </c>
      <c r="S1109" s="1" t="s">
        <v>42</v>
      </c>
      <c r="T1109" s="1" t="s">
        <v>170</v>
      </c>
      <c r="U1109" s="1">
        <v>417</v>
      </c>
      <c r="V1109" s="5">
        <v>43637</v>
      </c>
      <c r="W1109" s="5">
        <v>42950</v>
      </c>
      <c r="X1109" s="1">
        <v>3950000</v>
      </c>
      <c r="Y1109" s="1">
        <v>3975000</v>
      </c>
      <c r="Z1109" s="5">
        <v>43367</v>
      </c>
      <c r="AA1109" s="1">
        <v>3886358</v>
      </c>
      <c r="AB1109" s="1" t="s">
        <v>843</v>
      </c>
      <c r="AC1109" s="5">
        <v>43551</v>
      </c>
      <c r="AF1109" s="1">
        <v>10003</v>
      </c>
      <c r="AI1109" s="1" t="s">
        <v>747</v>
      </c>
      <c r="AJ1109" s="1">
        <v>2018</v>
      </c>
      <c r="AK1109" s="1" t="s">
        <v>740</v>
      </c>
      <c r="AL1109" s="1">
        <v>52</v>
      </c>
    </row>
    <row r="1110" spans="1:38" x14ac:dyDescent="0.2">
      <c r="A1110" s="2" t="str">
        <f>HYPERLINK("https://www.compass.com/listing/21-east-12th-street-unit-8a-manhattan-ny-10003/29514935398587473/","21 E 12th St, Unit 8A")</f>
        <v>21 E 12th St, Unit 8A</v>
      </c>
      <c r="B1110" s="2" t="str">
        <f t="shared" si="206"/>
        <v>21 East 12th Street</v>
      </c>
      <c r="C1110" s="1" t="s">
        <v>370</v>
      </c>
      <c r="D1110" s="1" t="s">
        <v>41</v>
      </c>
      <c r="E1110" s="3">
        <v>4173771</v>
      </c>
      <c r="F1110" s="1">
        <v>2823.9315629228599</v>
      </c>
      <c r="G1110" s="1">
        <v>4.5</v>
      </c>
      <c r="H1110" s="1">
        <v>2</v>
      </c>
      <c r="I1110" s="1">
        <v>3</v>
      </c>
      <c r="J1110" s="1">
        <v>2.5</v>
      </c>
      <c r="K1110" s="1">
        <v>2</v>
      </c>
      <c r="L1110" s="1">
        <v>1</v>
      </c>
      <c r="M1110" s="4">
        <v>1478</v>
      </c>
      <c r="N1110" s="1">
        <v>1927</v>
      </c>
      <c r="O1110" s="1">
        <v>4871</v>
      </c>
      <c r="P1110" s="1">
        <v>2944</v>
      </c>
      <c r="Q1110" s="1" t="s">
        <v>42</v>
      </c>
      <c r="S1110" s="1" t="s">
        <v>42</v>
      </c>
      <c r="T1110" s="1" t="s">
        <v>170</v>
      </c>
      <c r="U1110" s="1">
        <v>92</v>
      </c>
      <c r="V1110" s="5">
        <v>43631</v>
      </c>
      <c r="W1110" s="5">
        <v>43030</v>
      </c>
      <c r="X1110" s="1">
        <v>4200000</v>
      </c>
      <c r="Y1110" s="1">
        <v>4225000</v>
      </c>
      <c r="Z1110" s="5">
        <v>43123</v>
      </c>
      <c r="AA1110" s="1">
        <v>4173770.85</v>
      </c>
      <c r="AB1110" s="1" t="s">
        <v>844</v>
      </c>
      <c r="AC1110" s="5">
        <v>43572</v>
      </c>
      <c r="AF1110" s="1">
        <v>10003</v>
      </c>
      <c r="AI1110" s="1" t="s">
        <v>59</v>
      </c>
      <c r="AJ1110" s="1">
        <v>2018</v>
      </c>
      <c r="AK1110" s="1" t="s">
        <v>740</v>
      </c>
      <c r="AL1110" s="1">
        <v>52</v>
      </c>
    </row>
    <row r="1111" spans="1:38" x14ac:dyDescent="0.2">
      <c r="A1111" s="2" t="str">
        <f>HYPERLINK("https://www.compass.com/listing/225-east-19th-street-unit-601-manhattan-ny-10003/29514961990503265/","225 E 19th St, Unit 601")</f>
        <v>225 E 19th St, Unit 601</v>
      </c>
      <c r="B1111" s="2" t="str">
        <f t="shared" ref="B1111:B1112" si="207">HYPERLINK("https://www.compass.com/building/the-prewar-at-gramercy-square-manhattan-ny/282059248584654437/","The Prewar at Gramercy Square")</f>
        <v>The Prewar at Gramercy Square</v>
      </c>
      <c r="C1111" s="1" t="s">
        <v>54</v>
      </c>
      <c r="D1111" s="1" t="s">
        <v>41</v>
      </c>
      <c r="E1111" s="3">
        <v>1680113</v>
      </c>
      <c r="F1111" s="1">
        <v>2053.92787286063</v>
      </c>
      <c r="G1111" s="1">
        <v>3</v>
      </c>
      <c r="H1111" s="1">
        <v>1</v>
      </c>
      <c r="I1111" s="1">
        <v>1</v>
      </c>
      <c r="J1111" s="1">
        <v>1</v>
      </c>
      <c r="M1111" s="1">
        <v>818</v>
      </c>
      <c r="N1111" s="1">
        <v>928</v>
      </c>
      <c r="O1111" s="1">
        <v>2104</v>
      </c>
      <c r="P1111" s="1">
        <v>1176</v>
      </c>
      <c r="Q1111" s="1" t="s">
        <v>42</v>
      </c>
      <c r="S1111" s="1" t="s">
        <v>42</v>
      </c>
      <c r="T1111" s="1" t="s">
        <v>170</v>
      </c>
      <c r="V1111" s="5">
        <v>43641</v>
      </c>
      <c r="W1111" s="5">
        <v>43188</v>
      </c>
      <c r="X1111" s="1">
        <v>1650000</v>
      </c>
      <c r="Y1111" s="1">
        <v>1650000</v>
      </c>
      <c r="Z1111" s="5">
        <v>43188</v>
      </c>
      <c r="AA1111" s="1">
        <v>1680113</v>
      </c>
      <c r="AB1111" s="1" t="s">
        <v>845</v>
      </c>
      <c r="AC1111" s="5">
        <v>43330</v>
      </c>
      <c r="AF1111" s="1">
        <v>10003</v>
      </c>
      <c r="AI1111" s="1" t="s">
        <v>76</v>
      </c>
      <c r="AJ1111" s="1">
        <v>1920</v>
      </c>
      <c r="AK1111" s="1" t="s">
        <v>46</v>
      </c>
      <c r="AL1111" s="1">
        <v>48</v>
      </c>
    </row>
    <row r="1112" spans="1:38" x14ac:dyDescent="0.2">
      <c r="A1112" s="2" t="str">
        <f>HYPERLINK("https://www.compass.com/listing/225-east-19th-street-unit-202-manhattan-ny-10003/29514966948211793/","225 E 19th St, Unit 202")</f>
        <v>225 E 19th St, Unit 202</v>
      </c>
      <c r="B1112" s="2" t="str">
        <f t="shared" si="207"/>
        <v>The Prewar at Gramercy Square</v>
      </c>
      <c r="C1112" s="1" t="s">
        <v>54</v>
      </c>
      <c r="D1112" s="1" t="s">
        <v>41</v>
      </c>
      <c r="E1112" s="3">
        <v>1659748</v>
      </c>
      <c r="F1112" s="1">
        <v>1994.8894230769199</v>
      </c>
      <c r="G1112" s="1">
        <v>3</v>
      </c>
      <c r="H1112" s="1">
        <v>1</v>
      </c>
      <c r="I1112" s="1">
        <v>1</v>
      </c>
      <c r="J1112" s="1">
        <v>1</v>
      </c>
      <c r="K1112" s="1">
        <v>1</v>
      </c>
      <c r="M1112" s="1">
        <v>832</v>
      </c>
      <c r="N1112" s="1">
        <v>944</v>
      </c>
      <c r="O1112" s="1">
        <v>2140</v>
      </c>
      <c r="P1112" s="1">
        <v>1196</v>
      </c>
      <c r="Q1112" s="1" t="s">
        <v>42</v>
      </c>
      <c r="S1112" s="1" t="s">
        <v>42</v>
      </c>
      <c r="T1112" s="1" t="s">
        <v>170</v>
      </c>
      <c r="V1112" s="5">
        <v>43757</v>
      </c>
      <c r="W1112" s="5">
        <v>43054</v>
      </c>
      <c r="X1112" s="1">
        <v>1665000</v>
      </c>
      <c r="Y1112" s="1">
        <v>1665000</v>
      </c>
      <c r="Z1112" s="5">
        <v>43054</v>
      </c>
      <c r="AA1112" s="1">
        <v>1659748</v>
      </c>
      <c r="AB1112" s="1" t="s">
        <v>846</v>
      </c>
      <c r="AC1112" s="5">
        <v>43379</v>
      </c>
      <c r="AF1112" s="1">
        <v>10003</v>
      </c>
      <c r="AI1112" s="1" t="s">
        <v>76</v>
      </c>
      <c r="AJ1112" s="1">
        <v>1920</v>
      </c>
      <c r="AK1112" s="1" t="s">
        <v>46</v>
      </c>
      <c r="AL1112" s="1">
        <v>48</v>
      </c>
    </row>
    <row r="1113" spans="1:38" x14ac:dyDescent="0.2">
      <c r="A1113" s="2" t="str">
        <f>HYPERLINK("https://www.compass.com/listing/121-east-22nd-street-unit-n1604-manhattan-ny-10010/201233866290208785/","121 E 22nd St, Unit N1604")</f>
        <v>121 E 22nd St, Unit N1604</v>
      </c>
      <c r="B1113" s="2" t="str">
        <f>HYPERLINK("https://www.compass.com/building/121-e-22nd-manhattan-ny/292795784653461493/","121 E 22nd")</f>
        <v>121 E 22nd</v>
      </c>
      <c r="C1113" s="1" t="s">
        <v>54</v>
      </c>
      <c r="D1113" s="1" t="s">
        <v>41</v>
      </c>
      <c r="E1113" s="3">
        <v>2355212</v>
      </c>
      <c r="F1113" s="1">
        <v>2087.9539007092199</v>
      </c>
      <c r="G1113" s="1">
        <v>3.5</v>
      </c>
      <c r="H1113" s="1">
        <v>1</v>
      </c>
      <c r="I1113" s="1">
        <v>2</v>
      </c>
      <c r="J1113" s="1">
        <v>1.5</v>
      </c>
      <c r="K1113" s="1">
        <v>1</v>
      </c>
      <c r="L1113" s="1">
        <v>1</v>
      </c>
      <c r="M1113" s="4">
        <v>1128</v>
      </c>
      <c r="N1113" s="1">
        <v>1260</v>
      </c>
      <c r="O1113" s="1">
        <v>3504</v>
      </c>
      <c r="P1113" s="1">
        <v>2244</v>
      </c>
      <c r="Q1113" s="1" t="s">
        <v>42</v>
      </c>
      <c r="S1113" s="1" t="s">
        <v>42</v>
      </c>
      <c r="T1113" s="1" t="s">
        <v>170</v>
      </c>
      <c r="V1113" s="5">
        <v>44373</v>
      </c>
      <c r="W1113" s="5">
        <v>43529</v>
      </c>
      <c r="X1113" s="1">
        <v>2410000</v>
      </c>
      <c r="Y1113" s="1">
        <v>2410000</v>
      </c>
      <c r="Z1113" s="5">
        <v>43529</v>
      </c>
      <c r="AA1113" s="1">
        <v>2355212</v>
      </c>
      <c r="AB1113" s="1" t="s">
        <v>181</v>
      </c>
      <c r="AC1113" s="5">
        <v>43649</v>
      </c>
      <c r="AF1113" s="1">
        <v>10010</v>
      </c>
      <c r="AI1113" s="1" t="s">
        <v>159</v>
      </c>
      <c r="AJ1113" s="1">
        <v>2016</v>
      </c>
      <c r="AK1113" s="1" t="s">
        <v>77</v>
      </c>
      <c r="AL1113" s="1">
        <v>140</v>
      </c>
    </row>
    <row r="1114" spans="1:38" x14ac:dyDescent="0.2">
      <c r="A1114" s="2" t="str">
        <f>HYPERLINK("https://www.compass.com/listing/32-east-1st-street-unit-3e-manhattan-ny-10003/29515151346559313/","32 E 1st St, Unit 3E")</f>
        <v>32 E 1st St, Unit 3E</v>
      </c>
      <c r="B1114" s="2" t="str">
        <f>HYPERLINK("https://www.compass.com/building/32-east-1st-street-manhattan-ny/292783157810310133/","32 East 1st Street")</f>
        <v>32 East 1st Street</v>
      </c>
      <c r="C1114" s="1" t="s">
        <v>89</v>
      </c>
      <c r="D1114" s="1" t="s">
        <v>41</v>
      </c>
      <c r="E1114" s="3">
        <v>995000</v>
      </c>
      <c r="F1114" s="1">
        <v>2055.7851239669399</v>
      </c>
      <c r="G1114" s="1">
        <v>3</v>
      </c>
      <c r="H1114" s="1">
        <v>1</v>
      </c>
      <c r="I1114" s="1">
        <v>1</v>
      </c>
      <c r="J1114" s="1">
        <v>1</v>
      </c>
      <c r="K1114" s="1">
        <v>1</v>
      </c>
      <c r="M1114" s="1">
        <v>484</v>
      </c>
      <c r="N1114" s="1">
        <v>605</v>
      </c>
      <c r="O1114" s="1">
        <v>1265</v>
      </c>
      <c r="P1114" s="1">
        <v>660</v>
      </c>
      <c r="Q1114" s="1" t="s">
        <v>42</v>
      </c>
      <c r="S1114" s="1" t="s">
        <v>42</v>
      </c>
      <c r="T1114" s="1" t="s">
        <v>170</v>
      </c>
      <c r="V1114" s="5">
        <v>43645</v>
      </c>
      <c r="W1114" s="5">
        <v>42993</v>
      </c>
      <c r="X1114" s="1">
        <v>1125000</v>
      </c>
      <c r="Y1114" s="1">
        <v>1125000</v>
      </c>
      <c r="Z1114" s="5">
        <v>42993</v>
      </c>
      <c r="AA1114" s="1">
        <v>995000</v>
      </c>
      <c r="AB1114" s="1" t="s">
        <v>847</v>
      </c>
      <c r="AC1114" s="5">
        <v>43553</v>
      </c>
      <c r="AF1114" s="1">
        <v>10003</v>
      </c>
      <c r="AI1114" s="1" t="s">
        <v>53</v>
      </c>
      <c r="AJ1114" s="1">
        <v>2019</v>
      </c>
      <c r="AK1114" s="1" t="s">
        <v>49</v>
      </c>
      <c r="AL1114" s="1">
        <v>30</v>
      </c>
    </row>
    <row r="1115" spans="1:38" x14ac:dyDescent="0.2">
      <c r="A1115" s="2" t="str">
        <f>HYPERLINK("https://www.compass.com/listing/80-east-10th-street-unit-3w-manhattan-ny-10003/29515140877576049/","80 E 10th St, Unit 3W")</f>
        <v>80 E 10th St, Unit 3W</v>
      </c>
      <c r="B1115" s="2" t="str">
        <f t="shared" ref="B1115:B1116" si="208">HYPERLINK("https://www.compass.com/building/80-e-10th-st-manhattan-ny-10003/282059393531414101/","80 E 10th St")</f>
        <v>80 E 10th St</v>
      </c>
      <c r="C1115" s="1" t="s">
        <v>370</v>
      </c>
      <c r="D1115" s="1" t="s">
        <v>41</v>
      </c>
      <c r="E1115" s="3">
        <v>4025142</v>
      </c>
      <c r="F1115" s="1">
        <v>2198.3300109229899</v>
      </c>
      <c r="G1115" s="1">
        <v>4</v>
      </c>
      <c r="H1115" s="1">
        <v>3</v>
      </c>
      <c r="I1115" s="1">
        <v>3</v>
      </c>
      <c r="J1115" s="1">
        <v>2.5</v>
      </c>
      <c r="K1115" s="1">
        <v>2</v>
      </c>
      <c r="L1115" s="1">
        <v>1</v>
      </c>
      <c r="M1115" s="4">
        <v>1831</v>
      </c>
      <c r="N1115" s="1">
        <v>2124</v>
      </c>
      <c r="O1115" s="1">
        <v>3113</v>
      </c>
      <c r="P1115" s="1">
        <v>989</v>
      </c>
      <c r="Q1115" s="1" t="s">
        <v>42</v>
      </c>
      <c r="S1115" s="1" t="s">
        <v>42</v>
      </c>
      <c r="T1115" s="1" t="s">
        <v>170</v>
      </c>
      <c r="U1115" s="1">
        <v>18</v>
      </c>
      <c r="V1115" s="5">
        <v>43669</v>
      </c>
      <c r="W1115" s="5">
        <v>42993</v>
      </c>
      <c r="X1115" s="1">
        <v>3950000</v>
      </c>
      <c r="Y1115" s="1">
        <v>4150000</v>
      </c>
      <c r="Z1115" s="5">
        <v>43011</v>
      </c>
      <c r="AA1115" s="1">
        <v>4025142.25</v>
      </c>
      <c r="AB1115" s="1" t="s">
        <v>848</v>
      </c>
      <c r="AC1115" s="5">
        <v>43661</v>
      </c>
      <c r="AF1115" s="1">
        <v>10003</v>
      </c>
      <c r="AI1115" s="1" t="s">
        <v>849</v>
      </c>
      <c r="AJ1115" s="1">
        <v>2018</v>
      </c>
      <c r="AK1115" s="1" t="s">
        <v>108</v>
      </c>
      <c r="AL1115" s="1">
        <v>12</v>
      </c>
    </row>
    <row r="1116" spans="1:38" x14ac:dyDescent="0.2">
      <c r="A1116" s="2" t="str">
        <f>HYPERLINK("https://www.compass.com/listing/80-east-10th-street-unit-5w-manhattan-ny-10003/29515141917763473/","80 E 10th St, Unit 5W")</f>
        <v>80 E 10th St, Unit 5W</v>
      </c>
      <c r="B1116" s="2" t="str">
        <f t="shared" si="208"/>
        <v>80 E 10th St</v>
      </c>
      <c r="C1116" s="1" t="s">
        <v>370</v>
      </c>
      <c r="D1116" s="1" t="s">
        <v>41</v>
      </c>
      <c r="E1116" s="3">
        <v>4238325</v>
      </c>
      <c r="F1116" s="1">
        <v>2314.7596941561901</v>
      </c>
      <c r="G1116" s="1">
        <v>5</v>
      </c>
      <c r="H1116" s="1">
        <v>3</v>
      </c>
      <c r="I1116" s="1">
        <v>3</v>
      </c>
      <c r="J1116" s="1">
        <v>2.5</v>
      </c>
      <c r="K1116" s="1">
        <v>2</v>
      </c>
      <c r="L1116" s="1">
        <v>1</v>
      </c>
      <c r="M1116" s="4">
        <v>1831</v>
      </c>
      <c r="N1116" s="1">
        <v>2124</v>
      </c>
      <c r="O1116" s="1">
        <v>3113</v>
      </c>
      <c r="P1116" s="1">
        <v>989</v>
      </c>
      <c r="Q1116" s="1" t="s">
        <v>42</v>
      </c>
      <c r="S1116" s="1" t="s">
        <v>42</v>
      </c>
      <c r="T1116" s="1" t="s">
        <v>170</v>
      </c>
      <c r="V1116" s="5">
        <v>43670</v>
      </c>
      <c r="W1116" s="5">
        <v>43012</v>
      </c>
      <c r="X1116" s="1">
        <v>4400000</v>
      </c>
      <c r="Y1116" s="1">
        <v>4400000</v>
      </c>
      <c r="Z1116" s="5">
        <v>43012</v>
      </c>
      <c r="AA1116" s="1">
        <v>4238325</v>
      </c>
      <c r="AB1116" s="1" t="s">
        <v>850</v>
      </c>
      <c r="AC1116" s="5">
        <v>43665</v>
      </c>
      <c r="AF1116" s="1">
        <v>10003</v>
      </c>
      <c r="AI1116" s="1" t="s">
        <v>76</v>
      </c>
      <c r="AJ1116" s="1">
        <v>2018</v>
      </c>
      <c r="AK1116" s="1" t="s">
        <v>108</v>
      </c>
      <c r="AL1116" s="1">
        <v>12</v>
      </c>
    </row>
    <row r="1117" spans="1:38" x14ac:dyDescent="0.2">
      <c r="A1117" s="2" t="str">
        <f>HYPERLINK("https://www.compass.com/listing/32-east-1st-street-unit-2a-manhattan-ny-10003/29515144685977169/","32 E 1st St, Unit 2A")</f>
        <v>32 E 1st St, Unit 2A</v>
      </c>
      <c r="B1117" s="2" t="str">
        <f t="shared" ref="B1117:B1120" si="209">HYPERLINK("https://www.compass.com/building/32-east-1st-street-manhattan-ny/292783157810310133/","32 East 1st Street")</f>
        <v>32 East 1st Street</v>
      </c>
      <c r="C1117" s="1" t="s">
        <v>89</v>
      </c>
      <c r="D1117" s="1" t="s">
        <v>41</v>
      </c>
      <c r="E1117" s="3">
        <v>2838000</v>
      </c>
      <c r="F1117" s="1">
        <v>2299.8379254457</v>
      </c>
      <c r="G1117" s="1">
        <v>4</v>
      </c>
      <c r="H1117" s="1">
        <v>2</v>
      </c>
      <c r="I1117" s="1">
        <v>2</v>
      </c>
      <c r="J1117" s="1">
        <v>2</v>
      </c>
      <c r="K1117" s="1">
        <v>2</v>
      </c>
      <c r="M1117" s="4">
        <v>1234</v>
      </c>
      <c r="N1117" s="1">
        <v>1645</v>
      </c>
      <c r="O1117" s="1">
        <v>3443</v>
      </c>
      <c r="P1117" s="1">
        <v>1798</v>
      </c>
      <c r="Q1117" s="1" t="s">
        <v>42</v>
      </c>
      <c r="S1117" s="1" t="s">
        <v>42</v>
      </c>
      <c r="T1117" s="1" t="s">
        <v>170</v>
      </c>
      <c r="U1117" s="1">
        <v>260</v>
      </c>
      <c r="V1117" s="5">
        <v>43714</v>
      </c>
      <c r="W1117" s="5">
        <v>42956</v>
      </c>
      <c r="X1117" s="1">
        <v>2900000</v>
      </c>
      <c r="Y1117" s="1">
        <v>2900000</v>
      </c>
      <c r="Z1117" s="5">
        <v>43217</v>
      </c>
      <c r="AA1117" s="1">
        <v>2838000</v>
      </c>
      <c r="AB1117" s="1" t="s">
        <v>851</v>
      </c>
      <c r="AC1117" s="5">
        <v>43592</v>
      </c>
      <c r="AF1117" s="1">
        <v>10003</v>
      </c>
      <c r="AI1117" s="1" t="s">
        <v>70</v>
      </c>
      <c r="AJ1117" s="1">
        <v>2019</v>
      </c>
      <c r="AK1117" s="1" t="s">
        <v>49</v>
      </c>
      <c r="AL1117" s="1">
        <v>30</v>
      </c>
    </row>
    <row r="1118" spans="1:38" x14ac:dyDescent="0.2">
      <c r="A1118" s="2" t="str">
        <f>HYPERLINK("https://www.compass.com/listing/32-east-1st-street-unit-4a-manhattan-ny-10003/29515145734553233/","32 E 1st St, Unit 4A")</f>
        <v>32 E 1st St, Unit 4A</v>
      </c>
      <c r="B1118" s="2" t="str">
        <f t="shared" si="209"/>
        <v>32 East 1st Street</v>
      </c>
      <c r="C1118" s="1" t="s">
        <v>89</v>
      </c>
      <c r="D1118" s="1" t="s">
        <v>41</v>
      </c>
      <c r="E1118" s="3">
        <v>2975000</v>
      </c>
      <c r="F1118" s="1">
        <v>2403.0694668820602</v>
      </c>
      <c r="G1118" s="1">
        <v>4</v>
      </c>
      <c r="H1118" s="1">
        <v>2</v>
      </c>
      <c r="I1118" s="1">
        <v>2</v>
      </c>
      <c r="J1118" s="1">
        <v>2</v>
      </c>
      <c r="K1118" s="1">
        <v>2</v>
      </c>
      <c r="M1118" s="4">
        <v>1238</v>
      </c>
      <c r="N1118" s="1">
        <v>1663</v>
      </c>
      <c r="O1118" s="1">
        <v>3481</v>
      </c>
      <c r="P1118" s="1">
        <v>1818</v>
      </c>
      <c r="Q1118" s="1" t="s">
        <v>42</v>
      </c>
      <c r="S1118" s="1" t="s">
        <v>42</v>
      </c>
      <c r="T1118" s="1" t="s">
        <v>170</v>
      </c>
      <c r="U1118" s="1">
        <v>120</v>
      </c>
      <c r="V1118" s="5">
        <v>43606</v>
      </c>
      <c r="W1118" s="5">
        <v>42956</v>
      </c>
      <c r="X1118" s="1">
        <v>2975000</v>
      </c>
      <c r="Y1118" s="1">
        <v>2975000</v>
      </c>
      <c r="Z1118" s="5">
        <v>43077</v>
      </c>
      <c r="AA1118" s="1">
        <v>2975000</v>
      </c>
      <c r="AB1118" s="1" t="s">
        <v>852</v>
      </c>
      <c r="AC1118" s="5">
        <v>43602</v>
      </c>
      <c r="AF1118" s="1">
        <v>10003</v>
      </c>
      <c r="AI1118" s="1" t="s">
        <v>53</v>
      </c>
      <c r="AJ1118" s="1">
        <v>2019</v>
      </c>
      <c r="AK1118" s="1" t="s">
        <v>49</v>
      </c>
      <c r="AL1118" s="1">
        <v>30</v>
      </c>
    </row>
    <row r="1119" spans="1:38" x14ac:dyDescent="0.2">
      <c r="A1119" s="2" t="str">
        <f>HYPERLINK("https://www.compass.com/listing/32-east-1st-street-unit-7d-manhattan-ny-10003/29515147831705313/","32 E 1st St, Unit 7D")</f>
        <v>32 E 1st St, Unit 7D</v>
      </c>
      <c r="B1119" s="2" t="str">
        <f t="shared" si="209"/>
        <v>32 East 1st Street</v>
      </c>
      <c r="C1119" s="1" t="s">
        <v>89</v>
      </c>
      <c r="D1119" s="1" t="s">
        <v>41</v>
      </c>
      <c r="E1119" s="3">
        <v>2952925</v>
      </c>
      <c r="F1119" s="1">
        <v>2711.5932047750198</v>
      </c>
      <c r="G1119" s="1">
        <v>4</v>
      </c>
      <c r="H1119" s="1">
        <v>2</v>
      </c>
      <c r="I1119" s="1">
        <v>2</v>
      </c>
      <c r="J1119" s="1">
        <v>2</v>
      </c>
      <c r="K1119" s="1">
        <v>2</v>
      </c>
      <c r="M1119" s="4">
        <v>1089</v>
      </c>
      <c r="N1119" s="1">
        <v>1519</v>
      </c>
      <c r="O1119" s="1">
        <v>3179</v>
      </c>
      <c r="P1119" s="1">
        <v>1660</v>
      </c>
      <c r="Q1119" s="1" t="s">
        <v>42</v>
      </c>
      <c r="S1119" s="1" t="s">
        <v>42</v>
      </c>
      <c r="T1119" s="1" t="s">
        <v>170</v>
      </c>
      <c r="V1119" s="5">
        <v>43697</v>
      </c>
      <c r="W1119" s="5">
        <v>42993</v>
      </c>
      <c r="X1119" s="1">
        <v>3000000</v>
      </c>
      <c r="Y1119" s="1">
        <v>3000000</v>
      </c>
      <c r="Z1119" s="5">
        <v>42993</v>
      </c>
      <c r="AA1119" s="1">
        <v>2952925</v>
      </c>
      <c r="AB1119" s="1" t="s">
        <v>853</v>
      </c>
      <c r="AC1119" s="5">
        <v>43628</v>
      </c>
      <c r="AF1119" s="1">
        <v>10003</v>
      </c>
      <c r="AI1119" s="1" t="s">
        <v>53</v>
      </c>
      <c r="AJ1119" s="1">
        <v>2019</v>
      </c>
      <c r="AK1119" s="1" t="s">
        <v>49</v>
      </c>
      <c r="AL1119" s="1">
        <v>30</v>
      </c>
    </row>
    <row r="1120" spans="1:38" x14ac:dyDescent="0.2">
      <c r="A1120" s="2" t="str">
        <f>HYPERLINK("https://www.compass.com/listing/32-east-1st-street-unit-3a-manhattan-ny-10003/29515148779686081/","32 E 1st St, Unit 3A")</f>
        <v>32 E 1st St, Unit 3A</v>
      </c>
      <c r="B1120" s="2" t="str">
        <f t="shared" si="209"/>
        <v>32 East 1st Street</v>
      </c>
      <c r="C1120" s="1" t="s">
        <v>89</v>
      </c>
      <c r="D1120" s="1" t="s">
        <v>41</v>
      </c>
      <c r="E1120" s="3">
        <v>2966381</v>
      </c>
      <c r="F1120" s="1">
        <v>2396.1076332794801</v>
      </c>
      <c r="G1120" s="1">
        <v>4</v>
      </c>
      <c r="H1120" s="1">
        <v>2</v>
      </c>
      <c r="I1120" s="1">
        <v>2</v>
      </c>
      <c r="J1120" s="1">
        <v>2</v>
      </c>
      <c r="K1120" s="1">
        <v>2</v>
      </c>
      <c r="M1120" s="4">
        <v>1238</v>
      </c>
      <c r="N1120" s="1">
        <v>1614</v>
      </c>
      <c r="O1120" s="1">
        <v>3378</v>
      </c>
      <c r="P1120" s="1">
        <v>1764</v>
      </c>
      <c r="Q1120" s="1" t="s">
        <v>42</v>
      </c>
      <c r="S1120" s="1" t="s">
        <v>42</v>
      </c>
      <c r="T1120" s="1" t="s">
        <v>170</v>
      </c>
      <c r="U1120" s="1">
        <v>197</v>
      </c>
      <c r="V1120" s="5">
        <v>43602</v>
      </c>
      <c r="W1120" s="5">
        <v>43255</v>
      </c>
      <c r="X1120" s="1">
        <v>2950000</v>
      </c>
      <c r="Y1120" s="1">
        <v>2950000</v>
      </c>
      <c r="Z1120" s="5">
        <v>43453</v>
      </c>
      <c r="AA1120" s="1">
        <v>2966381.25</v>
      </c>
      <c r="AB1120" s="1" t="s">
        <v>854</v>
      </c>
      <c r="AC1120" s="5">
        <v>43588</v>
      </c>
      <c r="AF1120" s="1">
        <v>10003</v>
      </c>
      <c r="AI1120" s="1" t="s">
        <v>70</v>
      </c>
      <c r="AJ1120" s="1">
        <v>2019</v>
      </c>
      <c r="AK1120" s="1" t="s">
        <v>49</v>
      </c>
      <c r="AL1120" s="1">
        <v>30</v>
      </c>
    </row>
    <row r="1121" spans="1:38" x14ac:dyDescent="0.2">
      <c r="A1121" s="2" t="str">
        <f>HYPERLINK("https://www.compass.com/listing/63-greene-street-unit-5d-manhattan-ny-10012/19416289843933121/","63 Greene St, Unit 5D")</f>
        <v>63 Greene St, Unit 5D</v>
      </c>
      <c r="B1121" s="2" t="str">
        <f t="shared" ref="B1121:B1122" si="210">HYPERLINK("https://www.compass.com/building/63-greene-street-manhattan-ny/292812252044627637/","63 Greene Street")</f>
        <v>63 Greene Street</v>
      </c>
      <c r="C1121" s="1" t="s">
        <v>104</v>
      </c>
      <c r="D1121" s="1" t="s">
        <v>41</v>
      </c>
      <c r="E1121" s="3">
        <v>3000000</v>
      </c>
      <c r="F1121" s="1">
        <v>1556.01659751037</v>
      </c>
      <c r="G1121" s="1">
        <v>4</v>
      </c>
      <c r="H1121" s="1">
        <v>2</v>
      </c>
      <c r="I1121" s="1">
        <v>3</v>
      </c>
      <c r="J1121" s="1">
        <v>2.5</v>
      </c>
      <c r="M1121" s="4">
        <v>1928</v>
      </c>
      <c r="N1121" s="1">
        <v>1916</v>
      </c>
      <c r="O1121" s="1">
        <v>5624</v>
      </c>
      <c r="P1121" s="1">
        <v>3708</v>
      </c>
      <c r="Q1121" s="1" t="s">
        <v>42</v>
      </c>
      <c r="S1121" s="1" t="s">
        <v>42</v>
      </c>
      <c r="T1121" s="1" t="s">
        <v>170</v>
      </c>
      <c r="U1121" s="1">
        <v>579</v>
      </c>
      <c r="V1121" s="5">
        <v>43654</v>
      </c>
      <c r="W1121" s="5">
        <v>42567</v>
      </c>
      <c r="X1121" s="1">
        <v>4500000</v>
      </c>
      <c r="Y1121" s="1">
        <v>3450000</v>
      </c>
      <c r="Z1121" s="5">
        <v>43146</v>
      </c>
      <c r="AA1121" s="1">
        <v>3000000</v>
      </c>
      <c r="AB1121" s="1" t="s">
        <v>855</v>
      </c>
      <c r="AC1121" s="5">
        <v>43157</v>
      </c>
      <c r="AF1121" s="1">
        <v>10012</v>
      </c>
      <c r="AI1121" s="1" t="s">
        <v>786</v>
      </c>
      <c r="AJ1121" s="1">
        <v>1877</v>
      </c>
      <c r="AK1121" s="1" t="s">
        <v>139</v>
      </c>
      <c r="AL1121" s="1">
        <v>23</v>
      </c>
    </row>
    <row r="1122" spans="1:38" x14ac:dyDescent="0.2">
      <c r="A1122" s="2" t="str">
        <f>HYPERLINK("https://www.compass.com/listing/63-greene-street-unit-5d-manhattan-ny-10012/803306199696815841/","63 Greene St, Unit 5D")</f>
        <v>63 Greene St, Unit 5D</v>
      </c>
      <c r="B1122" s="2" t="str">
        <f t="shared" si="210"/>
        <v>63 Greene Street</v>
      </c>
      <c r="C1122" s="1" t="s">
        <v>104</v>
      </c>
      <c r="D1122" s="1" t="s">
        <v>41</v>
      </c>
      <c r="E1122" s="3">
        <v>3000000</v>
      </c>
      <c r="F1122" s="1">
        <v>1556.01659751037</v>
      </c>
      <c r="G1122" s="1">
        <v>4</v>
      </c>
      <c r="H1122" s="1">
        <v>2</v>
      </c>
      <c r="I1122" s="1">
        <v>3</v>
      </c>
      <c r="J1122" s="1">
        <v>2.5</v>
      </c>
      <c r="K1122" s="1">
        <v>2</v>
      </c>
      <c r="L1122" s="1">
        <v>1</v>
      </c>
      <c r="M1122" s="4">
        <v>1928</v>
      </c>
      <c r="N1122" s="1">
        <v>1916</v>
      </c>
      <c r="O1122" s="1">
        <v>5624</v>
      </c>
      <c r="P1122" s="1">
        <v>3708</v>
      </c>
      <c r="Q1122" s="1" t="s">
        <v>42</v>
      </c>
      <c r="S1122" s="1" t="s">
        <v>42</v>
      </c>
      <c r="T1122" s="1" t="s">
        <v>170</v>
      </c>
      <c r="U1122" s="1">
        <v>591</v>
      </c>
      <c r="V1122" s="5">
        <v>43678</v>
      </c>
      <c r="W1122" s="5">
        <v>42566</v>
      </c>
      <c r="X1122" s="1">
        <v>4500000</v>
      </c>
      <c r="Y1122" s="1">
        <v>4500000</v>
      </c>
      <c r="AA1122" s="1">
        <v>3000000</v>
      </c>
      <c r="AB1122" s="1" t="s">
        <v>855</v>
      </c>
      <c r="AC1122" s="5">
        <v>43157</v>
      </c>
      <c r="AF1122" s="1">
        <v>10012</v>
      </c>
      <c r="AI1122" s="1" t="s">
        <v>786</v>
      </c>
      <c r="AJ1122" s="1">
        <v>1877</v>
      </c>
      <c r="AK1122" s="1" t="s">
        <v>139</v>
      </c>
      <c r="AL1122" s="1">
        <v>23</v>
      </c>
    </row>
    <row r="1123" spans="1:38" x14ac:dyDescent="0.2">
      <c r="A1123" s="2" t="str">
        <f>HYPERLINK("https://www.compass.com/listing/10-madison-square-west-unit-5f-manhattan-ny-10010/29374722181501585/","10 Madison Sq W, Unit 5F")</f>
        <v>10 Madison Sq W, Unit 5F</v>
      </c>
      <c r="B1123" s="2" t="str">
        <f t="shared" ref="B1123:B1147" si="211">HYPERLINK("https://www.compass.com/building/10-madison-square-west-manhattan-ny/294838725091521285/","10 Madison Square West")</f>
        <v>10 Madison Square West</v>
      </c>
      <c r="C1123" s="1" t="s">
        <v>154</v>
      </c>
      <c r="D1123" s="1" t="s">
        <v>41</v>
      </c>
      <c r="E1123" s="3">
        <v>7636875</v>
      </c>
      <c r="F1123" s="1">
        <v>3194.00878293601</v>
      </c>
      <c r="H1123" s="1">
        <v>3</v>
      </c>
      <c r="J1123" s="1">
        <v>3</v>
      </c>
      <c r="M1123" s="4">
        <v>2391</v>
      </c>
      <c r="N1123" s="1">
        <v>3100</v>
      </c>
      <c r="O1123" s="1">
        <v>5773</v>
      </c>
      <c r="P1123" s="1">
        <v>2673</v>
      </c>
      <c r="Q1123" s="1" t="s">
        <v>42</v>
      </c>
      <c r="S1123" s="1" t="s">
        <v>42</v>
      </c>
      <c r="T1123" s="1" t="s">
        <v>170</v>
      </c>
      <c r="AA1123" s="1">
        <v>7636875</v>
      </c>
      <c r="AB1123" s="1" t="s">
        <v>856</v>
      </c>
      <c r="AC1123" s="5">
        <v>42433</v>
      </c>
      <c r="AF1123" s="1">
        <v>10010</v>
      </c>
      <c r="AI1123" s="1" t="s">
        <v>59</v>
      </c>
      <c r="AJ1123" s="1">
        <v>1915</v>
      </c>
      <c r="AK1123" s="1" t="s">
        <v>46</v>
      </c>
      <c r="AL1123" s="1">
        <v>125</v>
      </c>
    </row>
    <row r="1124" spans="1:38" x14ac:dyDescent="0.2">
      <c r="A1124" s="2" t="str">
        <f>HYPERLINK("https://www.compass.com/listing/10-madison-square-west-unit-6g-manhattan-ny-10010/29374725738326625/","10 Madison Sq W, Unit 6G")</f>
        <v>10 Madison Sq W, Unit 6G</v>
      </c>
      <c r="B1124" s="2" t="str">
        <f t="shared" si="211"/>
        <v>10 Madison Square West</v>
      </c>
      <c r="C1124" s="1" t="s">
        <v>154</v>
      </c>
      <c r="D1124" s="1" t="s">
        <v>41</v>
      </c>
      <c r="E1124" s="3">
        <v>4999500</v>
      </c>
      <c r="F1124" s="1">
        <v>2123.8317757009299</v>
      </c>
      <c r="H1124" s="1">
        <v>3</v>
      </c>
      <c r="J1124" s="1">
        <v>3</v>
      </c>
      <c r="M1124" s="4">
        <v>2354</v>
      </c>
      <c r="N1124" s="1">
        <v>2867</v>
      </c>
      <c r="O1124" s="1">
        <v>5099</v>
      </c>
      <c r="P1124" s="1">
        <v>2232</v>
      </c>
      <c r="Q1124" s="1" t="s">
        <v>42</v>
      </c>
      <c r="S1124" s="1" t="s">
        <v>42</v>
      </c>
      <c r="T1124" s="1" t="s">
        <v>170</v>
      </c>
      <c r="AA1124" s="1">
        <v>4999500</v>
      </c>
      <c r="AB1124" s="1" t="s">
        <v>857</v>
      </c>
      <c r="AC1124" s="5">
        <v>42306</v>
      </c>
      <c r="AF1124" s="1">
        <v>10010</v>
      </c>
      <c r="AI1124" s="1" t="s">
        <v>59</v>
      </c>
      <c r="AJ1124" s="1">
        <v>1915</v>
      </c>
      <c r="AK1124" s="1" t="s">
        <v>46</v>
      </c>
      <c r="AL1124" s="1">
        <v>125</v>
      </c>
    </row>
    <row r="1125" spans="1:38" x14ac:dyDescent="0.2">
      <c r="A1125" s="2" t="str">
        <f>HYPERLINK("https://www.compass.com/listing/10-madison-square-west-unit-12d-manhattan-ny-10010/29374739176821713/","10 Madison Sq W, Unit 12D")</f>
        <v>10 Madison Sq W, Unit 12D</v>
      </c>
      <c r="B1125" s="2" t="str">
        <f t="shared" si="211"/>
        <v>10 Madison Square West</v>
      </c>
      <c r="C1125" s="1" t="s">
        <v>154</v>
      </c>
      <c r="D1125" s="1" t="s">
        <v>41</v>
      </c>
      <c r="E1125" s="3">
        <v>9927938</v>
      </c>
      <c r="F1125" s="1">
        <v>3000.2833182230202</v>
      </c>
      <c r="H1125" s="1">
        <v>3</v>
      </c>
      <c r="J1125" s="1">
        <v>3</v>
      </c>
      <c r="M1125" s="4">
        <v>3309</v>
      </c>
      <c r="Q1125" s="1" t="s">
        <v>42</v>
      </c>
      <c r="S1125" s="1" t="s">
        <v>42</v>
      </c>
      <c r="T1125" s="1" t="s">
        <v>170</v>
      </c>
      <c r="AA1125" s="1">
        <v>9927937.5</v>
      </c>
      <c r="AB1125" s="1" t="s">
        <v>858</v>
      </c>
      <c r="AC1125" s="5">
        <v>40294</v>
      </c>
      <c r="AF1125" s="1">
        <v>10010</v>
      </c>
      <c r="AI1125" s="1" t="s">
        <v>59</v>
      </c>
      <c r="AJ1125" s="1">
        <v>1915</v>
      </c>
      <c r="AK1125" s="1" t="s">
        <v>46</v>
      </c>
      <c r="AL1125" s="1">
        <v>125</v>
      </c>
    </row>
    <row r="1126" spans="1:38" x14ac:dyDescent="0.2">
      <c r="A1126" s="2" t="str">
        <f>HYPERLINK("https://www.compass.com/listing/10-madison-square-west-unit-16e-manhattan-ny-10010/29374748555340833/","10 Madison Sq W, Unit 16E")</f>
        <v>10 Madison Sq W, Unit 16E</v>
      </c>
      <c r="B1126" s="2" t="str">
        <f t="shared" si="211"/>
        <v>10 Madison Square West</v>
      </c>
      <c r="C1126" s="1" t="s">
        <v>154</v>
      </c>
      <c r="D1126" s="1" t="s">
        <v>41</v>
      </c>
      <c r="E1126" s="3">
        <v>9571550</v>
      </c>
      <c r="F1126" s="1">
        <v>4078.20622070728</v>
      </c>
      <c r="H1126" s="1">
        <v>3</v>
      </c>
      <c r="J1126" s="1">
        <v>3</v>
      </c>
      <c r="M1126" s="4">
        <v>2347</v>
      </c>
      <c r="N1126" s="1">
        <v>2940</v>
      </c>
      <c r="O1126" s="1">
        <v>5346</v>
      </c>
      <c r="P1126" s="1">
        <v>2406</v>
      </c>
      <c r="Q1126" s="1" t="s">
        <v>42</v>
      </c>
      <c r="S1126" s="1" t="s">
        <v>42</v>
      </c>
      <c r="T1126" s="1" t="s">
        <v>170</v>
      </c>
      <c r="AA1126" s="1">
        <v>9571550</v>
      </c>
      <c r="AB1126" s="1" t="s">
        <v>859</v>
      </c>
      <c r="AC1126" s="5">
        <v>42580</v>
      </c>
      <c r="AF1126" s="1">
        <v>10010</v>
      </c>
      <c r="AI1126" s="1" t="s">
        <v>59</v>
      </c>
      <c r="AJ1126" s="1">
        <v>1915</v>
      </c>
      <c r="AK1126" s="1" t="s">
        <v>46</v>
      </c>
      <c r="AL1126" s="1">
        <v>125</v>
      </c>
    </row>
    <row r="1127" spans="1:38" x14ac:dyDescent="0.2">
      <c r="A1127" s="2" t="str">
        <f>HYPERLINK("https://www.compass.com/listing/10-madison-square-west-unit-6g-manhattan-ny-10010/79389259382936673/","10 Madison Sq W, Unit 6G")</f>
        <v>10 Madison Sq W, Unit 6G</v>
      </c>
      <c r="B1127" s="2" t="str">
        <f t="shared" si="211"/>
        <v>10 Madison Square West</v>
      </c>
      <c r="C1127" s="1" t="s">
        <v>154</v>
      </c>
      <c r="D1127" s="1" t="s">
        <v>41</v>
      </c>
      <c r="E1127" s="3">
        <v>5950000</v>
      </c>
      <c r="F1127" s="1">
        <v>2527.61257434154</v>
      </c>
      <c r="H1127" s="1">
        <v>3</v>
      </c>
      <c r="J1127" s="1">
        <v>3</v>
      </c>
      <c r="M1127" s="4">
        <v>2354</v>
      </c>
      <c r="N1127" s="1">
        <v>2867</v>
      </c>
      <c r="O1127" s="1">
        <v>5099</v>
      </c>
      <c r="P1127" s="1">
        <v>2232</v>
      </c>
      <c r="Q1127" s="1" t="s">
        <v>42</v>
      </c>
      <c r="S1127" s="1" t="s">
        <v>42</v>
      </c>
      <c r="T1127" s="1" t="s">
        <v>170</v>
      </c>
      <c r="AA1127" s="1">
        <v>5950000</v>
      </c>
      <c r="AB1127" s="1" t="s">
        <v>860</v>
      </c>
      <c r="AC1127" s="5">
        <v>42529</v>
      </c>
      <c r="AF1127" s="1">
        <v>10010</v>
      </c>
      <c r="AI1127" s="1" t="s">
        <v>59</v>
      </c>
      <c r="AJ1127" s="1">
        <v>1915</v>
      </c>
      <c r="AK1127" s="1" t="s">
        <v>46</v>
      </c>
      <c r="AL1127" s="1">
        <v>125</v>
      </c>
    </row>
    <row r="1128" spans="1:38" x14ac:dyDescent="0.2">
      <c r="A1128" s="2" t="str">
        <f>HYPERLINK("https://www.compass.com/listing/10-madison-square-west-unit-12a-manhattan-ny-10010/167813894088224353/","10 Madison Sq W, Unit 12A")</f>
        <v>10 Madison Sq W, Unit 12A</v>
      </c>
      <c r="B1128" s="2" t="str">
        <f t="shared" si="211"/>
        <v>10 Madison Square West</v>
      </c>
      <c r="C1128" s="1" t="s">
        <v>154</v>
      </c>
      <c r="D1128" s="1" t="s">
        <v>41</v>
      </c>
      <c r="E1128" s="3">
        <v>5600375</v>
      </c>
      <c r="F1128" s="1">
        <v>2539.8526077097499</v>
      </c>
      <c r="H1128" s="1">
        <v>3</v>
      </c>
      <c r="J1128" s="1">
        <v>3.5</v>
      </c>
      <c r="M1128" s="4">
        <v>2205</v>
      </c>
      <c r="N1128" s="1">
        <v>2762</v>
      </c>
      <c r="O1128" s="1">
        <v>5023</v>
      </c>
      <c r="P1128" s="1">
        <v>2261</v>
      </c>
      <c r="Q1128" s="1" t="s">
        <v>42</v>
      </c>
      <c r="S1128" s="1" t="s">
        <v>42</v>
      </c>
      <c r="T1128" s="1" t="s">
        <v>170</v>
      </c>
      <c r="AA1128" s="1">
        <v>5600375</v>
      </c>
      <c r="AB1128" s="1" t="s">
        <v>861</v>
      </c>
      <c r="AC1128" s="5">
        <v>42510</v>
      </c>
      <c r="AF1128" s="1">
        <v>10010</v>
      </c>
      <c r="AI1128" s="1" t="s">
        <v>59</v>
      </c>
      <c r="AJ1128" s="1">
        <v>1915</v>
      </c>
      <c r="AK1128" s="1" t="s">
        <v>46</v>
      </c>
      <c r="AL1128" s="1">
        <v>125</v>
      </c>
    </row>
    <row r="1129" spans="1:38" x14ac:dyDescent="0.2">
      <c r="A1129" s="2" t="str">
        <f>HYPERLINK("https://www.compass.com/listing/10-madison-square-west-unit-2b-manhattan-ny-10010/29374710949211585/","10 Madison Sq W, Unit 2B")</f>
        <v>10 Madison Sq W, Unit 2B</v>
      </c>
      <c r="B1129" s="2" t="str">
        <f t="shared" si="211"/>
        <v>10 Madison Square West</v>
      </c>
      <c r="C1129" s="1" t="s">
        <v>154</v>
      </c>
      <c r="D1129" s="1" t="s">
        <v>41</v>
      </c>
      <c r="E1129" s="3">
        <v>4888513</v>
      </c>
      <c r="F1129" s="1">
        <v>2418.8582384957899</v>
      </c>
      <c r="H1129" s="1">
        <v>3</v>
      </c>
      <c r="J1129" s="1">
        <v>3.5</v>
      </c>
      <c r="M1129" s="4">
        <v>2021</v>
      </c>
      <c r="N1129" s="1">
        <v>2588</v>
      </c>
      <c r="O1129" s="1">
        <v>2588</v>
      </c>
      <c r="Q1129" s="1" t="s">
        <v>42</v>
      </c>
      <c r="S1129" s="1" t="s">
        <v>42</v>
      </c>
      <c r="T1129" s="1" t="s">
        <v>170</v>
      </c>
      <c r="AA1129" s="1">
        <v>4888512.5</v>
      </c>
      <c r="AB1129" s="1" t="s">
        <v>862</v>
      </c>
      <c r="AC1129" s="5">
        <v>42767</v>
      </c>
      <c r="AF1129" s="1">
        <v>10010</v>
      </c>
      <c r="AI1129" s="1" t="s">
        <v>59</v>
      </c>
      <c r="AJ1129" s="1">
        <v>1915</v>
      </c>
      <c r="AK1129" s="1" t="s">
        <v>46</v>
      </c>
      <c r="AL1129" s="1">
        <v>125</v>
      </c>
    </row>
    <row r="1130" spans="1:38" x14ac:dyDescent="0.2">
      <c r="A1130" s="2" t="str">
        <f>HYPERLINK("https://www.compass.com/listing/10-madison-square-west-unit-2g-manhattan-ny-10010/29374713675452881/","10 Madison Sq W, Unit 2G")</f>
        <v>10 Madison Sq W, Unit 2G</v>
      </c>
      <c r="B1130" s="2" t="str">
        <f t="shared" si="211"/>
        <v>10 Madison Square West</v>
      </c>
      <c r="C1130" s="1" t="s">
        <v>154</v>
      </c>
      <c r="D1130" s="1" t="s">
        <v>41</v>
      </c>
      <c r="E1130" s="3">
        <v>5600375</v>
      </c>
      <c r="F1130" s="1">
        <v>2368.0232558139501</v>
      </c>
      <c r="H1130" s="1">
        <v>3</v>
      </c>
      <c r="J1130" s="1">
        <v>3.5</v>
      </c>
      <c r="M1130" s="4">
        <v>2365</v>
      </c>
      <c r="N1130" s="1">
        <v>3026</v>
      </c>
      <c r="O1130" s="1">
        <v>7176</v>
      </c>
      <c r="P1130" s="1">
        <v>4150</v>
      </c>
      <c r="Q1130" s="1" t="s">
        <v>42</v>
      </c>
      <c r="S1130" s="1" t="s">
        <v>42</v>
      </c>
      <c r="T1130" s="1" t="s">
        <v>170</v>
      </c>
      <c r="AA1130" s="1">
        <v>5600375</v>
      </c>
      <c r="AB1130" s="1" t="s">
        <v>863</v>
      </c>
      <c r="AC1130" s="5">
        <v>42901</v>
      </c>
      <c r="AF1130" s="1">
        <v>10010</v>
      </c>
      <c r="AI1130" s="1" t="s">
        <v>59</v>
      </c>
      <c r="AJ1130" s="1">
        <v>1915</v>
      </c>
      <c r="AK1130" s="1" t="s">
        <v>46</v>
      </c>
      <c r="AL1130" s="1">
        <v>125</v>
      </c>
    </row>
    <row r="1131" spans="1:38" x14ac:dyDescent="0.2">
      <c r="A1131" s="2" t="str">
        <f>HYPERLINK("https://www.compass.com/listing/10-madison-square-west-unit-3b-manhattan-ny-10010/29374714380152353/","10 Madison Sq W, Unit 3B")</f>
        <v>10 Madison Sq W, Unit 3B</v>
      </c>
      <c r="B1131" s="2" t="str">
        <f t="shared" si="211"/>
        <v>10 Madison Square West</v>
      </c>
      <c r="C1131" s="1" t="s">
        <v>154</v>
      </c>
      <c r="D1131" s="1" t="s">
        <v>41</v>
      </c>
      <c r="E1131" s="3">
        <v>4938513</v>
      </c>
      <c r="F1131" s="1">
        <v>2443.5984661058801</v>
      </c>
      <c r="H1131" s="1">
        <v>3</v>
      </c>
      <c r="J1131" s="1">
        <v>3.5</v>
      </c>
      <c r="K1131" s="1">
        <v>3</v>
      </c>
      <c r="L1131" s="1">
        <v>1</v>
      </c>
      <c r="M1131" s="4">
        <v>2021</v>
      </c>
      <c r="N1131" s="1">
        <v>2589</v>
      </c>
      <c r="O1131" s="1">
        <v>6797</v>
      </c>
      <c r="P1131" s="1">
        <v>4208</v>
      </c>
      <c r="Q1131" s="1" t="s">
        <v>42</v>
      </c>
      <c r="S1131" s="1" t="s">
        <v>42</v>
      </c>
      <c r="T1131" s="1" t="s">
        <v>170</v>
      </c>
      <c r="AA1131" s="1">
        <v>4938512.5</v>
      </c>
      <c r="AB1131" s="1" t="s">
        <v>864</v>
      </c>
      <c r="AC1131" s="5">
        <v>42738</v>
      </c>
      <c r="AF1131" s="1">
        <v>10010</v>
      </c>
      <c r="AI1131" s="1" t="s">
        <v>59</v>
      </c>
      <c r="AJ1131" s="1">
        <v>1915</v>
      </c>
      <c r="AK1131" s="1" t="s">
        <v>46</v>
      </c>
      <c r="AL1131" s="1">
        <v>125</v>
      </c>
    </row>
    <row r="1132" spans="1:38" x14ac:dyDescent="0.2">
      <c r="A1132" s="2" t="str">
        <f>HYPERLINK("https://www.compass.com/listing/10-madison-square-west-unit-3f-manhattan-ny-10010/29374715764216321/","10 Madison Sq W, Unit 3F")</f>
        <v>10 Madison Sq W, Unit 3F</v>
      </c>
      <c r="B1132" s="2" t="str">
        <f t="shared" si="211"/>
        <v>10 Madison Square West</v>
      </c>
      <c r="C1132" s="1" t="s">
        <v>154</v>
      </c>
      <c r="D1132" s="1" t="s">
        <v>41</v>
      </c>
      <c r="E1132" s="3">
        <v>7127750</v>
      </c>
      <c r="F1132" s="1">
        <v>2981.0748640736001</v>
      </c>
      <c r="H1132" s="1">
        <v>3</v>
      </c>
      <c r="J1132" s="1">
        <v>3.5</v>
      </c>
      <c r="K1132" s="1">
        <v>3</v>
      </c>
      <c r="L1132" s="1">
        <v>1</v>
      </c>
      <c r="M1132" s="4">
        <v>2391</v>
      </c>
      <c r="N1132" s="1">
        <v>3003.43</v>
      </c>
      <c r="O1132" s="1">
        <v>5063.78</v>
      </c>
      <c r="P1132" s="1">
        <v>2060.3333333333298</v>
      </c>
      <c r="Q1132" s="1" t="s">
        <v>42</v>
      </c>
      <c r="S1132" s="1" t="s">
        <v>42</v>
      </c>
      <c r="T1132" s="1" t="s">
        <v>170</v>
      </c>
      <c r="AA1132" s="1">
        <v>7127750</v>
      </c>
      <c r="AB1132" s="1" t="s">
        <v>865</v>
      </c>
      <c r="AC1132" s="5">
        <v>42741</v>
      </c>
      <c r="AF1132" s="1">
        <v>10010</v>
      </c>
      <c r="AI1132" s="1" t="s">
        <v>59</v>
      </c>
      <c r="AJ1132" s="1">
        <v>1915</v>
      </c>
      <c r="AK1132" s="1" t="s">
        <v>46</v>
      </c>
      <c r="AL1132" s="1">
        <v>125</v>
      </c>
    </row>
    <row r="1133" spans="1:38" x14ac:dyDescent="0.2">
      <c r="A1133" s="2" t="str">
        <f>HYPERLINK("https://www.compass.com/listing/10-madison-square-west-unit-4f-manhattan-ny-10010/29374717995641265/","10 Madison Sq W, Unit 4F")</f>
        <v>10 Madison Sq W, Unit 4F</v>
      </c>
      <c r="B1133" s="2" t="str">
        <f t="shared" si="211"/>
        <v>10 Madison Square West</v>
      </c>
      <c r="C1133" s="1" t="s">
        <v>154</v>
      </c>
      <c r="D1133" s="1" t="s">
        <v>41</v>
      </c>
      <c r="E1133" s="3">
        <v>7521875</v>
      </c>
      <c r="F1133" s="1">
        <v>3145.9117524048502</v>
      </c>
      <c r="H1133" s="1">
        <v>3</v>
      </c>
      <c r="J1133" s="1">
        <v>3.5</v>
      </c>
      <c r="M1133" s="4">
        <v>2391</v>
      </c>
      <c r="N1133" s="1">
        <v>3003</v>
      </c>
      <c r="O1133" s="1">
        <v>7120</v>
      </c>
      <c r="P1133" s="1">
        <v>4117</v>
      </c>
      <c r="Q1133" s="1" t="s">
        <v>42</v>
      </c>
      <c r="S1133" s="1" t="s">
        <v>42</v>
      </c>
      <c r="T1133" s="1" t="s">
        <v>170</v>
      </c>
      <c r="AA1133" s="1">
        <v>7521875</v>
      </c>
      <c r="AB1133" s="1" t="s">
        <v>866</v>
      </c>
      <c r="AC1133" s="5">
        <v>42639</v>
      </c>
      <c r="AF1133" s="1">
        <v>10010</v>
      </c>
      <c r="AI1133" s="1" t="s">
        <v>59</v>
      </c>
      <c r="AJ1133" s="1">
        <v>1915</v>
      </c>
      <c r="AK1133" s="1" t="s">
        <v>46</v>
      </c>
      <c r="AL1133" s="1">
        <v>125</v>
      </c>
    </row>
    <row r="1134" spans="1:38" x14ac:dyDescent="0.2">
      <c r="A1134" s="2" t="str">
        <f>HYPERLINK("https://www.compass.com/listing/10-madison-square-west-unit-4g-manhattan-ny-10010/29374718473793137/","10 Madison Sq W, Unit 4G")</f>
        <v>10 Madison Sq W, Unit 4G</v>
      </c>
      <c r="B1134" s="2" t="str">
        <f t="shared" si="211"/>
        <v>10 Madison Square West</v>
      </c>
      <c r="C1134" s="1" t="s">
        <v>154</v>
      </c>
      <c r="D1134" s="1" t="s">
        <v>41</v>
      </c>
      <c r="E1134" s="3">
        <v>5702200</v>
      </c>
      <c r="F1134" s="1">
        <v>2422.3449447748499</v>
      </c>
      <c r="H1134" s="1">
        <v>3</v>
      </c>
      <c r="J1134" s="1">
        <v>3.5</v>
      </c>
      <c r="K1134" s="1">
        <v>3</v>
      </c>
      <c r="L1134" s="1">
        <v>1</v>
      </c>
      <c r="M1134" s="4">
        <v>2354</v>
      </c>
      <c r="N1134" s="1">
        <v>2957</v>
      </c>
      <c r="O1134" s="1">
        <v>7277</v>
      </c>
      <c r="P1134" s="1">
        <v>4320</v>
      </c>
      <c r="Q1134" s="1" t="s">
        <v>42</v>
      </c>
      <c r="S1134" s="1" t="s">
        <v>42</v>
      </c>
      <c r="T1134" s="1" t="s">
        <v>170</v>
      </c>
      <c r="AA1134" s="1">
        <v>5702200</v>
      </c>
      <c r="AB1134" s="1" t="s">
        <v>867</v>
      </c>
      <c r="AC1134" s="5">
        <v>42657</v>
      </c>
      <c r="AF1134" s="1">
        <v>10010</v>
      </c>
      <c r="AI1134" s="1" t="s">
        <v>59</v>
      </c>
      <c r="AJ1134" s="1">
        <v>1915</v>
      </c>
      <c r="AK1134" s="1" t="s">
        <v>46</v>
      </c>
      <c r="AL1134" s="1">
        <v>125</v>
      </c>
    </row>
    <row r="1135" spans="1:38" x14ac:dyDescent="0.2">
      <c r="A1135" s="2" t="str">
        <f>HYPERLINK("https://www.compass.com/listing/10-madison-square-west-unit-5e-manhattan-ny-10010/29374721468525073/","10 Madison Sq W, Unit 5E")</f>
        <v>10 Madison Sq W, Unit 5E</v>
      </c>
      <c r="B1135" s="2" t="str">
        <f t="shared" si="211"/>
        <v>10 Madison Square West</v>
      </c>
      <c r="C1135" s="1" t="s">
        <v>154</v>
      </c>
      <c r="D1135" s="1" t="s">
        <v>41</v>
      </c>
      <c r="E1135" s="3">
        <v>8655125</v>
      </c>
      <c r="F1135" s="1">
        <v>3014.6725879484502</v>
      </c>
      <c r="H1135" s="1">
        <v>3</v>
      </c>
      <c r="J1135" s="1">
        <v>3.5</v>
      </c>
      <c r="M1135" s="4">
        <v>2871</v>
      </c>
      <c r="N1135" s="1">
        <v>3611</v>
      </c>
      <c r="O1135" s="1">
        <v>9174</v>
      </c>
      <c r="P1135" s="1">
        <v>5563</v>
      </c>
      <c r="Q1135" s="1" t="s">
        <v>42</v>
      </c>
      <c r="S1135" s="1" t="s">
        <v>42</v>
      </c>
      <c r="T1135" s="1" t="s">
        <v>170</v>
      </c>
      <c r="AA1135" s="1">
        <v>8655125</v>
      </c>
      <c r="AB1135" s="1" t="s">
        <v>868</v>
      </c>
      <c r="AC1135" s="5">
        <v>42452</v>
      </c>
      <c r="AF1135" s="1">
        <v>10010</v>
      </c>
      <c r="AI1135" s="1" t="s">
        <v>59</v>
      </c>
      <c r="AJ1135" s="1">
        <v>1915</v>
      </c>
      <c r="AK1135" s="1" t="s">
        <v>46</v>
      </c>
      <c r="AL1135" s="1">
        <v>125</v>
      </c>
    </row>
    <row r="1136" spans="1:38" x14ac:dyDescent="0.2">
      <c r="A1136" s="2" t="str">
        <f>HYPERLINK("https://www.compass.com/listing/10-madison-square-west-unit-5g-manhattan-ny-10010/29374722525489713/","10 Madison Sq W, Unit 5G")</f>
        <v>10 Madison Sq W, Unit 5G</v>
      </c>
      <c r="B1136" s="2" t="str">
        <f t="shared" si="211"/>
        <v>10 Madison Square West</v>
      </c>
      <c r="C1136" s="1" t="s">
        <v>154</v>
      </c>
      <c r="D1136" s="1" t="s">
        <v>41</v>
      </c>
      <c r="E1136" s="3">
        <v>5854938</v>
      </c>
      <c r="F1136" s="1">
        <v>2487.22918436703</v>
      </c>
      <c r="H1136" s="1">
        <v>3</v>
      </c>
      <c r="J1136" s="1">
        <v>3.5</v>
      </c>
      <c r="K1136" s="1">
        <v>3</v>
      </c>
      <c r="L1136" s="1">
        <v>1</v>
      </c>
      <c r="M1136" s="4">
        <v>2354</v>
      </c>
      <c r="N1136" s="1">
        <v>2957</v>
      </c>
      <c r="O1136" s="1">
        <v>7011</v>
      </c>
      <c r="P1136" s="1">
        <v>4054</v>
      </c>
      <c r="Q1136" s="1" t="s">
        <v>42</v>
      </c>
      <c r="S1136" s="1" t="s">
        <v>42</v>
      </c>
      <c r="T1136" s="1" t="s">
        <v>170</v>
      </c>
      <c r="AA1136" s="1">
        <v>5854937.5</v>
      </c>
      <c r="AB1136" s="1" t="s">
        <v>869</v>
      </c>
      <c r="AC1136" s="5">
        <v>42402</v>
      </c>
      <c r="AF1136" s="1">
        <v>10010</v>
      </c>
      <c r="AI1136" s="1" t="s">
        <v>59</v>
      </c>
      <c r="AJ1136" s="1">
        <v>1915</v>
      </c>
      <c r="AK1136" s="1" t="s">
        <v>46</v>
      </c>
      <c r="AL1136" s="1">
        <v>125</v>
      </c>
    </row>
    <row r="1137" spans="1:38" x14ac:dyDescent="0.2">
      <c r="A1137" s="2" t="str">
        <f>HYPERLINK("https://www.compass.com/listing/10-madison-square-west-unit-7e-manhattan-ny-10010/29374727701205761/","10 Madison Sq W, Unit 7E")</f>
        <v>10 Madison Sq W, Unit 7E</v>
      </c>
      <c r="B1137" s="2" t="str">
        <f t="shared" si="211"/>
        <v>10 Madison Square West</v>
      </c>
      <c r="C1137" s="1" t="s">
        <v>154</v>
      </c>
      <c r="D1137" s="1" t="s">
        <v>41</v>
      </c>
      <c r="E1137" s="3">
        <v>8807863</v>
      </c>
      <c r="F1137" s="1">
        <v>3067.8726924416501</v>
      </c>
      <c r="H1137" s="1">
        <v>3</v>
      </c>
      <c r="J1137" s="1">
        <v>3.5</v>
      </c>
      <c r="K1137" s="1">
        <v>3</v>
      </c>
      <c r="L1137" s="1">
        <v>1</v>
      </c>
      <c r="M1137" s="4">
        <v>2871</v>
      </c>
      <c r="N1137" s="1">
        <v>3606</v>
      </c>
      <c r="O1137" s="1">
        <v>9586</v>
      </c>
      <c r="P1137" s="1">
        <v>5980</v>
      </c>
      <c r="Q1137" s="1" t="s">
        <v>42</v>
      </c>
      <c r="S1137" s="1" t="s">
        <v>42</v>
      </c>
      <c r="T1137" s="1" t="s">
        <v>170</v>
      </c>
      <c r="AA1137" s="1">
        <v>8807862.5</v>
      </c>
      <c r="AB1137" s="1" t="s">
        <v>870</v>
      </c>
      <c r="AC1137" s="5">
        <v>42438</v>
      </c>
      <c r="AF1137" s="1">
        <v>10010</v>
      </c>
      <c r="AI1137" s="1" t="s">
        <v>59</v>
      </c>
      <c r="AJ1137" s="1">
        <v>1915</v>
      </c>
      <c r="AK1137" s="1" t="s">
        <v>46</v>
      </c>
      <c r="AL1137" s="1">
        <v>125</v>
      </c>
    </row>
    <row r="1138" spans="1:38" x14ac:dyDescent="0.2">
      <c r="A1138" s="2" t="str">
        <f>HYPERLINK("https://www.compass.com/listing/10-madison-square-west-unit-8f-manhattan-ny-10010/29374730394005345/","10 Madison Sq W, Unit 8F")</f>
        <v>10 Madison Sq W, Unit 8F</v>
      </c>
      <c r="B1138" s="2" t="str">
        <f t="shared" si="211"/>
        <v>10 Madison Square West</v>
      </c>
      <c r="C1138" s="1" t="s">
        <v>154</v>
      </c>
      <c r="D1138" s="1" t="s">
        <v>41</v>
      </c>
      <c r="E1138" s="3">
        <v>8146000</v>
      </c>
      <c r="F1138" s="1">
        <v>3406.9427017984099</v>
      </c>
      <c r="H1138" s="1">
        <v>3</v>
      </c>
      <c r="J1138" s="1">
        <v>3.5</v>
      </c>
      <c r="K1138" s="1">
        <v>3</v>
      </c>
      <c r="L1138" s="1">
        <v>1</v>
      </c>
      <c r="M1138" s="4">
        <v>2391</v>
      </c>
      <c r="N1138" s="1">
        <v>3003.43</v>
      </c>
      <c r="O1138" s="1">
        <v>7983.3699999999899</v>
      </c>
      <c r="P1138" s="1">
        <v>4979.9166666666597</v>
      </c>
      <c r="Q1138" s="1" t="s">
        <v>42</v>
      </c>
      <c r="S1138" s="1" t="s">
        <v>42</v>
      </c>
      <c r="T1138" s="1" t="s">
        <v>170</v>
      </c>
      <c r="AA1138" s="1">
        <v>8146000</v>
      </c>
      <c r="AB1138" s="1" t="s">
        <v>871</v>
      </c>
      <c r="AC1138" s="5">
        <v>42453</v>
      </c>
      <c r="AF1138" s="1">
        <v>10010</v>
      </c>
      <c r="AI1138" s="1" t="s">
        <v>59</v>
      </c>
      <c r="AJ1138" s="1">
        <v>1915</v>
      </c>
      <c r="AK1138" s="1" t="s">
        <v>46</v>
      </c>
      <c r="AL1138" s="1">
        <v>125</v>
      </c>
    </row>
    <row r="1139" spans="1:38" x14ac:dyDescent="0.2">
      <c r="A1139" s="2" t="str">
        <f>HYPERLINK("https://www.compass.com/listing/10-madison-square-west-unit-11e-manhattan-ny-10010/29374736861565841/","10 Madison Sq W, Unit 11E")</f>
        <v>10 Madison Sq W, Unit 11E</v>
      </c>
      <c r="B1139" s="2" t="str">
        <f t="shared" si="211"/>
        <v>10 Madison Square West</v>
      </c>
      <c r="C1139" s="1" t="s">
        <v>154</v>
      </c>
      <c r="D1139" s="1" t="s">
        <v>41</v>
      </c>
      <c r="E1139" s="3">
        <v>7789613</v>
      </c>
      <c r="F1139" s="1">
        <v>3318.9657008947502</v>
      </c>
      <c r="H1139" s="1">
        <v>3</v>
      </c>
      <c r="J1139" s="1">
        <v>3.5</v>
      </c>
      <c r="K1139" s="1">
        <v>3</v>
      </c>
      <c r="L1139" s="1">
        <v>1</v>
      </c>
      <c r="M1139" s="4">
        <v>2347</v>
      </c>
      <c r="N1139" s="1">
        <v>2948</v>
      </c>
      <c r="O1139" s="1">
        <v>7848</v>
      </c>
      <c r="P1139" s="1">
        <v>4900</v>
      </c>
      <c r="Q1139" s="1" t="s">
        <v>42</v>
      </c>
      <c r="S1139" s="1" t="s">
        <v>42</v>
      </c>
      <c r="T1139" s="1" t="s">
        <v>170</v>
      </c>
      <c r="AA1139" s="1">
        <v>7789612.5</v>
      </c>
      <c r="AB1139" s="1" t="s">
        <v>872</v>
      </c>
      <c r="AC1139" s="5">
        <v>42489</v>
      </c>
      <c r="AF1139" s="1">
        <v>10010</v>
      </c>
      <c r="AI1139" s="1" t="s">
        <v>59</v>
      </c>
      <c r="AJ1139" s="1">
        <v>1915</v>
      </c>
      <c r="AK1139" s="1" t="s">
        <v>46</v>
      </c>
      <c r="AL1139" s="1">
        <v>125</v>
      </c>
    </row>
    <row r="1140" spans="1:38" x14ac:dyDescent="0.2">
      <c r="A1140" s="2" t="str">
        <f>HYPERLINK("https://www.compass.com/listing/10-madison-square-west-unit-14e-manhattan-ny-10010/29374742834310081/","10 Madison Sq W, Unit 14E")</f>
        <v>10 Madison Sq W, Unit 14E</v>
      </c>
      <c r="B1140" s="2" t="str">
        <f t="shared" si="211"/>
        <v>10 Madison Square West</v>
      </c>
      <c r="C1140" s="1" t="s">
        <v>154</v>
      </c>
      <c r="D1140" s="1" t="s">
        <v>41</v>
      </c>
      <c r="E1140" s="3">
        <v>8602588</v>
      </c>
      <c r="F1140" s="1">
        <v>3665.3547081380402</v>
      </c>
      <c r="H1140" s="1">
        <v>3</v>
      </c>
      <c r="J1140" s="1">
        <v>3.5</v>
      </c>
      <c r="M1140" s="4">
        <v>2347</v>
      </c>
      <c r="N1140" s="1">
        <v>2948</v>
      </c>
      <c r="O1140" s="1">
        <v>7518</v>
      </c>
      <c r="P1140" s="1">
        <v>4570</v>
      </c>
      <c r="Q1140" s="1" t="s">
        <v>42</v>
      </c>
      <c r="S1140" s="1" t="s">
        <v>42</v>
      </c>
      <c r="T1140" s="1" t="s">
        <v>170</v>
      </c>
      <c r="AA1140" s="1">
        <v>8602587.5</v>
      </c>
      <c r="AB1140" s="1" t="s">
        <v>873</v>
      </c>
      <c r="AC1140" s="5">
        <v>42545</v>
      </c>
      <c r="AF1140" s="1">
        <v>10010</v>
      </c>
      <c r="AI1140" s="1" t="s">
        <v>59</v>
      </c>
      <c r="AJ1140" s="1">
        <v>1915</v>
      </c>
      <c r="AK1140" s="1" t="s">
        <v>46</v>
      </c>
      <c r="AL1140" s="1">
        <v>125</v>
      </c>
    </row>
    <row r="1141" spans="1:38" x14ac:dyDescent="0.2">
      <c r="A1141" s="2" t="str">
        <f>HYPERLINK("https://www.compass.com/listing/10-madison-square-west-unit-15a-manhattan-ny-10010/29374744201653201/","10 Madison Sq W, Unit 15A")</f>
        <v>10 Madison Sq W, Unit 15A</v>
      </c>
      <c r="B1141" s="2" t="str">
        <f t="shared" si="211"/>
        <v>10 Madison Square West</v>
      </c>
      <c r="C1141" s="1" t="s">
        <v>154</v>
      </c>
      <c r="D1141" s="1" t="s">
        <v>41</v>
      </c>
      <c r="E1141" s="3">
        <v>5091250</v>
      </c>
      <c r="F1141" s="1">
        <v>2308.9569160997698</v>
      </c>
      <c r="H1141" s="1">
        <v>3</v>
      </c>
      <c r="J1141" s="1">
        <v>3.5</v>
      </c>
      <c r="K1141" s="1">
        <v>3</v>
      </c>
      <c r="L1141" s="1">
        <v>1</v>
      </c>
      <c r="M1141" s="4">
        <v>2205</v>
      </c>
      <c r="N1141" s="1">
        <v>2962</v>
      </c>
      <c r="O1141" s="1">
        <v>7656</v>
      </c>
      <c r="P1141" s="1">
        <v>4694</v>
      </c>
      <c r="Q1141" s="1" t="s">
        <v>42</v>
      </c>
      <c r="S1141" s="1" t="s">
        <v>42</v>
      </c>
      <c r="T1141" s="1" t="s">
        <v>170</v>
      </c>
      <c r="AA1141" s="1">
        <v>5091250</v>
      </c>
      <c r="AB1141" s="1" t="s">
        <v>874</v>
      </c>
      <c r="AC1141" s="5">
        <v>42466</v>
      </c>
      <c r="AF1141" s="1">
        <v>10010</v>
      </c>
      <c r="AI1141" s="1" t="s">
        <v>59</v>
      </c>
      <c r="AJ1141" s="1">
        <v>1915</v>
      </c>
      <c r="AK1141" s="1" t="s">
        <v>46</v>
      </c>
      <c r="AL1141" s="1">
        <v>125</v>
      </c>
    </row>
    <row r="1142" spans="1:38" x14ac:dyDescent="0.2">
      <c r="A1142" s="2" t="str">
        <f>HYPERLINK("https://www.compass.com/listing/10-madison-square-west-unit-15e-manhattan-ny-10010/29374746021925985/","10 Madison Sq W, Unit 15E")</f>
        <v>10 Madison Sq W, Unit 15E</v>
      </c>
      <c r="B1142" s="2" t="str">
        <f t="shared" si="211"/>
        <v>10 Madison Square West</v>
      </c>
      <c r="C1142" s="1" t="s">
        <v>154</v>
      </c>
      <c r="D1142" s="1" t="s">
        <v>41</v>
      </c>
      <c r="E1142" s="3">
        <v>9316988</v>
      </c>
      <c r="F1142" s="1">
        <v>3969.7432893054902</v>
      </c>
      <c r="H1142" s="1">
        <v>3</v>
      </c>
      <c r="J1142" s="1">
        <v>3.5</v>
      </c>
      <c r="M1142" s="4">
        <v>2347</v>
      </c>
      <c r="N1142" s="1">
        <v>2948.16</v>
      </c>
      <c r="O1142" s="1">
        <v>6989.91</v>
      </c>
      <c r="P1142" s="1">
        <v>4041.75</v>
      </c>
      <c r="Q1142" s="1" t="s">
        <v>42</v>
      </c>
      <c r="S1142" s="1" t="s">
        <v>42</v>
      </c>
      <c r="T1142" s="1" t="s">
        <v>170</v>
      </c>
      <c r="AA1142" s="1">
        <v>9316987.5</v>
      </c>
      <c r="AB1142" s="1" t="s">
        <v>875</v>
      </c>
      <c r="AC1142" s="5">
        <v>42544</v>
      </c>
      <c r="AF1142" s="1">
        <v>10010</v>
      </c>
      <c r="AI1142" s="1" t="s">
        <v>59</v>
      </c>
      <c r="AJ1142" s="1">
        <v>1915</v>
      </c>
      <c r="AK1142" s="1" t="s">
        <v>46</v>
      </c>
      <c r="AL1142" s="1">
        <v>125</v>
      </c>
    </row>
    <row r="1143" spans="1:38" x14ac:dyDescent="0.2">
      <c r="A1143" s="2" t="str">
        <f>HYPERLINK("https://www.compass.com/listing/10-madison-square-west-unit-19c-manhattan-ny-10010/29374752648981617/","10 Madison Sq W, Unit 19C")</f>
        <v>10 Madison Sq W, Unit 19C</v>
      </c>
      <c r="B1143" s="2" t="str">
        <f t="shared" si="211"/>
        <v>10 Madison Square West</v>
      </c>
      <c r="C1143" s="1" t="s">
        <v>154</v>
      </c>
      <c r="D1143" s="1" t="s">
        <v>41</v>
      </c>
      <c r="E1143" s="3">
        <v>11709875</v>
      </c>
      <c r="F1143" s="1">
        <v>4633.9038385437198</v>
      </c>
      <c r="H1143" s="1">
        <v>3</v>
      </c>
      <c r="J1143" s="1">
        <v>3.5</v>
      </c>
      <c r="K1143" s="1">
        <v>3</v>
      </c>
      <c r="L1143" s="1">
        <v>1</v>
      </c>
      <c r="M1143" s="4">
        <v>2527</v>
      </c>
      <c r="N1143" s="1">
        <v>3175</v>
      </c>
      <c r="O1143" s="1">
        <v>8178</v>
      </c>
      <c r="P1143" s="1">
        <v>5003</v>
      </c>
      <c r="Q1143" s="1" t="s">
        <v>42</v>
      </c>
      <c r="S1143" s="1" t="s">
        <v>42</v>
      </c>
      <c r="T1143" s="1" t="s">
        <v>170</v>
      </c>
      <c r="AA1143" s="1">
        <v>11709875</v>
      </c>
      <c r="AB1143" s="1" t="s">
        <v>876</v>
      </c>
      <c r="AC1143" s="5">
        <v>42839</v>
      </c>
      <c r="AF1143" s="1">
        <v>10010</v>
      </c>
      <c r="AI1143" s="1" t="s">
        <v>59</v>
      </c>
      <c r="AJ1143" s="1">
        <v>1915</v>
      </c>
      <c r="AK1143" s="1" t="s">
        <v>46</v>
      </c>
      <c r="AL1143" s="1">
        <v>125</v>
      </c>
    </row>
    <row r="1144" spans="1:38" x14ac:dyDescent="0.2">
      <c r="A1144" s="2" t="str">
        <f>HYPERLINK("https://www.compass.com/listing/10-madison-square-west-unit-5b-manhattan-ny-10010/29457349525757841/","10 Madison Sq W, Unit 5B")</f>
        <v>10 Madison Sq W, Unit 5B</v>
      </c>
      <c r="B1144" s="2" t="str">
        <f t="shared" si="211"/>
        <v>10 Madison Square West</v>
      </c>
      <c r="C1144" s="1" t="s">
        <v>154</v>
      </c>
      <c r="D1144" s="1" t="s">
        <v>41</v>
      </c>
      <c r="E1144" s="3">
        <v>5040338</v>
      </c>
      <c r="F1144" s="1">
        <v>2493.9819396338398</v>
      </c>
      <c r="H1144" s="1">
        <v>3</v>
      </c>
      <c r="J1144" s="1">
        <v>3.5</v>
      </c>
      <c r="K1144" s="1">
        <v>3</v>
      </c>
      <c r="L1144" s="1">
        <v>1</v>
      </c>
      <c r="M1144" s="4">
        <v>2021</v>
      </c>
      <c r="N1144" s="1">
        <v>2539</v>
      </c>
      <c r="O1144" s="1">
        <v>6455</v>
      </c>
      <c r="P1144" s="1">
        <v>3916</v>
      </c>
      <c r="Q1144" s="1" t="s">
        <v>42</v>
      </c>
      <c r="S1144" s="1" t="s">
        <v>42</v>
      </c>
      <c r="T1144" s="1" t="s">
        <v>170</v>
      </c>
      <c r="AA1144" s="1">
        <v>5040337.5</v>
      </c>
      <c r="AB1144" s="1" t="s">
        <v>877</v>
      </c>
      <c r="AC1144" s="5">
        <v>42402</v>
      </c>
      <c r="AF1144" s="1">
        <v>10010</v>
      </c>
      <c r="AI1144" s="1" t="s">
        <v>59</v>
      </c>
      <c r="AJ1144" s="1">
        <v>1915</v>
      </c>
      <c r="AK1144" s="1" t="s">
        <v>46</v>
      </c>
      <c r="AL1144" s="1">
        <v>125</v>
      </c>
    </row>
    <row r="1145" spans="1:38" x14ac:dyDescent="0.2">
      <c r="A1145" s="2" t="str">
        <f>HYPERLINK("https://www.compass.com/listing/10-madison-square-west-unit-7b-manhattan-ny-10010/528128665010692289/","10 Madison Sq W, Unit 7B")</f>
        <v>10 Madison Sq W, Unit 7B</v>
      </c>
      <c r="B1145" s="2" t="str">
        <f t="shared" si="211"/>
        <v>10 Madison Square West</v>
      </c>
      <c r="C1145" s="1" t="s">
        <v>154</v>
      </c>
      <c r="D1145" s="1" t="s">
        <v>41</v>
      </c>
      <c r="E1145" s="3">
        <v>5193075</v>
      </c>
      <c r="F1145" s="1">
        <v>2569.5571499257699</v>
      </c>
      <c r="H1145" s="1">
        <v>3</v>
      </c>
      <c r="J1145" s="1">
        <v>3.5</v>
      </c>
      <c r="M1145" s="4">
        <v>2021</v>
      </c>
      <c r="N1145" s="1">
        <v>2532</v>
      </c>
      <c r="O1145" s="1">
        <v>2532</v>
      </c>
      <c r="Q1145" s="1" t="s">
        <v>42</v>
      </c>
      <c r="S1145" s="1" t="s">
        <v>42</v>
      </c>
      <c r="T1145" s="1" t="s">
        <v>170</v>
      </c>
      <c r="AA1145" s="1">
        <v>5193075</v>
      </c>
      <c r="AB1145" s="1" t="s">
        <v>878</v>
      </c>
      <c r="AC1145" s="5">
        <v>42388</v>
      </c>
      <c r="AF1145" s="1">
        <v>10010</v>
      </c>
      <c r="AI1145" s="1" t="s">
        <v>59</v>
      </c>
      <c r="AJ1145" s="1">
        <v>1915</v>
      </c>
      <c r="AK1145" s="1" t="s">
        <v>46</v>
      </c>
      <c r="AL1145" s="1">
        <v>125</v>
      </c>
    </row>
    <row r="1146" spans="1:38" x14ac:dyDescent="0.2">
      <c r="A1146" s="2" t="str">
        <f>HYPERLINK("https://www.compass.com/listing/10-madison-square-west-unit-8b-manhattan-ny-10010/567519128158988953/","10 Madison Sq W, Unit 8B")</f>
        <v>10 Madison Sq W, Unit 8B</v>
      </c>
      <c r="B1146" s="2" t="str">
        <f t="shared" si="211"/>
        <v>10 Madison Square West</v>
      </c>
      <c r="C1146" s="1" t="s">
        <v>154</v>
      </c>
      <c r="D1146" s="1" t="s">
        <v>41</v>
      </c>
      <c r="E1146" s="3">
        <v>5193075</v>
      </c>
      <c r="F1146" s="1">
        <v>2569.5571499257699</v>
      </c>
      <c r="H1146" s="1">
        <v>3</v>
      </c>
      <c r="J1146" s="1">
        <v>3.5</v>
      </c>
      <c r="M1146" s="4">
        <v>2021</v>
      </c>
      <c r="N1146" s="1">
        <v>2532</v>
      </c>
      <c r="O1146" s="1">
        <v>2532</v>
      </c>
      <c r="Q1146" s="1" t="s">
        <v>42</v>
      </c>
      <c r="S1146" s="1" t="s">
        <v>42</v>
      </c>
      <c r="T1146" s="1" t="s">
        <v>170</v>
      </c>
      <c r="AA1146" s="1">
        <v>5193075</v>
      </c>
      <c r="AB1146" s="1" t="s">
        <v>879</v>
      </c>
      <c r="AC1146" s="5">
        <v>42488</v>
      </c>
      <c r="AF1146" s="1">
        <v>10010</v>
      </c>
      <c r="AI1146" s="1" t="s">
        <v>59</v>
      </c>
      <c r="AJ1146" s="1">
        <v>1915</v>
      </c>
      <c r="AK1146" s="1" t="s">
        <v>46</v>
      </c>
      <c r="AL1146" s="1">
        <v>125</v>
      </c>
    </row>
    <row r="1147" spans="1:38" x14ac:dyDescent="0.2">
      <c r="A1147" s="2" t="str">
        <f>HYPERLINK("https://www.compass.com/listing/10-madison-square-west-unit-2f-manhattan-ny-10010/79389245281722097/","10 Madison Sq W, Unit 2F")</f>
        <v>10 Madison Sq W, Unit 2F</v>
      </c>
      <c r="B1147" s="2" t="str">
        <f t="shared" si="211"/>
        <v>10 Madison Square West</v>
      </c>
      <c r="C1147" s="1" t="s">
        <v>154</v>
      </c>
      <c r="D1147" s="1" t="s">
        <v>41</v>
      </c>
      <c r="E1147" s="3">
        <v>7382313</v>
      </c>
      <c r="F1147" s="1">
        <v>3087.5418235048</v>
      </c>
      <c r="H1147" s="1">
        <v>3</v>
      </c>
      <c r="J1147" s="1">
        <v>3.5</v>
      </c>
      <c r="K1147" s="1">
        <v>3</v>
      </c>
      <c r="L1147" s="1">
        <v>1</v>
      </c>
      <c r="M1147" s="4">
        <v>2391</v>
      </c>
      <c r="N1147" s="1">
        <v>3003.43</v>
      </c>
      <c r="O1147" s="1">
        <v>7776.93</v>
      </c>
      <c r="P1147" s="1">
        <v>4773.5</v>
      </c>
      <c r="Q1147" s="1" t="s">
        <v>42</v>
      </c>
      <c r="S1147" s="1" t="s">
        <v>42</v>
      </c>
      <c r="T1147" s="1" t="s">
        <v>170</v>
      </c>
      <c r="AA1147" s="1">
        <v>7382312.5</v>
      </c>
      <c r="AB1147" s="1" t="s">
        <v>880</v>
      </c>
      <c r="AC1147" s="5">
        <v>42885</v>
      </c>
      <c r="AF1147" s="1">
        <v>10010</v>
      </c>
      <c r="AI1147" s="1" t="s">
        <v>59</v>
      </c>
      <c r="AJ1147" s="1">
        <v>1915</v>
      </c>
      <c r="AK1147" s="1" t="s">
        <v>46</v>
      </c>
      <c r="AL1147" s="1">
        <v>125</v>
      </c>
    </row>
    <row r="1148" spans="1:38" x14ac:dyDescent="0.2">
      <c r="A1148" s="2" t="str">
        <f>HYPERLINK("https://www.compass.com/listing/63-greene-street-unit-phc-manhattan-ny-10012/19416289231624513/","63 Greene St, Unit PHC")</f>
        <v>63 Greene St, Unit PHC</v>
      </c>
      <c r="B1148" s="2" t="str">
        <f t="shared" ref="B1148:B1149" si="212">HYPERLINK("https://www.compass.com/building/63-greene-street-manhattan-ny/292812252044627637/","63 Greene Street")</f>
        <v>63 Greene Street</v>
      </c>
      <c r="C1148" s="1" t="s">
        <v>104</v>
      </c>
      <c r="D1148" s="1" t="s">
        <v>41</v>
      </c>
      <c r="E1148" s="3">
        <v>5850000</v>
      </c>
      <c r="F1148" s="1">
        <v>2685.95041322314</v>
      </c>
      <c r="G1148" s="1">
        <v>5</v>
      </c>
      <c r="H1148" s="1">
        <v>2</v>
      </c>
      <c r="I1148" s="1">
        <v>2</v>
      </c>
      <c r="J1148" s="1">
        <v>2</v>
      </c>
      <c r="M1148" s="4">
        <v>2178</v>
      </c>
      <c r="N1148" s="1">
        <v>2555</v>
      </c>
      <c r="O1148" s="1">
        <v>7505</v>
      </c>
      <c r="P1148" s="1">
        <v>4950</v>
      </c>
      <c r="Q1148" s="1" t="s">
        <v>42</v>
      </c>
      <c r="S1148" s="1" t="s">
        <v>42</v>
      </c>
      <c r="T1148" s="1" t="s">
        <v>170</v>
      </c>
      <c r="U1148" s="1">
        <v>3</v>
      </c>
      <c r="V1148" s="5">
        <v>43654</v>
      </c>
      <c r="W1148" s="5">
        <v>42994</v>
      </c>
      <c r="X1148" s="1">
        <v>6145000</v>
      </c>
      <c r="Y1148" s="1">
        <v>6145000</v>
      </c>
      <c r="Z1148" s="5">
        <v>42997</v>
      </c>
      <c r="AA1148" s="1">
        <v>5850000</v>
      </c>
      <c r="AB1148" s="1" t="s">
        <v>881</v>
      </c>
      <c r="AC1148" s="5">
        <v>43074</v>
      </c>
      <c r="AF1148" s="1">
        <v>10012</v>
      </c>
      <c r="AI1148" s="1" t="s">
        <v>795</v>
      </c>
      <c r="AJ1148" s="1">
        <v>1877</v>
      </c>
      <c r="AK1148" s="1" t="s">
        <v>139</v>
      </c>
      <c r="AL1148" s="1">
        <v>23</v>
      </c>
    </row>
    <row r="1149" spans="1:38" x14ac:dyDescent="0.2">
      <c r="A1149" s="2" t="str">
        <f>HYPERLINK("https://www.compass.com/listing/63-greene-street-unit-phc-manhattan-ny-10012/801632172431368521/","63 Greene St, Unit PHC")</f>
        <v>63 Greene St, Unit PHC</v>
      </c>
      <c r="B1149" s="2" t="str">
        <f t="shared" si="212"/>
        <v>63 Greene Street</v>
      </c>
      <c r="C1149" s="1" t="s">
        <v>104</v>
      </c>
      <c r="D1149" s="1" t="s">
        <v>41</v>
      </c>
      <c r="E1149" s="3">
        <v>5850000</v>
      </c>
      <c r="F1149" s="1">
        <v>2685.95041322314</v>
      </c>
      <c r="G1149" s="1">
        <v>5</v>
      </c>
      <c r="H1149" s="1">
        <v>2</v>
      </c>
      <c r="I1149" s="1">
        <v>2</v>
      </c>
      <c r="J1149" s="1">
        <v>2</v>
      </c>
      <c r="K1149" s="1">
        <v>2</v>
      </c>
      <c r="M1149" s="4">
        <v>2178</v>
      </c>
      <c r="N1149" s="1">
        <v>2555</v>
      </c>
      <c r="O1149" s="1">
        <v>7505</v>
      </c>
      <c r="P1149" s="1">
        <v>4950</v>
      </c>
      <c r="Q1149" s="1" t="s">
        <v>42</v>
      </c>
      <c r="S1149" s="1" t="s">
        <v>42</v>
      </c>
      <c r="T1149" s="1" t="s">
        <v>170</v>
      </c>
      <c r="U1149" s="1">
        <v>81</v>
      </c>
      <c r="V1149" s="5">
        <v>43678</v>
      </c>
      <c r="W1149" s="5">
        <v>42993</v>
      </c>
      <c r="X1149" s="1">
        <v>6145000</v>
      </c>
      <c r="Y1149" s="1">
        <v>6145000</v>
      </c>
      <c r="AA1149" s="1">
        <v>5850000</v>
      </c>
      <c r="AB1149" s="1" t="s">
        <v>881</v>
      </c>
      <c r="AC1149" s="5">
        <v>43074</v>
      </c>
      <c r="AF1149" s="1">
        <v>10012</v>
      </c>
      <c r="AI1149" s="1" t="s">
        <v>786</v>
      </c>
      <c r="AJ1149" s="1">
        <v>1877</v>
      </c>
      <c r="AK1149" s="1" t="s">
        <v>139</v>
      </c>
      <c r="AL1149" s="1">
        <v>23</v>
      </c>
    </row>
    <row r="1150" spans="1:38" x14ac:dyDescent="0.2">
      <c r="A1150" s="2" t="str">
        <f>HYPERLINK("https://www.compass.com/listing/21-east-12th-street-unit-9b-manhattan-ny-10003/29514922094322993/","21 E 12th St, Unit 9B")</f>
        <v>21 E 12th St, Unit 9B</v>
      </c>
      <c r="B1150" s="2" t="str">
        <f t="shared" ref="B1150:B1165" si="213">HYPERLINK("https://www.compass.com/building/21-east-12th-street-manhattan-ny/292779727154847925/","21 East 12th Street")</f>
        <v>21 East 12th Street</v>
      </c>
      <c r="C1150" s="1" t="s">
        <v>370</v>
      </c>
      <c r="D1150" s="1" t="s">
        <v>41</v>
      </c>
      <c r="E1150" s="3">
        <v>4782960</v>
      </c>
      <c r="F1150" s="1">
        <v>2936.13259668508</v>
      </c>
      <c r="G1150" s="1">
        <v>4</v>
      </c>
      <c r="H1150" s="1">
        <v>2</v>
      </c>
      <c r="I1150" s="1">
        <v>3</v>
      </c>
      <c r="J1150" s="1">
        <v>2.5</v>
      </c>
      <c r="K1150" s="1">
        <v>2</v>
      </c>
      <c r="L1150" s="1">
        <v>1</v>
      </c>
      <c r="M1150" s="4">
        <v>1629</v>
      </c>
      <c r="N1150" s="1">
        <v>2124</v>
      </c>
      <c r="O1150" s="1">
        <v>5369</v>
      </c>
      <c r="P1150" s="1">
        <v>3245</v>
      </c>
      <c r="Q1150" s="1" t="s">
        <v>42</v>
      </c>
      <c r="S1150" s="1" t="s">
        <v>42</v>
      </c>
      <c r="T1150" s="1" t="s">
        <v>170</v>
      </c>
      <c r="U1150" s="1">
        <v>153</v>
      </c>
      <c r="V1150" s="5">
        <v>43685</v>
      </c>
      <c r="W1150" s="5">
        <v>42769</v>
      </c>
      <c r="X1150" s="1">
        <v>4750000</v>
      </c>
      <c r="Y1150" s="1">
        <v>4750000</v>
      </c>
      <c r="Z1150" s="5">
        <v>42922</v>
      </c>
      <c r="AA1150" s="1">
        <v>4782960</v>
      </c>
      <c r="AB1150" s="1" t="s">
        <v>882</v>
      </c>
      <c r="AC1150" s="5">
        <v>43578</v>
      </c>
      <c r="AF1150" s="1">
        <v>10003</v>
      </c>
      <c r="AI1150" s="1" t="s">
        <v>59</v>
      </c>
      <c r="AJ1150" s="1">
        <v>2018</v>
      </c>
      <c r="AK1150" s="1" t="s">
        <v>740</v>
      </c>
      <c r="AL1150" s="1">
        <v>52</v>
      </c>
    </row>
    <row r="1151" spans="1:38" x14ac:dyDescent="0.2">
      <c r="A1151" s="2" t="str">
        <f>HYPERLINK("https://www.compass.com/listing/21-east-12th-street-unit-16b-manhattan-ny-10003/29514926800332273/","21 E 12th St, Unit 16B")</f>
        <v>21 E 12th St, Unit 16B</v>
      </c>
      <c r="B1151" s="2" t="str">
        <f t="shared" si="213"/>
        <v>21 East 12th Street</v>
      </c>
      <c r="C1151" s="1" t="s">
        <v>370</v>
      </c>
      <c r="D1151" s="1" t="s">
        <v>41</v>
      </c>
      <c r="E1151" s="3">
        <v>5105867</v>
      </c>
      <c r="F1151" s="1">
        <v>3134.3564456721901</v>
      </c>
      <c r="G1151" s="1">
        <v>4</v>
      </c>
      <c r="H1151" s="1">
        <v>2</v>
      </c>
      <c r="I1151" s="1">
        <v>3</v>
      </c>
      <c r="J1151" s="1">
        <v>2.5</v>
      </c>
      <c r="K1151" s="1">
        <v>2</v>
      </c>
      <c r="L1151" s="1">
        <v>1</v>
      </c>
      <c r="M1151" s="4">
        <v>1629</v>
      </c>
      <c r="N1151" s="1">
        <v>2124</v>
      </c>
      <c r="O1151" s="1">
        <v>5369</v>
      </c>
      <c r="P1151" s="1">
        <v>3245</v>
      </c>
      <c r="Q1151" s="1" t="s">
        <v>42</v>
      </c>
      <c r="S1151" s="1" t="s">
        <v>42</v>
      </c>
      <c r="T1151" s="1" t="s">
        <v>170</v>
      </c>
      <c r="U1151" s="1">
        <v>4</v>
      </c>
      <c r="V1151" s="5">
        <v>43631</v>
      </c>
      <c r="W1151" s="5">
        <v>42580</v>
      </c>
      <c r="X1151" s="1">
        <v>5150000</v>
      </c>
      <c r="Y1151" s="1">
        <v>5150000</v>
      </c>
      <c r="Z1151" s="5">
        <v>42585</v>
      </c>
      <c r="AA1151" s="1">
        <v>5105866.6500000004</v>
      </c>
      <c r="AB1151" s="1" t="s">
        <v>883</v>
      </c>
      <c r="AC1151" s="5">
        <v>43616</v>
      </c>
      <c r="AF1151" s="1">
        <v>10003</v>
      </c>
      <c r="AI1151" s="1" t="s">
        <v>59</v>
      </c>
      <c r="AJ1151" s="1">
        <v>2018</v>
      </c>
      <c r="AK1151" s="1" t="s">
        <v>740</v>
      </c>
      <c r="AL1151" s="1">
        <v>52</v>
      </c>
    </row>
    <row r="1152" spans="1:38" x14ac:dyDescent="0.2">
      <c r="A1152" s="2" t="str">
        <f>HYPERLINK("https://www.compass.com/listing/21-east-12th-street-unit-17b-manhattan-ny-10003/29514927370716673/","21 E 12th St, Unit 17B")</f>
        <v>21 E 12th St, Unit 17B</v>
      </c>
      <c r="B1152" s="2" t="str">
        <f t="shared" si="213"/>
        <v>21 East 12th Street</v>
      </c>
      <c r="C1152" s="1" t="s">
        <v>370</v>
      </c>
      <c r="D1152" s="1" t="s">
        <v>41</v>
      </c>
      <c r="E1152" s="3">
        <v>5207692</v>
      </c>
      <c r="F1152" s="1">
        <v>3196.86411909146</v>
      </c>
      <c r="G1152" s="1">
        <v>4</v>
      </c>
      <c r="H1152" s="1">
        <v>2</v>
      </c>
      <c r="I1152" s="1">
        <v>3</v>
      </c>
      <c r="J1152" s="1">
        <v>2.5</v>
      </c>
      <c r="K1152" s="1">
        <v>2</v>
      </c>
      <c r="L1152" s="1">
        <v>1</v>
      </c>
      <c r="M1152" s="4">
        <v>1629</v>
      </c>
      <c r="N1152" s="1">
        <v>2124</v>
      </c>
      <c r="O1152" s="1">
        <v>5369</v>
      </c>
      <c r="P1152" s="1">
        <v>3245</v>
      </c>
      <c r="Q1152" s="1" t="s">
        <v>42</v>
      </c>
      <c r="S1152" s="1" t="s">
        <v>42</v>
      </c>
      <c r="T1152" s="1" t="s">
        <v>170</v>
      </c>
      <c r="U1152" s="1">
        <v>4</v>
      </c>
      <c r="V1152" s="5">
        <v>43713</v>
      </c>
      <c r="W1152" s="5">
        <v>42581</v>
      </c>
      <c r="X1152" s="1">
        <v>5250000</v>
      </c>
      <c r="Y1152" s="1">
        <v>5250000</v>
      </c>
      <c r="Z1152" s="5">
        <v>42585</v>
      </c>
      <c r="AA1152" s="1">
        <v>5207691.6500000004</v>
      </c>
      <c r="AB1152" s="1" t="s">
        <v>884</v>
      </c>
      <c r="AC1152" s="5">
        <v>43663</v>
      </c>
      <c r="AF1152" s="1">
        <v>10003</v>
      </c>
      <c r="AI1152" s="1" t="s">
        <v>59</v>
      </c>
      <c r="AJ1152" s="1">
        <v>2018</v>
      </c>
      <c r="AK1152" s="1" t="s">
        <v>740</v>
      </c>
      <c r="AL1152" s="1">
        <v>52</v>
      </c>
    </row>
    <row r="1153" spans="1:38" x14ac:dyDescent="0.2">
      <c r="A1153" s="2" t="str">
        <f>HYPERLINK("https://www.compass.com/listing/21-east-12th-street-unit-12b-manhattan-ny-10003/29514927941114673/","21 E 12th St, Unit 12B")</f>
        <v>21 E 12th St, Unit 12B</v>
      </c>
      <c r="B1153" s="2" t="str">
        <f t="shared" si="213"/>
        <v>21 East 12th Street</v>
      </c>
      <c r="C1153" s="1" t="s">
        <v>370</v>
      </c>
      <c r="D1153" s="1" t="s">
        <v>41</v>
      </c>
      <c r="E1153" s="3">
        <v>4804210</v>
      </c>
      <c r="F1153" s="1">
        <v>2949.1774647022698</v>
      </c>
      <c r="G1153" s="1">
        <v>4</v>
      </c>
      <c r="H1153" s="1">
        <v>2</v>
      </c>
      <c r="I1153" s="1">
        <v>3</v>
      </c>
      <c r="J1153" s="1">
        <v>2.5</v>
      </c>
      <c r="K1153" s="1">
        <v>2</v>
      </c>
      <c r="L1153" s="1">
        <v>1</v>
      </c>
      <c r="M1153" s="4">
        <v>1629</v>
      </c>
      <c r="N1153" s="1">
        <v>2124</v>
      </c>
      <c r="O1153" s="1">
        <v>5369</v>
      </c>
      <c r="P1153" s="1">
        <v>3245</v>
      </c>
      <c r="Q1153" s="1" t="s">
        <v>42</v>
      </c>
      <c r="S1153" s="1" t="s">
        <v>42</v>
      </c>
      <c r="T1153" s="1" t="s">
        <v>170</v>
      </c>
      <c r="U1153" s="1">
        <v>4</v>
      </c>
      <c r="V1153" s="5">
        <v>43608</v>
      </c>
      <c r="W1153" s="5">
        <v>42580</v>
      </c>
      <c r="X1153" s="1">
        <v>4900000</v>
      </c>
      <c r="Y1153" s="1">
        <v>4900000</v>
      </c>
      <c r="Z1153" s="5">
        <v>42585</v>
      </c>
      <c r="AA1153" s="1">
        <v>4804210.09</v>
      </c>
      <c r="AB1153" s="1" t="s">
        <v>885</v>
      </c>
      <c r="AC1153" s="5">
        <v>43607</v>
      </c>
      <c r="AF1153" s="1">
        <v>10003</v>
      </c>
      <c r="AI1153" s="1" t="s">
        <v>59</v>
      </c>
      <c r="AJ1153" s="1">
        <v>2018</v>
      </c>
      <c r="AK1153" s="1" t="s">
        <v>740</v>
      </c>
      <c r="AL1153" s="1">
        <v>52</v>
      </c>
    </row>
    <row r="1154" spans="1:38" x14ac:dyDescent="0.2">
      <c r="A1154" s="2" t="str">
        <f>HYPERLINK("https://www.compass.com/listing/21-east-12th-street-unit-11b-manhattan-ny-10003/29514928226354721/","21 E 12th St, Unit 11B")</f>
        <v>21 E 12th St, Unit 11B</v>
      </c>
      <c r="B1154" s="2" t="str">
        <f t="shared" si="213"/>
        <v>21 East 12th Street</v>
      </c>
      <c r="C1154" s="1" t="s">
        <v>370</v>
      </c>
      <c r="D1154" s="1" t="s">
        <v>41</v>
      </c>
      <c r="E1154" s="3">
        <v>4825848</v>
      </c>
      <c r="F1154" s="1">
        <v>2962.4604051565302</v>
      </c>
      <c r="G1154" s="1">
        <v>4</v>
      </c>
      <c r="H1154" s="1">
        <v>2</v>
      </c>
      <c r="I1154" s="1">
        <v>3</v>
      </c>
      <c r="J1154" s="1">
        <v>2.5</v>
      </c>
      <c r="K1154" s="1">
        <v>2</v>
      </c>
      <c r="L1154" s="1">
        <v>1</v>
      </c>
      <c r="M1154" s="4">
        <v>1629</v>
      </c>
      <c r="N1154" s="1">
        <v>2124</v>
      </c>
      <c r="O1154" s="1">
        <v>5369</v>
      </c>
      <c r="P1154" s="1">
        <v>3245</v>
      </c>
      <c r="Q1154" s="1" t="s">
        <v>42</v>
      </c>
      <c r="S1154" s="1" t="s">
        <v>42</v>
      </c>
      <c r="T1154" s="1" t="s">
        <v>170</v>
      </c>
      <c r="U1154" s="1">
        <v>4</v>
      </c>
      <c r="V1154" s="5">
        <v>43637</v>
      </c>
      <c r="W1154" s="5">
        <v>42581</v>
      </c>
      <c r="X1154" s="1">
        <v>4850000</v>
      </c>
      <c r="Y1154" s="1">
        <v>4850000</v>
      </c>
      <c r="Z1154" s="5">
        <v>42585</v>
      </c>
      <c r="AA1154" s="1">
        <v>4825848</v>
      </c>
      <c r="AB1154" s="1" t="s">
        <v>886</v>
      </c>
      <c r="AC1154" s="5">
        <v>43580</v>
      </c>
      <c r="AF1154" s="1">
        <v>10003</v>
      </c>
      <c r="AI1154" s="1" t="s">
        <v>59</v>
      </c>
      <c r="AJ1154" s="1">
        <v>2018</v>
      </c>
      <c r="AK1154" s="1" t="s">
        <v>740</v>
      </c>
      <c r="AL1154" s="1">
        <v>52</v>
      </c>
    </row>
    <row r="1155" spans="1:38" x14ac:dyDescent="0.2">
      <c r="A1155" s="2" t="str">
        <f>HYPERLINK("https://www.compass.com/listing/21-east-12th-street-unit-14b-manhattan-ny-10003/29514928469665329/","21 E 12th St, Unit 14B")</f>
        <v>21 E 12th St, Unit 14B</v>
      </c>
      <c r="B1155" s="2" t="str">
        <f t="shared" si="213"/>
        <v>21 East 12th Street</v>
      </c>
      <c r="C1155" s="1" t="s">
        <v>370</v>
      </c>
      <c r="D1155" s="1" t="s">
        <v>41</v>
      </c>
      <c r="E1155" s="3">
        <v>5058923</v>
      </c>
      <c r="F1155" s="1">
        <v>3105.53898096992</v>
      </c>
      <c r="G1155" s="1">
        <v>4</v>
      </c>
      <c r="H1155" s="1">
        <v>2</v>
      </c>
      <c r="I1155" s="1">
        <v>3</v>
      </c>
      <c r="J1155" s="1">
        <v>2.5</v>
      </c>
      <c r="K1155" s="1">
        <v>2</v>
      </c>
      <c r="L1155" s="1">
        <v>1</v>
      </c>
      <c r="M1155" s="4">
        <v>1629</v>
      </c>
      <c r="N1155" s="1">
        <v>2124</v>
      </c>
      <c r="O1155" s="1">
        <v>5369</v>
      </c>
      <c r="P1155" s="1">
        <v>3245</v>
      </c>
      <c r="Q1155" s="1" t="s">
        <v>42</v>
      </c>
      <c r="S1155" s="1" t="s">
        <v>42</v>
      </c>
      <c r="T1155" s="1" t="s">
        <v>170</v>
      </c>
      <c r="U1155" s="1">
        <v>4</v>
      </c>
      <c r="V1155" s="5">
        <v>43694</v>
      </c>
      <c r="W1155" s="5">
        <v>42581</v>
      </c>
      <c r="X1155" s="1">
        <v>4975000</v>
      </c>
      <c r="Y1155" s="1">
        <v>4975000</v>
      </c>
      <c r="Z1155" s="5">
        <v>42585</v>
      </c>
      <c r="AA1155" s="1">
        <v>5058923</v>
      </c>
      <c r="AB1155" s="1" t="s">
        <v>887</v>
      </c>
      <c r="AC1155" s="5">
        <v>43620</v>
      </c>
      <c r="AF1155" s="1">
        <v>10003</v>
      </c>
      <c r="AI1155" s="1" t="s">
        <v>59</v>
      </c>
      <c r="AJ1155" s="1">
        <v>2018</v>
      </c>
      <c r="AK1155" s="1" t="s">
        <v>740</v>
      </c>
      <c r="AL1155" s="1">
        <v>52</v>
      </c>
    </row>
    <row r="1156" spans="1:38" x14ac:dyDescent="0.2">
      <c r="A1156" s="2" t="str">
        <f>HYPERLINK("https://www.compass.com/listing/21-east-12th-street-unit-11a-manhattan-ny-10003/29514929308526145/","21 E 12th St, Unit 11A")</f>
        <v>21 E 12th St, Unit 11A</v>
      </c>
      <c r="B1156" s="2" t="str">
        <f t="shared" si="213"/>
        <v>21 East 12th Street</v>
      </c>
      <c r="C1156" s="1" t="s">
        <v>370</v>
      </c>
      <c r="D1156" s="1" t="s">
        <v>41</v>
      </c>
      <c r="E1156" s="3">
        <v>4381008</v>
      </c>
      <c r="F1156" s="1">
        <v>2964.1461434370699</v>
      </c>
      <c r="G1156" s="1">
        <v>4</v>
      </c>
      <c r="H1156" s="1">
        <v>2</v>
      </c>
      <c r="I1156" s="1">
        <v>3</v>
      </c>
      <c r="J1156" s="1">
        <v>2.5</v>
      </c>
      <c r="K1156" s="1">
        <v>2</v>
      </c>
      <c r="L1156" s="1">
        <v>1</v>
      </c>
      <c r="M1156" s="4">
        <v>1478</v>
      </c>
      <c r="N1156" s="1">
        <v>1927</v>
      </c>
      <c r="O1156" s="1">
        <v>4871</v>
      </c>
      <c r="P1156" s="1">
        <v>2944</v>
      </c>
      <c r="Q1156" s="1" t="s">
        <v>42</v>
      </c>
      <c r="S1156" s="1" t="s">
        <v>42</v>
      </c>
      <c r="T1156" s="1" t="s">
        <v>170</v>
      </c>
      <c r="U1156" s="1">
        <v>4</v>
      </c>
      <c r="V1156" s="5">
        <v>43648</v>
      </c>
      <c r="W1156" s="5">
        <v>42581</v>
      </c>
      <c r="X1156" s="1">
        <v>4450000</v>
      </c>
      <c r="Y1156" s="1">
        <v>4475000</v>
      </c>
      <c r="Z1156" s="5">
        <v>42585</v>
      </c>
      <c r="AA1156" s="1">
        <v>4381008</v>
      </c>
      <c r="AB1156" s="1" t="s">
        <v>888</v>
      </c>
      <c r="AC1156" s="5">
        <v>43600</v>
      </c>
      <c r="AF1156" s="1">
        <v>10003</v>
      </c>
      <c r="AI1156" s="1" t="s">
        <v>59</v>
      </c>
      <c r="AJ1156" s="1">
        <v>2018</v>
      </c>
      <c r="AK1156" s="1" t="s">
        <v>740</v>
      </c>
      <c r="AL1156" s="1">
        <v>52</v>
      </c>
    </row>
    <row r="1157" spans="1:38" x14ac:dyDescent="0.2">
      <c r="A1157" s="2" t="str">
        <f>HYPERLINK("https://www.compass.com/listing/21-east-12th-street-unit-12a-manhattan-ny-10003/29514929602059121/","21 E 12th St, Unit 12A")</f>
        <v>21 E 12th St, Unit 12A</v>
      </c>
      <c r="B1157" s="2" t="str">
        <f t="shared" si="213"/>
        <v>21 East 12th Street</v>
      </c>
      <c r="C1157" s="1" t="s">
        <v>370</v>
      </c>
      <c r="D1157" s="1" t="s">
        <v>41</v>
      </c>
      <c r="E1157" s="3">
        <v>4432521</v>
      </c>
      <c r="F1157" s="1">
        <v>2998.9993234100102</v>
      </c>
      <c r="G1157" s="1">
        <v>4</v>
      </c>
      <c r="H1157" s="1">
        <v>2</v>
      </c>
      <c r="I1157" s="1">
        <v>3</v>
      </c>
      <c r="J1157" s="1">
        <v>2.5</v>
      </c>
      <c r="K1157" s="1">
        <v>2</v>
      </c>
      <c r="L1157" s="1">
        <v>1</v>
      </c>
      <c r="M1157" s="4">
        <v>1478</v>
      </c>
      <c r="N1157" s="1">
        <v>1927</v>
      </c>
      <c r="O1157" s="1">
        <v>4871</v>
      </c>
      <c r="P1157" s="1">
        <v>2944</v>
      </c>
      <c r="Q1157" s="1" t="s">
        <v>42</v>
      </c>
      <c r="S1157" s="1" t="s">
        <v>42</v>
      </c>
      <c r="T1157" s="1" t="s">
        <v>170</v>
      </c>
      <c r="U1157" s="1">
        <v>4</v>
      </c>
      <c r="V1157" s="5">
        <v>43648</v>
      </c>
      <c r="W1157" s="5">
        <v>42581</v>
      </c>
      <c r="X1157" s="1">
        <v>4500000</v>
      </c>
      <c r="Y1157" s="1">
        <v>4525000</v>
      </c>
      <c r="Z1157" s="5">
        <v>42585</v>
      </c>
      <c r="AA1157" s="1">
        <v>4432521</v>
      </c>
      <c r="AB1157" s="1" t="s">
        <v>889</v>
      </c>
      <c r="AC1157" s="5">
        <v>43601</v>
      </c>
      <c r="AF1157" s="1">
        <v>10003</v>
      </c>
      <c r="AI1157" s="1" t="s">
        <v>59</v>
      </c>
      <c r="AJ1157" s="1">
        <v>2018</v>
      </c>
      <c r="AK1157" s="1" t="s">
        <v>740</v>
      </c>
      <c r="AL1157" s="1">
        <v>52</v>
      </c>
    </row>
    <row r="1158" spans="1:38" x14ac:dyDescent="0.2">
      <c r="A1158" s="2" t="str">
        <f>HYPERLINK("https://www.compass.com/listing/21-east-12th-street-unit-17a-manhattan-ny-10003/29514930147386977/","21 E 12th St, Unit 17A")</f>
        <v>21 E 12th St, Unit 17A</v>
      </c>
      <c r="B1158" s="2" t="str">
        <f t="shared" si="213"/>
        <v>21 East 12th Street</v>
      </c>
      <c r="C1158" s="1" t="s">
        <v>370</v>
      </c>
      <c r="D1158" s="1" t="s">
        <v>41</v>
      </c>
      <c r="E1158" s="3">
        <v>4796677</v>
      </c>
      <c r="F1158" s="1">
        <v>3245.3836941813202</v>
      </c>
      <c r="G1158" s="1">
        <v>4</v>
      </c>
      <c r="H1158" s="1">
        <v>2</v>
      </c>
      <c r="I1158" s="1">
        <v>3</v>
      </c>
      <c r="J1158" s="1">
        <v>2.5</v>
      </c>
      <c r="K1158" s="1">
        <v>2</v>
      </c>
      <c r="L1158" s="1">
        <v>1</v>
      </c>
      <c r="M1158" s="4">
        <v>1478</v>
      </c>
      <c r="N1158" s="1">
        <v>1927</v>
      </c>
      <c r="O1158" s="1">
        <v>4871</v>
      </c>
      <c r="P1158" s="1">
        <v>2944</v>
      </c>
      <c r="Q1158" s="1" t="s">
        <v>42</v>
      </c>
      <c r="S1158" s="1" t="s">
        <v>42</v>
      </c>
      <c r="T1158" s="1" t="s">
        <v>170</v>
      </c>
      <c r="U1158" s="1">
        <v>4</v>
      </c>
      <c r="V1158" s="5">
        <v>43669</v>
      </c>
      <c r="W1158" s="5">
        <v>42581</v>
      </c>
      <c r="X1158" s="1">
        <v>4850000</v>
      </c>
      <c r="Y1158" s="1">
        <v>4875000</v>
      </c>
      <c r="Z1158" s="5">
        <v>42585</v>
      </c>
      <c r="AA1158" s="1">
        <v>4796677.0999999996</v>
      </c>
      <c r="AB1158" s="1" t="s">
        <v>890</v>
      </c>
      <c r="AC1158" s="5">
        <v>43663</v>
      </c>
      <c r="AF1158" s="1">
        <v>10003</v>
      </c>
      <c r="AI1158" s="1" t="s">
        <v>59</v>
      </c>
      <c r="AJ1158" s="1">
        <v>2018</v>
      </c>
      <c r="AK1158" s="1" t="s">
        <v>740</v>
      </c>
      <c r="AL1158" s="1">
        <v>52</v>
      </c>
    </row>
    <row r="1159" spans="1:38" x14ac:dyDescent="0.2">
      <c r="A1159" s="2" t="str">
        <f>HYPERLINK("https://www.compass.com/listing/21-east-12th-street-unit-15a-manhattan-ny-10003/29514930466085793/","21 E 12th St, Unit 15A")</f>
        <v>21 E 12th St, Unit 15A</v>
      </c>
      <c r="B1159" s="2" t="str">
        <f t="shared" si="213"/>
        <v>21 East 12th Street</v>
      </c>
      <c r="C1159" s="1" t="s">
        <v>370</v>
      </c>
      <c r="D1159" s="1" t="s">
        <v>41</v>
      </c>
      <c r="E1159" s="3">
        <v>4618483</v>
      </c>
      <c r="F1159" s="1">
        <v>3124.8195872801002</v>
      </c>
      <c r="G1159" s="1">
        <v>4</v>
      </c>
      <c r="H1159" s="1">
        <v>2</v>
      </c>
      <c r="I1159" s="1">
        <v>3</v>
      </c>
      <c r="J1159" s="1">
        <v>2.5</v>
      </c>
      <c r="K1159" s="1">
        <v>2</v>
      </c>
      <c r="L1159" s="1">
        <v>1</v>
      </c>
      <c r="M1159" s="4">
        <v>1478</v>
      </c>
      <c r="N1159" s="1">
        <v>1927</v>
      </c>
      <c r="O1159" s="1">
        <v>4871</v>
      </c>
      <c r="P1159" s="1">
        <v>2944</v>
      </c>
      <c r="Q1159" s="1" t="s">
        <v>42</v>
      </c>
      <c r="S1159" s="1" t="s">
        <v>42</v>
      </c>
      <c r="T1159" s="1" t="s">
        <v>170</v>
      </c>
      <c r="U1159" s="1">
        <v>4</v>
      </c>
      <c r="V1159" s="5">
        <v>43607</v>
      </c>
      <c r="W1159" s="5">
        <v>42580</v>
      </c>
      <c r="X1159" s="1">
        <v>4675000</v>
      </c>
      <c r="Y1159" s="1">
        <v>4700000</v>
      </c>
      <c r="Z1159" s="5">
        <v>42585</v>
      </c>
      <c r="AA1159" s="1">
        <v>4618483.3499999996</v>
      </c>
      <c r="AB1159" s="1" t="s">
        <v>891</v>
      </c>
      <c r="AC1159" s="5">
        <v>43602</v>
      </c>
      <c r="AF1159" s="1">
        <v>10003</v>
      </c>
      <c r="AI1159" s="1" t="s">
        <v>59</v>
      </c>
      <c r="AJ1159" s="1">
        <v>2018</v>
      </c>
      <c r="AK1159" s="1" t="s">
        <v>740</v>
      </c>
      <c r="AL1159" s="1">
        <v>52</v>
      </c>
    </row>
    <row r="1160" spans="1:38" x14ac:dyDescent="0.2">
      <c r="A1160" s="2" t="str">
        <f>HYPERLINK("https://www.compass.com/listing/21-east-12th-street-unit-5b-manhattan-ny-10003/29514931053356673/","21 E 12th St, Unit 5B")</f>
        <v>21 E 12th St, Unit 5B</v>
      </c>
      <c r="B1160" s="2" t="str">
        <f t="shared" si="213"/>
        <v>21 East 12th Street</v>
      </c>
      <c r="C1160" s="1" t="s">
        <v>370</v>
      </c>
      <c r="D1160" s="1" t="s">
        <v>41</v>
      </c>
      <c r="E1160" s="3">
        <v>4429042</v>
      </c>
      <c r="F1160" s="1">
        <v>2718.87170042971</v>
      </c>
      <c r="G1160" s="1">
        <v>4</v>
      </c>
      <c r="H1160" s="1">
        <v>2</v>
      </c>
      <c r="I1160" s="1">
        <v>3</v>
      </c>
      <c r="J1160" s="1">
        <v>2.5</v>
      </c>
      <c r="K1160" s="1">
        <v>2</v>
      </c>
      <c r="L1160" s="1">
        <v>1</v>
      </c>
      <c r="M1160" s="4">
        <v>1629</v>
      </c>
      <c r="N1160" s="1">
        <v>2124</v>
      </c>
      <c r="O1160" s="1">
        <v>5369</v>
      </c>
      <c r="P1160" s="1">
        <v>3245</v>
      </c>
      <c r="Q1160" s="1" t="s">
        <v>42</v>
      </c>
      <c r="S1160" s="1" t="s">
        <v>42</v>
      </c>
      <c r="T1160" s="1" t="s">
        <v>170</v>
      </c>
      <c r="V1160" s="5">
        <v>43648</v>
      </c>
      <c r="W1160" s="5">
        <v>42630</v>
      </c>
      <c r="X1160" s="1">
        <v>4350000</v>
      </c>
      <c r="Y1160" s="1">
        <v>4350000</v>
      </c>
      <c r="Z1160" s="5">
        <v>42630</v>
      </c>
      <c r="AA1160" s="1">
        <v>4429042</v>
      </c>
      <c r="AB1160" s="1" t="s">
        <v>892</v>
      </c>
      <c r="AC1160" s="5">
        <v>43550</v>
      </c>
      <c r="AF1160" s="1">
        <v>10003</v>
      </c>
      <c r="AI1160" s="1" t="s">
        <v>59</v>
      </c>
      <c r="AJ1160" s="1">
        <v>2018</v>
      </c>
      <c r="AK1160" s="1" t="s">
        <v>740</v>
      </c>
      <c r="AL1160" s="1">
        <v>52</v>
      </c>
    </row>
    <row r="1161" spans="1:38" x14ac:dyDescent="0.2">
      <c r="A1161" s="2" t="str">
        <f>HYPERLINK("https://www.compass.com/listing/21-east-12th-street-unit-7b-manhattan-ny-10003/29514932227761825/","21 E 12th St, Unit 7B")</f>
        <v>21 E 12th St, Unit 7B</v>
      </c>
      <c r="B1161" s="2" t="str">
        <f t="shared" si="213"/>
        <v>21 East 12th Street</v>
      </c>
      <c r="C1161" s="1" t="s">
        <v>370</v>
      </c>
      <c r="D1161" s="1" t="s">
        <v>41</v>
      </c>
      <c r="E1161" s="3">
        <v>4581135</v>
      </c>
      <c r="F1161" s="1">
        <v>2812.2375690607701</v>
      </c>
      <c r="G1161" s="1">
        <v>4</v>
      </c>
      <c r="H1161" s="1">
        <v>2</v>
      </c>
      <c r="I1161" s="1">
        <v>3</v>
      </c>
      <c r="J1161" s="1">
        <v>2.5</v>
      </c>
      <c r="K1161" s="1">
        <v>2</v>
      </c>
      <c r="L1161" s="1">
        <v>1</v>
      </c>
      <c r="M1161" s="4">
        <v>1629</v>
      </c>
      <c r="N1161" s="1">
        <v>2124</v>
      </c>
      <c r="O1161" s="1">
        <v>5369</v>
      </c>
      <c r="P1161" s="1">
        <v>3245</v>
      </c>
      <c r="Q1161" s="1" t="s">
        <v>42</v>
      </c>
      <c r="S1161" s="1" t="s">
        <v>42</v>
      </c>
      <c r="T1161" s="1" t="s">
        <v>170</v>
      </c>
      <c r="U1161" s="1">
        <v>178</v>
      </c>
      <c r="V1161" s="5">
        <v>43637</v>
      </c>
      <c r="W1161" s="5">
        <v>42591</v>
      </c>
      <c r="X1161" s="1">
        <v>4450000</v>
      </c>
      <c r="Y1161" s="1">
        <v>4650000</v>
      </c>
      <c r="Z1161" s="5">
        <v>42769</v>
      </c>
      <c r="AA1161" s="1">
        <v>4581135</v>
      </c>
      <c r="AB1161" s="1" t="s">
        <v>893</v>
      </c>
      <c r="AC1161" s="5">
        <v>43568</v>
      </c>
      <c r="AF1161" s="1">
        <v>10003</v>
      </c>
      <c r="AI1161" s="1" t="s">
        <v>59</v>
      </c>
      <c r="AJ1161" s="1">
        <v>2018</v>
      </c>
      <c r="AK1161" s="1" t="s">
        <v>740</v>
      </c>
      <c r="AL1161" s="1">
        <v>52</v>
      </c>
    </row>
    <row r="1162" spans="1:38" x14ac:dyDescent="0.2">
      <c r="A1162" s="2" t="str">
        <f>HYPERLINK("https://www.compass.com/listing/21-east-12th-street-unit-16a-manhattan-ny-10003/29514933116913329/","21 E 12th St, Unit 16A")</f>
        <v>21 E 12th St, Unit 16A</v>
      </c>
      <c r="B1162" s="2" t="str">
        <f t="shared" si="213"/>
        <v>21 East 12th Street</v>
      </c>
      <c r="C1162" s="1" t="s">
        <v>370</v>
      </c>
      <c r="D1162" s="1" t="s">
        <v>41</v>
      </c>
      <c r="E1162" s="3">
        <v>4829702</v>
      </c>
      <c r="F1162" s="1">
        <v>3267.7280784844302</v>
      </c>
      <c r="G1162" s="1">
        <v>4</v>
      </c>
      <c r="H1162" s="1">
        <v>2</v>
      </c>
      <c r="I1162" s="1">
        <v>3</v>
      </c>
      <c r="J1162" s="1">
        <v>2.5</v>
      </c>
      <c r="K1162" s="1">
        <v>2</v>
      </c>
      <c r="L1162" s="1">
        <v>1</v>
      </c>
      <c r="M1162" s="4">
        <v>1478</v>
      </c>
      <c r="N1162" s="1">
        <v>1927</v>
      </c>
      <c r="O1162" s="1">
        <v>4871</v>
      </c>
      <c r="P1162" s="1">
        <v>2944</v>
      </c>
      <c r="Q1162" s="1" t="s">
        <v>42</v>
      </c>
      <c r="S1162" s="1" t="s">
        <v>42</v>
      </c>
      <c r="T1162" s="1" t="s">
        <v>170</v>
      </c>
      <c r="U1162" s="1">
        <v>310</v>
      </c>
      <c r="V1162" s="5">
        <v>43616</v>
      </c>
      <c r="W1162" s="5">
        <v>42558</v>
      </c>
      <c r="X1162" s="1">
        <v>4750000</v>
      </c>
      <c r="Y1162" s="1">
        <v>4775000</v>
      </c>
      <c r="Z1162" s="5">
        <v>42873</v>
      </c>
      <c r="AA1162" s="1">
        <v>4829702.0999999996</v>
      </c>
      <c r="AB1162" s="1" t="s">
        <v>894</v>
      </c>
      <c r="AC1162" s="5">
        <v>43614</v>
      </c>
      <c r="AF1162" s="1">
        <v>10003</v>
      </c>
      <c r="AI1162" s="1" t="s">
        <v>59</v>
      </c>
      <c r="AJ1162" s="1">
        <v>2018</v>
      </c>
      <c r="AK1162" s="1" t="s">
        <v>740</v>
      </c>
      <c r="AL1162" s="1">
        <v>52</v>
      </c>
    </row>
    <row r="1163" spans="1:38" x14ac:dyDescent="0.2">
      <c r="A1163" s="2" t="str">
        <f>HYPERLINK("https://www.compass.com/listing/21-east-12th-street-unit-6b-manhattan-ny-10003/29514934039660257/","21 E 12th St, Unit 6B")</f>
        <v>21 E 12th St, Unit 6B</v>
      </c>
      <c r="B1163" s="2" t="str">
        <f t="shared" si="213"/>
        <v>21 East 12th Street</v>
      </c>
      <c r="C1163" s="1" t="s">
        <v>370</v>
      </c>
      <c r="D1163" s="1" t="s">
        <v>41</v>
      </c>
      <c r="E1163" s="3">
        <v>4356000</v>
      </c>
      <c r="F1163" s="1">
        <v>2674.03314917127</v>
      </c>
      <c r="G1163" s="1">
        <v>4</v>
      </c>
      <c r="H1163" s="1">
        <v>2</v>
      </c>
      <c r="I1163" s="1">
        <v>3</v>
      </c>
      <c r="J1163" s="1">
        <v>2.5</v>
      </c>
      <c r="K1163" s="1">
        <v>2</v>
      </c>
      <c r="L1163" s="1">
        <v>1</v>
      </c>
      <c r="M1163" s="4">
        <v>1629</v>
      </c>
      <c r="N1163" s="1">
        <v>2124</v>
      </c>
      <c r="O1163" s="1">
        <v>5369</v>
      </c>
      <c r="P1163" s="1">
        <v>3245</v>
      </c>
      <c r="Q1163" s="1" t="s">
        <v>42</v>
      </c>
      <c r="S1163" s="1" t="s">
        <v>42</v>
      </c>
      <c r="T1163" s="1" t="s">
        <v>170</v>
      </c>
      <c r="V1163" s="5">
        <v>43669</v>
      </c>
      <c r="W1163" s="5">
        <v>42739</v>
      </c>
      <c r="X1163" s="1">
        <v>4400000</v>
      </c>
      <c r="Y1163" s="1">
        <v>4400000</v>
      </c>
      <c r="Z1163" s="5">
        <v>42739</v>
      </c>
      <c r="AA1163" s="1">
        <v>4396072.9000000004</v>
      </c>
      <c r="AB1163" s="1" t="s">
        <v>895</v>
      </c>
      <c r="AC1163" s="5">
        <v>43661</v>
      </c>
      <c r="AF1163" s="1">
        <v>10003</v>
      </c>
      <c r="AI1163" s="1" t="s">
        <v>59</v>
      </c>
      <c r="AJ1163" s="1">
        <v>2018</v>
      </c>
      <c r="AK1163" s="1" t="s">
        <v>740</v>
      </c>
      <c r="AL1163" s="1">
        <v>52</v>
      </c>
    </row>
    <row r="1164" spans="1:38" x14ac:dyDescent="0.2">
      <c r="A1164" s="2" t="str">
        <f>HYPERLINK("https://www.compass.com/listing/21-east-12th-street-unit-10b-manhattan-ny-10003/29514934282970865/","21 E 12th St, Unit 10B")</f>
        <v>21 E 12th St, Unit 10B</v>
      </c>
      <c r="B1164" s="2" t="str">
        <f t="shared" si="213"/>
        <v>21 East 12th Street</v>
      </c>
      <c r="C1164" s="1" t="s">
        <v>370</v>
      </c>
      <c r="D1164" s="1" t="s">
        <v>41</v>
      </c>
      <c r="E1164" s="3">
        <v>4843800</v>
      </c>
      <c r="F1164" s="1">
        <v>2973.4806629834202</v>
      </c>
      <c r="G1164" s="1">
        <v>4</v>
      </c>
      <c r="H1164" s="1">
        <v>2</v>
      </c>
      <c r="I1164" s="1">
        <v>3</v>
      </c>
      <c r="J1164" s="1">
        <v>2.5</v>
      </c>
      <c r="K1164" s="1">
        <v>2</v>
      </c>
      <c r="L1164" s="1">
        <v>1</v>
      </c>
      <c r="M1164" s="4">
        <v>1629</v>
      </c>
      <c r="N1164" s="1">
        <v>2127</v>
      </c>
      <c r="O1164" s="1">
        <v>5372</v>
      </c>
      <c r="P1164" s="1">
        <v>3245</v>
      </c>
      <c r="Q1164" s="1" t="s">
        <v>42</v>
      </c>
      <c r="S1164" s="1" t="s">
        <v>42</v>
      </c>
      <c r="T1164" s="1" t="s">
        <v>170</v>
      </c>
      <c r="U1164" s="1">
        <v>28</v>
      </c>
      <c r="V1164" s="5">
        <v>43637</v>
      </c>
      <c r="W1164" s="5">
        <v>42922</v>
      </c>
      <c r="X1164" s="1">
        <v>4800000</v>
      </c>
      <c r="Y1164" s="1">
        <v>4850000</v>
      </c>
      <c r="Z1164" s="5">
        <v>42950</v>
      </c>
      <c r="AA1164" s="1">
        <v>4843800</v>
      </c>
      <c r="AB1164" s="1" t="s">
        <v>896</v>
      </c>
      <c r="AC1164" s="5">
        <v>43593</v>
      </c>
      <c r="AF1164" s="1">
        <v>10003</v>
      </c>
      <c r="AI1164" s="1" t="s">
        <v>59</v>
      </c>
      <c r="AJ1164" s="1">
        <v>2018</v>
      </c>
      <c r="AK1164" s="1" t="s">
        <v>740</v>
      </c>
      <c r="AL1164" s="1">
        <v>52</v>
      </c>
    </row>
    <row r="1165" spans="1:38" x14ac:dyDescent="0.2">
      <c r="A1165" s="2" t="str">
        <f>HYPERLINK("https://www.compass.com/listing/21-east-12th-street-unit-8b-manhattan-ny-10003/29514935096665905/","21 E 12th St, Unit 8B")</f>
        <v>21 E 12th St, Unit 8B</v>
      </c>
      <c r="B1165" s="2" t="str">
        <f t="shared" si="213"/>
        <v>21 East 12th Street</v>
      </c>
      <c r="C1165" s="1" t="s">
        <v>370</v>
      </c>
      <c r="D1165" s="1" t="s">
        <v>41</v>
      </c>
      <c r="E1165" s="3">
        <v>4516285</v>
      </c>
      <c r="F1165" s="1">
        <v>2772.42811540822</v>
      </c>
      <c r="G1165" s="1">
        <v>4</v>
      </c>
      <c r="H1165" s="1">
        <v>2</v>
      </c>
      <c r="I1165" s="1">
        <v>3</v>
      </c>
      <c r="J1165" s="1">
        <v>2.5</v>
      </c>
      <c r="K1165" s="1">
        <v>2</v>
      </c>
      <c r="L1165" s="1">
        <v>1</v>
      </c>
      <c r="M1165" s="4">
        <v>1629</v>
      </c>
      <c r="N1165" s="1">
        <v>2127</v>
      </c>
      <c r="O1165" s="1">
        <v>5372</v>
      </c>
      <c r="P1165" s="1">
        <v>3245</v>
      </c>
      <c r="Q1165" s="1" t="s">
        <v>42</v>
      </c>
      <c r="S1165" s="1" t="s">
        <v>42</v>
      </c>
      <c r="T1165" s="1" t="s">
        <v>170</v>
      </c>
      <c r="V1165" s="5">
        <v>43678</v>
      </c>
      <c r="W1165" s="5">
        <v>42955</v>
      </c>
      <c r="X1165" s="1">
        <v>4500000</v>
      </c>
      <c r="Y1165" s="1">
        <v>4500000</v>
      </c>
      <c r="Z1165" s="5">
        <v>42956</v>
      </c>
      <c r="AA1165" s="1">
        <v>4516285.4000000004</v>
      </c>
      <c r="AB1165" s="1" t="s">
        <v>897</v>
      </c>
      <c r="AC1165" s="5">
        <v>43572</v>
      </c>
      <c r="AF1165" s="1">
        <v>10003</v>
      </c>
      <c r="AI1165" s="1" t="s">
        <v>59</v>
      </c>
      <c r="AJ1165" s="1">
        <v>2018</v>
      </c>
      <c r="AK1165" s="1" t="s">
        <v>740</v>
      </c>
      <c r="AL1165" s="1">
        <v>52</v>
      </c>
    </row>
    <row r="1166" spans="1:38" x14ac:dyDescent="0.2">
      <c r="A1166" s="2" t="str">
        <f>HYPERLINK("https://www.compass.com/listing/200-east-21st-street-manhattan-ny-10010/192568114938975457/","200 E 21st St")</f>
        <v>200 E 21st St</v>
      </c>
      <c r="B1166" s="2" t="str">
        <f>HYPERLINK("https://www.compass.com/building/200-east-21st-street-manhattan-ny/292796762689658005/","200 East 21st Street")</f>
        <v>200 East 21st Street</v>
      </c>
      <c r="C1166" s="1" t="s">
        <v>54</v>
      </c>
      <c r="D1166" s="1" t="s">
        <v>41</v>
      </c>
      <c r="E1166" s="3">
        <v>8000000</v>
      </c>
      <c r="F1166" s="1">
        <v>9696.9696969696906</v>
      </c>
      <c r="G1166" s="1">
        <v>24</v>
      </c>
      <c r="H1166" s="1">
        <v>18</v>
      </c>
      <c r="J1166" s="1">
        <v>9</v>
      </c>
      <c r="M1166" s="1">
        <v>825</v>
      </c>
      <c r="Q1166" s="1" t="s">
        <v>42</v>
      </c>
      <c r="S1166" s="1" t="s">
        <v>42</v>
      </c>
      <c r="T1166" s="1" t="s">
        <v>170</v>
      </c>
      <c r="U1166" s="1">
        <v>1</v>
      </c>
      <c r="V1166" s="5">
        <v>43685</v>
      </c>
      <c r="W1166" s="5">
        <v>41527</v>
      </c>
      <c r="X1166" s="1">
        <v>8000000</v>
      </c>
      <c r="Y1166" s="1">
        <v>8000000</v>
      </c>
      <c r="Z1166" s="5">
        <v>41530</v>
      </c>
      <c r="AA1166" s="1">
        <v>8000000</v>
      </c>
      <c r="AB1166" s="1" t="s">
        <v>181</v>
      </c>
      <c r="AC1166" s="5">
        <v>41531</v>
      </c>
      <c r="AF1166" s="1">
        <v>10010</v>
      </c>
      <c r="AI1166" s="1" t="s">
        <v>82</v>
      </c>
      <c r="AJ1166" s="1">
        <v>2018</v>
      </c>
      <c r="AK1166" s="1" t="s">
        <v>49</v>
      </c>
      <c r="AL1166" s="1">
        <v>67</v>
      </c>
    </row>
    <row r="1167" spans="1:38" x14ac:dyDescent="0.2">
      <c r="A1167" s="2" t="str">
        <f>HYPERLINK("https://www.compass.com/listing/32-east-1st-street-unit-4e-manhattan-ny-10003/325394626269415761/","32 E 1st St, Unit 4E")</f>
        <v>32 E 1st St, Unit 4E</v>
      </c>
      <c r="B1167" s="2" t="str">
        <f>HYPERLINK("https://www.compass.com/building/32-east-1st-street-manhattan-ny/292783157810310133/","32 East 1st Street")</f>
        <v>32 East 1st Street</v>
      </c>
      <c r="C1167" s="1" t="s">
        <v>89</v>
      </c>
      <c r="D1167" s="1" t="s">
        <v>41</v>
      </c>
      <c r="E1167" s="3">
        <v>1100000</v>
      </c>
      <c r="F1167" s="1">
        <v>2272.7272727272698</v>
      </c>
      <c r="G1167" s="1">
        <v>3</v>
      </c>
      <c r="H1167" s="1">
        <v>1</v>
      </c>
      <c r="I1167" s="1">
        <v>1</v>
      </c>
      <c r="J1167" s="1">
        <v>1</v>
      </c>
      <c r="K1167" s="1">
        <v>1</v>
      </c>
      <c r="M1167" s="1">
        <v>484</v>
      </c>
      <c r="N1167" s="1">
        <v>602</v>
      </c>
      <c r="O1167" s="1">
        <v>1282</v>
      </c>
      <c r="P1167" s="1">
        <v>680</v>
      </c>
      <c r="Q1167" s="1" t="s">
        <v>42</v>
      </c>
      <c r="S1167" s="1" t="s">
        <v>42</v>
      </c>
      <c r="T1167" s="1" t="s">
        <v>170</v>
      </c>
      <c r="U1167" s="1">
        <v>96</v>
      </c>
      <c r="V1167" s="5">
        <v>43797</v>
      </c>
      <c r="W1167" s="5">
        <v>43700</v>
      </c>
      <c r="X1167" s="1">
        <v>1175000</v>
      </c>
      <c r="Y1167" s="1">
        <v>1175000</v>
      </c>
      <c r="AA1167" s="1">
        <v>1100000</v>
      </c>
      <c r="AB1167" s="1" t="s">
        <v>898</v>
      </c>
      <c r="AC1167" s="5">
        <v>43826</v>
      </c>
      <c r="AF1167" s="1">
        <v>10003</v>
      </c>
      <c r="AI1167" s="1" t="s">
        <v>53</v>
      </c>
      <c r="AJ1167" s="1">
        <v>2019</v>
      </c>
      <c r="AK1167" s="1" t="s">
        <v>49</v>
      </c>
      <c r="AL1167" s="1">
        <v>30</v>
      </c>
    </row>
    <row r="1168" spans="1:38" x14ac:dyDescent="0.2">
      <c r="A1168" s="2" t="str">
        <f>HYPERLINK("https://www.compass.com/listing/100-barclay-street-unit-31b-manhattan-ny-10007/850522481760269025/","100 Barclay St, Unit 31B")</f>
        <v>100 Barclay St, Unit 31B</v>
      </c>
      <c r="B1168" s="2" t="str">
        <f>HYPERLINK("https://www.compass.com/building/100-barclay-manhattan-ny/281896670466155525/","100 Barclay")</f>
        <v>100 Barclay</v>
      </c>
      <c r="C1168" s="1" t="s">
        <v>40</v>
      </c>
      <c r="D1168" s="1" t="s">
        <v>41</v>
      </c>
      <c r="E1168" s="3">
        <v>9000000</v>
      </c>
      <c r="F1168" s="1">
        <v>2115.6558533145198</v>
      </c>
      <c r="M1168" s="4">
        <v>4254</v>
      </c>
      <c r="Q1168" s="1" t="s">
        <v>42</v>
      </c>
      <c r="S1168" s="1" t="s">
        <v>42</v>
      </c>
      <c r="T1168" s="1" t="s">
        <v>170</v>
      </c>
      <c r="AA1168" s="1">
        <v>9000000</v>
      </c>
      <c r="AB1168" s="1" t="s">
        <v>899</v>
      </c>
      <c r="AC1168" s="5">
        <v>44389</v>
      </c>
      <c r="AF1168" s="1">
        <v>10007</v>
      </c>
      <c r="AI1168" s="1" t="s">
        <v>45</v>
      </c>
      <c r="AJ1168" s="1">
        <v>1930</v>
      </c>
      <c r="AK1168" s="1" t="s">
        <v>46</v>
      </c>
      <c r="AL1168" s="1">
        <v>156</v>
      </c>
    </row>
    <row r="1169" spans="1:38" x14ac:dyDescent="0.2">
      <c r="A1169" s="2" t="str">
        <f>HYPERLINK("https://www.compass.com/listing/80-east-10th-street-unit-2w-manhattan-ny-10003/29515142236571585/","80 E 10th St, Unit 2W")</f>
        <v>80 E 10th St, Unit 2W</v>
      </c>
      <c r="B1169" s="2" t="str">
        <f>HYPERLINK("https://www.compass.com/building/80-e-10th-st-manhattan-ny-10003/282059393531414101/","80 E 10th St")</f>
        <v>80 E 10th St</v>
      </c>
      <c r="C1169" s="1" t="s">
        <v>370</v>
      </c>
      <c r="D1169" s="1" t="s">
        <v>41</v>
      </c>
      <c r="E1169" s="3">
        <v>4003000</v>
      </c>
      <c r="F1169" s="1">
        <v>2186.23702894593</v>
      </c>
      <c r="G1169" s="1">
        <v>4</v>
      </c>
      <c r="H1169" s="1">
        <v>3</v>
      </c>
      <c r="I1169" s="1">
        <v>3</v>
      </c>
      <c r="J1169" s="1">
        <v>2.5</v>
      </c>
      <c r="K1169" s="1">
        <v>2</v>
      </c>
      <c r="L1169" s="1">
        <v>1</v>
      </c>
      <c r="M1169" s="4">
        <v>1831</v>
      </c>
      <c r="N1169" s="1">
        <v>2175</v>
      </c>
      <c r="O1169" s="1">
        <v>3188</v>
      </c>
      <c r="P1169" s="1">
        <v>1013</v>
      </c>
      <c r="Q1169" s="1" t="s">
        <v>42</v>
      </c>
      <c r="S1169" s="1" t="s">
        <v>42</v>
      </c>
      <c r="T1169" s="1" t="s">
        <v>170</v>
      </c>
      <c r="U1169" s="1">
        <v>120</v>
      </c>
      <c r="V1169" s="5">
        <v>43697</v>
      </c>
      <c r="W1169" s="5">
        <v>43257</v>
      </c>
      <c r="X1169" s="1">
        <v>4150000</v>
      </c>
      <c r="Y1169" s="1">
        <v>4150000</v>
      </c>
      <c r="Z1169" s="5">
        <v>43377</v>
      </c>
      <c r="AA1169" s="1">
        <v>4003000</v>
      </c>
      <c r="AB1169" s="1" t="s">
        <v>900</v>
      </c>
      <c r="AC1169" s="5">
        <v>43643</v>
      </c>
      <c r="AF1169" s="1">
        <v>10003</v>
      </c>
      <c r="AI1169" s="1" t="s">
        <v>102</v>
      </c>
      <c r="AJ1169" s="1">
        <v>2018</v>
      </c>
      <c r="AK1169" s="1" t="s">
        <v>108</v>
      </c>
      <c r="AL1169" s="1">
        <v>12</v>
      </c>
    </row>
    <row r="1170" spans="1:38" x14ac:dyDescent="0.2">
      <c r="A1170" s="2" t="str">
        <f>HYPERLINK("https://www.compass.com/listing/32-east-1st-street-unit-7a-manhattan-ny-10003/29515147135477857/","32 E 1st St, Unit 7A")</f>
        <v>32 E 1st St, Unit 7A</v>
      </c>
      <c r="B1170" s="2" t="str">
        <f>HYPERLINK("https://www.compass.com/building/32-east-1st-street-manhattan-ny/292783157810310133/","32 East 1st Street")</f>
        <v>32 East 1st Street</v>
      </c>
      <c r="C1170" s="1" t="s">
        <v>89</v>
      </c>
      <c r="D1170" s="1" t="s">
        <v>41</v>
      </c>
      <c r="E1170" s="3">
        <v>3517545</v>
      </c>
      <c r="F1170" s="1">
        <v>2750.23064894448</v>
      </c>
      <c r="G1170" s="1">
        <v>4</v>
      </c>
      <c r="H1170" s="1">
        <v>2</v>
      </c>
      <c r="I1170" s="1">
        <v>2</v>
      </c>
      <c r="J1170" s="1">
        <v>2</v>
      </c>
      <c r="K1170" s="1">
        <v>2</v>
      </c>
      <c r="M1170" s="4">
        <v>1279</v>
      </c>
      <c r="N1170" s="1">
        <v>1972</v>
      </c>
      <c r="O1170" s="1">
        <v>4127</v>
      </c>
      <c r="P1170" s="1">
        <v>2155</v>
      </c>
      <c r="Q1170" s="1" t="s">
        <v>42</v>
      </c>
      <c r="S1170" s="1" t="s">
        <v>42</v>
      </c>
      <c r="T1170" s="1" t="s">
        <v>170</v>
      </c>
      <c r="V1170" s="5">
        <v>43694</v>
      </c>
      <c r="W1170" s="5">
        <v>42993</v>
      </c>
      <c r="X1170" s="1">
        <v>3525000</v>
      </c>
      <c r="Y1170" s="1">
        <v>3525000</v>
      </c>
      <c r="Z1170" s="5">
        <v>42993</v>
      </c>
      <c r="AA1170" s="1">
        <v>3517545</v>
      </c>
      <c r="AB1170" s="1" t="s">
        <v>901</v>
      </c>
      <c r="AC1170" s="5">
        <v>43616</v>
      </c>
      <c r="AF1170" s="1">
        <v>10003</v>
      </c>
      <c r="AI1170" s="1" t="s">
        <v>52</v>
      </c>
      <c r="AJ1170" s="1">
        <v>2019</v>
      </c>
      <c r="AK1170" s="1" t="s">
        <v>49</v>
      </c>
      <c r="AL1170" s="1">
        <v>30</v>
      </c>
    </row>
    <row r="1171" spans="1:38" x14ac:dyDescent="0.2">
      <c r="A1171" s="2" t="str">
        <f>HYPERLINK("https://www.compass.com/listing/63-greene-street-unit-3a-manhattan-ny-10012/13087414713063281/","63 Greene St, Unit 3A")</f>
        <v>63 Greene St, Unit 3A</v>
      </c>
      <c r="B1171" s="2" t="str">
        <f>HYPERLINK("https://www.compass.com/building/63-greene-street-manhattan-ny/292812252044627637/","63 Greene Street")</f>
        <v>63 Greene Street</v>
      </c>
      <c r="C1171" s="1" t="s">
        <v>104</v>
      </c>
      <c r="D1171" s="1" t="s">
        <v>41</v>
      </c>
      <c r="E1171" s="3">
        <v>5600375</v>
      </c>
      <c r="F1171" s="1">
        <v>2333.4895833333298</v>
      </c>
      <c r="G1171" s="1">
        <v>5</v>
      </c>
      <c r="H1171" s="1">
        <v>3</v>
      </c>
      <c r="I1171" s="1">
        <v>3</v>
      </c>
      <c r="J1171" s="1">
        <v>3</v>
      </c>
      <c r="M1171" s="4">
        <v>2400</v>
      </c>
      <c r="N1171" s="1">
        <v>2343</v>
      </c>
      <c r="O1171" s="1">
        <v>5086</v>
      </c>
      <c r="P1171" s="1">
        <v>2743</v>
      </c>
      <c r="Q1171" s="1" t="s">
        <v>42</v>
      </c>
      <c r="S1171" s="1" t="s">
        <v>42</v>
      </c>
      <c r="T1171" s="1" t="s">
        <v>170</v>
      </c>
      <c r="U1171" s="1">
        <v>53</v>
      </c>
      <c r="V1171" s="5">
        <v>43636</v>
      </c>
      <c r="W1171" s="5">
        <v>42535</v>
      </c>
      <c r="X1171" s="1">
        <v>5900000</v>
      </c>
      <c r="Y1171" s="1">
        <v>5900000</v>
      </c>
      <c r="Z1171" s="5">
        <v>42588</v>
      </c>
      <c r="AA1171" s="1">
        <v>5600375</v>
      </c>
      <c r="AB1171" s="1" t="s">
        <v>181</v>
      </c>
      <c r="AC1171" s="5">
        <v>42707</v>
      </c>
      <c r="AF1171" s="1">
        <v>10012</v>
      </c>
      <c r="AI1171" s="1" t="s">
        <v>786</v>
      </c>
      <c r="AJ1171" s="1">
        <v>1877</v>
      </c>
      <c r="AK1171" s="1" t="s">
        <v>139</v>
      </c>
      <c r="AL1171" s="1">
        <v>23</v>
      </c>
    </row>
    <row r="1172" spans="1:38" x14ac:dyDescent="0.2">
      <c r="A1172" s="2" t="str">
        <f>HYPERLINK("https://www.compass.com/listing/215-east-19th-street-unit-3k-manhattan-ny-10003/29514956370176753/","215 E 19th St, Unit 3K")</f>
        <v>215 E 19th St, Unit 3K</v>
      </c>
      <c r="B1172" s="2" t="str">
        <f>HYPERLINK("https://www.compass.com/building/the-tower-at-gramercy-square-manhattan-ny/281890815108713781/","The Tower at Gramercy Square")</f>
        <v>The Tower at Gramercy Square</v>
      </c>
      <c r="C1172" s="1" t="s">
        <v>54</v>
      </c>
      <c r="D1172" s="1" t="s">
        <v>41</v>
      </c>
      <c r="E1172" s="3">
        <v>2110000</v>
      </c>
      <c r="F1172" s="1">
        <v>1742.3616845582101</v>
      </c>
      <c r="G1172" s="1">
        <v>3</v>
      </c>
      <c r="H1172" s="1">
        <v>1</v>
      </c>
      <c r="I1172" s="1">
        <v>2</v>
      </c>
      <c r="J1172" s="1">
        <v>1.5</v>
      </c>
      <c r="K1172" s="1">
        <v>1</v>
      </c>
      <c r="L1172" s="1">
        <v>1</v>
      </c>
      <c r="M1172" s="4">
        <v>1211</v>
      </c>
      <c r="N1172" s="1">
        <v>1374</v>
      </c>
      <c r="O1172" s="1">
        <v>3115</v>
      </c>
      <c r="P1172" s="1">
        <v>1741</v>
      </c>
      <c r="Q1172" s="1" t="s">
        <v>42</v>
      </c>
      <c r="S1172" s="1" t="s">
        <v>42</v>
      </c>
      <c r="T1172" s="1" t="s">
        <v>170</v>
      </c>
      <c r="V1172" s="5">
        <v>43648</v>
      </c>
      <c r="W1172" s="5">
        <v>43146</v>
      </c>
      <c r="X1172" s="1">
        <v>2130000</v>
      </c>
      <c r="Y1172" s="1">
        <v>2130000</v>
      </c>
      <c r="Z1172" s="5">
        <v>43146</v>
      </c>
      <c r="AA1172" s="1">
        <v>2110000</v>
      </c>
      <c r="AB1172" s="1" t="s">
        <v>902</v>
      </c>
      <c r="AC1172" s="5">
        <v>43542</v>
      </c>
      <c r="AF1172" s="1">
        <v>10003</v>
      </c>
      <c r="AI1172" s="1" t="s">
        <v>76</v>
      </c>
      <c r="AJ1172" s="1">
        <v>1920</v>
      </c>
      <c r="AK1172" s="1" t="s">
        <v>46</v>
      </c>
      <c r="AL1172" s="1">
        <v>130</v>
      </c>
    </row>
    <row r="1173" spans="1:38" x14ac:dyDescent="0.2">
      <c r="A1173" s="2" t="str">
        <f>HYPERLINK("https://www.compass.com/listing/63-greene-street-unit-4d-manhattan-ny-10012/13087402239243601/","63 Greene St, Unit 4D")</f>
        <v>63 Greene St, Unit 4D</v>
      </c>
      <c r="B1173" s="2" t="str">
        <f>HYPERLINK("https://www.compass.com/building/63-greene-street-manhattan-ny/292812252044627637/","63 Greene Street")</f>
        <v>63 Greene Street</v>
      </c>
      <c r="C1173" s="1" t="s">
        <v>104</v>
      </c>
      <c r="D1173" s="1" t="s">
        <v>41</v>
      </c>
      <c r="E1173" s="3">
        <v>4450000</v>
      </c>
      <c r="F1173" s="1">
        <v>1848.7744079767299</v>
      </c>
      <c r="G1173" s="1">
        <v>5</v>
      </c>
      <c r="H1173" s="1">
        <v>3</v>
      </c>
      <c r="I1173" s="1">
        <v>4</v>
      </c>
      <c r="J1173" s="1">
        <v>3.5</v>
      </c>
      <c r="M1173" s="4">
        <v>2407</v>
      </c>
      <c r="N1173" s="1">
        <v>2316</v>
      </c>
      <c r="O1173" s="1">
        <v>5027</v>
      </c>
      <c r="P1173" s="1">
        <v>2711</v>
      </c>
      <c r="Q1173" s="1" t="s">
        <v>42</v>
      </c>
      <c r="S1173" s="1" t="s">
        <v>42</v>
      </c>
      <c r="T1173" s="1" t="s">
        <v>170</v>
      </c>
      <c r="U1173" s="1">
        <v>462</v>
      </c>
      <c r="V1173" s="5">
        <v>43668</v>
      </c>
      <c r="W1173" s="5">
        <v>42409</v>
      </c>
      <c r="X1173" s="1">
        <v>5000000</v>
      </c>
      <c r="Y1173" s="1">
        <v>4500000</v>
      </c>
      <c r="Z1173" s="5">
        <v>42871</v>
      </c>
      <c r="AA1173" s="1">
        <v>4450000</v>
      </c>
      <c r="AB1173" s="1" t="s">
        <v>822</v>
      </c>
      <c r="AC1173" s="5">
        <v>42905</v>
      </c>
      <c r="AF1173" s="1">
        <v>10012</v>
      </c>
      <c r="AI1173" s="1" t="s">
        <v>786</v>
      </c>
      <c r="AJ1173" s="1">
        <v>1877</v>
      </c>
      <c r="AK1173" s="1" t="s">
        <v>139</v>
      </c>
      <c r="AL1173" s="1">
        <v>23</v>
      </c>
    </row>
    <row r="1174" spans="1:38" x14ac:dyDescent="0.2">
      <c r="A1174" s="2" t="str">
        <f>HYPERLINK("https://www.compass.com/listing/215-east-19th-street-unit-3j-manhattan-ny-10003/99927570660774161/","215 E 19th St, Unit 3J")</f>
        <v>215 E 19th St, Unit 3J</v>
      </c>
      <c r="B1174" s="2" t="str">
        <f t="shared" ref="B1174:B1175" si="214">HYPERLINK("https://www.compass.com/building/the-tower-at-gramercy-square-manhattan-ny/281890815108713781/","The Tower at Gramercy Square")</f>
        <v>The Tower at Gramercy Square</v>
      </c>
      <c r="C1174" s="1" t="s">
        <v>54</v>
      </c>
      <c r="D1174" s="1" t="s">
        <v>41</v>
      </c>
      <c r="E1174" s="3">
        <v>2061956</v>
      </c>
      <c r="F1174" s="1">
        <v>1780.61852331606</v>
      </c>
      <c r="G1174" s="1">
        <v>3</v>
      </c>
      <c r="H1174" s="1">
        <v>1</v>
      </c>
      <c r="I1174" s="1">
        <v>2</v>
      </c>
      <c r="J1174" s="1">
        <v>1.5</v>
      </c>
      <c r="K1174" s="1">
        <v>1</v>
      </c>
      <c r="L1174" s="1">
        <v>1</v>
      </c>
      <c r="M1174" s="4">
        <v>1158</v>
      </c>
      <c r="N1174" s="1">
        <v>1314</v>
      </c>
      <c r="O1174" s="1">
        <v>2979</v>
      </c>
      <c r="P1174" s="1">
        <v>1665</v>
      </c>
      <c r="Q1174" s="1" t="s">
        <v>42</v>
      </c>
      <c r="S1174" s="1" t="s">
        <v>42</v>
      </c>
      <c r="T1174" s="1" t="s">
        <v>170</v>
      </c>
      <c r="V1174" s="5">
        <v>43606</v>
      </c>
      <c r="W1174" s="5">
        <v>43389</v>
      </c>
      <c r="X1174" s="1">
        <v>2025000</v>
      </c>
      <c r="Y1174" s="1">
        <v>2025000</v>
      </c>
      <c r="Z1174" s="5">
        <v>43390</v>
      </c>
      <c r="AA1174" s="1">
        <v>2061956.25</v>
      </c>
      <c r="AB1174" s="1" t="s">
        <v>903</v>
      </c>
      <c r="AC1174" s="5">
        <v>43601</v>
      </c>
      <c r="AF1174" s="1">
        <v>10003</v>
      </c>
      <c r="AI1174" s="1" t="s">
        <v>76</v>
      </c>
      <c r="AJ1174" s="1">
        <v>1920</v>
      </c>
      <c r="AK1174" s="1" t="s">
        <v>46</v>
      </c>
      <c r="AL1174" s="1">
        <v>130</v>
      </c>
    </row>
    <row r="1175" spans="1:38" x14ac:dyDescent="0.2">
      <c r="A1175" s="2" t="str">
        <f>HYPERLINK("https://www.compass.com/listing/215-east-19th-street-unit-5j-manhattan-ny-10003/99927571768026481/","215 E 19th St, Unit 5J")</f>
        <v>215 E 19th St, Unit 5J</v>
      </c>
      <c r="B1175" s="2" t="str">
        <f t="shared" si="214"/>
        <v>The Tower at Gramercy Square</v>
      </c>
      <c r="C1175" s="1" t="s">
        <v>54</v>
      </c>
      <c r="D1175" s="1" t="s">
        <v>41</v>
      </c>
      <c r="E1175" s="3">
        <v>2055000</v>
      </c>
      <c r="F1175" s="1">
        <v>1774.6113989637299</v>
      </c>
      <c r="G1175" s="1">
        <v>3</v>
      </c>
      <c r="H1175" s="1">
        <v>1</v>
      </c>
      <c r="I1175" s="1">
        <v>2</v>
      </c>
      <c r="J1175" s="1">
        <v>1.5</v>
      </c>
      <c r="K1175" s="1">
        <v>1</v>
      </c>
      <c r="L1175" s="1">
        <v>1</v>
      </c>
      <c r="M1175" s="4">
        <v>1158</v>
      </c>
      <c r="N1175" s="1">
        <v>1314</v>
      </c>
      <c r="O1175" s="1">
        <v>2979</v>
      </c>
      <c r="P1175" s="1">
        <v>1665</v>
      </c>
      <c r="Q1175" s="1" t="s">
        <v>42</v>
      </c>
      <c r="S1175" s="1" t="s">
        <v>42</v>
      </c>
      <c r="T1175" s="1" t="s">
        <v>170</v>
      </c>
      <c r="V1175" s="5">
        <v>43697</v>
      </c>
      <c r="W1175" s="5">
        <v>43389</v>
      </c>
      <c r="X1175" s="1">
        <v>2095000</v>
      </c>
      <c r="Y1175" s="1">
        <v>2095000</v>
      </c>
      <c r="Z1175" s="5">
        <v>43390</v>
      </c>
      <c r="AA1175" s="1">
        <v>2055000</v>
      </c>
      <c r="AB1175" s="1" t="s">
        <v>904</v>
      </c>
      <c r="AC1175" s="5">
        <v>43696</v>
      </c>
      <c r="AF1175" s="1">
        <v>10003</v>
      </c>
      <c r="AI1175" s="1" t="s">
        <v>76</v>
      </c>
      <c r="AJ1175" s="1">
        <v>1920</v>
      </c>
      <c r="AK1175" s="1" t="s">
        <v>46</v>
      </c>
      <c r="AL1175" s="1">
        <v>130</v>
      </c>
    </row>
    <row r="1176" spans="1:38" x14ac:dyDescent="0.2">
      <c r="A1176" s="2" t="str">
        <f>HYPERLINK("https://www.compass.com/listing/21-east-12th-street-unit-phb-manhattan-ny-10003/29514926255004401/","21 E 12th St, Unit PHB")</f>
        <v>21 E 12th St, Unit PHB</v>
      </c>
      <c r="B1176" s="2" t="str">
        <f>HYPERLINK("https://www.compass.com/building/21-east-12th-street-manhattan-ny/292779727154847925/","21 East 12th Street")</f>
        <v>21 East 12th Street</v>
      </c>
      <c r="C1176" s="1" t="s">
        <v>370</v>
      </c>
      <c r="D1176" s="1" t="s">
        <v>41</v>
      </c>
      <c r="E1176" s="3">
        <v>16842943</v>
      </c>
      <c r="F1176" s="1">
        <v>4596.8731877729197</v>
      </c>
      <c r="G1176" s="1">
        <v>6</v>
      </c>
      <c r="H1176" s="1">
        <v>4</v>
      </c>
      <c r="I1176" s="1">
        <v>5</v>
      </c>
      <c r="J1176" s="1">
        <v>4.5</v>
      </c>
      <c r="K1176" s="1">
        <v>4</v>
      </c>
      <c r="L1176" s="1">
        <v>1</v>
      </c>
      <c r="M1176" s="4">
        <v>3664</v>
      </c>
      <c r="N1176" s="1">
        <v>4866</v>
      </c>
      <c r="O1176" s="1">
        <v>12302</v>
      </c>
      <c r="P1176" s="1">
        <v>7436</v>
      </c>
      <c r="Q1176" s="1" t="s">
        <v>42</v>
      </c>
      <c r="S1176" s="1" t="s">
        <v>42</v>
      </c>
      <c r="T1176" s="1" t="s">
        <v>170</v>
      </c>
      <c r="V1176" s="5">
        <v>43761</v>
      </c>
      <c r="W1176" s="5">
        <v>42584</v>
      </c>
      <c r="X1176" s="1">
        <v>16500000</v>
      </c>
      <c r="Y1176" s="1">
        <v>17500000</v>
      </c>
      <c r="Z1176" s="5">
        <v>42585</v>
      </c>
      <c r="AA1176" s="1">
        <v>16842943.359999999</v>
      </c>
      <c r="AB1176" s="1" t="s">
        <v>905</v>
      </c>
      <c r="AC1176" s="5">
        <v>43749</v>
      </c>
      <c r="AF1176" s="1">
        <v>10003</v>
      </c>
      <c r="AI1176" s="1" t="s">
        <v>906</v>
      </c>
      <c r="AJ1176" s="1">
        <v>2018</v>
      </c>
      <c r="AK1176" s="1" t="s">
        <v>740</v>
      </c>
      <c r="AL1176" s="1">
        <v>52</v>
      </c>
    </row>
    <row r="1177" spans="1:38" x14ac:dyDescent="0.2">
      <c r="A1177" s="2" t="str">
        <f>HYPERLINK("https://www.compass.com/listing/215-east-19th-street-unit-6j-manhattan-ny-10003/29514957091556001/","215 E 19th St, Unit 6J")</f>
        <v>215 E 19th St, Unit 6J</v>
      </c>
      <c r="B1177" s="2" t="str">
        <f>HYPERLINK("https://www.compass.com/building/the-tower-at-gramercy-square-manhattan-ny/281890815108713781/","The Tower at Gramercy Square")</f>
        <v>The Tower at Gramercy Square</v>
      </c>
      <c r="C1177" s="1" t="s">
        <v>54</v>
      </c>
      <c r="D1177" s="1" t="s">
        <v>41</v>
      </c>
      <c r="E1177" s="3">
        <v>2080000</v>
      </c>
      <c r="F1177" s="1">
        <v>1796.2003454231401</v>
      </c>
      <c r="G1177" s="1">
        <v>3</v>
      </c>
      <c r="H1177" s="1">
        <v>1</v>
      </c>
      <c r="I1177" s="1">
        <v>2</v>
      </c>
      <c r="J1177" s="1">
        <v>1.5</v>
      </c>
      <c r="K1177" s="1">
        <v>1</v>
      </c>
      <c r="L1177" s="1">
        <v>1</v>
      </c>
      <c r="M1177" s="4">
        <v>1158</v>
      </c>
      <c r="N1177" s="1">
        <v>1314</v>
      </c>
      <c r="O1177" s="1">
        <v>3186</v>
      </c>
      <c r="P1177" s="1">
        <v>1872</v>
      </c>
      <c r="Q1177" s="1" t="s">
        <v>42</v>
      </c>
      <c r="S1177" s="1" t="s">
        <v>42</v>
      </c>
      <c r="T1177" s="1" t="s">
        <v>170</v>
      </c>
      <c r="V1177" s="5">
        <v>43635</v>
      </c>
      <c r="W1177" s="5">
        <v>43133</v>
      </c>
      <c r="X1177" s="1">
        <v>2100000</v>
      </c>
      <c r="Y1177" s="1">
        <v>2100000</v>
      </c>
      <c r="Z1177" s="5">
        <v>43133</v>
      </c>
      <c r="AA1177" s="1">
        <v>2080000</v>
      </c>
      <c r="AB1177" s="1" t="s">
        <v>907</v>
      </c>
      <c r="AC1177" s="5">
        <v>43566</v>
      </c>
      <c r="AF1177" s="1">
        <v>10003</v>
      </c>
      <c r="AI1177" s="1" t="s">
        <v>76</v>
      </c>
      <c r="AJ1177" s="1">
        <v>1920</v>
      </c>
      <c r="AK1177" s="1" t="s">
        <v>46</v>
      </c>
      <c r="AL1177" s="1">
        <v>130</v>
      </c>
    </row>
    <row r="1178" spans="1:38" x14ac:dyDescent="0.2">
      <c r="A1178" s="2" t="str">
        <f>HYPERLINK("https://www.compass.com/listing/21-east-12th-street-unit-16c-manhattan-ny-10003/29514925030335921/","21 E 12th St, Unit 16C")</f>
        <v>21 E 12th St, Unit 16C</v>
      </c>
      <c r="B1178" s="2" t="str">
        <f t="shared" ref="B1178:B1179" si="215">HYPERLINK("https://www.compass.com/building/21-east-12th-street-manhattan-ny/292779727154847925/","21 East 12th Street")</f>
        <v>21 East 12th Street</v>
      </c>
      <c r="C1178" s="1" t="s">
        <v>370</v>
      </c>
      <c r="D1178" s="1" t="s">
        <v>41</v>
      </c>
      <c r="E1178" s="3">
        <v>6078963</v>
      </c>
      <c r="F1178" s="1">
        <v>2997.5162721893398</v>
      </c>
      <c r="G1178" s="1">
        <v>4.5</v>
      </c>
      <c r="H1178" s="1">
        <v>2</v>
      </c>
      <c r="I1178" s="1">
        <v>3</v>
      </c>
      <c r="J1178" s="1">
        <v>2.5</v>
      </c>
      <c r="K1178" s="1">
        <v>2</v>
      </c>
      <c r="L1178" s="1">
        <v>1</v>
      </c>
      <c r="M1178" s="4">
        <v>2028</v>
      </c>
      <c r="N1178" s="1">
        <v>2644</v>
      </c>
      <c r="O1178" s="1">
        <v>6684</v>
      </c>
      <c r="P1178" s="1">
        <v>4040</v>
      </c>
      <c r="Q1178" s="1" t="s">
        <v>42</v>
      </c>
      <c r="S1178" s="1" t="s">
        <v>42</v>
      </c>
      <c r="T1178" s="1" t="s">
        <v>170</v>
      </c>
      <c r="U1178" s="1">
        <v>164</v>
      </c>
      <c r="V1178" s="5">
        <v>43788</v>
      </c>
      <c r="W1178" s="5">
        <v>43137</v>
      </c>
      <c r="X1178" s="1">
        <v>6225000</v>
      </c>
      <c r="Y1178" s="1">
        <v>6225000</v>
      </c>
      <c r="Z1178" s="5">
        <v>43301</v>
      </c>
      <c r="AA1178" s="1">
        <v>6078963</v>
      </c>
      <c r="AB1178" s="1" t="s">
        <v>908</v>
      </c>
      <c r="AC1178" s="5">
        <v>43617</v>
      </c>
      <c r="AF1178" s="1">
        <v>10003</v>
      </c>
      <c r="AI1178" s="1" t="s">
        <v>59</v>
      </c>
      <c r="AJ1178" s="1">
        <v>2018</v>
      </c>
      <c r="AK1178" s="1" t="s">
        <v>740</v>
      </c>
      <c r="AL1178" s="1">
        <v>52</v>
      </c>
    </row>
    <row r="1179" spans="1:38" x14ac:dyDescent="0.2">
      <c r="A1179" s="2" t="str">
        <f>HYPERLINK("https://www.compass.com/listing/21-east-12th-street-unit-17c-manhattan-ny-10003/29514936002635601/","21 E 12th St, Unit 17C")</f>
        <v>21 E 12th St, Unit 17C</v>
      </c>
      <c r="B1179" s="2" t="str">
        <f t="shared" si="215"/>
        <v>21 East 12th Street</v>
      </c>
      <c r="C1179" s="1" t="s">
        <v>370</v>
      </c>
      <c r="D1179" s="1" t="s">
        <v>41</v>
      </c>
      <c r="E1179" s="3">
        <v>5948994</v>
      </c>
      <c r="F1179" s="1">
        <v>2933.4289940828398</v>
      </c>
      <c r="G1179" s="1">
        <v>4</v>
      </c>
      <c r="H1179" s="1">
        <v>2</v>
      </c>
      <c r="I1179" s="1">
        <v>3</v>
      </c>
      <c r="J1179" s="1">
        <v>2.5</v>
      </c>
      <c r="K1179" s="1">
        <v>2</v>
      </c>
      <c r="L1179" s="1">
        <v>1</v>
      </c>
      <c r="M1179" s="4">
        <v>2028</v>
      </c>
      <c r="N1179" s="1">
        <v>2648</v>
      </c>
      <c r="O1179" s="1">
        <v>6688</v>
      </c>
      <c r="P1179" s="1">
        <v>4040</v>
      </c>
      <c r="Q1179" s="1" t="s">
        <v>42</v>
      </c>
      <c r="S1179" s="1" t="s">
        <v>42</v>
      </c>
      <c r="T1179" s="1" t="s">
        <v>170</v>
      </c>
      <c r="U1179" s="1">
        <v>14</v>
      </c>
      <c r="V1179" s="5">
        <v>43694</v>
      </c>
      <c r="W1179" s="5">
        <v>43222</v>
      </c>
      <c r="X1179" s="1">
        <v>6375000</v>
      </c>
      <c r="Y1179" s="1">
        <v>6375000</v>
      </c>
      <c r="Z1179" s="5">
        <v>43236</v>
      </c>
      <c r="AA1179" s="1">
        <v>5948994</v>
      </c>
      <c r="AB1179" s="1" t="s">
        <v>909</v>
      </c>
      <c r="AC1179" s="5">
        <v>43635</v>
      </c>
      <c r="AF1179" s="1">
        <v>10003</v>
      </c>
      <c r="AI1179" s="1" t="s">
        <v>59</v>
      </c>
      <c r="AJ1179" s="1">
        <v>2018</v>
      </c>
      <c r="AK1179" s="1" t="s">
        <v>740</v>
      </c>
      <c r="AL1179" s="1">
        <v>52</v>
      </c>
    </row>
    <row r="1180" spans="1:38" x14ac:dyDescent="0.2">
      <c r="A1180" s="2" t="str">
        <f>HYPERLINK("https://www.compass.com/listing/63-greene-street-unit-pha-manhattan-ny-10012/19416282227093729/","63 Greene St, Unit PHA")</f>
        <v>63 Greene St, Unit PHA</v>
      </c>
      <c r="B1180" s="2" t="str">
        <f t="shared" ref="B1180:B1181" si="216">HYPERLINK("https://www.compass.com/building/63-greene-street-manhattan-ny/292812252044627637/","63 Greene Street")</f>
        <v>63 Greene Street</v>
      </c>
      <c r="C1180" s="1" t="s">
        <v>104</v>
      </c>
      <c r="D1180" s="1" t="s">
        <v>41</v>
      </c>
      <c r="E1180" s="3">
        <v>10691625</v>
      </c>
      <c r="F1180" s="1">
        <v>2972.3728106755598</v>
      </c>
      <c r="G1180" s="1">
        <v>7</v>
      </c>
      <c r="H1180" s="1">
        <v>4</v>
      </c>
      <c r="I1180" s="1">
        <v>4</v>
      </c>
      <c r="J1180" s="1">
        <v>4</v>
      </c>
      <c r="M1180" s="4">
        <v>3597</v>
      </c>
      <c r="N1180" s="1">
        <v>4267</v>
      </c>
      <c r="O1180" s="1">
        <v>12527</v>
      </c>
      <c r="P1180" s="1">
        <v>8260</v>
      </c>
      <c r="Q1180" s="1" t="s">
        <v>42</v>
      </c>
      <c r="S1180" s="1" t="s">
        <v>42</v>
      </c>
      <c r="T1180" s="1" t="s">
        <v>170</v>
      </c>
      <c r="U1180" s="1">
        <v>737</v>
      </c>
      <c r="V1180" s="5">
        <v>43643</v>
      </c>
      <c r="W1180" s="5">
        <v>42409</v>
      </c>
      <c r="X1180" s="1">
        <v>12950000</v>
      </c>
      <c r="Y1180" s="1">
        <v>10500000</v>
      </c>
      <c r="Z1180" s="5">
        <v>43146</v>
      </c>
      <c r="AA1180" s="1">
        <v>10691625</v>
      </c>
      <c r="AB1180" s="1" t="s">
        <v>910</v>
      </c>
      <c r="AC1180" s="5">
        <v>43172</v>
      </c>
      <c r="AF1180" s="1">
        <v>10012</v>
      </c>
      <c r="AI1180" s="1" t="s">
        <v>52</v>
      </c>
      <c r="AJ1180" s="1">
        <v>1877</v>
      </c>
      <c r="AK1180" s="1" t="s">
        <v>139</v>
      </c>
      <c r="AL1180" s="1">
        <v>23</v>
      </c>
    </row>
    <row r="1181" spans="1:38" x14ac:dyDescent="0.2">
      <c r="A1181" s="2" t="str">
        <f>HYPERLINK("https://www.compass.com/listing/63-greene-street-unit-pha-manhattan-ny-10012/803364640192708737/","63 Greene St, Unit PHA")</f>
        <v>63 Greene St, Unit PHA</v>
      </c>
      <c r="B1181" s="2" t="str">
        <f t="shared" si="216"/>
        <v>63 Greene Street</v>
      </c>
      <c r="C1181" s="1" t="s">
        <v>104</v>
      </c>
      <c r="D1181" s="1" t="s">
        <v>41</v>
      </c>
      <c r="E1181" s="3">
        <v>10691625</v>
      </c>
      <c r="F1181" s="1">
        <v>2972.3728106755598</v>
      </c>
      <c r="G1181" s="1">
        <v>7</v>
      </c>
      <c r="H1181" s="1">
        <v>4</v>
      </c>
      <c r="I1181" s="1">
        <v>4</v>
      </c>
      <c r="J1181" s="1">
        <v>4</v>
      </c>
      <c r="K1181" s="1">
        <v>4</v>
      </c>
      <c r="M1181" s="4">
        <v>3597</v>
      </c>
      <c r="N1181" s="1">
        <v>4267</v>
      </c>
      <c r="O1181" s="1">
        <v>12527</v>
      </c>
      <c r="P1181" s="1">
        <v>8260</v>
      </c>
      <c r="Q1181" s="1" t="s">
        <v>42</v>
      </c>
      <c r="S1181" s="1" t="s">
        <v>42</v>
      </c>
      <c r="T1181" s="1" t="s">
        <v>170</v>
      </c>
      <c r="U1181" s="1">
        <v>763</v>
      </c>
      <c r="V1181" s="5">
        <v>43678</v>
      </c>
      <c r="W1181" s="5">
        <v>42408</v>
      </c>
      <c r="X1181" s="1">
        <v>12950000</v>
      </c>
      <c r="Y1181" s="1">
        <v>12950000</v>
      </c>
      <c r="AA1181" s="1">
        <v>10691625</v>
      </c>
      <c r="AB1181" s="1" t="s">
        <v>910</v>
      </c>
      <c r="AC1181" s="5">
        <v>43172</v>
      </c>
      <c r="AF1181" s="1">
        <v>10012</v>
      </c>
      <c r="AI1181" s="1" t="s">
        <v>837</v>
      </c>
      <c r="AJ1181" s="1">
        <v>1877</v>
      </c>
      <c r="AK1181" s="1" t="s">
        <v>139</v>
      </c>
      <c r="AL1181" s="1">
        <v>23</v>
      </c>
    </row>
    <row r="1182" spans="1:38" x14ac:dyDescent="0.2">
      <c r="A1182" s="2" t="str">
        <f>HYPERLINK("https://www.compass.com/listing/121-east-22nd-street-unit-n205-manhattan-ny-10010/200643485085244753/","121 E 22nd St, Unit N205")</f>
        <v>121 E 22nd St, Unit N205</v>
      </c>
      <c r="B1182" s="2" t="str">
        <f t="shared" ref="B1182:B1183" si="217">HYPERLINK("https://www.compass.com/building/121-e-22nd-manhattan-ny/292795784653461493/","121 E 22nd")</f>
        <v>121 E 22nd</v>
      </c>
      <c r="C1182" s="1" t="s">
        <v>54</v>
      </c>
      <c r="D1182" s="1" t="s">
        <v>41</v>
      </c>
      <c r="E1182" s="3">
        <v>1456098</v>
      </c>
      <c r="F1182" s="1">
        <v>1923.51122853368</v>
      </c>
      <c r="G1182" s="1">
        <v>3</v>
      </c>
      <c r="H1182" s="1">
        <v>1</v>
      </c>
      <c r="I1182" s="1">
        <v>1</v>
      </c>
      <c r="J1182" s="1">
        <v>1</v>
      </c>
      <c r="K1182" s="1">
        <v>1</v>
      </c>
      <c r="M1182" s="1">
        <v>757</v>
      </c>
      <c r="N1182" s="1">
        <v>767</v>
      </c>
      <c r="O1182" s="1">
        <v>2123</v>
      </c>
      <c r="P1182" s="1">
        <v>1356</v>
      </c>
      <c r="Q1182" s="1" t="s">
        <v>42</v>
      </c>
      <c r="S1182" s="1" t="s">
        <v>42</v>
      </c>
      <c r="T1182" s="1" t="s">
        <v>170</v>
      </c>
      <c r="V1182" s="5">
        <v>44373</v>
      </c>
      <c r="W1182" s="5">
        <v>43529</v>
      </c>
      <c r="X1182" s="1">
        <v>1430000</v>
      </c>
      <c r="Y1182" s="1">
        <v>1430000</v>
      </c>
      <c r="Z1182" s="5">
        <v>43529</v>
      </c>
      <c r="AA1182" s="1">
        <v>1456098</v>
      </c>
      <c r="AB1182" s="1" t="s">
        <v>911</v>
      </c>
      <c r="AC1182" s="5">
        <v>43571</v>
      </c>
      <c r="AF1182" s="1">
        <v>10010</v>
      </c>
      <c r="AI1182" s="1" t="s">
        <v>159</v>
      </c>
      <c r="AJ1182" s="1">
        <v>2016</v>
      </c>
      <c r="AK1182" s="1" t="s">
        <v>77</v>
      </c>
      <c r="AL1182" s="1">
        <v>140</v>
      </c>
    </row>
    <row r="1183" spans="1:38" x14ac:dyDescent="0.2">
      <c r="A1183" s="2" t="str">
        <f>HYPERLINK("https://www.compass.com/listing/121-east-22nd-street-unit-n404-manhattan-ny-10010/424914840186420113/","121 E 22nd St, Unit N404")</f>
        <v>121 E 22nd St, Unit N404</v>
      </c>
      <c r="B1183" s="2" t="str">
        <f t="shared" si="217"/>
        <v>121 E 22nd</v>
      </c>
      <c r="C1183" s="1" t="s">
        <v>54</v>
      </c>
      <c r="D1183" s="1" t="s">
        <v>41</v>
      </c>
      <c r="E1183" s="3">
        <v>1604202</v>
      </c>
      <c r="F1183" s="1">
        <v>2056.6691794871699</v>
      </c>
      <c r="H1183" s="1">
        <v>1</v>
      </c>
      <c r="J1183" s="1">
        <v>1</v>
      </c>
      <c r="K1183" s="1">
        <v>1</v>
      </c>
      <c r="M1183" s="1">
        <v>780</v>
      </c>
      <c r="N1183" s="1">
        <v>811</v>
      </c>
      <c r="O1183" s="1">
        <v>2242</v>
      </c>
      <c r="P1183" s="1">
        <v>1431</v>
      </c>
      <c r="Q1183" s="1" t="s">
        <v>42</v>
      </c>
      <c r="S1183" s="1" t="s">
        <v>42</v>
      </c>
      <c r="T1183" s="1" t="s">
        <v>170</v>
      </c>
      <c r="AA1183" s="1">
        <v>1604201.96</v>
      </c>
      <c r="AB1183" s="1" t="s">
        <v>912</v>
      </c>
      <c r="AC1183" s="5">
        <v>43768</v>
      </c>
      <c r="AF1183" s="1">
        <v>10010</v>
      </c>
      <c r="AI1183" s="1" t="s">
        <v>55</v>
      </c>
      <c r="AJ1183" s="1">
        <v>2016</v>
      </c>
      <c r="AK1183" s="1" t="s">
        <v>49</v>
      </c>
      <c r="AL1183" s="1">
        <v>140</v>
      </c>
    </row>
    <row r="1184" spans="1:38" x14ac:dyDescent="0.2">
      <c r="A1184" s="2" t="str">
        <f>HYPERLINK("https://www.compass.com/listing/63-greene-street-unit-5a-manhattan-ny-10012/4845165728866773121/","63 Greene St, Unit 5A")</f>
        <v>63 Greene St, Unit 5A</v>
      </c>
      <c r="B1184" s="2" t="str">
        <f>HYPERLINK("https://www.compass.com/building/63-greene-street-manhattan-ny/292812252044627637/","63 Greene Street")</f>
        <v>63 Greene Street</v>
      </c>
      <c r="C1184" s="1" t="s">
        <v>104</v>
      </c>
      <c r="D1184" s="1" t="s">
        <v>41</v>
      </c>
      <c r="E1184" s="3">
        <v>4500000</v>
      </c>
      <c r="F1184" s="1">
        <v>2304.1474654377798</v>
      </c>
      <c r="G1184" s="1">
        <v>4</v>
      </c>
      <c r="H1184" s="1">
        <v>2</v>
      </c>
      <c r="I1184" s="1">
        <v>2</v>
      </c>
      <c r="J1184" s="1">
        <v>2</v>
      </c>
      <c r="M1184" s="4">
        <v>1953</v>
      </c>
      <c r="N1184" s="1">
        <v>1951</v>
      </c>
      <c r="O1184" s="1">
        <v>4236</v>
      </c>
      <c r="P1184" s="1">
        <v>2285</v>
      </c>
      <c r="Q1184" s="1" t="s">
        <v>42</v>
      </c>
      <c r="S1184" s="1" t="s">
        <v>42</v>
      </c>
      <c r="T1184" s="1" t="s">
        <v>170</v>
      </c>
      <c r="V1184" s="5">
        <v>43694</v>
      </c>
      <c r="W1184" s="5">
        <v>42878</v>
      </c>
      <c r="X1184" s="1">
        <v>5150000</v>
      </c>
      <c r="Y1184" s="1">
        <v>5150000</v>
      </c>
      <c r="Z1184" s="5">
        <v>42878</v>
      </c>
      <c r="AA1184" s="1">
        <v>4500000</v>
      </c>
      <c r="AB1184" s="1" t="s">
        <v>913</v>
      </c>
      <c r="AC1184" s="5">
        <v>42893</v>
      </c>
      <c r="AF1184" s="1">
        <v>10012</v>
      </c>
      <c r="AI1184" s="1" t="s">
        <v>786</v>
      </c>
      <c r="AJ1184" s="1">
        <v>1877</v>
      </c>
      <c r="AK1184" s="1" t="s">
        <v>139</v>
      </c>
      <c r="AL1184" s="1">
        <v>23</v>
      </c>
    </row>
    <row r="1185" spans="1:38" x14ac:dyDescent="0.2">
      <c r="A1185" s="2" t="str">
        <f>HYPERLINK("https://www.compass.com/listing/10-madison-square-west-unit-15f-manhattan-ny-10010/167813903080874673/","10 Madison Sq W, Unit 15F")</f>
        <v>10 Madison Sq W, Unit 15F</v>
      </c>
      <c r="B1185" s="2" t="str">
        <f t="shared" ref="B1185:B1194" si="218">HYPERLINK("https://www.compass.com/building/10-madison-square-west-manhattan-ny/294838725091521285/","10 Madison Square West")</f>
        <v>10 Madison Square West</v>
      </c>
      <c r="C1185" s="1" t="s">
        <v>154</v>
      </c>
      <c r="D1185" s="1" t="s">
        <v>41</v>
      </c>
      <c r="E1185" s="3">
        <v>7163389</v>
      </c>
      <c r="F1185" s="1">
        <v>2542.01162171753</v>
      </c>
      <c r="H1185" s="1">
        <v>4</v>
      </c>
      <c r="J1185" s="1">
        <v>4.5</v>
      </c>
      <c r="M1185" s="4">
        <v>2818</v>
      </c>
      <c r="N1185" s="1">
        <v>3531</v>
      </c>
      <c r="O1185" s="1">
        <v>3532</v>
      </c>
      <c r="P1185" s="1">
        <v>1</v>
      </c>
      <c r="Q1185" s="1" t="s">
        <v>42</v>
      </c>
      <c r="S1185" s="1" t="s">
        <v>42</v>
      </c>
      <c r="T1185" s="1" t="s">
        <v>170</v>
      </c>
      <c r="AA1185" s="1">
        <v>7163388.75</v>
      </c>
      <c r="AB1185" s="1" t="s">
        <v>914</v>
      </c>
      <c r="AC1185" s="5">
        <v>42558</v>
      </c>
      <c r="AF1185" s="1">
        <v>10010</v>
      </c>
      <c r="AI1185" s="1" t="s">
        <v>59</v>
      </c>
      <c r="AJ1185" s="1">
        <v>1915</v>
      </c>
      <c r="AK1185" s="1" t="s">
        <v>46</v>
      </c>
      <c r="AL1185" s="1">
        <v>125</v>
      </c>
    </row>
    <row r="1186" spans="1:38" x14ac:dyDescent="0.2">
      <c r="A1186" s="2" t="str">
        <f>HYPERLINK("https://www.compass.com/listing/10-madison-square-west-unit-9f-manhattan-ny-10010/29374733069970177/","10 Madison Sq W, Unit 9F")</f>
        <v>10 Madison Sq W, Unit 9F</v>
      </c>
      <c r="B1186" s="2" t="str">
        <f t="shared" si="218"/>
        <v>10 Madison Square West</v>
      </c>
      <c r="C1186" s="1" t="s">
        <v>154</v>
      </c>
      <c r="D1186" s="1" t="s">
        <v>41</v>
      </c>
      <c r="E1186" s="3">
        <v>6567713</v>
      </c>
      <c r="F1186" s="1">
        <v>2332.2842684658999</v>
      </c>
      <c r="H1186" s="1">
        <v>4</v>
      </c>
      <c r="J1186" s="1">
        <v>4.5</v>
      </c>
      <c r="K1186" s="1">
        <v>4</v>
      </c>
      <c r="L1186" s="1">
        <v>1</v>
      </c>
      <c r="M1186" s="4">
        <v>2816</v>
      </c>
      <c r="N1186" s="1">
        <v>3540</v>
      </c>
      <c r="O1186" s="1">
        <v>9345</v>
      </c>
      <c r="P1186" s="1">
        <v>5805</v>
      </c>
      <c r="Q1186" s="1" t="s">
        <v>42</v>
      </c>
      <c r="S1186" s="1" t="s">
        <v>42</v>
      </c>
      <c r="T1186" s="1" t="s">
        <v>170</v>
      </c>
      <c r="AA1186" s="1">
        <v>6567712.5</v>
      </c>
      <c r="AB1186" s="1" t="s">
        <v>915</v>
      </c>
      <c r="AC1186" s="5">
        <v>42438</v>
      </c>
      <c r="AF1186" s="1">
        <v>10010</v>
      </c>
      <c r="AI1186" s="1" t="s">
        <v>59</v>
      </c>
      <c r="AJ1186" s="1">
        <v>1915</v>
      </c>
      <c r="AK1186" s="1" t="s">
        <v>46</v>
      </c>
      <c r="AL1186" s="1">
        <v>125</v>
      </c>
    </row>
    <row r="1187" spans="1:38" x14ac:dyDescent="0.2">
      <c r="A1187" s="2" t="str">
        <f>HYPERLINK("https://www.compass.com/listing/10-madison-square-west-unit-11f-manhattan-ny-10010/29374737213942625/","10 Madison Sq W, Unit 11F")</f>
        <v>10 Madison Sq W, Unit 11F</v>
      </c>
      <c r="B1187" s="2" t="str">
        <f t="shared" si="218"/>
        <v>10 Madison Square West</v>
      </c>
      <c r="C1187" s="1" t="s">
        <v>154</v>
      </c>
      <c r="D1187" s="1" t="s">
        <v>41</v>
      </c>
      <c r="E1187" s="3">
        <v>6669538</v>
      </c>
      <c r="F1187" s="1">
        <v>2366.7627750177398</v>
      </c>
      <c r="H1187" s="1">
        <v>4</v>
      </c>
      <c r="J1187" s="1">
        <v>4.5</v>
      </c>
      <c r="K1187" s="1">
        <v>4</v>
      </c>
      <c r="L1187" s="1">
        <v>1</v>
      </c>
      <c r="M1187" s="4">
        <v>2818</v>
      </c>
      <c r="N1187" s="1">
        <v>3539</v>
      </c>
      <c r="O1187" s="1">
        <v>7582</v>
      </c>
      <c r="P1187" s="1">
        <v>4043</v>
      </c>
      <c r="Q1187" s="1" t="s">
        <v>42</v>
      </c>
      <c r="S1187" s="1" t="s">
        <v>42</v>
      </c>
      <c r="T1187" s="1" t="s">
        <v>170</v>
      </c>
      <c r="AA1187" s="1">
        <v>6669537.5</v>
      </c>
      <c r="AB1187" s="1" t="s">
        <v>916</v>
      </c>
      <c r="AC1187" s="5">
        <v>42306</v>
      </c>
      <c r="AF1187" s="1">
        <v>10010</v>
      </c>
      <c r="AI1187" s="1" t="s">
        <v>59</v>
      </c>
      <c r="AJ1187" s="1">
        <v>1915</v>
      </c>
      <c r="AK1187" s="1" t="s">
        <v>46</v>
      </c>
      <c r="AL1187" s="1">
        <v>125</v>
      </c>
    </row>
    <row r="1188" spans="1:38" x14ac:dyDescent="0.2">
      <c r="A1188" s="2" t="str">
        <f>HYPERLINK("https://www.compass.com/listing/10-madison-square-west-unit-16d-manhattan-ny-10010/29374748135855265/","10 Madison Sq W, Unit 16D")</f>
        <v>10 Madison Sq W, Unit 16D</v>
      </c>
      <c r="B1188" s="2" t="str">
        <f t="shared" si="218"/>
        <v>10 Madison Square West</v>
      </c>
      <c r="C1188" s="1" t="s">
        <v>154</v>
      </c>
      <c r="D1188" s="1" t="s">
        <v>41</v>
      </c>
      <c r="E1188" s="3">
        <v>13237250</v>
      </c>
      <c r="F1188" s="1">
        <v>4000.3777576307002</v>
      </c>
      <c r="H1188" s="1">
        <v>4</v>
      </c>
      <c r="J1188" s="1">
        <v>4.5</v>
      </c>
      <c r="M1188" s="4">
        <v>3309</v>
      </c>
      <c r="N1188" s="1">
        <v>4157</v>
      </c>
      <c r="O1188" s="1">
        <v>9856</v>
      </c>
      <c r="P1188" s="1">
        <v>5699</v>
      </c>
      <c r="Q1188" s="1" t="s">
        <v>42</v>
      </c>
      <c r="S1188" s="1" t="s">
        <v>42</v>
      </c>
      <c r="T1188" s="1" t="s">
        <v>170</v>
      </c>
      <c r="AA1188" s="1">
        <v>13237250</v>
      </c>
      <c r="AB1188" s="1" t="s">
        <v>917</v>
      </c>
      <c r="AC1188" s="5">
        <v>42579</v>
      </c>
      <c r="AF1188" s="1">
        <v>10010</v>
      </c>
      <c r="AI1188" s="1" t="s">
        <v>59</v>
      </c>
      <c r="AJ1188" s="1">
        <v>1915</v>
      </c>
      <c r="AK1188" s="1" t="s">
        <v>46</v>
      </c>
      <c r="AL1188" s="1">
        <v>125</v>
      </c>
    </row>
    <row r="1189" spans="1:38" x14ac:dyDescent="0.2">
      <c r="A1189" s="2" t="str">
        <f>HYPERLINK("https://www.compass.com/listing/10-madison-square-west-unit-21b-manhattan-ny-10010/29374754788021521/","10 Madison Sq W, Unit 21B")</f>
        <v>10 Madison Sq W, Unit 21B</v>
      </c>
      <c r="B1189" s="2" t="str">
        <f t="shared" si="218"/>
        <v>10 Madison Square West</v>
      </c>
      <c r="C1189" s="1" t="s">
        <v>154</v>
      </c>
      <c r="D1189" s="1" t="s">
        <v>41</v>
      </c>
      <c r="E1189" s="3">
        <v>15782875</v>
      </c>
      <c r="F1189" s="1">
        <v>4874.2665225447799</v>
      </c>
      <c r="H1189" s="1">
        <v>4</v>
      </c>
      <c r="J1189" s="1">
        <v>4.5</v>
      </c>
      <c r="M1189" s="4">
        <v>3238</v>
      </c>
      <c r="N1189" s="1">
        <v>4095</v>
      </c>
      <c r="O1189" s="1">
        <v>7447</v>
      </c>
      <c r="P1189" s="1">
        <v>3352</v>
      </c>
      <c r="Q1189" s="1" t="s">
        <v>42</v>
      </c>
      <c r="S1189" s="1" t="s">
        <v>42</v>
      </c>
      <c r="T1189" s="1" t="s">
        <v>170</v>
      </c>
      <c r="AA1189" s="1">
        <v>15782875</v>
      </c>
      <c r="AB1189" s="1" t="s">
        <v>918</v>
      </c>
      <c r="AC1189" s="5">
        <v>42804</v>
      </c>
      <c r="AF1189" s="1">
        <v>10010</v>
      </c>
      <c r="AI1189" s="1" t="s">
        <v>59</v>
      </c>
      <c r="AJ1189" s="1">
        <v>1915</v>
      </c>
      <c r="AK1189" s="1" t="s">
        <v>46</v>
      </c>
      <c r="AL1189" s="1">
        <v>125</v>
      </c>
    </row>
    <row r="1190" spans="1:38" x14ac:dyDescent="0.2">
      <c r="A1190" s="2" t="str">
        <f>HYPERLINK("https://www.compass.com/listing/10-madison-square-west-unit-17d-manhattan-ny-10010/567407913890072145/","10 Madison Sq W, Unit 17D")</f>
        <v>10 Madison Sq W, Unit 17D</v>
      </c>
      <c r="B1190" s="2" t="str">
        <f t="shared" si="218"/>
        <v>10 Madison Square West</v>
      </c>
      <c r="C1190" s="1" t="s">
        <v>154</v>
      </c>
      <c r="D1190" s="1" t="s">
        <v>41</v>
      </c>
      <c r="E1190" s="3">
        <v>13980938</v>
      </c>
      <c r="F1190" s="1">
        <v>4225.1246600181303</v>
      </c>
      <c r="H1190" s="1">
        <v>4</v>
      </c>
      <c r="J1190" s="1">
        <v>4.5</v>
      </c>
      <c r="M1190" s="4">
        <v>3309</v>
      </c>
      <c r="N1190" s="1">
        <v>4145</v>
      </c>
      <c r="O1190" s="1">
        <v>4145</v>
      </c>
      <c r="Q1190" s="1" t="s">
        <v>42</v>
      </c>
      <c r="S1190" s="1" t="s">
        <v>42</v>
      </c>
      <c r="T1190" s="1" t="s">
        <v>170</v>
      </c>
      <c r="AA1190" s="1">
        <v>13980937.5</v>
      </c>
      <c r="AB1190" s="1" t="s">
        <v>919</v>
      </c>
      <c r="AC1190" s="5">
        <v>42621</v>
      </c>
      <c r="AF1190" s="1">
        <v>10010</v>
      </c>
      <c r="AI1190" s="1" t="s">
        <v>59</v>
      </c>
      <c r="AJ1190" s="1">
        <v>1915</v>
      </c>
      <c r="AK1190" s="1" t="s">
        <v>46</v>
      </c>
      <c r="AL1190" s="1">
        <v>125</v>
      </c>
    </row>
    <row r="1191" spans="1:38" x14ac:dyDescent="0.2">
      <c r="A1191" s="2" t="str">
        <f>HYPERLINK("https://www.compass.com/listing/10-madison-square-west-unit-10f-manhattan-ny-10010/70915385158904353/","10 Madison Sq W, Unit 10F")</f>
        <v>10 Madison Sq W, Unit 10F</v>
      </c>
      <c r="B1191" s="2" t="str">
        <f t="shared" si="218"/>
        <v>10 Madison Square West</v>
      </c>
      <c r="C1191" s="1" t="s">
        <v>154</v>
      </c>
      <c r="D1191" s="1" t="s">
        <v>41</v>
      </c>
      <c r="E1191" s="3">
        <v>6975013</v>
      </c>
      <c r="F1191" s="1">
        <v>2475.1641234918302</v>
      </c>
      <c r="H1191" s="1">
        <v>4</v>
      </c>
      <c r="J1191" s="1">
        <v>4.5</v>
      </c>
      <c r="M1191" s="4">
        <v>2818</v>
      </c>
      <c r="N1191" s="1">
        <v>3530</v>
      </c>
      <c r="O1191" s="1">
        <v>6419</v>
      </c>
      <c r="P1191" s="1">
        <v>2889</v>
      </c>
      <c r="Q1191" s="1" t="s">
        <v>42</v>
      </c>
      <c r="S1191" s="1" t="s">
        <v>42</v>
      </c>
      <c r="T1191" s="1" t="s">
        <v>170</v>
      </c>
      <c r="AA1191" s="1">
        <v>6975012.5</v>
      </c>
      <c r="AB1191" s="1" t="s">
        <v>920</v>
      </c>
      <c r="AC1191" s="5">
        <v>42433</v>
      </c>
      <c r="AF1191" s="1">
        <v>10010</v>
      </c>
      <c r="AI1191" s="1" t="s">
        <v>59</v>
      </c>
      <c r="AJ1191" s="1">
        <v>1915</v>
      </c>
      <c r="AK1191" s="1" t="s">
        <v>46</v>
      </c>
      <c r="AL1191" s="1">
        <v>125</v>
      </c>
    </row>
    <row r="1192" spans="1:38" x14ac:dyDescent="0.2">
      <c r="A1192" s="2" t="str">
        <f>HYPERLINK("https://www.compass.com/listing/10-madison-square-west-unit-15d-manhattan-ny-10010/70915961867315809/","10 Madison Sq W, Unit 15D")</f>
        <v>10 Madison Sq W, Unit 15D</v>
      </c>
      <c r="B1192" s="2" t="str">
        <f t="shared" si="218"/>
        <v>10 Madison Square West</v>
      </c>
      <c r="C1192" s="1" t="s">
        <v>154</v>
      </c>
      <c r="D1192" s="1" t="s">
        <v>41</v>
      </c>
      <c r="E1192" s="3">
        <v>13256088</v>
      </c>
      <c r="F1192" s="1">
        <v>4006.0706044121998</v>
      </c>
      <c r="H1192" s="1">
        <v>4</v>
      </c>
      <c r="J1192" s="1">
        <v>4.5</v>
      </c>
      <c r="M1192" s="4">
        <v>3309</v>
      </c>
      <c r="N1192" s="1">
        <v>4145</v>
      </c>
      <c r="O1192" s="1">
        <v>7538</v>
      </c>
      <c r="P1192" s="1">
        <v>3393</v>
      </c>
      <c r="Q1192" s="1" t="s">
        <v>42</v>
      </c>
      <c r="S1192" s="1" t="s">
        <v>42</v>
      </c>
      <c r="T1192" s="1" t="s">
        <v>170</v>
      </c>
      <c r="AA1192" s="1">
        <v>13256087.630000001</v>
      </c>
      <c r="AB1192" s="1" t="s">
        <v>921</v>
      </c>
      <c r="AC1192" s="5">
        <v>42466</v>
      </c>
      <c r="AF1192" s="1">
        <v>10010</v>
      </c>
      <c r="AI1192" s="1" t="s">
        <v>59</v>
      </c>
      <c r="AJ1192" s="1">
        <v>1915</v>
      </c>
      <c r="AK1192" s="1" t="s">
        <v>46</v>
      </c>
      <c r="AL1192" s="1">
        <v>125</v>
      </c>
    </row>
    <row r="1193" spans="1:38" x14ac:dyDescent="0.2">
      <c r="A1193" s="2" t="str">
        <f>HYPERLINK("https://www.compass.com/listing/10-madison-square-west-unit-18a-manhattan-ny-10010/79389290546651681/","10 Madison Sq W, Unit 18A")</f>
        <v>10 Madison Sq W, Unit 18A</v>
      </c>
      <c r="B1193" s="2" t="str">
        <f t="shared" si="218"/>
        <v>10 Madison Square West</v>
      </c>
      <c r="C1193" s="1" t="s">
        <v>154</v>
      </c>
      <c r="D1193" s="1" t="s">
        <v>41</v>
      </c>
      <c r="E1193" s="3">
        <v>28000000</v>
      </c>
      <c r="F1193" s="1">
        <v>4136.5046535677302</v>
      </c>
      <c r="H1193" s="1">
        <v>5</v>
      </c>
      <c r="J1193" s="1">
        <v>5</v>
      </c>
      <c r="M1193" s="4">
        <v>6769</v>
      </c>
      <c r="N1193" s="1">
        <v>4961</v>
      </c>
      <c r="O1193" s="1">
        <v>9021</v>
      </c>
      <c r="P1193" s="1">
        <v>4060</v>
      </c>
      <c r="Q1193" s="1" t="s">
        <v>42</v>
      </c>
      <c r="S1193" s="1" t="s">
        <v>42</v>
      </c>
      <c r="T1193" s="1" t="s">
        <v>170</v>
      </c>
      <c r="AA1193" s="1">
        <v>28000000</v>
      </c>
      <c r="AB1193" s="1" t="s">
        <v>922</v>
      </c>
      <c r="AC1193" s="5">
        <v>42754</v>
      </c>
      <c r="AF1193" s="1">
        <v>10010</v>
      </c>
      <c r="AI1193" s="1" t="s">
        <v>59</v>
      </c>
      <c r="AJ1193" s="1">
        <v>1915</v>
      </c>
      <c r="AK1193" s="1" t="s">
        <v>46</v>
      </c>
      <c r="AL1193" s="1">
        <v>125</v>
      </c>
    </row>
    <row r="1194" spans="1:38" x14ac:dyDescent="0.2">
      <c r="A1194" s="2" t="str">
        <f>HYPERLINK("https://www.compass.com/listing/10-madison-square-west-unit-9f-manhattan-ny-10010/842484924608251425/","10 Madison Sq W, Unit 9F")</f>
        <v>10 Madison Sq W, Unit 9F</v>
      </c>
      <c r="B1194" s="2" t="str">
        <f t="shared" si="218"/>
        <v>10 Madison Square West</v>
      </c>
      <c r="C1194" s="1" t="s">
        <v>154</v>
      </c>
      <c r="D1194" s="1" t="s">
        <v>41</v>
      </c>
      <c r="E1194" s="3">
        <v>5800000</v>
      </c>
      <c r="F1194" s="1">
        <v>2059.6590909090901</v>
      </c>
      <c r="H1194" s="1">
        <v>4</v>
      </c>
      <c r="J1194" s="1">
        <v>4.5</v>
      </c>
      <c r="K1194" s="1">
        <v>4</v>
      </c>
      <c r="L1194" s="1">
        <v>1</v>
      </c>
      <c r="M1194" s="4">
        <v>2816</v>
      </c>
      <c r="N1194" s="1">
        <v>3540</v>
      </c>
      <c r="O1194" s="1">
        <v>9345</v>
      </c>
      <c r="P1194" s="1">
        <v>5805</v>
      </c>
      <c r="Q1194" s="1" t="s">
        <v>42</v>
      </c>
      <c r="S1194" s="1" t="s">
        <v>42</v>
      </c>
      <c r="T1194" s="1" t="s">
        <v>170</v>
      </c>
      <c r="AA1194" s="1">
        <v>5800000</v>
      </c>
      <c r="AB1194" s="1" t="s">
        <v>923</v>
      </c>
      <c r="AC1194" s="5">
        <v>44407</v>
      </c>
      <c r="AF1194" s="1">
        <v>10010</v>
      </c>
      <c r="AI1194" s="1" t="s">
        <v>59</v>
      </c>
      <c r="AJ1194" s="1">
        <v>1915</v>
      </c>
      <c r="AK1194" s="1" t="s">
        <v>46</v>
      </c>
      <c r="AL1194" s="1">
        <v>125</v>
      </c>
    </row>
    <row r="1195" spans="1:38" x14ac:dyDescent="0.2">
      <c r="A1195" s="2" t="str">
        <f>HYPERLINK("https://www.compass.com/listing/200-east-21st-street-manhattan-ny-10010/29380271405096785/","200 E 21st St")</f>
        <v>200 E 21st St</v>
      </c>
      <c r="B1195" s="2" t="str">
        <f>HYPERLINK("https://www.compass.com/building/200-east-21st-street-manhattan-ny/292796762689658005/","200 East 21st Street")</f>
        <v>200 East 21st Street</v>
      </c>
      <c r="C1195" s="1" t="s">
        <v>54</v>
      </c>
      <c r="D1195" s="1" t="s">
        <v>41</v>
      </c>
      <c r="E1195" s="3">
        <v>728052</v>
      </c>
      <c r="F1195" s="1">
        <v>882.486715151515</v>
      </c>
      <c r="H1195" s="1">
        <v>18</v>
      </c>
      <c r="J1195" s="1">
        <v>9</v>
      </c>
      <c r="M1195" s="1">
        <v>825</v>
      </c>
      <c r="Q1195" s="1" t="s">
        <v>42</v>
      </c>
      <c r="S1195" s="1" t="s">
        <v>42</v>
      </c>
      <c r="T1195" s="1" t="s">
        <v>170</v>
      </c>
      <c r="V1195" s="5">
        <v>43859</v>
      </c>
      <c r="AA1195" s="1">
        <v>728051.54</v>
      </c>
      <c r="AB1195" s="1" t="s">
        <v>924</v>
      </c>
      <c r="AC1195" s="5">
        <v>41880</v>
      </c>
      <c r="AF1195" s="1">
        <v>10010</v>
      </c>
      <c r="AI1195" s="1" t="s">
        <v>82</v>
      </c>
      <c r="AJ1195" s="1">
        <v>2018</v>
      </c>
      <c r="AK1195" s="1" t="s">
        <v>49</v>
      </c>
      <c r="AL1195" s="1">
        <v>67</v>
      </c>
    </row>
    <row r="1196" spans="1:38" x14ac:dyDescent="0.2">
      <c r="A1196" s="2" t="str">
        <f>HYPERLINK("https://www.compass.com/listing/21-east-12th-street-unit-15b-manhattan-ny-10003/29514928754809681/","21 E 12th St, Unit 15B")</f>
        <v>21 E 12th St, Unit 15B</v>
      </c>
      <c r="B1196" s="2" t="str">
        <f>HYPERLINK("https://www.compass.com/building/21-east-12th-street-manhattan-ny/292779727154847925/","21 East 12th Street")</f>
        <v>21 East 12th Street</v>
      </c>
      <c r="C1196" s="1" t="s">
        <v>370</v>
      </c>
      <c r="D1196" s="1" t="s">
        <v>41</v>
      </c>
      <c r="E1196" s="3">
        <v>4953938</v>
      </c>
      <c r="F1196" s="1">
        <v>3041.0914671577598</v>
      </c>
      <c r="G1196" s="1">
        <v>4</v>
      </c>
      <c r="H1196" s="1">
        <v>2</v>
      </c>
      <c r="I1196" s="1">
        <v>3</v>
      </c>
      <c r="J1196" s="1">
        <v>2.5</v>
      </c>
      <c r="K1196" s="1">
        <v>2</v>
      </c>
      <c r="L1196" s="1">
        <v>1</v>
      </c>
      <c r="M1196" s="4">
        <v>1629</v>
      </c>
      <c r="N1196" s="1">
        <v>2124</v>
      </c>
      <c r="O1196" s="1">
        <v>5369</v>
      </c>
      <c r="P1196" s="1">
        <v>3245</v>
      </c>
      <c r="Q1196" s="1" t="s">
        <v>42</v>
      </c>
      <c r="S1196" s="1" t="s">
        <v>42</v>
      </c>
      <c r="T1196" s="1" t="s">
        <v>170</v>
      </c>
      <c r="U1196" s="1">
        <v>4</v>
      </c>
      <c r="V1196" s="5">
        <v>43697</v>
      </c>
      <c r="W1196" s="5">
        <v>42581</v>
      </c>
      <c r="X1196" s="1">
        <v>5075000</v>
      </c>
      <c r="Y1196" s="1">
        <v>5075000</v>
      </c>
      <c r="Z1196" s="5">
        <v>42585</v>
      </c>
      <c r="AA1196" s="1">
        <v>4953938</v>
      </c>
      <c r="AB1196" s="1" t="s">
        <v>925</v>
      </c>
      <c r="AC1196" s="5">
        <v>43645</v>
      </c>
      <c r="AF1196" s="1">
        <v>10003</v>
      </c>
      <c r="AI1196" s="1" t="s">
        <v>59</v>
      </c>
      <c r="AJ1196" s="1">
        <v>2018</v>
      </c>
      <c r="AK1196" s="1" t="s">
        <v>740</v>
      </c>
      <c r="AL1196" s="1">
        <v>52</v>
      </c>
    </row>
    <row r="1197" spans="1:38" x14ac:dyDescent="0.2">
      <c r="A1197" s="2" t="str">
        <f>HYPERLINK("https://www.compass.com/listing/63-greene-street-unit-5a-manhattan-ny-10012/4845165728866773105/","63 Greene St, Unit 5A")</f>
        <v>63 Greene St, Unit 5A</v>
      </c>
      <c r="B1197" s="2" t="str">
        <f>HYPERLINK("https://www.compass.com/building/63-greene-street-manhattan-ny/292812252044627637/","63 Greene Street")</f>
        <v>63 Greene Street</v>
      </c>
      <c r="C1197" s="1" t="s">
        <v>104</v>
      </c>
      <c r="D1197" s="1" t="s">
        <v>41</v>
      </c>
      <c r="E1197" s="3">
        <v>4500000</v>
      </c>
      <c r="F1197" s="1">
        <v>2304.1474654377798</v>
      </c>
      <c r="G1197" s="1">
        <v>4</v>
      </c>
      <c r="H1197" s="1">
        <v>2</v>
      </c>
      <c r="I1197" s="1">
        <v>2</v>
      </c>
      <c r="M1197" s="4">
        <v>1953</v>
      </c>
      <c r="N1197" s="1">
        <v>1951</v>
      </c>
      <c r="O1197" s="1">
        <v>4236</v>
      </c>
      <c r="P1197" s="1">
        <v>2285</v>
      </c>
      <c r="Q1197" s="1" t="s">
        <v>42</v>
      </c>
      <c r="S1197" s="1" t="s">
        <v>42</v>
      </c>
      <c r="T1197" s="1" t="s">
        <v>170</v>
      </c>
      <c r="V1197" s="5">
        <v>43694</v>
      </c>
      <c r="W1197" s="5">
        <v>42878</v>
      </c>
      <c r="X1197" s="1">
        <v>5150000</v>
      </c>
      <c r="Y1197" s="1">
        <v>5150000</v>
      </c>
      <c r="Z1197" s="5">
        <v>42878</v>
      </c>
      <c r="AA1197" s="1">
        <v>4500000</v>
      </c>
      <c r="AB1197" s="1" t="s">
        <v>913</v>
      </c>
      <c r="AC1197" s="5">
        <v>42893</v>
      </c>
      <c r="AF1197" s="1">
        <v>10012</v>
      </c>
      <c r="AI1197" s="1" t="s">
        <v>786</v>
      </c>
      <c r="AJ1197" s="1">
        <v>1877</v>
      </c>
      <c r="AK1197" s="1" t="s">
        <v>139</v>
      </c>
      <c r="AL1197" s="1">
        <v>23</v>
      </c>
    </row>
    <row r="1198" spans="1:38" x14ac:dyDescent="0.2">
      <c r="A1198" s="2" t="str">
        <f>HYPERLINK("https://www.compass.com/listing/80-east-10th-street-unit-8-manhattan-ny-10003/783245077688616009/","80 E 10th St, Unit 8")</f>
        <v>80 E 10th St, Unit 8</v>
      </c>
      <c r="B1198" s="2" t="str">
        <f>HYPERLINK("https://www.compass.com/building/80-e-10th-st-manhattan-ny-10003/282059393531414101/","80 E 10th St")</f>
        <v>80 E 10th St</v>
      </c>
      <c r="C1198" s="1" t="s">
        <v>370</v>
      </c>
      <c r="D1198" s="1" t="s">
        <v>41</v>
      </c>
      <c r="E1198" s="3">
        <v>4996571</v>
      </c>
      <c r="F1198" s="1">
        <v>1876.99896694214</v>
      </c>
      <c r="G1198" s="1">
        <v>5</v>
      </c>
      <c r="H1198" s="1">
        <v>3</v>
      </c>
      <c r="I1198" s="1">
        <v>3</v>
      </c>
      <c r="J1198" s="1">
        <v>3</v>
      </c>
      <c r="K1198" s="1">
        <v>3</v>
      </c>
      <c r="M1198" s="4">
        <v>2662</v>
      </c>
      <c r="N1198" s="1">
        <v>3583</v>
      </c>
      <c r="O1198" s="1">
        <v>8078</v>
      </c>
      <c r="P1198" s="1">
        <v>4495</v>
      </c>
      <c r="Q1198" s="1" t="s">
        <v>42</v>
      </c>
      <c r="S1198" s="1" t="s">
        <v>42</v>
      </c>
      <c r="T1198" s="1" t="s">
        <v>170</v>
      </c>
      <c r="U1198" s="1">
        <v>319</v>
      </c>
      <c r="V1198" s="5">
        <v>44314</v>
      </c>
      <c r="W1198" s="5">
        <v>43735</v>
      </c>
      <c r="X1198" s="1">
        <v>6500000</v>
      </c>
      <c r="Y1198" s="1">
        <v>6400000</v>
      </c>
      <c r="Z1198" s="5">
        <v>44149</v>
      </c>
      <c r="AA1198" s="1">
        <v>4996571.25</v>
      </c>
      <c r="AB1198" s="1" t="s">
        <v>926</v>
      </c>
      <c r="AC1198" s="5">
        <v>44204</v>
      </c>
      <c r="AF1198" s="1">
        <v>10003</v>
      </c>
      <c r="AI1198" s="1" t="s">
        <v>102</v>
      </c>
      <c r="AJ1198" s="1">
        <v>2018</v>
      </c>
      <c r="AK1198" s="1" t="s">
        <v>108</v>
      </c>
      <c r="AL1198" s="1">
        <v>12</v>
      </c>
    </row>
    <row r="1199" spans="1:38" x14ac:dyDescent="0.2">
      <c r="A1199" s="2" t="str">
        <f>HYPERLINK("https://www.compass.com/listing/21-east-12th-street-unit-tha-manhattan-ny-10003/29514925332257489/","21 E 12th St, Unit THA")</f>
        <v>21 E 12th St, Unit THA</v>
      </c>
      <c r="B1199" s="2" t="str">
        <f>HYPERLINK("https://www.compass.com/building/21-east-12th-street-manhattan-ny/292779727154847925/","21 East 12th Street")</f>
        <v>21 East 12th Street</v>
      </c>
      <c r="C1199" s="1" t="s">
        <v>370</v>
      </c>
      <c r="D1199" s="1" t="s">
        <v>41</v>
      </c>
      <c r="E1199" s="3">
        <v>11100000</v>
      </c>
      <c r="F1199" s="1">
        <v>3353.4743202416898</v>
      </c>
      <c r="G1199" s="1">
        <v>6</v>
      </c>
      <c r="H1199" s="1">
        <v>4</v>
      </c>
      <c r="I1199" s="1">
        <v>4</v>
      </c>
      <c r="J1199" s="1">
        <v>4</v>
      </c>
      <c r="K1199" s="1">
        <v>4</v>
      </c>
      <c r="M1199" s="4">
        <v>3310</v>
      </c>
      <c r="N1199" s="1">
        <v>4740</v>
      </c>
      <c r="O1199" s="1">
        <v>11972</v>
      </c>
      <c r="P1199" s="1">
        <v>7232</v>
      </c>
      <c r="Q1199" s="1" t="s">
        <v>42</v>
      </c>
      <c r="S1199" s="1" t="s">
        <v>42</v>
      </c>
      <c r="T1199" s="1" t="s">
        <v>170</v>
      </c>
      <c r="U1199" s="1">
        <v>20</v>
      </c>
      <c r="V1199" s="5">
        <v>43648</v>
      </c>
      <c r="W1199" s="5">
        <v>42880</v>
      </c>
      <c r="X1199" s="1">
        <v>11500000</v>
      </c>
      <c r="Y1199" s="1">
        <v>11500000</v>
      </c>
      <c r="Z1199" s="5">
        <v>42900</v>
      </c>
      <c r="AA1199" s="1">
        <v>11100000</v>
      </c>
      <c r="AB1199" s="1" t="s">
        <v>181</v>
      </c>
      <c r="AC1199" s="5">
        <v>43564</v>
      </c>
      <c r="AF1199" s="1">
        <v>10003</v>
      </c>
      <c r="AI1199" s="1" t="s">
        <v>72</v>
      </c>
      <c r="AJ1199" s="1">
        <v>2018</v>
      </c>
      <c r="AK1199" s="1" t="s">
        <v>740</v>
      </c>
      <c r="AL1199" s="1">
        <v>52</v>
      </c>
    </row>
    <row r="1200" spans="1:38" x14ac:dyDescent="0.2">
      <c r="A1200" s="2" t="str">
        <f>HYPERLINK("https://www.compass.com/listing/63-greene-street-unit-4d-manhattan-ny-10012/595133335654091529/","63 Greene St, Unit 4D")</f>
        <v>63 Greene St, Unit 4D</v>
      </c>
      <c r="B1200" s="2" t="str">
        <f>HYPERLINK("https://www.compass.com/building/63-greene-street-manhattan-ny/292812252044627637/","63 Greene Street")</f>
        <v>63 Greene Street</v>
      </c>
      <c r="C1200" s="1" t="s">
        <v>104</v>
      </c>
      <c r="D1200" s="1" t="s">
        <v>41</v>
      </c>
      <c r="E1200" s="3">
        <v>4450000</v>
      </c>
      <c r="F1200" s="1">
        <v>1848.7744079767299</v>
      </c>
      <c r="G1200" s="1">
        <v>5</v>
      </c>
      <c r="H1200" s="1">
        <v>3</v>
      </c>
      <c r="I1200" s="1">
        <v>4</v>
      </c>
      <c r="J1200" s="1">
        <v>3.5</v>
      </c>
      <c r="K1200" s="1">
        <v>3</v>
      </c>
      <c r="L1200" s="1">
        <v>1</v>
      </c>
      <c r="M1200" s="4">
        <v>2407</v>
      </c>
      <c r="N1200" s="1">
        <v>1989</v>
      </c>
      <c r="O1200" s="1">
        <v>6505</v>
      </c>
      <c r="P1200" s="1">
        <v>4516</v>
      </c>
      <c r="Q1200" s="1" t="s">
        <v>42</v>
      </c>
      <c r="S1200" s="1" t="s">
        <v>42</v>
      </c>
      <c r="T1200" s="1" t="s">
        <v>170</v>
      </c>
      <c r="U1200" s="1">
        <v>143</v>
      </c>
      <c r="V1200" s="5">
        <v>44259</v>
      </c>
      <c r="W1200" s="5">
        <v>44072</v>
      </c>
      <c r="X1200" s="1">
        <v>4950000</v>
      </c>
      <c r="Y1200" s="1">
        <v>4950000</v>
      </c>
      <c r="Z1200" s="5">
        <v>44216</v>
      </c>
      <c r="AA1200" s="1">
        <v>4450000</v>
      </c>
      <c r="AB1200" s="1" t="s">
        <v>927</v>
      </c>
      <c r="AC1200" s="5">
        <v>44257</v>
      </c>
      <c r="AF1200" s="1">
        <v>10012</v>
      </c>
      <c r="AI1200" s="1" t="s">
        <v>53</v>
      </c>
      <c r="AJ1200" s="1">
        <v>1877</v>
      </c>
      <c r="AK1200" s="1" t="s">
        <v>87</v>
      </c>
      <c r="AL1200" s="1">
        <v>23</v>
      </c>
    </row>
    <row r="1201" spans="1:38" x14ac:dyDescent="0.2">
      <c r="A1201" s="2" t="str">
        <f>HYPERLINK("https://www.compass.com/listing/215-east-19th-street-unit-5k-manhattan-ny-10003/29514961092922177/","215 E 19th St, Unit 5K")</f>
        <v>215 E 19th St, Unit 5K</v>
      </c>
      <c r="B1201" s="2" t="str">
        <f>HYPERLINK("https://www.compass.com/building/the-tower-at-gramercy-square-manhattan-ny/281890815108713781/","The Tower at Gramercy Square")</f>
        <v>The Tower at Gramercy Square</v>
      </c>
      <c r="C1201" s="1" t="s">
        <v>54</v>
      </c>
      <c r="D1201" s="1" t="s">
        <v>41</v>
      </c>
      <c r="E1201" s="3">
        <v>2160000</v>
      </c>
      <c r="F1201" s="1">
        <v>1783.6498761354201</v>
      </c>
      <c r="G1201" s="1">
        <v>3</v>
      </c>
      <c r="H1201" s="1">
        <v>1</v>
      </c>
      <c r="I1201" s="1">
        <v>2</v>
      </c>
      <c r="J1201" s="1">
        <v>1.5</v>
      </c>
      <c r="K1201" s="1">
        <v>1</v>
      </c>
      <c r="L1201" s="1">
        <v>1</v>
      </c>
      <c r="M1201" s="4">
        <v>1211</v>
      </c>
      <c r="N1201" s="1">
        <v>1374</v>
      </c>
      <c r="O1201" s="1">
        <v>3101</v>
      </c>
      <c r="P1201" s="1">
        <v>1727</v>
      </c>
      <c r="Q1201" s="1" t="s">
        <v>42</v>
      </c>
      <c r="S1201" s="1" t="s">
        <v>42</v>
      </c>
      <c r="T1201" s="1" t="s">
        <v>170</v>
      </c>
      <c r="V1201" s="5">
        <v>43648</v>
      </c>
      <c r="W1201" s="5">
        <v>43188</v>
      </c>
      <c r="X1201" s="1">
        <v>2200000</v>
      </c>
      <c r="Y1201" s="1">
        <v>2200000</v>
      </c>
      <c r="Z1201" s="5">
        <v>43188</v>
      </c>
      <c r="AA1201" s="1">
        <v>2160000</v>
      </c>
      <c r="AB1201" s="1" t="s">
        <v>928</v>
      </c>
      <c r="AC1201" s="5">
        <v>43502</v>
      </c>
      <c r="AF1201" s="1">
        <v>10003</v>
      </c>
      <c r="AI1201" s="1" t="s">
        <v>76</v>
      </c>
      <c r="AJ1201" s="1">
        <v>1920</v>
      </c>
      <c r="AK1201" s="1" t="s">
        <v>46</v>
      </c>
      <c r="AL1201" s="1">
        <v>130</v>
      </c>
    </row>
    <row r="1202" spans="1:38" x14ac:dyDescent="0.2">
      <c r="A1202" s="2" t="str">
        <f>HYPERLINK("https://www.compass.com/listing/21-east-12th-street-unit-th3b-manhattan-ny-10003/29514922773759297/","21 E 12th St, Unit TH3B")</f>
        <v>21 E 12th St, Unit TH3B</v>
      </c>
      <c r="B1202" s="2" t="str">
        <f>HYPERLINK("https://www.compass.com/building/21-east-12th-street-manhattan-ny/292779727154847925/","21 East 12th Street")</f>
        <v>21 East 12th Street</v>
      </c>
      <c r="C1202" s="1" t="s">
        <v>370</v>
      </c>
      <c r="D1202" s="1" t="s">
        <v>41</v>
      </c>
      <c r="E1202" s="3">
        <v>12000000</v>
      </c>
      <c r="F1202" s="1">
        <v>3628.66646507408</v>
      </c>
      <c r="G1202" s="1">
        <v>8</v>
      </c>
      <c r="H1202" s="1">
        <v>4</v>
      </c>
      <c r="I1202" s="1">
        <v>5</v>
      </c>
      <c r="J1202" s="1">
        <v>4.5</v>
      </c>
      <c r="K1202" s="1">
        <v>4</v>
      </c>
      <c r="L1202" s="1">
        <v>1</v>
      </c>
      <c r="M1202" s="4">
        <v>3307</v>
      </c>
      <c r="N1202" s="1">
        <v>4741</v>
      </c>
      <c r="O1202" s="1">
        <v>11975</v>
      </c>
      <c r="P1202" s="1">
        <v>7234</v>
      </c>
      <c r="Q1202" s="1" t="s">
        <v>42</v>
      </c>
      <c r="S1202" s="1" t="s">
        <v>42</v>
      </c>
      <c r="T1202" s="1" t="s">
        <v>170</v>
      </c>
      <c r="U1202" s="1">
        <v>63</v>
      </c>
      <c r="V1202" s="5">
        <v>43644</v>
      </c>
      <c r="W1202" s="5">
        <v>42837</v>
      </c>
      <c r="X1202" s="1">
        <v>12000000</v>
      </c>
      <c r="Y1202" s="1">
        <v>12000000</v>
      </c>
      <c r="Z1202" s="5">
        <v>42900</v>
      </c>
      <c r="AA1202" s="1">
        <v>12000000</v>
      </c>
      <c r="AB1202" s="1" t="s">
        <v>181</v>
      </c>
      <c r="AC1202" s="5">
        <v>43564</v>
      </c>
      <c r="AF1202" s="1">
        <v>10003</v>
      </c>
      <c r="AI1202" s="1" t="s">
        <v>72</v>
      </c>
      <c r="AJ1202" s="1">
        <v>2018</v>
      </c>
      <c r="AK1202" s="1" t="s">
        <v>740</v>
      </c>
      <c r="AL1202" s="1">
        <v>52</v>
      </c>
    </row>
    <row r="1203" spans="1:38" x14ac:dyDescent="0.2">
      <c r="A1203" s="2" t="str">
        <f>HYPERLINK("https://www.compass.com/listing/225-east-19th-street-unit-804-manhattan-ny-10003/29514963844385713/","225 E 19th St, Unit 804")</f>
        <v>225 E 19th St, Unit 804</v>
      </c>
      <c r="B1203" s="2" t="str">
        <f>HYPERLINK("https://www.compass.com/building/the-prewar-at-gramercy-square-manhattan-ny/282059248584654437/","The Prewar at Gramercy Square")</f>
        <v>The Prewar at Gramercy Square</v>
      </c>
      <c r="C1203" s="1" t="s">
        <v>54</v>
      </c>
      <c r="D1203" s="1" t="s">
        <v>41</v>
      </c>
      <c r="E1203" s="3">
        <v>1613926</v>
      </c>
      <c r="F1203" s="1">
        <v>2315.53228120516</v>
      </c>
      <c r="G1203" s="1">
        <v>3</v>
      </c>
      <c r="H1203" s="1">
        <v>1</v>
      </c>
      <c r="I1203" s="1">
        <v>1</v>
      </c>
      <c r="J1203" s="1">
        <v>1</v>
      </c>
      <c r="M1203" s="1">
        <v>697</v>
      </c>
      <c r="N1203" s="1">
        <v>791</v>
      </c>
      <c r="O1203" s="1">
        <v>1792</v>
      </c>
      <c r="P1203" s="1">
        <v>1001</v>
      </c>
      <c r="Q1203" s="1" t="s">
        <v>42</v>
      </c>
      <c r="S1203" s="1" t="s">
        <v>42</v>
      </c>
      <c r="T1203" s="1" t="s">
        <v>170</v>
      </c>
      <c r="V1203" s="5">
        <v>43648</v>
      </c>
      <c r="W1203" s="5">
        <v>43084</v>
      </c>
      <c r="X1203" s="1">
        <v>1630000</v>
      </c>
      <c r="Y1203" s="1">
        <v>1630000</v>
      </c>
      <c r="Z1203" s="5">
        <v>43084</v>
      </c>
      <c r="AA1203" s="1">
        <v>1613926</v>
      </c>
      <c r="AB1203" s="1" t="s">
        <v>929</v>
      </c>
      <c r="AC1203" s="5">
        <v>43361</v>
      </c>
      <c r="AF1203" s="1">
        <v>10003</v>
      </c>
      <c r="AI1203" s="1" t="s">
        <v>76</v>
      </c>
      <c r="AJ1203" s="1">
        <v>1920</v>
      </c>
      <c r="AK1203" s="1" t="s">
        <v>46</v>
      </c>
      <c r="AL1203" s="1">
        <v>48</v>
      </c>
    </row>
    <row r="1204" spans="1:38" x14ac:dyDescent="0.2">
      <c r="A1204" s="2" t="str">
        <f>HYPERLINK("https://www.compass.com/listing/32-east-1st-street-unit-2b-manhattan-ny-10003/203452640162549745/","32 E 1st St, Unit 2B")</f>
        <v>32 E 1st St, Unit 2B</v>
      </c>
      <c r="B1204" s="2" t="str">
        <f t="shared" ref="B1204:B1206" si="219">HYPERLINK("https://www.compass.com/building/32-east-1st-street-manhattan-ny/292783157810310133/","32 East 1st Street")</f>
        <v>32 East 1st Street</v>
      </c>
      <c r="C1204" s="1" t="s">
        <v>89</v>
      </c>
      <c r="D1204" s="1" t="s">
        <v>41</v>
      </c>
      <c r="E1204" s="3">
        <v>1450000</v>
      </c>
      <c r="F1204" s="1">
        <v>2491.4089347078998</v>
      </c>
      <c r="G1204" s="1">
        <v>3</v>
      </c>
      <c r="H1204" s="1">
        <v>1</v>
      </c>
      <c r="I1204" s="1">
        <v>1</v>
      </c>
      <c r="J1204" s="1">
        <v>1</v>
      </c>
      <c r="K1204" s="1">
        <v>1</v>
      </c>
      <c r="M1204" s="1">
        <v>582</v>
      </c>
      <c r="N1204" s="1">
        <v>705</v>
      </c>
      <c r="O1204" s="1">
        <v>1476</v>
      </c>
      <c r="P1204" s="1">
        <v>771</v>
      </c>
      <c r="Q1204" s="1" t="s">
        <v>42</v>
      </c>
      <c r="S1204" s="1" t="s">
        <v>42</v>
      </c>
      <c r="T1204" s="1" t="s">
        <v>170</v>
      </c>
      <c r="U1204" s="1">
        <v>47</v>
      </c>
      <c r="V1204" s="5">
        <v>44369</v>
      </c>
      <c r="W1204" s="5">
        <v>43531</v>
      </c>
      <c r="X1204" s="1">
        <v>1450000</v>
      </c>
      <c r="Y1204" s="1">
        <v>1450000</v>
      </c>
      <c r="Z1204" s="5">
        <v>43578</v>
      </c>
      <c r="AA1204" s="1">
        <v>1450000</v>
      </c>
      <c r="AB1204" s="1" t="s">
        <v>930</v>
      </c>
      <c r="AC1204" s="5">
        <v>43627</v>
      </c>
      <c r="AF1204" s="1">
        <v>10003</v>
      </c>
      <c r="AI1204" s="1" t="s">
        <v>53</v>
      </c>
      <c r="AJ1204" s="1">
        <v>2019</v>
      </c>
      <c r="AK1204" s="1" t="s">
        <v>49</v>
      </c>
      <c r="AL1204" s="1">
        <v>30</v>
      </c>
    </row>
    <row r="1205" spans="1:38" x14ac:dyDescent="0.2">
      <c r="A1205" s="2" t="str">
        <f>HYPERLINK("https://www.compass.com/listing/32-east-1st-street-unit-5e-manhattan-ny-10003/73653864762564001/","32 E 1st St, Unit 5E")</f>
        <v>32 E 1st St, Unit 5E</v>
      </c>
      <c r="B1205" s="2" t="str">
        <f t="shared" si="219"/>
        <v>32 East 1st Street</v>
      </c>
      <c r="C1205" s="1" t="s">
        <v>89</v>
      </c>
      <c r="D1205" s="1" t="s">
        <v>41</v>
      </c>
      <c r="E1205" s="3">
        <v>1198356</v>
      </c>
      <c r="F1205" s="1">
        <v>2475.9421487603299</v>
      </c>
      <c r="G1205" s="1">
        <v>3</v>
      </c>
      <c r="H1205" s="1">
        <v>1</v>
      </c>
      <c r="I1205" s="1">
        <v>1</v>
      </c>
      <c r="J1205" s="1">
        <v>1</v>
      </c>
      <c r="K1205" s="1">
        <v>1</v>
      </c>
      <c r="M1205" s="1">
        <v>484</v>
      </c>
      <c r="N1205" s="1">
        <v>640</v>
      </c>
      <c r="O1205" s="1">
        <v>1127</v>
      </c>
      <c r="P1205" s="1">
        <v>487</v>
      </c>
      <c r="Q1205" s="1" t="s">
        <v>42</v>
      </c>
      <c r="S1205" s="1" t="s">
        <v>42</v>
      </c>
      <c r="T1205" s="1" t="s">
        <v>170</v>
      </c>
      <c r="V1205" s="5">
        <v>44341</v>
      </c>
      <c r="W1205" s="5">
        <v>43354</v>
      </c>
      <c r="X1205" s="1">
        <v>1225000</v>
      </c>
      <c r="Y1205" s="1">
        <v>1225000</v>
      </c>
      <c r="Z1205" s="5">
        <v>43354</v>
      </c>
      <c r="AA1205" s="1">
        <v>1198356</v>
      </c>
      <c r="AB1205" s="1" t="s">
        <v>931</v>
      </c>
      <c r="AC1205" s="5">
        <v>43571</v>
      </c>
      <c r="AF1205" s="1">
        <v>10003</v>
      </c>
      <c r="AI1205" s="1" t="s">
        <v>53</v>
      </c>
      <c r="AJ1205" s="1">
        <v>2019</v>
      </c>
      <c r="AK1205" s="1" t="s">
        <v>49</v>
      </c>
      <c r="AL1205" s="1">
        <v>30</v>
      </c>
    </row>
    <row r="1206" spans="1:38" x14ac:dyDescent="0.2">
      <c r="A1206" s="2" t="str">
        <f>HYPERLINK("https://www.compass.com/listing/32-east-1st-street-unit-2b-manhattan-ny-10003/803363267958902937/","32 E 1st St, Unit 2B")</f>
        <v>32 E 1st St, Unit 2B</v>
      </c>
      <c r="B1206" s="2" t="str">
        <f t="shared" si="219"/>
        <v>32 East 1st Street</v>
      </c>
      <c r="C1206" s="1" t="s">
        <v>89</v>
      </c>
      <c r="D1206" s="1" t="s">
        <v>41</v>
      </c>
      <c r="E1206" s="3">
        <v>1450000</v>
      </c>
      <c r="F1206" s="1">
        <v>2491.4089347078998</v>
      </c>
      <c r="G1206" s="1">
        <v>3</v>
      </c>
      <c r="H1206" s="1">
        <v>1</v>
      </c>
      <c r="I1206" s="1">
        <v>1</v>
      </c>
      <c r="J1206" s="1">
        <v>1</v>
      </c>
      <c r="K1206" s="1">
        <v>1</v>
      </c>
      <c r="M1206" s="1">
        <v>582</v>
      </c>
      <c r="N1206" s="1">
        <v>706</v>
      </c>
      <c r="O1206" s="1">
        <v>1244</v>
      </c>
      <c r="P1206" s="1">
        <v>538</v>
      </c>
      <c r="Q1206" s="1" t="s">
        <v>42</v>
      </c>
      <c r="S1206" s="1" t="s">
        <v>42</v>
      </c>
      <c r="T1206" s="1" t="s">
        <v>170</v>
      </c>
      <c r="V1206" s="5">
        <v>44369</v>
      </c>
      <c r="W1206" s="5">
        <v>42992</v>
      </c>
      <c r="X1206" s="1">
        <v>1375000</v>
      </c>
      <c r="Y1206" s="1">
        <v>1375000</v>
      </c>
      <c r="Z1206" s="5">
        <v>42993</v>
      </c>
      <c r="AA1206" s="1">
        <v>1450000</v>
      </c>
      <c r="AB1206" s="1" t="s">
        <v>930</v>
      </c>
      <c r="AC1206" s="5">
        <v>43627</v>
      </c>
      <c r="AF1206" s="1">
        <v>10003</v>
      </c>
      <c r="AI1206" s="1" t="s">
        <v>53</v>
      </c>
      <c r="AJ1206" s="1">
        <v>2019</v>
      </c>
      <c r="AK1206" s="1" t="s">
        <v>49</v>
      </c>
      <c r="AL1206" s="1">
        <v>30</v>
      </c>
    </row>
    <row r="1207" spans="1:38" x14ac:dyDescent="0.2">
      <c r="A1207" s="2" t="str">
        <f>HYPERLINK("https://www.compass.com/listing/21-east-12th-street-unit-21b-manhattan-ny-10003/29514925944694225/","21 E 12th St, Unit 21B")</f>
        <v>21 E 12th St, Unit 21B</v>
      </c>
      <c r="B1207" s="2" t="str">
        <f t="shared" ref="B1207:B1211" si="220">HYPERLINK("https://www.compass.com/building/21-east-12th-street-manhattan-ny/292779727154847925/","21 East 12th Street")</f>
        <v>21 East 12th Street</v>
      </c>
      <c r="C1207" s="1" t="s">
        <v>370</v>
      </c>
      <c r="D1207" s="1" t="s">
        <v>41</v>
      </c>
      <c r="E1207" s="3">
        <v>8125000</v>
      </c>
      <c r="F1207" s="1">
        <v>3255.2083333333298</v>
      </c>
      <c r="G1207" s="1">
        <v>5</v>
      </c>
      <c r="H1207" s="1">
        <v>3</v>
      </c>
      <c r="I1207" s="1">
        <v>4</v>
      </c>
      <c r="J1207" s="1">
        <v>3.5</v>
      </c>
      <c r="K1207" s="1">
        <v>3</v>
      </c>
      <c r="L1207" s="1">
        <v>1</v>
      </c>
      <c r="M1207" s="4">
        <v>2496</v>
      </c>
      <c r="N1207" s="1">
        <v>3254</v>
      </c>
      <c r="O1207" s="1">
        <v>8226</v>
      </c>
      <c r="P1207" s="1">
        <v>4972</v>
      </c>
      <c r="Q1207" s="1" t="s">
        <v>42</v>
      </c>
      <c r="S1207" s="1" t="s">
        <v>42</v>
      </c>
      <c r="T1207" s="1" t="s">
        <v>170</v>
      </c>
      <c r="U1207" s="1">
        <v>295</v>
      </c>
      <c r="V1207" s="5">
        <v>43752</v>
      </c>
      <c r="W1207" s="5">
        <v>42591</v>
      </c>
      <c r="X1207" s="1">
        <v>8350000</v>
      </c>
      <c r="Y1207" s="1">
        <v>8450000</v>
      </c>
      <c r="Z1207" s="5">
        <v>42886</v>
      </c>
      <c r="AA1207" s="1">
        <v>8125000</v>
      </c>
      <c r="AB1207" s="1" t="s">
        <v>181</v>
      </c>
      <c r="AC1207" s="5">
        <v>43746</v>
      </c>
      <c r="AF1207" s="1">
        <v>10003</v>
      </c>
      <c r="AI1207" s="1" t="s">
        <v>59</v>
      </c>
      <c r="AJ1207" s="1">
        <v>2018</v>
      </c>
      <c r="AK1207" s="1" t="s">
        <v>740</v>
      </c>
      <c r="AL1207" s="1">
        <v>52</v>
      </c>
    </row>
    <row r="1208" spans="1:38" x14ac:dyDescent="0.2">
      <c r="A1208" s="2" t="str">
        <f>HYPERLINK("https://www.compass.com/listing/21-east-12th-street-unit-19b-manhattan-ny-10003/29514927085476625/","21 E 12th St, Unit 19B")</f>
        <v>21 E 12th St, Unit 19B</v>
      </c>
      <c r="B1208" s="2" t="str">
        <f t="shared" si="220"/>
        <v>21 East 12th Street</v>
      </c>
      <c r="C1208" s="1" t="s">
        <v>370</v>
      </c>
      <c r="D1208" s="1" t="s">
        <v>41</v>
      </c>
      <c r="E1208" s="3">
        <v>8083945</v>
      </c>
      <c r="F1208" s="1">
        <v>3238.7598517628198</v>
      </c>
      <c r="G1208" s="1">
        <v>5</v>
      </c>
      <c r="H1208" s="1">
        <v>3</v>
      </c>
      <c r="I1208" s="1">
        <v>4</v>
      </c>
      <c r="J1208" s="1">
        <v>3.5</v>
      </c>
      <c r="K1208" s="1">
        <v>3</v>
      </c>
      <c r="L1208" s="1">
        <v>1</v>
      </c>
      <c r="M1208" s="4">
        <v>2496</v>
      </c>
      <c r="N1208" s="1">
        <v>3254</v>
      </c>
      <c r="O1208" s="1">
        <v>8226</v>
      </c>
      <c r="P1208" s="1">
        <v>4972</v>
      </c>
      <c r="Q1208" s="1" t="s">
        <v>42</v>
      </c>
      <c r="S1208" s="1" t="s">
        <v>42</v>
      </c>
      <c r="T1208" s="1" t="s">
        <v>170</v>
      </c>
      <c r="U1208" s="1">
        <v>4</v>
      </c>
      <c r="V1208" s="5">
        <v>43669</v>
      </c>
      <c r="W1208" s="5">
        <v>42581</v>
      </c>
      <c r="X1208" s="1">
        <v>7950000</v>
      </c>
      <c r="Y1208" s="1">
        <v>8250000</v>
      </c>
      <c r="Z1208" s="5">
        <v>42585</v>
      </c>
      <c r="AA1208" s="1">
        <v>8083944.5899999999</v>
      </c>
      <c r="AB1208" s="1" t="s">
        <v>932</v>
      </c>
      <c r="AC1208" s="5">
        <v>43657</v>
      </c>
      <c r="AF1208" s="1">
        <v>10003</v>
      </c>
      <c r="AI1208" s="1" t="s">
        <v>59</v>
      </c>
      <c r="AJ1208" s="1">
        <v>2018</v>
      </c>
      <c r="AK1208" s="1" t="s">
        <v>740</v>
      </c>
      <c r="AL1208" s="1">
        <v>52</v>
      </c>
    </row>
    <row r="1209" spans="1:38" x14ac:dyDescent="0.2">
      <c r="A1209" s="2" t="str">
        <f>HYPERLINK("https://www.compass.com/listing/21-east-12th-street-unit-18b-manhattan-ny-10003/29514927655970321/","21 E 12th St, Unit 18B")</f>
        <v>21 E 12th St, Unit 18B</v>
      </c>
      <c r="B1209" s="2" t="str">
        <f t="shared" si="220"/>
        <v>21 East 12th Street</v>
      </c>
      <c r="C1209" s="1" t="s">
        <v>370</v>
      </c>
      <c r="D1209" s="1" t="s">
        <v>41</v>
      </c>
      <c r="E1209" s="3">
        <v>7882119</v>
      </c>
      <c r="F1209" s="1">
        <v>3157.9002403846098</v>
      </c>
      <c r="G1209" s="1">
        <v>5</v>
      </c>
      <c r="H1209" s="1">
        <v>3</v>
      </c>
      <c r="I1209" s="1">
        <v>4</v>
      </c>
      <c r="J1209" s="1">
        <v>3.5</v>
      </c>
      <c r="K1209" s="1">
        <v>3</v>
      </c>
      <c r="L1209" s="1">
        <v>1</v>
      </c>
      <c r="M1209" s="4">
        <v>2496</v>
      </c>
      <c r="N1209" s="1">
        <v>3254</v>
      </c>
      <c r="O1209" s="1">
        <v>8226</v>
      </c>
      <c r="P1209" s="1">
        <v>4972</v>
      </c>
      <c r="Q1209" s="1" t="s">
        <v>42</v>
      </c>
      <c r="S1209" s="1" t="s">
        <v>42</v>
      </c>
      <c r="T1209" s="1" t="s">
        <v>170</v>
      </c>
      <c r="U1209" s="1">
        <v>4</v>
      </c>
      <c r="V1209" s="5">
        <v>43669</v>
      </c>
      <c r="W1209" s="5">
        <v>42581</v>
      </c>
      <c r="X1209" s="1">
        <v>7750000</v>
      </c>
      <c r="Y1209" s="1">
        <v>8050000</v>
      </c>
      <c r="Z1209" s="5">
        <v>42585</v>
      </c>
      <c r="AA1209" s="1">
        <v>7882119</v>
      </c>
      <c r="AB1209" s="1" t="s">
        <v>933</v>
      </c>
      <c r="AC1209" s="5">
        <v>43663</v>
      </c>
      <c r="AF1209" s="1">
        <v>10003</v>
      </c>
      <c r="AI1209" s="1" t="s">
        <v>59</v>
      </c>
      <c r="AJ1209" s="1">
        <v>2018</v>
      </c>
      <c r="AK1209" s="1" t="s">
        <v>740</v>
      </c>
      <c r="AL1209" s="1">
        <v>52</v>
      </c>
    </row>
    <row r="1210" spans="1:38" x14ac:dyDescent="0.2">
      <c r="A1210" s="2" t="str">
        <f>HYPERLINK("https://www.compass.com/listing/21-east-12th-street-unit-20b-manhattan-ny-10003/29514933746031617/","21 E 12th St, Unit 20B")</f>
        <v>21 E 12th St, Unit 20B</v>
      </c>
      <c r="B1210" s="2" t="str">
        <f t="shared" si="220"/>
        <v>21 East 12th Street</v>
      </c>
      <c r="C1210" s="1" t="s">
        <v>370</v>
      </c>
      <c r="D1210" s="1" t="s">
        <v>41</v>
      </c>
      <c r="E1210" s="3">
        <v>8284412</v>
      </c>
      <c r="F1210" s="1">
        <v>3319.0753205128199</v>
      </c>
      <c r="G1210" s="1">
        <v>5</v>
      </c>
      <c r="H1210" s="1">
        <v>3</v>
      </c>
      <c r="I1210" s="1">
        <v>4</v>
      </c>
      <c r="J1210" s="1">
        <v>3.5</v>
      </c>
      <c r="K1210" s="1">
        <v>3</v>
      </c>
      <c r="L1210" s="1">
        <v>1</v>
      </c>
      <c r="M1210" s="4">
        <v>2496</v>
      </c>
      <c r="N1210" s="1">
        <v>3254</v>
      </c>
      <c r="O1210" s="1">
        <v>8226</v>
      </c>
      <c r="P1210" s="1">
        <v>4972</v>
      </c>
      <c r="Q1210" s="1" t="s">
        <v>42</v>
      </c>
      <c r="S1210" s="1" t="s">
        <v>42</v>
      </c>
      <c r="T1210" s="1" t="s">
        <v>170</v>
      </c>
      <c r="U1210" s="1">
        <v>137</v>
      </c>
      <c r="V1210" s="5">
        <v>43720</v>
      </c>
      <c r="W1210" s="5">
        <v>42588</v>
      </c>
      <c r="X1210" s="1">
        <v>8150000</v>
      </c>
      <c r="Y1210" s="1">
        <v>8450000</v>
      </c>
      <c r="Z1210" s="5">
        <v>42725</v>
      </c>
      <c r="AA1210" s="1">
        <v>8284412</v>
      </c>
      <c r="AB1210" s="1" t="s">
        <v>934</v>
      </c>
      <c r="AC1210" s="5">
        <v>43707</v>
      </c>
      <c r="AF1210" s="1">
        <v>10003</v>
      </c>
      <c r="AI1210" s="1" t="s">
        <v>59</v>
      </c>
      <c r="AJ1210" s="1">
        <v>2018</v>
      </c>
      <c r="AK1210" s="1" t="s">
        <v>740</v>
      </c>
      <c r="AL1210" s="1">
        <v>52</v>
      </c>
    </row>
    <row r="1211" spans="1:38" x14ac:dyDescent="0.2">
      <c r="A1211" s="2" t="str">
        <f>HYPERLINK("https://www.compass.com/listing/21-east-12th-street-unit-12c-manhattan-ny-10003/39030672924406593/","21 E 12th St, Unit 12C")</f>
        <v>21 E 12th St, Unit 12C</v>
      </c>
      <c r="B1211" s="2" t="str">
        <f t="shared" si="220"/>
        <v>21 East 12th Street</v>
      </c>
      <c r="C1211" s="1" t="s">
        <v>370</v>
      </c>
      <c r="D1211" s="1" t="s">
        <v>41</v>
      </c>
      <c r="E1211" s="3">
        <v>5273613</v>
      </c>
      <c r="F1211" s="1">
        <v>2600.4009763313602</v>
      </c>
      <c r="G1211" s="1">
        <v>4</v>
      </c>
      <c r="H1211" s="1">
        <v>2</v>
      </c>
      <c r="I1211" s="1">
        <v>3</v>
      </c>
      <c r="J1211" s="1">
        <v>2.5</v>
      </c>
      <c r="K1211" s="1">
        <v>2</v>
      </c>
      <c r="L1211" s="1">
        <v>1</v>
      </c>
      <c r="M1211" s="4">
        <v>2028</v>
      </c>
      <c r="N1211" s="1">
        <v>2648</v>
      </c>
      <c r="O1211" s="1">
        <v>6688</v>
      </c>
      <c r="P1211" s="1">
        <v>4040</v>
      </c>
      <c r="Q1211" s="1" t="s">
        <v>42</v>
      </c>
      <c r="S1211" s="1" t="s">
        <v>42</v>
      </c>
      <c r="T1211" s="1" t="s">
        <v>170</v>
      </c>
      <c r="U1211" s="1">
        <v>244</v>
      </c>
      <c r="V1211" s="5">
        <v>43614</v>
      </c>
      <c r="W1211" s="5">
        <v>43305</v>
      </c>
      <c r="X1211" s="1">
        <v>5500000</v>
      </c>
      <c r="Y1211" s="1">
        <v>5500000</v>
      </c>
      <c r="Z1211" s="5">
        <v>43550</v>
      </c>
      <c r="AA1211" s="1">
        <v>5273613.18</v>
      </c>
      <c r="AB1211" s="1" t="s">
        <v>935</v>
      </c>
      <c r="AC1211" s="5">
        <v>43613</v>
      </c>
      <c r="AF1211" s="1">
        <v>10003</v>
      </c>
      <c r="AI1211" s="1" t="s">
        <v>59</v>
      </c>
      <c r="AJ1211" s="1">
        <v>2018</v>
      </c>
      <c r="AK1211" s="1" t="s">
        <v>740</v>
      </c>
      <c r="AL1211" s="1">
        <v>52</v>
      </c>
    </row>
    <row r="1212" spans="1:38" x14ac:dyDescent="0.2">
      <c r="A1212" s="2" t="str">
        <f>HYPERLINK("https://www.compass.com/listing/100-barrow-street-unit-4c-manhattan-ny-10014/391358766964161361/","100 Barrow St, Unit 4C")</f>
        <v>100 Barrow St, Unit 4C</v>
      </c>
      <c r="B1212" s="2" t="str">
        <f>HYPERLINK("https://www.compass.com/building/100-barrow-manhattan-ny/292834978184618837/","100 Barrow")</f>
        <v>100 Barrow</v>
      </c>
      <c r="C1212" s="1" t="s">
        <v>71</v>
      </c>
      <c r="D1212" s="1" t="s">
        <v>41</v>
      </c>
      <c r="E1212" s="3">
        <v>3598886</v>
      </c>
      <c r="F1212" s="1">
        <v>1840.8624040920699</v>
      </c>
      <c r="H1212" s="1">
        <v>2</v>
      </c>
      <c r="J1212" s="1">
        <v>2.5</v>
      </c>
      <c r="M1212" s="4">
        <v>1955</v>
      </c>
      <c r="S1212" s="1" t="s">
        <v>645</v>
      </c>
      <c r="T1212" s="1" t="s">
        <v>170</v>
      </c>
      <c r="V1212" s="5">
        <v>43792</v>
      </c>
      <c r="AA1212" s="1">
        <v>3598886</v>
      </c>
      <c r="AB1212" s="1" t="s">
        <v>181</v>
      </c>
      <c r="AC1212" s="5">
        <v>43679</v>
      </c>
      <c r="AF1212" s="1">
        <v>10014</v>
      </c>
      <c r="AJ1212" s="1">
        <v>2015</v>
      </c>
      <c r="AK1212" s="1" t="s">
        <v>172</v>
      </c>
      <c r="AL1212" s="1">
        <v>33</v>
      </c>
    </row>
    <row r="1213" spans="1:38" x14ac:dyDescent="0.2">
      <c r="A1213" s="2" t="str">
        <f>HYPERLINK("https://www.compass.com/listing/215-east-19th-street-unit-5a-manhattan-ny-10003/29514958165297873/","215 E 19th St, Unit 5A")</f>
        <v>215 E 19th St, Unit 5A</v>
      </c>
      <c r="B1213" s="2" t="str">
        <f>HYPERLINK("https://www.compass.com/building/the-tower-at-gramercy-square-manhattan-ny/281890815108713781/","The Tower at Gramercy Square")</f>
        <v>The Tower at Gramercy Square</v>
      </c>
      <c r="C1213" s="1" t="s">
        <v>54</v>
      </c>
      <c r="D1213" s="1" t="s">
        <v>41</v>
      </c>
      <c r="E1213" s="3">
        <v>2418344</v>
      </c>
      <c r="F1213" s="1">
        <v>1827.9244142101199</v>
      </c>
      <c r="G1213" s="1">
        <v>3</v>
      </c>
      <c r="H1213" s="1">
        <v>1</v>
      </c>
      <c r="I1213" s="1">
        <v>2</v>
      </c>
      <c r="J1213" s="1">
        <v>2</v>
      </c>
      <c r="K1213" s="1">
        <v>2</v>
      </c>
      <c r="M1213" s="4">
        <v>1323</v>
      </c>
      <c r="N1213" s="1">
        <v>1502</v>
      </c>
      <c r="O1213" s="1">
        <v>3404</v>
      </c>
      <c r="P1213" s="1">
        <v>1902</v>
      </c>
      <c r="Q1213" s="1" t="s">
        <v>42</v>
      </c>
      <c r="S1213" s="1" t="s">
        <v>42</v>
      </c>
      <c r="T1213" s="1" t="s">
        <v>170</v>
      </c>
      <c r="U1213" s="1">
        <v>3</v>
      </c>
      <c r="V1213" s="5">
        <v>43682</v>
      </c>
      <c r="W1213" s="5">
        <v>43005</v>
      </c>
      <c r="X1213" s="1">
        <v>2400000</v>
      </c>
      <c r="Y1213" s="1">
        <v>2425000</v>
      </c>
      <c r="Z1213" s="5">
        <v>43008</v>
      </c>
      <c r="AA1213" s="1">
        <v>2418344</v>
      </c>
      <c r="AB1213" s="1" t="s">
        <v>936</v>
      </c>
      <c r="AC1213" s="5">
        <v>43494</v>
      </c>
      <c r="AF1213" s="1">
        <v>10003</v>
      </c>
      <c r="AI1213" s="1" t="s">
        <v>76</v>
      </c>
      <c r="AJ1213" s="1">
        <v>1920</v>
      </c>
      <c r="AK1213" s="1" t="s">
        <v>46</v>
      </c>
      <c r="AL1213" s="1">
        <v>130</v>
      </c>
    </row>
    <row r="1214" spans="1:38" x14ac:dyDescent="0.2">
      <c r="A1214" s="2" t="str">
        <f>HYPERLINK("https://www.compass.com/listing/90-morton-street-unit-ph9a-manhattan-ny-10014/29515686262987377/","90 Morton St, Unit PH9A")</f>
        <v>90 Morton St, Unit PH9A</v>
      </c>
      <c r="B1214" s="2" t="str">
        <f>HYPERLINK("https://www.compass.com/building/90-morton-street-manhattan-ny/292834843018978005/","90 Morton Street")</f>
        <v>90 Morton Street</v>
      </c>
      <c r="C1214" s="1" t="s">
        <v>71</v>
      </c>
      <c r="D1214" s="1" t="s">
        <v>41</v>
      </c>
      <c r="E1214" s="3">
        <v>12000000</v>
      </c>
      <c r="F1214" s="1">
        <v>3187.25099601593</v>
      </c>
      <c r="G1214" s="1">
        <v>6</v>
      </c>
      <c r="H1214" s="1">
        <v>4</v>
      </c>
      <c r="I1214" s="1">
        <v>4</v>
      </c>
      <c r="J1214" s="1">
        <v>3.5</v>
      </c>
      <c r="K1214" s="1">
        <v>3</v>
      </c>
      <c r="L1214" s="1">
        <v>1</v>
      </c>
      <c r="M1214" s="4">
        <v>3765</v>
      </c>
      <c r="N1214" s="1">
        <v>6196</v>
      </c>
      <c r="O1214" s="1">
        <v>11172</v>
      </c>
      <c r="P1214" s="1">
        <v>4976</v>
      </c>
      <c r="Q1214" s="1" t="s">
        <v>42</v>
      </c>
      <c r="S1214" s="1" t="s">
        <v>42</v>
      </c>
      <c r="T1214" s="1" t="s">
        <v>170</v>
      </c>
      <c r="U1214" s="1">
        <v>50</v>
      </c>
      <c r="V1214" s="5">
        <v>44194</v>
      </c>
      <c r="W1214" s="5">
        <v>43206</v>
      </c>
      <c r="X1214" s="1">
        <v>16000000</v>
      </c>
      <c r="Y1214" s="1">
        <v>16000000</v>
      </c>
      <c r="Z1214" s="5">
        <v>43206</v>
      </c>
      <c r="AA1214" s="1">
        <v>12000000</v>
      </c>
      <c r="AB1214" s="1" t="s">
        <v>937</v>
      </c>
      <c r="AC1214" s="5">
        <v>44160</v>
      </c>
      <c r="AF1214" s="1">
        <v>10014</v>
      </c>
      <c r="AI1214" s="1" t="s">
        <v>781</v>
      </c>
      <c r="AJ1214" s="1">
        <v>2018</v>
      </c>
      <c r="AK1214" s="1" t="s">
        <v>46</v>
      </c>
      <c r="AL1214" s="1">
        <v>35</v>
      </c>
    </row>
    <row r="1215" spans="1:38" x14ac:dyDescent="0.2">
      <c r="A1215" s="2" t="str">
        <f>HYPERLINK("https://www.compass.com/listing/215-east-19th-street-unit-4k-manhattan-ny-10003/136053193464392129/","215 E 19th St, Unit 4K")</f>
        <v>215 E 19th St, Unit 4K</v>
      </c>
      <c r="B1215" s="2" t="str">
        <f>HYPERLINK("https://www.compass.com/building/the-tower-at-gramercy-square-manhattan-ny/281890815108713781/","The Tower at Gramercy Square")</f>
        <v>The Tower at Gramercy Square</v>
      </c>
      <c r="C1215" s="1" t="s">
        <v>54</v>
      </c>
      <c r="D1215" s="1" t="s">
        <v>41</v>
      </c>
      <c r="E1215" s="3">
        <v>2135000</v>
      </c>
      <c r="F1215" s="1">
        <v>1763.0057803468201</v>
      </c>
      <c r="G1215" s="1">
        <v>3</v>
      </c>
      <c r="H1215" s="1">
        <v>1</v>
      </c>
      <c r="I1215" s="1">
        <v>2</v>
      </c>
      <c r="J1215" s="1">
        <v>1.5</v>
      </c>
      <c r="K1215" s="1">
        <v>1</v>
      </c>
      <c r="L1215" s="1">
        <v>1</v>
      </c>
      <c r="M1215" s="4">
        <v>1211</v>
      </c>
      <c r="N1215" s="1">
        <v>1375</v>
      </c>
      <c r="O1215" s="1">
        <v>3155</v>
      </c>
      <c r="P1215" s="1">
        <v>1780</v>
      </c>
      <c r="Q1215" s="1" t="s">
        <v>42</v>
      </c>
      <c r="S1215" s="1" t="s">
        <v>42</v>
      </c>
      <c r="T1215" s="1" t="s">
        <v>170</v>
      </c>
      <c r="U1215" s="1">
        <v>99</v>
      </c>
      <c r="V1215" s="5">
        <v>43468</v>
      </c>
      <c r="W1215" s="5">
        <v>43340</v>
      </c>
      <c r="X1215" s="1">
        <v>2155000</v>
      </c>
      <c r="Y1215" s="1">
        <v>2155000</v>
      </c>
      <c r="Z1215" s="5">
        <v>43440</v>
      </c>
      <c r="AA1215" s="1">
        <v>2135000</v>
      </c>
      <c r="AB1215" s="1" t="s">
        <v>938</v>
      </c>
      <c r="AC1215" s="5">
        <v>43545</v>
      </c>
      <c r="AF1215" s="1">
        <v>10003</v>
      </c>
      <c r="AI1215" s="1" t="s">
        <v>76</v>
      </c>
      <c r="AJ1215" s="1">
        <v>1920</v>
      </c>
      <c r="AK1215" s="1" t="s">
        <v>46</v>
      </c>
      <c r="AL1215" s="1">
        <v>130</v>
      </c>
    </row>
    <row r="1216" spans="1:38" x14ac:dyDescent="0.2">
      <c r="A1216" s="2" t="str">
        <f>HYPERLINK("https://www.compass.com/listing/32-east-1st-street-unit-6c-manhattan-ny-10003/29515143956195281/","32 E 1st St, Unit 6C")</f>
        <v>32 E 1st St, Unit 6C</v>
      </c>
      <c r="B1216" s="2" t="str">
        <f t="shared" ref="B1216:B1217" si="221">HYPERLINK("https://www.compass.com/building/32-east-1st-street-manhattan-ny/292783157810310133/","32 East 1st Street")</f>
        <v>32 East 1st Street</v>
      </c>
      <c r="C1216" s="1" t="s">
        <v>89</v>
      </c>
      <c r="D1216" s="1" t="s">
        <v>41</v>
      </c>
      <c r="E1216" s="3">
        <v>3614787</v>
      </c>
      <c r="F1216" s="1">
        <v>2719.93002257336</v>
      </c>
      <c r="G1216" s="1">
        <v>4</v>
      </c>
      <c r="H1216" s="1">
        <v>2</v>
      </c>
      <c r="I1216" s="1">
        <v>3</v>
      </c>
      <c r="J1216" s="1">
        <v>2.5</v>
      </c>
      <c r="K1216" s="1">
        <v>2</v>
      </c>
      <c r="L1216" s="1">
        <v>1</v>
      </c>
      <c r="M1216" s="4">
        <v>1329</v>
      </c>
      <c r="N1216" s="1">
        <v>1802</v>
      </c>
      <c r="O1216" s="1">
        <v>3773</v>
      </c>
      <c r="P1216" s="1">
        <v>1971</v>
      </c>
      <c r="Q1216" s="1" t="s">
        <v>42</v>
      </c>
      <c r="S1216" s="1" t="s">
        <v>42</v>
      </c>
      <c r="T1216" s="1" t="s">
        <v>170</v>
      </c>
      <c r="U1216" s="1">
        <v>4</v>
      </c>
      <c r="V1216" s="5">
        <v>43644</v>
      </c>
      <c r="W1216" s="5">
        <v>43252</v>
      </c>
      <c r="X1216" s="1">
        <v>3550000</v>
      </c>
      <c r="Y1216" s="1">
        <v>3550000</v>
      </c>
      <c r="Z1216" s="5">
        <v>43256</v>
      </c>
      <c r="AA1216" s="1">
        <v>3614787</v>
      </c>
      <c r="AB1216" s="1" t="s">
        <v>939</v>
      </c>
      <c r="AC1216" s="5">
        <v>43561</v>
      </c>
      <c r="AF1216" s="1">
        <v>10003</v>
      </c>
      <c r="AI1216" s="1" t="s">
        <v>53</v>
      </c>
      <c r="AJ1216" s="1">
        <v>2019</v>
      </c>
      <c r="AK1216" s="1" t="s">
        <v>49</v>
      </c>
      <c r="AL1216" s="1">
        <v>30</v>
      </c>
    </row>
    <row r="1217" spans="1:38" x14ac:dyDescent="0.2">
      <c r="A1217" s="2" t="str">
        <f>HYPERLINK("https://www.compass.com/listing/32-east-1st-street-unit-6a-manhattan-ny-10003/29515145424242769/","32 E 1st St, Unit 6A")</f>
        <v>32 E 1st St, Unit 6A</v>
      </c>
      <c r="B1217" s="2" t="str">
        <f t="shared" si="221"/>
        <v>32 East 1st Street</v>
      </c>
      <c r="C1217" s="1" t="s">
        <v>89</v>
      </c>
      <c r="D1217" s="1" t="s">
        <v>41</v>
      </c>
      <c r="E1217" s="3">
        <v>4327562</v>
      </c>
      <c r="F1217" s="1">
        <v>2718.31783919598</v>
      </c>
      <c r="G1217" s="1">
        <v>6</v>
      </c>
      <c r="H1217" s="1">
        <v>2</v>
      </c>
      <c r="I1217" s="1">
        <v>3</v>
      </c>
      <c r="J1217" s="1">
        <v>3</v>
      </c>
      <c r="K1217" s="1">
        <v>3</v>
      </c>
      <c r="M1217" s="4">
        <v>1592</v>
      </c>
      <c r="N1217" s="1">
        <v>2314</v>
      </c>
      <c r="O1217" s="1">
        <v>4844</v>
      </c>
      <c r="P1217" s="1">
        <v>2530</v>
      </c>
      <c r="Q1217" s="1" t="s">
        <v>42</v>
      </c>
      <c r="S1217" s="1" t="s">
        <v>42</v>
      </c>
      <c r="T1217" s="1" t="s">
        <v>170</v>
      </c>
      <c r="V1217" s="5">
        <v>43818</v>
      </c>
      <c r="W1217" s="5">
        <v>43078</v>
      </c>
      <c r="X1217" s="1">
        <v>4250000</v>
      </c>
      <c r="Y1217" s="1">
        <v>4250000</v>
      </c>
      <c r="Z1217" s="5">
        <v>43078</v>
      </c>
      <c r="AA1217" s="1">
        <v>4327562.5</v>
      </c>
      <c r="AB1217" s="1" t="s">
        <v>940</v>
      </c>
      <c r="AC1217" s="5">
        <v>43725</v>
      </c>
      <c r="AF1217" s="1">
        <v>10003</v>
      </c>
      <c r="AI1217" s="1" t="s">
        <v>53</v>
      </c>
      <c r="AJ1217" s="1">
        <v>2019</v>
      </c>
      <c r="AK1217" s="1" t="s">
        <v>49</v>
      </c>
      <c r="AL1217" s="1">
        <v>30</v>
      </c>
    </row>
    <row r="1218" spans="1:38" x14ac:dyDescent="0.2">
      <c r="A1218" s="2" t="str">
        <f>HYPERLINK("https://www.compass.com/listing/150-east-23rd-street-unit-8a-manhattan-ny-10010/759875031419415225/","150 E 23rd St, Unit 8A")</f>
        <v>150 E 23rd St, Unit 8A</v>
      </c>
      <c r="B1218" s="2" t="str">
        <f>HYPERLINK("https://www.compass.com/building/celeste-gramercy-manhattan-ny/292795972759607813/","Celeste Gramercy")</f>
        <v>Celeste Gramercy</v>
      </c>
      <c r="C1218" s="1" t="s">
        <v>54</v>
      </c>
      <c r="D1218" s="1" t="s">
        <v>41</v>
      </c>
      <c r="E1218" s="3">
        <v>1230000</v>
      </c>
      <c r="F1218" s="1">
        <v>1952.38095238095</v>
      </c>
      <c r="H1218" s="1">
        <v>1</v>
      </c>
      <c r="J1218" s="1">
        <v>1</v>
      </c>
      <c r="K1218" s="1">
        <v>1</v>
      </c>
      <c r="M1218" s="1">
        <v>630</v>
      </c>
      <c r="N1218" s="1">
        <v>931</v>
      </c>
      <c r="O1218" s="1">
        <v>1606</v>
      </c>
      <c r="P1218" s="1">
        <v>675</v>
      </c>
      <c r="Q1218" s="1" t="s">
        <v>42</v>
      </c>
      <c r="S1218" s="1" t="s">
        <v>42</v>
      </c>
      <c r="T1218" s="1" t="s">
        <v>170</v>
      </c>
      <c r="AA1218" s="1">
        <v>1230000</v>
      </c>
      <c r="AB1218" s="1" t="s">
        <v>941</v>
      </c>
      <c r="AC1218" s="5">
        <v>44286</v>
      </c>
      <c r="AF1218" s="1">
        <v>10010</v>
      </c>
      <c r="AI1218" s="1" t="s">
        <v>53</v>
      </c>
      <c r="AJ1218" s="1">
        <v>2018</v>
      </c>
      <c r="AK1218" s="1" t="s">
        <v>46</v>
      </c>
      <c r="AL1218" s="1">
        <v>51</v>
      </c>
    </row>
    <row r="1219" spans="1:38" x14ac:dyDescent="0.2">
      <c r="A1219" s="2" t="str">
        <f>HYPERLINK("https://www.compass.com/listing/21-east-12th-street-unit-18a-manhattan-ny-10003/156622067352033921/","21 E 12th St, Unit 18A")</f>
        <v>21 E 12th St, Unit 18A</v>
      </c>
      <c r="B1219" s="2" t="str">
        <f>HYPERLINK("https://www.compass.com/building/21-east-12th-street-manhattan-ny/292779727154847925/","21 East 12th Street")</f>
        <v>21 East 12th Street</v>
      </c>
      <c r="C1219" s="1" t="s">
        <v>370</v>
      </c>
      <c r="D1219" s="1" t="s">
        <v>41</v>
      </c>
      <c r="E1219" s="3">
        <v>8589329</v>
      </c>
      <c r="F1219" s="1">
        <v>3206.1697275102601</v>
      </c>
      <c r="G1219" s="1">
        <v>6</v>
      </c>
      <c r="H1219" s="1">
        <v>4</v>
      </c>
      <c r="I1219" s="1">
        <v>5</v>
      </c>
      <c r="J1219" s="1">
        <v>4.5</v>
      </c>
      <c r="K1219" s="1">
        <v>4</v>
      </c>
      <c r="L1219" s="1">
        <v>1</v>
      </c>
      <c r="M1219" s="4">
        <v>2679</v>
      </c>
      <c r="N1219" s="1">
        <v>3493</v>
      </c>
      <c r="O1219" s="1">
        <v>8830</v>
      </c>
      <c r="P1219" s="1">
        <v>5337</v>
      </c>
      <c r="Q1219" s="1" t="s">
        <v>42</v>
      </c>
      <c r="S1219" s="1" t="s">
        <v>42</v>
      </c>
      <c r="T1219" s="1" t="s">
        <v>170</v>
      </c>
      <c r="U1219" s="1">
        <v>191</v>
      </c>
      <c r="V1219" s="5">
        <v>44342</v>
      </c>
      <c r="W1219" s="5">
        <v>43467</v>
      </c>
      <c r="X1219" s="1">
        <v>8750000</v>
      </c>
      <c r="Y1219" s="1">
        <v>8750000</v>
      </c>
      <c r="Z1219" s="5">
        <v>43659</v>
      </c>
      <c r="AA1219" s="1">
        <v>8589328.6999999993</v>
      </c>
      <c r="AB1219" s="1" t="s">
        <v>942</v>
      </c>
      <c r="AC1219" s="5">
        <v>43670</v>
      </c>
      <c r="AF1219" s="1">
        <v>10003</v>
      </c>
      <c r="AI1219" s="1" t="s">
        <v>59</v>
      </c>
      <c r="AJ1219" s="1">
        <v>2018</v>
      </c>
      <c r="AK1219" s="1" t="s">
        <v>73</v>
      </c>
      <c r="AL1219" s="1">
        <v>52</v>
      </c>
    </row>
    <row r="1220" spans="1:38" x14ac:dyDescent="0.2">
      <c r="A1220" s="2" t="str">
        <f>HYPERLINK("https://www.compass.com/listing/32-east-1st-street-unit-7e-manhattan-ny-10003/394256901400666897/","32 E 1st St, Unit 7E")</f>
        <v>32 E 1st St, Unit 7E</v>
      </c>
      <c r="B1220" s="2" t="str">
        <f t="shared" ref="B1220:B1221" si="222">HYPERLINK("https://www.compass.com/building/32-east-1st-street-manhattan-ny/292783157810310133/","32 East 1st Street")</f>
        <v>32 East 1st Street</v>
      </c>
      <c r="C1220" s="1" t="s">
        <v>89</v>
      </c>
      <c r="D1220" s="1" t="s">
        <v>41</v>
      </c>
      <c r="E1220" s="3">
        <v>1234628</v>
      </c>
      <c r="F1220" s="1">
        <v>2550.8845661157002</v>
      </c>
      <c r="G1220" s="1">
        <v>3</v>
      </c>
      <c r="H1220" s="1">
        <v>1</v>
      </c>
      <c r="I1220" s="1">
        <v>1</v>
      </c>
      <c r="J1220" s="1">
        <v>1</v>
      </c>
      <c r="K1220" s="1">
        <v>1</v>
      </c>
      <c r="M1220" s="1">
        <v>484</v>
      </c>
      <c r="N1220" s="1">
        <v>655</v>
      </c>
      <c r="O1220" s="1">
        <v>1649</v>
      </c>
      <c r="P1220" s="1">
        <v>994</v>
      </c>
      <c r="Q1220" s="1" t="s">
        <v>42</v>
      </c>
      <c r="S1220" s="1" t="s">
        <v>42</v>
      </c>
      <c r="T1220" s="1" t="s">
        <v>170</v>
      </c>
      <c r="U1220" s="1">
        <v>508</v>
      </c>
      <c r="V1220" s="5">
        <v>44392</v>
      </c>
      <c r="W1220" s="5">
        <v>43698</v>
      </c>
      <c r="X1220" s="1">
        <v>1375000</v>
      </c>
      <c r="Y1220" s="1">
        <v>1295000</v>
      </c>
      <c r="Z1220" s="5">
        <v>44300</v>
      </c>
      <c r="AA1220" s="1">
        <v>1234628.1299999999</v>
      </c>
      <c r="AB1220" s="1" t="s">
        <v>943</v>
      </c>
      <c r="AC1220" s="5">
        <v>44368</v>
      </c>
      <c r="AF1220" s="1">
        <v>10003</v>
      </c>
      <c r="AI1220" s="1" t="s">
        <v>53</v>
      </c>
      <c r="AJ1220" s="1">
        <v>2019</v>
      </c>
      <c r="AK1220" s="1" t="s">
        <v>77</v>
      </c>
      <c r="AL1220" s="1">
        <v>30</v>
      </c>
    </row>
    <row r="1221" spans="1:38" x14ac:dyDescent="0.2">
      <c r="A1221" s="2" t="str">
        <f>HYPERLINK("https://www.compass.com/listing/32-east-1st-street-unit-5a-manhattan-ny-10003/227301244266390561/","32 E 1st St, Unit 5A")</f>
        <v>32 E 1st St, Unit 5A</v>
      </c>
      <c r="B1221" s="2" t="str">
        <f t="shared" si="222"/>
        <v>32 East 1st Street</v>
      </c>
      <c r="C1221" s="1" t="s">
        <v>89</v>
      </c>
      <c r="D1221" s="1" t="s">
        <v>41</v>
      </c>
      <c r="E1221" s="3">
        <v>2950000</v>
      </c>
      <c r="F1221" s="1">
        <v>2382.8756058158301</v>
      </c>
      <c r="G1221" s="1">
        <v>4</v>
      </c>
      <c r="H1221" s="1">
        <v>2</v>
      </c>
      <c r="I1221" s="1">
        <v>2</v>
      </c>
      <c r="J1221" s="1">
        <v>2</v>
      </c>
      <c r="K1221" s="1">
        <v>2</v>
      </c>
      <c r="M1221" s="4">
        <v>1238</v>
      </c>
      <c r="N1221" s="1">
        <v>1657</v>
      </c>
      <c r="O1221" s="1">
        <v>3523</v>
      </c>
      <c r="P1221" s="1">
        <v>1866</v>
      </c>
      <c r="Q1221" s="1" t="s">
        <v>42</v>
      </c>
      <c r="S1221" s="1" t="s">
        <v>42</v>
      </c>
      <c r="T1221" s="1" t="s">
        <v>170</v>
      </c>
      <c r="U1221" s="1">
        <v>122</v>
      </c>
      <c r="V1221" s="5">
        <v>43770</v>
      </c>
      <c r="W1221" s="5">
        <v>43564</v>
      </c>
      <c r="X1221" s="1">
        <v>3275000</v>
      </c>
      <c r="Y1221" s="1">
        <v>3275000</v>
      </c>
      <c r="Z1221" s="5">
        <v>43687</v>
      </c>
      <c r="AA1221" s="1">
        <v>2950000</v>
      </c>
      <c r="AB1221" s="1" t="s">
        <v>944</v>
      </c>
      <c r="AC1221" s="5">
        <v>43724</v>
      </c>
      <c r="AF1221" s="1">
        <v>10003</v>
      </c>
      <c r="AI1221" s="1" t="s">
        <v>160</v>
      </c>
      <c r="AJ1221" s="1">
        <v>2019</v>
      </c>
      <c r="AK1221" s="1" t="s">
        <v>49</v>
      </c>
      <c r="AL1221" s="1">
        <v>30</v>
      </c>
    </row>
    <row r="1222" spans="1:38" x14ac:dyDescent="0.2">
      <c r="A1222" s="2" t="str">
        <f>HYPERLINK("https://www.compass.com/listing/215-east-19th-street-unit-6a-manhattan-ny-10003/4852281623611185585/","215 E 19th St, Unit 6A")</f>
        <v>215 E 19th St, Unit 6A</v>
      </c>
      <c r="B1222" s="2" t="str">
        <f t="shared" ref="B1222:B1223" si="223">HYPERLINK("https://www.compass.com/building/the-tower-at-gramercy-square-manhattan-ny/281890815108713781/","The Tower at Gramercy Square")</f>
        <v>The Tower at Gramercy Square</v>
      </c>
      <c r="C1222" s="1" t="s">
        <v>54</v>
      </c>
      <c r="D1222" s="1" t="s">
        <v>41</v>
      </c>
      <c r="E1222" s="3">
        <v>2482448</v>
      </c>
      <c r="F1222" s="1">
        <v>1876.3775510204</v>
      </c>
      <c r="G1222" s="1">
        <v>3</v>
      </c>
      <c r="H1222" s="1">
        <v>1</v>
      </c>
      <c r="I1222" s="1">
        <v>2</v>
      </c>
      <c r="J1222" s="1">
        <v>2</v>
      </c>
      <c r="K1222" s="1">
        <v>2</v>
      </c>
      <c r="M1222" s="4">
        <v>1323</v>
      </c>
      <c r="N1222" s="1">
        <v>1502</v>
      </c>
      <c r="O1222" s="1">
        <v>3404</v>
      </c>
      <c r="P1222" s="1">
        <v>1902</v>
      </c>
      <c r="Q1222" s="1" t="s">
        <v>42</v>
      </c>
      <c r="S1222" s="1" t="s">
        <v>42</v>
      </c>
      <c r="T1222" s="1" t="s">
        <v>170</v>
      </c>
      <c r="U1222" s="1">
        <v>195</v>
      </c>
      <c r="V1222" s="5">
        <v>44376</v>
      </c>
      <c r="W1222" s="5">
        <v>42815</v>
      </c>
      <c r="X1222" s="1">
        <v>2400000</v>
      </c>
      <c r="Y1222" s="1">
        <v>2460000</v>
      </c>
      <c r="AA1222" s="1">
        <v>2482447.5</v>
      </c>
      <c r="AB1222" s="1" t="s">
        <v>945</v>
      </c>
      <c r="AC1222" s="5">
        <v>43488</v>
      </c>
      <c r="AF1222" s="1">
        <v>10003</v>
      </c>
      <c r="AI1222" s="1" t="s">
        <v>76</v>
      </c>
      <c r="AJ1222" s="1">
        <v>1920</v>
      </c>
      <c r="AK1222" s="1" t="s">
        <v>46</v>
      </c>
      <c r="AL1222" s="1">
        <v>130</v>
      </c>
    </row>
    <row r="1223" spans="1:38" x14ac:dyDescent="0.2">
      <c r="A1223" s="2" t="str">
        <f>HYPERLINK("https://www.compass.com/listing/215-east-19th-street-unit-2a-manhattan-ny-10003/99927568278471809/","215 E 19th St, Unit 2A")</f>
        <v>215 E 19th St, Unit 2A</v>
      </c>
      <c r="B1223" s="2" t="str">
        <f t="shared" si="223"/>
        <v>The Tower at Gramercy Square</v>
      </c>
      <c r="C1223" s="1" t="s">
        <v>54</v>
      </c>
      <c r="D1223" s="1" t="s">
        <v>41</v>
      </c>
      <c r="E1223" s="3">
        <v>2331079</v>
      </c>
      <c r="F1223" s="1">
        <v>1761.9642857142801</v>
      </c>
      <c r="G1223" s="1">
        <v>3</v>
      </c>
      <c r="H1223" s="1">
        <v>2</v>
      </c>
      <c r="I1223" s="1">
        <v>2</v>
      </c>
      <c r="J1223" s="1">
        <v>2</v>
      </c>
      <c r="K1223" s="1">
        <v>2</v>
      </c>
      <c r="M1223" s="4">
        <v>1323</v>
      </c>
      <c r="N1223" s="1">
        <v>1501</v>
      </c>
      <c r="O1223" s="1">
        <v>3403</v>
      </c>
      <c r="P1223" s="1">
        <v>1902</v>
      </c>
      <c r="Q1223" s="1" t="s">
        <v>42</v>
      </c>
      <c r="S1223" s="1" t="s">
        <v>42</v>
      </c>
      <c r="T1223" s="1" t="s">
        <v>170</v>
      </c>
      <c r="V1223" s="5">
        <v>44341</v>
      </c>
      <c r="W1223" s="5">
        <v>43389</v>
      </c>
      <c r="X1223" s="1">
        <v>2350000</v>
      </c>
      <c r="Y1223" s="1">
        <v>2350000</v>
      </c>
      <c r="Z1223" s="5">
        <v>43390</v>
      </c>
      <c r="AA1223" s="1">
        <v>2331078.75</v>
      </c>
      <c r="AB1223" s="1" t="s">
        <v>946</v>
      </c>
      <c r="AC1223" s="5">
        <v>43748</v>
      </c>
      <c r="AF1223" s="1">
        <v>10003</v>
      </c>
      <c r="AI1223" s="1" t="s">
        <v>103</v>
      </c>
      <c r="AJ1223" s="1">
        <v>1920</v>
      </c>
      <c r="AK1223" s="1" t="s">
        <v>46</v>
      </c>
      <c r="AL1223" s="1">
        <v>130</v>
      </c>
    </row>
    <row r="1224" spans="1:38" x14ac:dyDescent="0.2">
      <c r="A1224" s="2" t="str">
        <f>HYPERLINK("https://www.compass.com/listing/80-east-10th-street-unit-7-manhattan-ny-10003/784128051518835905/","80 E 10th St, Unit 7")</f>
        <v>80 E 10th St, Unit 7</v>
      </c>
      <c r="B1224" s="2" t="str">
        <f t="shared" ref="B1224:B1225" si="224">HYPERLINK("https://www.compass.com/building/80-e-10th-st-manhattan-ny-10003/282059393531414101/","80 E 10th St")</f>
        <v>80 E 10th St</v>
      </c>
      <c r="C1224" s="1" t="s">
        <v>370</v>
      </c>
      <c r="D1224" s="1" t="s">
        <v>41</v>
      </c>
      <c r="E1224" s="3">
        <v>6400000</v>
      </c>
      <c r="F1224" s="1">
        <v>1937.04600484261</v>
      </c>
      <c r="G1224" s="1">
        <v>8.5</v>
      </c>
      <c r="H1224" s="1">
        <v>4</v>
      </c>
      <c r="I1224" s="1">
        <v>4</v>
      </c>
      <c r="J1224" s="1">
        <v>3.5</v>
      </c>
      <c r="K1224" s="1">
        <v>3</v>
      </c>
      <c r="L1224" s="1">
        <v>1</v>
      </c>
      <c r="M1224" s="4">
        <v>3304</v>
      </c>
      <c r="N1224" s="1">
        <v>3858</v>
      </c>
      <c r="O1224" s="1">
        <v>5654</v>
      </c>
      <c r="P1224" s="1">
        <v>1796</v>
      </c>
      <c r="Q1224" s="1" t="s">
        <v>42</v>
      </c>
      <c r="S1224" s="1" t="s">
        <v>42</v>
      </c>
      <c r="T1224" s="1" t="s">
        <v>170</v>
      </c>
      <c r="U1224" s="1">
        <v>5</v>
      </c>
      <c r="V1224" s="5">
        <v>43965</v>
      </c>
      <c r="W1224" s="5">
        <v>43735</v>
      </c>
      <c r="X1224" s="1">
        <v>7950000</v>
      </c>
      <c r="Y1224" s="1">
        <v>6600000</v>
      </c>
      <c r="Z1224" s="5">
        <v>43909</v>
      </c>
      <c r="AA1224" s="1">
        <v>6400000</v>
      </c>
      <c r="AB1224" s="1" t="s">
        <v>947</v>
      </c>
      <c r="AC1224" s="5">
        <v>43958</v>
      </c>
      <c r="AF1224" s="1">
        <v>10003</v>
      </c>
      <c r="AI1224" s="1" t="s">
        <v>112</v>
      </c>
      <c r="AJ1224" s="1">
        <v>2018</v>
      </c>
      <c r="AK1224" s="1" t="s">
        <v>948</v>
      </c>
      <c r="AL1224" s="1">
        <v>12</v>
      </c>
    </row>
    <row r="1225" spans="1:38" x14ac:dyDescent="0.2">
      <c r="A1225" s="2" t="str">
        <f>HYPERLINK("https://www.compass.com/listing/80-east-10th-street-unit-6-manhattan-ny-10003/784776736212889625/","80 E 10th St, Unit 6")</f>
        <v>80 E 10th St, Unit 6</v>
      </c>
      <c r="B1225" s="2" t="str">
        <f t="shared" si="224"/>
        <v>80 E 10th St</v>
      </c>
      <c r="C1225" s="1" t="s">
        <v>370</v>
      </c>
      <c r="D1225" s="1" t="s">
        <v>41</v>
      </c>
      <c r="E1225" s="3">
        <v>6300000</v>
      </c>
      <c r="F1225" s="1">
        <v>1906.7796610169401</v>
      </c>
      <c r="G1225" s="1">
        <v>6</v>
      </c>
      <c r="H1225" s="1">
        <v>4</v>
      </c>
      <c r="I1225" s="1">
        <v>4</v>
      </c>
      <c r="J1225" s="1">
        <v>4</v>
      </c>
      <c r="K1225" s="1">
        <v>4</v>
      </c>
      <c r="M1225" s="4">
        <v>3304</v>
      </c>
      <c r="N1225" s="1">
        <v>4190</v>
      </c>
      <c r="O1225" s="1">
        <v>5578</v>
      </c>
      <c r="P1225" s="1">
        <v>1388</v>
      </c>
      <c r="Q1225" s="1" t="s">
        <v>42</v>
      </c>
      <c r="S1225" s="1" t="s">
        <v>42</v>
      </c>
      <c r="T1225" s="1" t="s">
        <v>170</v>
      </c>
      <c r="U1225" s="1">
        <v>161</v>
      </c>
      <c r="V1225" s="5">
        <v>44225</v>
      </c>
      <c r="W1225" s="5">
        <v>43735</v>
      </c>
      <c r="X1225" s="1">
        <v>7495000</v>
      </c>
      <c r="Y1225" s="1">
        <v>6500000</v>
      </c>
      <c r="Z1225" s="5">
        <v>43897</v>
      </c>
      <c r="AA1225" s="1">
        <v>6300000</v>
      </c>
      <c r="AB1225" s="1" t="s">
        <v>949</v>
      </c>
      <c r="AC1225" s="5">
        <v>43957</v>
      </c>
      <c r="AF1225" s="1">
        <v>10003</v>
      </c>
      <c r="AI1225" s="1" t="s">
        <v>112</v>
      </c>
      <c r="AJ1225" s="1">
        <v>2018</v>
      </c>
      <c r="AK1225" s="1" t="s">
        <v>108</v>
      </c>
      <c r="AL1225" s="1">
        <v>12</v>
      </c>
    </row>
    <row r="1226" spans="1:38" x14ac:dyDescent="0.2">
      <c r="A1226" s="2" t="str">
        <f>HYPERLINK("https://www.compass.com/listing/215-east-19th-street-unit-3a-manhattan-ny-10003/29514959465573217/","215 E 19th St, Unit 3A")</f>
        <v>215 E 19th St, Unit 3A</v>
      </c>
      <c r="B1226" s="2" t="str">
        <f>HYPERLINK("https://www.compass.com/building/the-tower-at-gramercy-square-manhattan-ny/281890815108713781/","The Tower at Gramercy Square")</f>
        <v>The Tower at Gramercy Square</v>
      </c>
      <c r="C1226" s="1" t="s">
        <v>54</v>
      </c>
      <c r="D1226" s="1" t="s">
        <v>41</v>
      </c>
      <c r="E1226" s="3">
        <v>2325000</v>
      </c>
      <c r="F1226" s="1">
        <v>1754.71698113207</v>
      </c>
      <c r="G1226" s="1">
        <v>3</v>
      </c>
      <c r="H1226" s="1">
        <v>1</v>
      </c>
      <c r="I1226" s="1">
        <v>2</v>
      </c>
      <c r="J1226" s="1">
        <v>2</v>
      </c>
      <c r="K1226" s="1">
        <v>2</v>
      </c>
      <c r="M1226" s="4">
        <v>1325</v>
      </c>
      <c r="N1226" s="1">
        <v>1501</v>
      </c>
      <c r="O1226" s="1">
        <v>3403</v>
      </c>
      <c r="P1226" s="1">
        <v>1902</v>
      </c>
      <c r="Q1226" s="1" t="s">
        <v>42</v>
      </c>
      <c r="S1226" s="1" t="s">
        <v>42</v>
      </c>
      <c r="T1226" s="1" t="s">
        <v>170</v>
      </c>
      <c r="U1226" s="1">
        <v>113</v>
      </c>
      <c r="V1226" s="5">
        <v>44010</v>
      </c>
      <c r="W1226" s="5">
        <v>43195</v>
      </c>
      <c r="X1226" s="1">
        <v>2395000</v>
      </c>
      <c r="Y1226" s="1">
        <v>2395000</v>
      </c>
      <c r="Z1226" s="5">
        <v>43309</v>
      </c>
      <c r="AA1226" s="1">
        <v>2325000</v>
      </c>
      <c r="AB1226" s="1" t="s">
        <v>950</v>
      </c>
      <c r="AC1226" s="5">
        <v>44004</v>
      </c>
      <c r="AF1226" s="1">
        <v>10003</v>
      </c>
      <c r="AI1226" s="1" t="s">
        <v>76</v>
      </c>
      <c r="AJ1226" s="1">
        <v>1920</v>
      </c>
      <c r="AK1226" s="1" t="s">
        <v>46</v>
      </c>
      <c r="AL1226" s="1">
        <v>130</v>
      </c>
    </row>
    <row r="1227" spans="1:38" x14ac:dyDescent="0.2">
      <c r="A1227" s="2" t="str">
        <f>HYPERLINK("https://www.compass.com/listing/32-east-1st-street-unit-ph8a-manhattan-ny-10003/29515146028181569/","32 E 1st St, Unit PH8A")</f>
        <v>32 E 1st St, Unit PH8A</v>
      </c>
      <c r="B1227" s="2" t="str">
        <f>HYPERLINK("https://www.compass.com/building/32-east-1st-street-manhattan-ny/292783157810310133/","32 East 1st Street")</f>
        <v>32 East 1st Street</v>
      </c>
      <c r="C1227" s="1" t="s">
        <v>89</v>
      </c>
      <c r="D1227" s="1" t="s">
        <v>41</v>
      </c>
      <c r="E1227" s="3">
        <v>5956762</v>
      </c>
      <c r="F1227" s="1">
        <v>3005.4298688193699</v>
      </c>
      <c r="G1227" s="1">
        <v>4</v>
      </c>
      <c r="H1227" s="1">
        <v>2</v>
      </c>
      <c r="I1227" s="1">
        <v>3</v>
      </c>
      <c r="J1227" s="1">
        <v>2.5</v>
      </c>
      <c r="K1227" s="1">
        <v>2</v>
      </c>
      <c r="L1227" s="1">
        <v>1</v>
      </c>
      <c r="M1227" s="4">
        <v>1982</v>
      </c>
      <c r="N1227" s="1">
        <v>3075</v>
      </c>
      <c r="O1227" s="1">
        <v>6435</v>
      </c>
      <c r="P1227" s="1">
        <v>3360</v>
      </c>
      <c r="Q1227" s="1" t="s">
        <v>42</v>
      </c>
      <c r="S1227" s="1" t="s">
        <v>42</v>
      </c>
      <c r="T1227" s="1" t="s">
        <v>170</v>
      </c>
      <c r="V1227" s="5">
        <v>43694</v>
      </c>
      <c r="W1227" s="5">
        <v>43048</v>
      </c>
      <c r="X1227" s="1">
        <v>5850000</v>
      </c>
      <c r="Y1227" s="1">
        <v>5850000</v>
      </c>
      <c r="Z1227" s="5">
        <v>43048</v>
      </c>
      <c r="AA1227" s="1">
        <v>5956762</v>
      </c>
      <c r="AB1227" s="1" t="s">
        <v>951</v>
      </c>
      <c r="AC1227" s="5">
        <v>43643</v>
      </c>
      <c r="AF1227" s="1">
        <v>10003</v>
      </c>
      <c r="AI1227" s="1" t="s">
        <v>52</v>
      </c>
      <c r="AJ1227" s="1">
        <v>2019</v>
      </c>
      <c r="AK1227" s="1" t="s">
        <v>49</v>
      </c>
      <c r="AL1227" s="1">
        <v>30</v>
      </c>
    </row>
    <row r="1228" spans="1:38" x14ac:dyDescent="0.2">
      <c r="A1228" s="2" t="str">
        <f>HYPERLINK("https://www.compass.com/listing/225-east-19th-street-unit-101-manhattan-ny-10003/96242683898527041/","225 E 19th St, Unit 101")</f>
        <v>225 E 19th St, Unit 101</v>
      </c>
      <c r="B1228" s="2" t="str">
        <f t="shared" ref="B1228:B1229" si="225">HYPERLINK("https://www.compass.com/building/the-prewar-at-gramercy-square-manhattan-ny/282059248584654437/","The Prewar at Gramercy Square")</f>
        <v>The Prewar at Gramercy Square</v>
      </c>
      <c r="C1228" s="1" t="s">
        <v>54</v>
      </c>
      <c r="D1228" s="1" t="s">
        <v>41</v>
      </c>
      <c r="E1228" s="3">
        <v>1775000</v>
      </c>
      <c r="F1228" s="1">
        <v>1996.62542182227</v>
      </c>
      <c r="G1228" s="1">
        <v>4</v>
      </c>
      <c r="H1228" s="1">
        <v>1</v>
      </c>
      <c r="I1228" s="1">
        <v>1</v>
      </c>
      <c r="J1228" s="1">
        <v>1</v>
      </c>
      <c r="K1228" s="1">
        <v>1</v>
      </c>
      <c r="M1228" s="1">
        <v>889</v>
      </c>
      <c r="N1228" s="1">
        <v>1135</v>
      </c>
      <c r="O1228" s="1">
        <v>2573</v>
      </c>
      <c r="P1228" s="1">
        <v>1438</v>
      </c>
      <c r="Q1228" s="1" t="s">
        <v>42</v>
      </c>
      <c r="S1228" s="1" t="s">
        <v>42</v>
      </c>
      <c r="T1228" s="1" t="s">
        <v>170</v>
      </c>
      <c r="V1228" s="5">
        <v>44343</v>
      </c>
      <c r="W1228" s="5">
        <v>43385</v>
      </c>
      <c r="X1228" s="1">
        <v>2225000</v>
      </c>
      <c r="Y1228" s="1">
        <v>2225000</v>
      </c>
      <c r="Z1228" s="5">
        <v>43385</v>
      </c>
      <c r="AA1228" s="1">
        <v>1775000</v>
      </c>
      <c r="AB1228" s="1" t="s">
        <v>952</v>
      </c>
      <c r="AC1228" s="5">
        <v>43432</v>
      </c>
      <c r="AF1228" s="1">
        <v>10003</v>
      </c>
      <c r="AI1228" s="1" t="s">
        <v>102</v>
      </c>
      <c r="AJ1228" s="1">
        <v>1920</v>
      </c>
      <c r="AK1228" s="1" t="s">
        <v>46</v>
      </c>
      <c r="AL1228" s="1">
        <v>48</v>
      </c>
    </row>
    <row r="1229" spans="1:38" x14ac:dyDescent="0.2">
      <c r="A1229" s="2" t="str">
        <f>HYPERLINK("https://www.compass.com/listing/225-east-19th-street-unit-503-manhattan-ny-10003/29514963508814129/","225 E 19th St, Unit 503")</f>
        <v>225 E 19th St, Unit 503</v>
      </c>
      <c r="B1229" s="2" t="str">
        <f t="shared" si="225"/>
        <v>The Prewar at Gramercy Square</v>
      </c>
      <c r="C1229" s="1" t="s">
        <v>54</v>
      </c>
      <c r="D1229" s="1" t="s">
        <v>41</v>
      </c>
      <c r="E1229" s="3">
        <v>2611811</v>
      </c>
      <c r="F1229" s="1">
        <v>2096.15650080256</v>
      </c>
      <c r="G1229" s="1">
        <v>4</v>
      </c>
      <c r="H1229" s="1">
        <v>2</v>
      </c>
      <c r="I1229" s="1">
        <v>2</v>
      </c>
      <c r="J1229" s="1">
        <v>2</v>
      </c>
      <c r="M1229" s="4">
        <v>1246</v>
      </c>
      <c r="N1229" s="1">
        <v>1411</v>
      </c>
      <c r="O1229" s="1">
        <v>3198</v>
      </c>
      <c r="P1229" s="1">
        <v>1787</v>
      </c>
      <c r="Q1229" s="1" t="s">
        <v>42</v>
      </c>
      <c r="S1229" s="1" t="s">
        <v>42</v>
      </c>
      <c r="T1229" s="1" t="s">
        <v>170</v>
      </c>
      <c r="V1229" s="5">
        <v>43637</v>
      </c>
      <c r="W1229" s="5">
        <v>43084</v>
      </c>
      <c r="X1229" s="1">
        <v>2655000</v>
      </c>
      <c r="Y1229" s="1">
        <v>2655000</v>
      </c>
      <c r="Z1229" s="5">
        <v>43084</v>
      </c>
      <c r="AA1229" s="1">
        <v>2611811</v>
      </c>
      <c r="AB1229" s="1" t="s">
        <v>953</v>
      </c>
      <c r="AC1229" s="5">
        <v>43333</v>
      </c>
      <c r="AF1229" s="1">
        <v>10003</v>
      </c>
      <c r="AI1229" s="1" t="s">
        <v>76</v>
      </c>
      <c r="AJ1229" s="1">
        <v>1920</v>
      </c>
      <c r="AK1229" s="1" t="s">
        <v>46</v>
      </c>
      <c r="AL1229" s="1">
        <v>48</v>
      </c>
    </row>
    <row r="1230" spans="1:38" x14ac:dyDescent="0.2">
      <c r="A1230" s="2" t="str">
        <f>HYPERLINK("https://www.compass.com/listing/80-east-10th-street-unit-ph-manhattan-ny-10003/351181892719890433/","80 E 10th St, Unit PH")</f>
        <v>80 E 10th St, Unit PH</v>
      </c>
      <c r="B1230" s="2" t="str">
        <f>HYPERLINK("https://www.compass.com/building/80-e-10th-st-manhattan-ny-10003/282059393531414101/","80 E 10th St")</f>
        <v>80 E 10th St</v>
      </c>
      <c r="C1230" s="1" t="s">
        <v>370</v>
      </c>
      <c r="D1230" s="1" t="s">
        <v>41</v>
      </c>
      <c r="E1230" s="3">
        <v>9995000</v>
      </c>
      <c r="F1230" s="1">
        <v>2173.7712048716799</v>
      </c>
      <c r="G1230" s="1">
        <v>7</v>
      </c>
      <c r="H1230" s="1">
        <v>5</v>
      </c>
      <c r="I1230" s="1">
        <v>6</v>
      </c>
      <c r="J1230" s="1">
        <v>5.5</v>
      </c>
      <c r="K1230" s="1">
        <v>5</v>
      </c>
      <c r="L1230" s="1">
        <v>1</v>
      </c>
      <c r="M1230" s="4">
        <v>4598</v>
      </c>
      <c r="N1230" s="1">
        <v>6269</v>
      </c>
      <c r="O1230" s="1">
        <v>14133</v>
      </c>
      <c r="P1230" s="1">
        <v>7864</v>
      </c>
      <c r="Q1230" s="1" t="s">
        <v>42</v>
      </c>
      <c r="S1230" s="1" t="s">
        <v>42</v>
      </c>
      <c r="T1230" s="1" t="s">
        <v>170</v>
      </c>
      <c r="U1230" s="1">
        <v>249</v>
      </c>
      <c r="V1230" s="5">
        <v>44384</v>
      </c>
      <c r="W1230" s="5">
        <v>44105</v>
      </c>
      <c r="Y1230" s="1">
        <v>15000000</v>
      </c>
      <c r="Z1230" s="5">
        <v>44358</v>
      </c>
      <c r="AA1230" s="1">
        <v>9995000</v>
      </c>
      <c r="AB1230" s="1" t="s">
        <v>181</v>
      </c>
      <c r="AC1230" s="5">
        <v>44363</v>
      </c>
      <c r="AF1230" s="1">
        <v>10003</v>
      </c>
      <c r="AI1230" s="1" t="s">
        <v>954</v>
      </c>
      <c r="AJ1230" s="1">
        <v>2018</v>
      </c>
      <c r="AK1230" s="1" t="s">
        <v>98</v>
      </c>
      <c r="AL1230" s="1">
        <v>12</v>
      </c>
    </row>
    <row r="1231" spans="1:38" x14ac:dyDescent="0.2">
      <c r="A1231" s="2" t="str">
        <f>HYPERLINK("https://www.compass.com/listing/215-east-19th-street-unit-2j-manhattan-ny-10003/64986619727370049/","215 E 19th St, Unit 2J")</f>
        <v>215 E 19th St, Unit 2J</v>
      </c>
      <c r="B1231" s="2" t="str">
        <f>HYPERLINK("https://www.compass.com/building/the-tower-at-gramercy-square-manhattan-ny/281890815108713781/","The Tower at Gramercy Square")</f>
        <v>The Tower at Gramercy Square</v>
      </c>
      <c r="C1231" s="1" t="s">
        <v>54</v>
      </c>
      <c r="D1231" s="1" t="s">
        <v>41</v>
      </c>
      <c r="E1231" s="3">
        <v>1980000</v>
      </c>
      <c r="F1231" s="1">
        <v>1709.8445595854901</v>
      </c>
      <c r="G1231" s="1">
        <v>3</v>
      </c>
      <c r="H1231" s="1">
        <v>1</v>
      </c>
      <c r="I1231" s="1">
        <v>2</v>
      </c>
      <c r="J1231" s="1">
        <v>1.5</v>
      </c>
      <c r="K1231" s="1">
        <v>1</v>
      </c>
      <c r="L1231" s="1">
        <v>1</v>
      </c>
      <c r="M1231" s="4">
        <v>1158</v>
      </c>
      <c r="N1231" s="1">
        <v>1314</v>
      </c>
      <c r="O1231" s="1">
        <v>2979</v>
      </c>
      <c r="P1231" s="1">
        <v>1665</v>
      </c>
      <c r="Q1231" s="1" t="s">
        <v>42</v>
      </c>
      <c r="S1231" s="1" t="s">
        <v>42</v>
      </c>
      <c r="T1231" s="1" t="s">
        <v>170</v>
      </c>
      <c r="U1231" s="1">
        <v>273</v>
      </c>
      <c r="V1231" s="5">
        <v>43795</v>
      </c>
      <c r="W1231" s="5">
        <v>43341</v>
      </c>
      <c r="X1231" s="1">
        <v>2000000</v>
      </c>
      <c r="Y1231" s="1">
        <v>2000000</v>
      </c>
      <c r="Z1231" s="5">
        <v>43614</v>
      </c>
      <c r="AA1231" s="1">
        <v>1980000</v>
      </c>
      <c r="AB1231" s="1" t="s">
        <v>955</v>
      </c>
      <c r="AC1231" s="5">
        <v>43780</v>
      </c>
      <c r="AF1231" s="1">
        <v>10003</v>
      </c>
      <c r="AI1231" s="1" t="s">
        <v>76</v>
      </c>
      <c r="AJ1231" s="1">
        <v>1920</v>
      </c>
      <c r="AK1231" s="1" t="s">
        <v>46</v>
      </c>
      <c r="AL1231" s="1">
        <v>130</v>
      </c>
    </row>
    <row r="1232" spans="1:38" x14ac:dyDescent="0.2">
      <c r="A1232" s="2" t="str">
        <f>HYPERLINK("https://www.compass.com/listing/49-51-chambers-street-unit-7d-manhattan-ny-10007/440131913442110001/","49-51 Chambers St, Unit 7D")</f>
        <v>49-51 Chambers St, Unit 7D</v>
      </c>
      <c r="B1232" s="2" t="str">
        <f t="shared" ref="B1232:B1233" si="226">HYPERLINK("https://www.compass.com/building/49-51-chambers-st-manhattan-ny-10007/441163040348878029/","49-51 Chambers St")</f>
        <v>49-51 Chambers St</v>
      </c>
      <c r="C1232" s="1" t="s">
        <v>956</v>
      </c>
      <c r="D1232" s="1" t="s">
        <v>41</v>
      </c>
      <c r="E1232" s="3">
        <v>3650000</v>
      </c>
      <c r="F1232" s="1">
        <v>1617.9078014184299</v>
      </c>
      <c r="M1232" s="4">
        <v>2256</v>
      </c>
      <c r="Q1232" s="1" t="s">
        <v>42</v>
      </c>
      <c r="S1232" s="1" t="s">
        <v>42</v>
      </c>
      <c r="T1232" s="1" t="s">
        <v>170</v>
      </c>
      <c r="AA1232" s="1">
        <v>3650000</v>
      </c>
      <c r="AB1232" s="1" t="s">
        <v>957</v>
      </c>
      <c r="AC1232" s="5">
        <v>43563</v>
      </c>
      <c r="AF1232" s="1">
        <v>10007</v>
      </c>
    </row>
    <row r="1233" spans="1:38" x14ac:dyDescent="0.2">
      <c r="A1233" s="2" t="str">
        <f>HYPERLINK("https://www.compass.com/listing/49-51-chambers-street-unit-11d-manhattan-ny-10007/440131918978627321/","49-51 Chambers St, Unit 11D")</f>
        <v>49-51 Chambers St, Unit 11D</v>
      </c>
      <c r="B1233" s="2" t="str">
        <f t="shared" si="226"/>
        <v>49-51 Chambers St</v>
      </c>
      <c r="C1233" s="1" t="s">
        <v>956</v>
      </c>
      <c r="D1233" s="1" t="s">
        <v>41</v>
      </c>
      <c r="E1233" s="3">
        <v>3925000</v>
      </c>
      <c r="F1233" s="1">
        <v>1739.8049645389999</v>
      </c>
      <c r="M1233" s="4">
        <v>2256</v>
      </c>
      <c r="Q1233" s="1" t="s">
        <v>42</v>
      </c>
      <c r="S1233" s="1" t="s">
        <v>42</v>
      </c>
      <c r="T1233" s="1" t="s">
        <v>170</v>
      </c>
      <c r="AA1233" s="1">
        <v>3925000</v>
      </c>
      <c r="AB1233" s="1" t="s">
        <v>958</v>
      </c>
      <c r="AC1233" s="5">
        <v>43585</v>
      </c>
      <c r="AF1233" s="1">
        <v>10007</v>
      </c>
    </row>
    <row r="1234" spans="1:38" x14ac:dyDescent="0.2">
      <c r="A1234" s="2" t="str">
        <f>HYPERLINK("https://www.compass.com/listing/32-east-1st-street-unit-3c-manhattan-ny-10003/166764855783631889/","32 E 1st St, Unit 3C")</f>
        <v>32 E 1st St, Unit 3C</v>
      </c>
      <c r="B1234" s="2" t="str">
        <f t="shared" ref="B1234:B1235" si="227">HYPERLINK("https://www.compass.com/building/32-east-1st-street-manhattan-ny/292783157810310133/","32 East 1st Street")</f>
        <v>32 East 1st Street</v>
      </c>
      <c r="C1234" s="1" t="s">
        <v>89</v>
      </c>
      <c r="D1234" s="1" t="s">
        <v>41</v>
      </c>
      <c r="E1234" s="3">
        <v>3650000</v>
      </c>
      <c r="F1234" s="1">
        <v>2415.6187954996599</v>
      </c>
      <c r="G1234" s="1">
        <v>6</v>
      </c>
      <c r="H1234" s="1">
        <v>3</v>
      </c>
      <c r="I1234" s="1">
        <v>3</v>
      </c>
      <c r="J1234" s="1">
        <v>3</v>
      </c>
      <c r="K1234" s="1">
        <v>3</v>
      </c>
      <c r="M1234" s="4">
        <v>1511</v>
      </c>
      <c r="N1234" s="1">
        <v>1887</v>
      </c>
      <c r="O1234" s="1">
        <v>3950</v>
      </c>
      <c r="P1234" s="1">
        <v>2063</v>
      </c>
      <c r="Q1234" s="1" t="s">
        <v>42</v>
      </c>
      <c r="S1234" s="1" t="s">
        <v>42</v>
      </c>
      <c r="T1234" s="1" t="s">
        <v>170</v>
      </c>
      <c r="U1234" s="1">
        <v>174</v>
      </c>
      <c r="V1234" s="5">
        <v>43687</v>
      </c>
      <c r="W1234" s="5">
        <v>43371</v>
      </c>
      <c r="X1234" s="1">
        <v>3700000</v>
      </c>
      <c r="Y1234" s="1">
        <v>3700000</v>
      </c>
      <c r="Z1234" s="5">
        <v>43545</v>
      </c>
      <c r="AA1234" s="1">
        <v>3650000</v>
      </c>
      <c r="AB1234" s="1" t="s">
        <v>959</v>
      </c>
      <c r="AC1234" s="5">
        <v>43605</v>
      </c>
      <c r="AF1234" s="1">
        <v>10003</v>
      </c>
      <c r="AI1234" s="1" t="s">
        <v>53</v>
      </c>
      <c r="AJ1234" s="1">
        <v>2019</v>
      </c>
      <c r="AK1234" s="1" t="s">
        <v>49</v>
      </c>
      <c r="AL1234" s="1">
        <v>30</v>
      </c>
    </row>
    <row r="1235" spans="1:38" x14ac:dyDescent="0.2">
      <c r="A1235" s="2" t="str">
        <f>HYPERLINK("https://www.compass.com/listing/32-east-1st-street-unit-5c-manhattan-ny-10003/217190195492142993/","32 E 1st St, Unit 5C")</f>
        <v>32 E 1st St, Unit 5C</v>
      </c>
      <c r="B1235" s="2" t="str">
        <f t="shared" si="227"/>
        <v>32 East 1st Street</v>
      </c>
      <c r="C1235" s="1" t="s">
        <v>89</v>
      </c>
      <c r="D1235" s="1" t="s">
        <v>41</v>
      </c>
      <c r="E1235" s="3">
        <v>3835000</v>
      </c>
      <c r="F1235" s="1">
        <v>2538.0542686962199</v>
      </c>
      <c r="G1235" s="1">
        <v>6</v>
      </c>
      <c r="H1235" s="1">
        <v>3</v>
      </c>
      <c r="I1235" s="1">
        <v>3</v>
      </c>
      <c r="J1235" s="1">
        <v>3</v>
      </c>
      <c r="K1235" s="1">
        <v>3</v>
      </c>
      <c r="M1235" s="4">
        <v>1511</v>
      </c>
      <c r="N1235" s="1">
        <v>1996</v>
      </c>
      <c r="O1235" s="1">
        <v>4178</v>
      </c>
      <c r="P1235" s="1">
        <v>2182</v>
      </c>
      <c r="Q1235" s="1" t="s">
        <v>42</v>
      </c>
      <c r="S1235" s="1" t="s">
        <v>42</v>
      </c>
      <c r="T1235" s="1" t="s">
        <v>170</v>
      </c>
      <c r="U1235" s="1">
        <v>279</v>
      </c>
      <c r="V1235" s="5">
        <v>43687</v>
      </c>
      <c r="W1235" s="5">
        <v>43272</v>
      </c>
      <c r="X1235" s="1">
        <v>3885000</v>
      </c>
      <c r="Y1235" s="1">
        <v>3885000</v>
      </c>
      <c r="Z1235" s="5">
        <v>43551</v>
      </c>
      <c r="AA1235" s="1">
        <v>3835000</v>
      </c>
      <c r="AB1235" s="1" t="s">
        <v>960</v>
      </c>
      <c r="AC1235" s="5">
        <v>43599</v>
      </c>
      <c r="AF1235" s="1">
        <v>10003</v>
      </c>
      <c r="AI1235" s="1" t="s">
        <v>53</v>
      </c>
      <c r="AJ1235" s="1">
        <v>2019</v>
      </c>
      <c r="AK1235" s="1" t="s">
        <v>49</v>
      </c>
      <c r="AL1235" s="1">
        <v>30</v>
      </c>
    </row>
    <row r="1236" spans="1:38" x14ac:dyDescent="0.2">
      <c r="A1236" s="2" t="str">
        <f>HYPERLINK("https://www.compass.com/listing/21-east-12th-street-unit-21a-manhattan-ny-10003/29514923478375057/","21 E 12th St, Unit 21A")</f>
        <v>21 E 12th St, Unit 21A</v>
      </c>
      <c r="B1236" s="2" t="str">
        <f t="shared" ref="B1236:B1239" si="228">HYPERLINK("https://www.compass.com/building/21-east-12th-street-manhattan-ny/292779727154847925/","21 East 12th Street")</f>
        <v>21 East 12th Street</v>
      </c>
      <c r="C1236" s="1" t="s">
        <v>370</v>
      </c>
      <c r="D1236" s="1" t="s">
        <v>41</v>
      </c>
      <c r="E1236" s="3">
        <v>8875000</v>
      </c>
      <c r="F1236" s="1">
        <v>3312.8032848077601</v>
      </c>
      <c r="G1236" s="1">
        <v>6</v>
      </c>
      <c r="H1236" s="1">
        <v>4</v>
      </c>
      <c r="I1236" s="1">
        <v>5</v>
      </c>
      <c r="J1236" s="1">
        <v>4.5</v>
      </c>
      <c r="K1236" s="1">
        <v>4</v>
      </c>
      <c r="L1236" s="1">
        <v>1</v>
      </c>
      <c r="M1236" s="4">
        <v>2679</v>
      </c>
      <c r="N1236" s="1">
        <v>3493</v>
      </c>
      <c r="O1236" s="1">
        <v>8830</v>
      </c>
      <c r="P1236" s="1">
        <v>5337</v>
      </c>
      <c r="Q1236" s="1" t="s">
        <v>42</v>
      </c>
      <c r="S1236" s="1" t="s">
        <v>42</v>
      </c>
      <c r="T1236" s="1" t="s">
        <v>170</v>
      </c>
      <c r="V1236" s="5">
        <v>43752</v>
      </c>
      <c r="W1236" s="5">
        <v>42886</v>
      </c>
      <c r="X1236" s="1">
        <v>9100000</v>
      </c>
      <c r="Y1236" s="1">
        <v>9350000</v>
      </c>
      <c r="Z1236" s="5">
        <v>42886</v>
      </c>
      <c r="AA1236" s="1">
        <v>8875000</v>
      </c>
      <c r="AB1236" s="1" t="s">
        <v>181</v>
      </c>
      <c r="AC1236" s="5">
        <v>43746</v>
      </c>
      <c r="AF1236" s="1">
        <v>10003</v>
      </c>
      <c r="AI1236" s="1" t="s">
        <v>59</v>
      </c>
      <c r="AJ1236" s="1">
        <v>2018</v>
      </c>
      <c r="AK1236" s="1" t="s">
        <v>740</v>
      </c>
      <c r="AL1236" s="1">
        <v>52</v>
      </c>
    </row>
    <row r="1237" spans="1:38" x14ac:dyDescent="0.2">
      <c r="A1237" s="2" t="str">
        <f>HYPERLINK("https://www.compass.com/listing/21-east-12th-street-unit-19a-manhattan-ny-10003/29514923805558113/","21 E 12th St, Unit 19A")</f>
        <v>21 E 12th St, Unit 19A</v>
      </c>
      <c r="B1237" s="2" t="str">
        <f t="shared" si="228"/>
        <v>21 East 12th Street</v>
      </c>
      <c r="C1237" s="1" t="s">
        <v>370</v>
      </c>
      <c r="D1237" s="1" t="s">
        <v>41</v>
      </c>
      <c r="E1237" s="3">
        <v>8691498</v>
      </c>
      <c r="F1237" s="1">
        <v>3244.30683090705</v>
      </c>
      <c r="G1237" s="1">
        <v>6</v>
      </c>
      <c r="H1237" s="1">
        <v>4</v>
      </c>
      <c r="I1237" s="1">
        <v>5</v>
      </c>
      <c r="J1237" s="1">
        <v>4.5</v>
      </c>
      <c r="K1237" s="1">
        <v>4</v>
      </c>
      <c r="L1237" s="1">
        <v>1</v>
      </c>
      <c r="M1237" s="4">
        <v>2679</v>
      </c>
      <c r="N1237" s="1">
        <v>3493</v>
      </c>
      <c r="O1237" s="1">
        <v>8830</v>
      </c>
      <c r="P1237" s="1">
        <v>5337</v>
      </c>
      <c r="Q1237" s="1" t="s">
        <v>42</v>
      </c>
      <c r="S1237" s="1" t="s">
        <v>42</v>
      </c>
      <c r="T1237" s="1" t="s">
        <v>170</v>
      </c>
      <c r="U1237" s="1">
        <v>17</v>
      </c>
      <c r="V1237" s="5">
        <v>43669</v>
      </c>
      <c r="W1237" s="5">
        <v>42873</v>
      </c>
      <c r="X1237" s="1">
        <v>8600000</v>
      </c>
      <c r="Y1237" s="1">
        <v>8850000</v>
      </c>
      <c r="Z1237" s="5">
        <v>42890</v>
      </c>
      <c r="AA1237" s="1">
        <v>8691498</v>
      </c>
      <c r="AB1237" s="1" t="s">
        <v>961</v>
      </c>
      <c r="AC1237" s="5">
        <v>43656</v>
      </c>
      <c r="AF1237" s="1">
        <v>10003</v>
      </c>
      <c r="AI1237" s="1" t="s">
        <v>59</v>
      </c>
      <c r="AJ1237" s="1">
        <v>2018</v>
      </c>
      <c r="AK1237" s="1" t="s">
        <v>740</v>
      </c>
      <c r="AL1237" s="1">
        <v>52</v>
      </c>
    </row>
    <row r="1238" spans="1:38" x14ac:dyDescent="0.2">
      <c r="A1238" s="2" t="str">
        <f>HYPERLINK("https://www.compass.com/listing/21-east-12th-street-unit-20a-manhattan-ny-10003/29514925642663361/","21 E 12th St, Unit 20A")</f>
        <v>21 E 12th St, Unit 20A</v>
      </c>
      <c r="B1238" s="2" t="str">
        <f t="shared" si="228"/>
        <v>21 East 12th Street</v>
      </c>
      <c r="C1238" s="1" t="s">
        <v>370</v>
      </c>
      <c r="D1238" s="1" t="s">
        <v>41</v>
      </c>
      <c r="E1238" s="3">
        <v>8721027</v>
      </c>
      <c r="F1238" s="1">
        <v>3255.3292273236202</v>
      </c>
      <c r="G1238" s="1">
        <v>6</v>
      </c>
      <c r="H1238" s="1">
        <v>4</v>
      </c>
      <c r="I1238" s="1">
        <v>5</v>
      </c>
      <c r="J1238" s="1">
        <v>4.5</v>
      </c>
      <c r="K1238" s="1">
        <v>4</v>
      </c>
      <c r="L1238" s="1">
        <v>1</v>
      </c>
      <c r="M1238" s="4">
        <v>2679</v>
      </c>
      <c r="N1238" s="1">
        <v>3493</v>
      </c>
      <c r="O1238" s="1">
        <v>8830</v>
      </c>
      <c r="P1238" s="1">
        <v>5337</v>
      </c>
      <c r="Q1238" s="1" t="s">
        <v>42</v>
      </c>
      <c r="S1238" s="1" t="s">
        <v>42</v>
      </c>
      <c r="T1238" s="1" t="s">
        <v>170</v>
      </c>
      <c r="U1238" s="1">
        <v>224</v>
      </c>
      <c r="V1238" s="5">
        <v>43710</v>
      </c>
      <c r="W1238" s="5">
        <v>42591</v>
      </c>
      <c r="X1238" s="1">
        <v>8750000</v>
      </c>
      <c r="Y1238" s="1">
        <v>9100000</v>
      </c>
      <c r="Z1238" s="5">
        <v>42815</v>
      </c>
      <c r="AA1238" s="1">
        <v>8721027</v>
      </c>
      <c r="AB1238" s="1" t="s">
        <v>962</v>
      </c>
      <c r="AC1238" s="5">
        <v>43699</v>
      </c>
      <c r="AF1238" s="1">
        <v>10003</v>
      </c>
      <c r="AI1238" s="1" t="s">
        <v>59</v>
      </c>
      <c r="AJ1238" s="1">
        <v>2018</v>
      </c>
      <c r="AK1238" s="1" t="s">
        <v>740</v>
      </c>
      <c r="AL1238" s="1">
        <v>52</v>
      </c>
    </row>
    <row r="1239" spans="1:38" x14ac:dyDescent="0.2">
      <c r="A1239" s="2" t="str">
        <f>HYPERLINK("https://www.compass.com/listing/21-east-12th-street-unit-18a-manhattan-ny-10003/803376250991129697/","21 E 12th St, Unit 18A")</f>
        <v>21 E 12th St, Unit 18A</v>
      </c>
      <c r="B1239" s="2" t="str">
        <f t="shared" si="228"/>
        <v>21 East 12th Street</v>
      </c>
      <c r="C1239" s="1" t="s">
        <v>370</v>
      </c>
      <c r="D1239" s="1" t="s">
        <v>41</v>
      </c>
      <c r="E1239" s="3">
        <v>8589329</v>
      </c>
      <c r="F1239" s="1">
        <v>3206.1697275102601</v>
      </c>
      <c r="G1239" s="1">
        <v>6</v>
      </c>
      <c r="H1239" s="1">
        <v>4</v>
      </c>
      <c r="I1239" s="1">
        <v>5</v>
      </c>
      <c r="J1239" s="1">
        <v>4.5</v>
      </c>
      <c r="K1239" s="1">
        <v>4</v>
      </c>
      <c r="L1239" s="1">
        <v>1</v>
      </c>
      <c r="M1239" s="4">
        <v>2679</v>
      </c>
      <c r="N1239" s="1">
        <v>3493</v>
      </c>
      <c r="O1239" s="1">
        <v>8830</v>
      </c>
      <c r="P1239" s="1">
        <v>5337</v>
      </c>
      <c r="Q1239" s="1" t="s">
        <v>42</v>
      </c>
      <c r="S1239" s="1" t="s">
        <v>42</v>
      </c>
      <c r="T1239" s="1" t="s">
        <v>170</v>
      </c>
      <c r="U1239" s="1">
        <v>170</v>
      </c>
      <c r="V1239" s="5">
        <v>43672</v>
      </c>
      <c r="W1239" s="5">
        <v>42814</v>
      </c>
      <c r="X1239" s="1">
        <v>8350000</v>
      </c>
      <c r="Y1239" s="1">
        <v>8600000</v>
      </c>
      <c r="Z1239" s="5">
        <v>42985</v>
      </c>
      <c r="AA1239" s="1">
        <v>8589328.6999999993</v>
      </c>
      <c r="AB1239" s="1" t="s">
        <v>942</v>
      </c>
      <c r="AC1239" s="5">
        <v>43670</v>
      </c>
      <c r="AF1239" s="1">
        <v>10003</v>
      </c>
      <c r="AI1239" s="1" t="s">
        <v>59</v>
      </c>
      <c r="AJ1239" s="1">
        <v>2018</v>
      </c>
      <c r="AK1239" s="1" t="s">
        <v>740</v>
      </c>
      <c r="AL1239" s="1">
        <v>52</v>
      </c>
    </row>
    <row r="1240" spans="1:38" x14ac:dyDescent="0.2">
      <c r="A1240" s="2" t="str">
        <f>HYPERLINK("https://www.compass.com/listing/225-east-19th-street-unit-505-manhattan-ny-10003/176677574292878929/","225 E 19th St, Unit 505")</f>
        <v>225 E 19th St, Unit 505</v>
      </c>
      <c r="B1240" s="2" t="str">
        <f t="shared" ref="B1240:B1249" si="229">HYPERLINK("https://www.compass.com/building/the-prewar-at-gramercy-square-manhattan-ny/282059248584654437/","The Prewar at Gramercy Square")</f>
        <v>The Prewar at Gramercy Square</v>
      </c>
      <c r="C1240" s="1" t="s">
        <v>54</v>
      </c>
      <c r="D1240" s="1" t="s">
        <v>41</v>
      </c>
      <c r="E1240" s="3">
        <v>1643456</v>
      </c>
      <c r="F1240" s="1">
        <v>2361.2866379310299</v>
      </c>
      <c r="G1240" s="1">
        <v>3</v>
      </c>
      <c r="H1240" s="1">
        <v>1</v>
      </c>
      <c r="I1240" s="1">
        <v>1</v>
      </c>
      <c r="J1240" s="1">
        <v>1</v>
      </c>
      <c r="K1240" s="1">
        <v>1</v>
      </c>
      <c r="M1240" s="1">
        <v>696</v>
      </c>
      <c r="N1240" s="1">
        <v>789</v>
      </c>
      <c r="O1240" s="1">
        <v>1788</v>
      </c>
      <c r="P1240" s="1">
        <v>999</v>
      </c>
      <c r="Q1240" s="1" t="s">
        <v>42</v>
      </c>
      <c r="S1240" s="1" t="s">
        <v>42</v>
      </c>
      <c r="T1240" s="1" t="s">
        <v>170</v>
      </c>
      <c r="U1240" s="1">
        <v>57</v>
      </c>
      <c r="V1240" s="5">
        <v>44225</v>
      </c>
      <c r="W1240" s="5">
        <v>43496</v>
      </c>
      <c r="X1240" s="1">
        <v>1540000</v>
      </c>
      <c r="Y1240" s="1">
        <v>1540000</v>
      </c>
      <c r="AA1240" s="1">
        <v>1643455.5</v>
      </c>
      <c r="AB1240" s="1" t="s">
        <v>963</v>
      </c>
      <c r="AC1240" s="5">
        <v>43703</v>
      </c>
      <c r="AF1240" s="1">
        <v>10003</v>
      </c>
      <c r="AI1240" s="1" t="s">
        <v>76</v>
      </c>
      <c r="AJ1240" s="1">
        <v>1920</v>
      </c>
      <c r="AK1240" s="1" t="s">
        <v>46</v>
      </c>
      <c r="AL1240" s="1">
        <v>48</v>
      </c>
    </row>
    <row r="1241" spans="1:38" x14ac:dyDescent="0.2">
      <c r="A1241" s="2" t="str">
        <f>HYPERLINK("https://www.compass.com/listing/225-east-19th-street-unit-405-manhattan-ny-10003/223900921090828161/","225 E 19th St, Unit 405")</f>
        <v>225 E 19th St, Unit 405</v>
      </c>
      <c r="B1241" s="2" t="str">
        <f t="shared" si="229"/>
        <v>The Prewar at Gramercy Square</v>
      </c>
      <c r="C1241" s="1" t="s">
        <v>54</v>
      </c>
      <c r="D1241" s="1" t="s">
        <v>41</v>
      </c>
      <c r="E1241" s="3">
        <v>1525000</v>
      </c>
      <c r="F1241" s="1">
        <v>2191.0919540229802</v>
      </c>
      <c r="G1241" s="1">
        <v>2</v>
      </c>
      <c r="H1241" s="1">
        <v>1</v>
      </c>
      <c r="I1241" s="1">
        <v>1</v>
      </c>
      <c r="J1241" s="1">
        <v>1</v>
      </c>
      <c r="K1241" s="1">
        <v>1</v>
      </c>
      <c r="M1241" s="1">
        <v>696</v>
      </c>
      <c r="N1241" s="1">
        <v>790</v>
      </c>
      <c r="O1241" s="1">
        <v>1915</v>
      </c>
      <c r="P1241" s="1">
        <v>1125</v>
      </c>
      <c r="Q1241" s="1" t="s">
        <v>42</v>
      </c>
      <c r="S1241" s="1" t="s">
        <v>42</v>
      </c>
      <c r="T1241" s="1" t="s">
        <v>170</v>
      </c>
      <c r="V1241" s="5">
        <v>44225</v>
      </c>
      <c r="AA1241" s="1">
        <v>1525000</v>
      </c>
      <c r="AB1241" s="1" t="s">
        <v>964</v>
      </c>
      <c r="AC1241" s="5">
        <v>43553</v>
      </c>
      <c r="AF1241" s="1">
        <v>10003</v>
      </c>
      <c r="AI1241" s="1" t="s">
        <v>76</v>
      </c>
      <c r="AJ1241" s="1">
        <v>1920</v>
      </c>
      <c r="AK1241" s="1" t="s">
        <v>46</v>
      </c>
      <c r="AL1241" s="1">
        <v>48</v>
      </c>
    </row>
    <row r="1242" spans="1:38" x14ac:dyDescent="0.2">
      <c r="A1242" s="2" t="str">
        <f>HYPERLINK("https://www.compass.com/listing/225-east-19th-street-unit-705-manhattan-ny-10003/223900921485124705/","225 E 19th St, Unit 705")</f>
        <v>225 E 19th St, Unit 705</v>
      </c>
      <c r="B1242" s="2" t="str">
        <f t="shared" si="229"/>
        <v>The Prewar at Gramercy Square</v>
      </c>
      <c r="C1242" s="1" t="s">
        <v>54</v>
      </c>
      <c r="D1242" s="1" t="s">
        <v>41</v>
      </c>
      <c r="E1242" s="3">
        <v>1570000</v>
      </c>
      <c r="F1242" s="1">
        <v>2258.9928057553898</v>
      </c>
      <c r="G1242" s="1">
        <v>3</v>
      </c>
      <c r="H1242" s="1">
        <v>1</v>
      </c>
      <c r="I1242" s="1">
        <v>1</v>
      </c>
      <c r="J1242" s="1">
        <v>1</v>
      </c>
      <c r="K1242" s="1">
        <v>1</v>
      </c>
      <c r="M1242" s="1">
        <v>695</v>
      </c>
      <c r="N1242" s="1">
        <v>790</v>
      </c>
      <c r="O1242" s="1">
        <v>1789</v>
      </c>
      <c r="P1242" s="1">
        <v>999</v>
      </c>
      <c r="Q1242" s="1" t="s">
        <v>42</v>
      </c>
      <c r="S1242" s="1" t="s">
        <v>42</v>
      </c>
      <c r="T1242" s="1" t="s">
        <v>170</v>
      </c>
      <c r="V1242" s="5">
        <v>43565</v>
      </c>
      <c r="AA1242" s="1">
        <v>1570000</v>
      </c>
      <c r="AB1242" s="1" t="s">
        <v>965</v>
      </c>
      <c r="AC1242" s="5">
        <v>43553</v>
      </c>
      <c r="AF1242" s="1">
        <v>10003</v>
      </c>
      <c r="AI1242" s="1" t="s">
        <v>76</v>
      </c>
      <c r="AJ1242" s="1">
        <v>1920</v>
      </c>
      <c r="AK1242" s="1" t="s">
        <v>46</v>
      </c>
      <c r="AL1242" s="1">
        <v>48</v>
      </c>
    </row>
    <row r="1243" spans="1:38" x14ac:dyDescent="0.2">
      <c r="A1243" s="2" t="str">
        <f>HYPERLINK("https://www.compass.com/listing/225-east-19th-street-unit-305-manhattan-ny-10003/223900921829090273/","225 E 19th St, Unit 305")</f>
        <v>225 E 19th St, Unit 305</v>
      </c>
      <c r="B1243" s="2" t="str">
        <f t="shared" si="229"/>
        <v>The Prewar at Gramercy Square</v>
      </c>
      <c r="C1243" s="1" t="s">
        <v>54</v>
      </c>
      <c r="D1243" s="1" t="s">
        <v>41</v>
      </c>
      <c r="E1243" s="3">
        <v>1510000</v>
      </c>
      <c r="F1243" s="1">
        <v>2169.5402298850499</v>
      </c>
      <c r="G1243" s="1">
        <v>3</v>
      </c>
      <c r="H1243" s="1">
        <v>1</v>
      </c>
      <c r="I1243" s="1">
        <v>1</v>
      </c>
      <c r="J1243" s="1">
        <v>1</v>
      </c>
      <c r="K1243" s="1">
        <v>1</v>
      </c>
      <c r="M1243" s="1">
        <v>696</v>
      </c>
      <c r="N1243" s="1">
        <v>787</v>
      </c>
      <c r="O1243" s="1">
        <v>1784</v>
      </c>
      <c r="P1243" s="1">
        <v>997</v>
      </c>
      <c r="Q1243" s="1" t="s">
        <v>42</v>
      </c>
      <c r="S1243" s="1" t="s">
        <v>42</v>
      </c>
      <c r="T1243" s="1" t="s">
        <v>170</v>
      </c>
      <c r="U1243" s="1">
        <v>188</v>
      </c>
      <c r="V1243" s="5">
        <v>44225</v>
      </c>
      <c r="W1243" s="5">
        <v>42629</v>
      </c>
      <c r="X1243" s="1">
        <v>1495000</v>
      </c>
      <c r="Y1243" s="1">
        <v>1495000</v>
      </c>
      <c r="Z1243" s="5">
        <v>43538</v>
      </c>
      <c r="AA1243" s="1">
        <v>1510000</v>
      </c>
      <c r="AB1243" s="1" t="s">
        <v>966</v>
      </c>
      <c r="AC1243" s="5">
        <v>43553</v>
      </c>
      <c r="AF1243" s="1">
        <v>10003</v>
      </c>
      <c r="AI1243" s="1" t="s">
        <v>76</v>
      </c>
      <c r="AJ1243" s="1">
        <v>1920</v>
      </c>
      <c r="AK1243" s="1" t="s">
        <v>46</v>
      </c>
      <c r="AL1243" s="1">
        <v>48</v>
      </c>
    </row>
    <row r="1244" spans="1:38" x14ac:dyDescent="0.2">
      <c r="A1244" s="2" t="str">
        <f>HYPERLINK("https://www.compass.com/listing/225-east-19th-street-unit-201-manhattan-ny-10003/29514962242202561/","225 E 19th St, Unit 201")</f>
        <v>225 E 19th St, Unit 201</v>
      </c>
      <c r="B1244" s="2" t="str">
        <f t="shared" si="229"/>
        <v>The Prewar at Gramercy Square</v>
      </c>
      <c r="C1244" s="1" t="s">
        <v>54</v>
      </c>
      <c r="D1244" s="1" t="s">
        <v>41</v>
      </c>
      <c r="E1244" s="3">
        <v>1585000</v>
      </c>
      <c r="F1244" s="1">
        <v>1909.63855421686</v>
      </c>
      <c r="G1244" s="1">
        <v>3</v>
      </c>
      <c r="H1244" s="1">
        <v>1</v>
      </c>
      <c r="I1244" s="1">
        <v>1</v>
      </c>
      <c r="J1244" s="1">
        <v>1</v>
      </c>
      <c r="K1244" s="1">
        <v>1</v>
      </c>
      <c r="M1244" s="1">
        <v>830</v>
      </c>
      <c r="N1244" s="1">
        <v>942</v>
      </c>
      <c r="O1244" s="1">
        <v>2135</v>
      </c>
      <c r="P1244" s="1">
        <v>1193</v>
      </c>
      <c r="Q1244" s="1" t="s">
        <v>42</v>
      </c>
      <c r="S1244" s="1" t="s">
        <v>42</v>
      </c>
      <c r="T1244" s="1" t="s">
        <v>170</v>
      </c>
      <c r="U1244" s="1">
        <v>62</v>
      </c>
      <c r="V1244" s="5">
        <v>43757</v>
      </c>
      <c r="W1244" s="5">
        <v>43196</v>
      </c>
      <c r="X1244" s="1">
        <v>1625000</v>
      </c>
      <c r="Y1244" s="1">
        <v>1625000</v>
      </c>
      <c r="Z1244" s="5">
        <v>43258</v>
      </c>
      <c r="AA1244" s="1">
        <v>1585000</v>
      </c>
      <c r="AB1244" s="1" t="s">
        <v>967</v>
      </c>
      <c r="AC1244" s="5">
        <v>43348</v>
      </c>
      <c r="AF1244" s="1">
        <v>10003</v>
      </c>
      <c r="AI1244" s="1" t="s">
        <v>76</v>
      </c>
      <c r="AJ1244" s="1">
        <v>1920</v>
      </c>
      <c r="AK1244" s="1" t="s">
        <v>46</v>
      </c>
      <c r="AL1244" s="1">
        <v>48</v>
      </c>
    </row>
    <row r="1245" spans="1:38" x14ac:dyDescent="0.2">
      <c r="A1245" s="2" t="str">
        <f>HYPERLINK("https://www.compass.com/listing/225-east-19th-street-unit-605-manhattan-ny-10003/29514964465115489/","225 E 19th St, Unit 605")</f>
        <v>225 E 19th St, Unit 605</v>
      </c>
      <c r="B1245" s="2" t="str">
        <f t="shared" si="229"/>
        <v>The Prewar at Gramercy Square</v>
      </c>
      <c r="C1245" s="1" t="s">
        <v>54</v>
      </c>
      <c r="D1245" s="1" t="s">
        <v>41</v>
      </c>
      <c r="E1245" s="3">
        <v>1545000</v>
      </c>
      <c r="F1245" s="1">
        <v>2219.8275862068899</v>
      </c>
      <c r="G1245" s="1">
        <v>3</v>
      </c>
      <c r="H1245" s="1">
        <v>1</v>
      </c>
      <c r="I1245" s="1">
        <v>1</v>
      </c>
      <c r="J1245" s="1">
        <v>1</v>
      </c>
      <c r="K1245" s="1">
        <v>1</v>
      </c>
      <c r="M1245" s="1">
        <v>696</v>
      </c>
      <c r="N1245" s="1">
        <v>790</v>
      </c>
      <c r="O1245" s="1">
        <v>1789</v>
      </c>
      <c r="P1245" s="1">
        <v>999</v>
      </c>
      <c r="Q1245" s="1" t="s">
        <v>42</v>
      </c>
      <c r="S1245" s="1" t="s">
        <v>42</v>
      </c>
      <c r="T1245" s="1" t="s">
        <v>170</v>
      </c>
      <c r="U1245" s="1">
        <v>551</v>
      </c>
      <c r="V1245" s="5">
        <v>43647</v>
      </c>
      <c r="W1245" s="5">
        <v>43008</v>
      </c>
      <c r="X1245" s="1">
        <v>1540000</v>
      </c>
      <c r="Y1245" s="1">
        <v>1555000</v>
      </c>
      <c r="Z1245" s="5">
        <v>43559</v>
      </c>
      <c r="AA1245" s="1">
        <v>1545000</v>
      </c>
      <c r="AB1245" s="1" t="s">
        <v>968</v>
      </c>
      <c r="AC1245" s="5">
        <v>43567</v>
      </c>
      <c r="AF1245" s="1">
        <v>10003</v>
      </c>
      <c r="AI1245" s="1" t="s">
        <v>76</v>
      </c>
      <c r="AJ1245" s="1">
        <v>1920</v>
      </c>
      <c r="AK1245" s="1" t="s">
        <v>46</v>
      </c>
      <c r="AL1245" s="1">
        <v>48</v>
      </c>
    </row>
    <row r="1246" spans="1:38" x14ac:dyDescent="0.2">
      <c r="A1246" s="2" t="str">
        <f>HYPERLINK("https://www.compass.com/listing/225-east-19th-street-unit-301-manhattan-ny-10003/29514965069163537/","225 E 19th St, Unit 301")</f>
        <v>225 E 19th St, Unit 301</v>
      </c>
      <c r="B1246" s="2" t="str">
        <f t="shared" si="229"/>
        <v>The Prewar at Gramercy Square</v>
      </c>
      <c r="C1246" s="1" t="s">
        <v>54</v>
      </c>
      <c r="D1246" s="1" t="s">
        <v>41</v>
      </c>
      <c r="E1246" s="3">
        <v>1588470</v>
      </c>
      <c r="F1246" s="1">
        <v>1941.89486552567</v>
      </c>
      <c r="G1246" s="1">
        <v>3</v>
      </c>
      <c r="H1246" s="1">
        <v>1</v>
      </c>
      <c r="I1246" s="1">
        <v>1</v>
      </c>
      <c r="J1246" s="1">
        <v>1</v>
      </c>
      <c r="K1246" s="1">
        <v>1</v>
      </c>
      <c r="M1246" s="1">
        <v>818</v>
      </c>
      <c r="N1246" s="1">
        <v>929</v>
      </c>
      <c r="O1246" s="1">
        <v>2105</v>
      </c>
      <c r="P1246" s="1">
        <v>1176</v>
      </c>
      <c r="Q1246" s="1" t="s">
        <v>42</v>
      </c>
      <c r="S1246" s="1" t="s">
        <v>42</v>
      </c>
      <c r="T1246" s="1" t="s">
        <v>170</v>
      </c>
      <c r="U1246" s="1">
        <v>1</v>
      </c>
      <c r="V1246" s="5">
        <v>43757</v>
      </c>
      <c r="W1246" s="5">
        <v>43005</v>
      </c>
      <c r="X1246" s="1">
        <v>1560000</v>
      </c>
      <c r="Y1246" s="1">
        <v>1605000</v>
      </c>
      <c r="Z1246" s="5">
        <v>43006</v>
      </c>
      <c r="AA1246" s="1">
        <v>1588470</v>
      </c>
      <c r="AB1246" s="1" t="s">
        <v>969</v>
      </c>
      <c r="AC1246" s="5">
        <v>43280</v>
      </c>
      <c r="AF1246" s="1">
        <v>10003</v>
      </c>
      <c r="AI1246" s="1" t="s">
        <v>76</v>
      </c>
      <c r="AJ1246" s="1">
        <v>1920</v>
      </c>
      <c r="AK1246" s="1" t="s">
        <v>46</v>
      </c>
      <c r="AL1246" s="1">
        <v>48</v>
      </c>
    </row>
    <row r="1247" spans="1:38" x14ac:dyDescent="0.2">
      <c r="A1247" s="2" t="str">
        <f>HYPERLINK("https://www.compass.com/listing/225-east-19th-street-unit-604-manhattan-ny-10003/29514965664713713/","225 E 19th St, Unit 604")</f>
        <v>225 E 19th St, Unit 604</v>
      </c>
      <c r="B1247" s="2" t="str">
        <f t="shared" si="229"/>
        <v>The Prewar at Gramercy Square</v>
      </c>
      <c r="C1247" s="1" t="s">
        <v>54</v>
      </c>
      <c r="D1247" s="1" t="s">
        <v>41</v>
      </c>
      <c r="E1247" s="3">
        <v>1554053</v>
      </c>
      <c r="F1247" s="1">
        <v>2229.6312769010001</v>
      </c>
      <c r="G1247" s="1">
        <v>3</v>
      </c>
      <c r="H1247" s="1">
        <v>1</v>
      </c>
      <c r="I1247" s="1">
        <v>1</v>
      </c>
      <c r="J1247" s="1">
        <v>1</v>
      </c>
      <c r="K1247" s="1">
        <v>1</v>
      </c>
      <c r="M1247" s="1">
        <v>697</v>
      </c>
      <c r="N1247" s="1">
        <v>790</v>
      </c>
      <c r="O1247" s="1">
        <v>1791</v>
      </c>
      <c r="P1247" s="1">
        <v>1001</v>
      </c>
      <c r="Q1247" s="1" t="s">
        <v>42</v>
      </c>
      <c r="S1247" s="1" t="s">
        <v>42</v>
      </c>
      <c r="T1247" s="1" t="s">
        <v>170</v>
      </c>
      <c r="U1247" s="1">
        <v>1</v>
      </c>
      <c r="V1247" s="5">
        <v>43757</v>
      </c>
      <c r="W1247" s="5">
        <v>43005</v>
      </c>
      <c r="X1247" s="1">
        <v>1540000</v>
      </c>
      <c r="Y1247" s="1">
        <v>1585000</v>
      </c>
      <c r="Z1247" s="5">
        <v>43006</v>
      </c>
      <c r="AA1247" s="1">
        <v>1554053</v>
      </c>
      <c r="AB1247" s="1" t="s">
        <v>970</v>
      </c>
      <c r="AC1247" s="5">
        <v>43370</v>
      </c>
      <c r="AF1247" s="1">
        <v>10003</v>
      </c>
      <c r="AI1247" s="1" t="s">
        <v>76</v>
      </c>
      <c r="AJ1247" s="1">
        <v>1920</v>
      </c>
      <c r="AK1247" s="1" t="s">
        <v>46</v>
      </c>
      <c r="AL1247" s="1">
        <v>48</v>
      </c>
    </row>
    <row r="1248" spans="1:38" x14ac:dyDescent="0.2">
      <c r="A1248" s="2" t="str">
        <f>HYPERLINK("https://www.compass.com/listing/225-east-19th-street-unit-502-manhattan-ny-10003/75473363073624673/","225 E 19th St, Unit 502")</f>
        <v>225 E 19th St, Unit 502</v>
      </c>
      <c r="B1248" s="2" t="str">
        <f t="shared" si="229"/>
        <v>The Prewar at Gramercy Square</v>
      </c>
      <c r="C1248" s="1" t="s">
        <v>54</v>
      </c>
      <c r="D1248" s="1" t="s">
        <v>41</v>
      </c>
      <c r="E1248" s="3">
        <v>1620000</v>
      </c>
      <c r="F1248" s="1">
        <v>1978.02197802197</v>
      </c>
      <c r="G1248" s="1">
        <v>3</v>
      </c>
      <c r="H1248" s="1">
        <v>1</v>
      </c>
      <c r="I1248" s="1">
        <v>1</v>
      </c>
      <c r="J1248" s="1">
        <v>1</v>
      </c>
      <c r="K1248" s="1">
        <v>1</v>
      </c>
      <c r="M1248" s="1">
        <v>819</v>
      </c>
      <c r="N1248" s="1">
        <v>929</v>
      </c>
      <c r="O1248" s="1">
        <v>2486</v>
      </c>
      <c r="P1248" s="1">
        <v>1557</v>
      </c>
      <c r="Q1248" s="1" t="s">
        <v>42</v>
      </c>
      <c r="S1248" s="1" t="s">
        <v>42</v>
      </c>
      <c r="T1248" s="1" t="s">
        <v>170</v>
      </c>
      <c r="U1248" s="1">
        <v>429</v>
      </c>
      <c r="V1248" s="5">
        <v>43856</v>
      </c>
      <c r="W1248" s="5">
        <v>43356</v>
      </c>
      <c r="X1248" s="1">
        <v>1670000</v>
      </c>
      <c r="Y1248" s="1">
        <v>1670000</v>
      </c>
      <c r="Z1248" s="5">
        <v>43785</v>
      </c>
      <c r="AA1248" s="1">
        <v>1620000</v>
      </c>
      <c r="AB1248" s="1" t="s">
        <v>971</v>
      </c>
      <c r="AC1248" s="5">
        <v>43815</v>
      </c>
      <c r="AF1248" s="1">
        <v>10003</v>
      </c>
      <c r="AI1248" s="1" t="s">
        <v>76</v>
      </c>
      <c r="AJ1248" s="1">
        <v>1920</v>
      </c>
      <c r="AK1248" s="1" t="s">
        <v>46</v>
      </c>
      <c r="AL1248" s="1">
        <v>48</v>
      </c>
    </row>
    <row r="1249" spans="1:38" x14ac:dyDescent="0.2">
      <c r="A1249" s="2" t="str">
        <f>HYPERLINK("https://www.compass.com/listing/225-east-19th-street-unit-702-manhattan-ny-10003/96242681180685969/","225 E 19th St, Unit 702")</f>
        <v>225 E 19th St, Unit 702</v>
      </c>
      <c r="B1249" s="2" t="str">
        <f t="shared" si="229"/>
        <v>The Prewar at Gramercy Square</v>
      </c>
      <c r="C1249" s="1" t="s">
        <v>54</v>
      </c>
      <c r="D1249" s="1" t="s">
        <v>41</v>
      </c>
      <c r="E1249" s="3">
        <v>1680113</v>
      </c>
      <c r="F1249" s="1">
        <v>2051.4200244200201</v>
      </c>
      <c r="G1249" s="1">
        <v>3</v>
      </c>
      <c r="H1249" s="1">
        <v>1</v>
      </c>
      <c r="I1249" s="1">
        <v>1</v>
      </c>
      <c r="J1249" s="1">
        <v>1</v>
      </c>
      <c r="M1249" s="1">
        <v>819</v>
      </c>
      <c r="N1249" s="1">
        <v>929</v>
      </c>
      <c r="O1249" s="1">
        <v>2106</v>
      </c>
      <c r="P1249" s="1">
        <v>1177</v>
      </c>
      <c r="Q1249" s="1" t="s">
        <v>42</v>
      </c>
      <c r="S1249" s="1" t="s">
        <v>42</v>
      </c>
      <c r="T1249" s="1" t="s">
        <v>170</v>
      </c>
      <c r="V1249" s="5">
        <v>43648</v>
      </c>
      <c r="W1249" s="5">
        <v>43385</v>
      </c>
      <c r="X1249" s="1">
        <v>1700000</v>
      </c>
      <c r="Y1249" s="1">
        <v>1700000</v>
      </c>
      <c r="Z1249" s="5">
        <v>43385</v>
      </c>
      <c r="AA1249" s="1">
        <v>1680113</v>
      </c>
      <c r="AB1249" s="1" t="s">
        <v>972</v>
      </c>
      <c r="AC1249" s="5">
        <v>43424</v>
      </c>
      <c r="AF1249" s="1">
        <v>10003</v>
      </c>
      <c r="AI1249" s="1" t="s">
        <v>76</v>
      </c>
      <c r="AJ1249" s="1">
        <v>1920</v>
      </c>
      <c r="AK1249" s="1" t="s">
        <v>46</v>
      </c>
      <c r="AL1249" s="1">
        <v>48</v>
      </c>
    </row>
    <row r="1250" spans="1:38" x14ac:dyDescent="0.2">
      <c r="A1250" s="2" t="str">
        <f>HYPERLINK("https://www.compass.com/listing/100-barrow-street-unit-ph-manhattan-ny-10014/391344787550124849/","100 Barrow St, Unit PH")</f>
        <v>100 Barrow St, Unit PH</v>
      </c>
      <c r="B1250" s="2" t="str">
        <f>HYPERLINK("https://www.compass.com/building/100-barrow-manhattan-ny/292834978184618837/","100 Barrow")</f>
        <v>100 Barrow</v>
      </c>
      <c r="C1250" s="1" t="s">
        <v>71</v>
      </c>
      <c r="D1250" s="1" t="s">
        <v>41</v>
      </c>
      <c r="E1250" s="3">
        <v>14000000</v>
      </c>
      <c r="F1250" s="1">
        <v>4724.9409382382701</v>
      </c>
      <c r="H1250" s="1">
        <v>3</v>
      </c>
      <c r="I1250" s="1">
        <v>4</v>
      </c>
      <c r="J1250" s="1">
        <v>3.5</v>
      </c>
      <c r="K1250" s="1">
        <v>3</v>
      </c>
      <c r="L1250" s="1">
        <v>1</v>
      </c>
      <c r="M1250" s="4">
        <v>2963</v>
      </c>
      <c r="N1250" s="1">
        <v>8885</v>
      </c>
      <c r="O1250" s="1">
        <v>8885</v>
      </c>
      <c r="S1250" s="1" t="s">
        <v>645</v>
      </c>
      <c r="T1250" s="1" t="s">
        <v>170</v>
      </c>
      <c r="V1250" s="5">
        <v>44247</v>
      </c>
      <c r="AA1250" s="1">
        <v>14000000</v>
      </c>
      <c r="AB1250" s="1" t="s">
        <v>181</v>
      </c>
      <c r="AC1250" s="5">
        <v>43679</v>
      </c>
      <c r="AF1250" s="1">
        <v>10014</v>
      </c>
      <c r="AI1250" s="1" t="s">
        <v>973</v>
      </c>
      <c r="AJ1250" s="1">
        <v>2015</v>
      </c>
      <c r="AK1250" s="1" t="s">
        <v>172</v>
      </c>
      <c r="AL1250" s="1">
        <v>33</v>
      </c>
    </row>
    <row r="1251" spans="1:38" x14ac:dyDescent="0.2">
      <c r="A1251" s="2" t="str">
        <f>HYPERLINK("https://www.compass.com/listing/32-east-1st-street-unit-4d-manhattan-ny-10003/713120677329619545/","32 E 1st St, Unit 4D")</f>
        <v>32 E 1st St, Unit 4D</v>
      </c>
      <c r="B1251" s="2" t="str">
        <f t="shared" ref="B1251:B1252" si="230">HYPERLINK("https://www.compass.com/building/32-east-1st-street-manhattan-ny/292783157810310133/","32 East 1st Street")</f>
        <v>32 East 1st Street</v>
      </c>
      <c r="C1251" s="1" t="s">
        <v>89</v>
      </c>
      <c r="D1251" s="1" t="s">
        <v>41</v>
      </c>
      <c r="E1251" s="3">
        <v>2300000</v>
      </c>
      <c r="F1251" s="1">
        <v>2090.9090909090901</v>
      </c>
      <c r="G1251" s="1">
        <v>4</v>
      </c>
      <c r="H1251" s="1">
        <v>2</v>
      </c>
      <c r="I1251" s="1">
        <v>2</v>
      </c>
      <c r="J1251" s="1">
        <v>2</v>
      </c>
      <c r="K1251" s="1">
        <v>2</v>
      </c>
      <c r="M1251" s="4">
        <v>1100</v>
      </c>
      <c r="N1251" s="1">
        <v>1359</v>
      </c>
      <c r="O1251" s="1">
        <v>3414</v>
      </c>
      <c r="P1251" s="1">
        <v>2055</v>
      </c>
      <c r="Q1251" s="1" t="s">
        <v>42</v>
      </c>
      <c r="S1251" s="1" t="s">
        <v>42</v>
      </c>
      <c r="T1251" s="1" t="s">
        <v>170</v>
      </c>
      <c r="V1251" s="5">
        <v>44357</v>
      </c>
      <c r="W1251" s="5">
        <v>44235</v>
      </c>
      <c r="X1251" s="1">
        <v>2700000</v>
      </c>
      <c r="Y1251" s="1">
        <v>2700000</v>
      </c>
      <c r="Z1251" s="5">
        <v>44235</v>
      </c>
      <c r="AA1251" s="1">
        <v>2300000</v>
      </c>
      <c r="AB1251" s="1" t="s">
        <v>974</v>
      </c>
      <c r="AC1251" s="5">
        <v>44320</v>
      </c>
      <c r="AF1251" s="1">
        <v>10003</v>
      </c>
      <c r="AI1251" s="1" t="s">
        <v>53</v>
      </c>
      <c r="AJ1251" s="1">
        <v>2019</v>
      </c>
      <c r="AK1251" s="1" t="s">
        <v>77</v>
      </c>
      <c r="AL1251" s="1">
        <v>30</v>
      </c>
    </row>
    <row r="1252" spans="1:38" x14ac:dyDescent="0.2">
      <c r="A1252" s="2" t="str">
        <f>HYPERLINK("https://www.compass.com/listing/32-east-1st-street-unit-3d-manhattan-ny-10003/618828725372735681/","32 E 1st St, Unit 3D")</f>
        <v>32 E 1st St, Unit 3D</v>
      </c>
      <c r="B1252" s="2" t="str">
        <f t="shared" si="230"/>
        <v>32 East 1st Street</v>
      </c>
      <c r="C1252" s="1" t="s">
        <v>89</v>
      </c>
      <c r="D1252" s="1" t="s">
        <v>41</v>
      </c>
      <c r="E1252" s="3">
        <v>2250000</v>
      </c>
      <c r="F1252" s="1">
        <v>2066.1157024793301</v>
      </c>
      <c r="G1252" s="1">
        <v>4</v>
      </c>
      <c r="H1252" s="1">
        <v>2</v>
      </c>
      <c r="I1252" s="1">
        <v>2</v>
      </c>
      <c r="J1252" s="1">
        <v>2</v>
      </c>
      <c r="K1252" s="1">
        <v>2</v>
      </c>
      <c r="M1252" s="4">
        <v>1089</v>
      </c>
      <c r="N1252" s="1">
        <v>1320</v>
      </c>
      <c r="O1252" s="1">
        <v>3325</v>
      </c>
      <c r="P1252" s="1">
        <v>2005</v>
      </c>
      <c r="Q1252" s="1" t="s">
        <v>42</v>
      </c>
      <c r="S1252" s="1" t="s">
        <v>42</v>
      </c>
      <c r="T1252" s="1" t="s">
        <v>170</v>
      </c>
      <c r="U1252" s="1">
        <v>69</v>
      </c>
      <c r="V1252" s="5">
        <v>44314</v>
      </c>
      <c r="W1252" s="5">
        <v>44105</v>
      </c>
      <c r="X1252" s="1">
        <v>2500000</v>
      </c>
      <c r="Y1252" s="1">
        <v>2500000</v>
      </c>
      <c r="Z1252" s="5">
        <v>44175</v>
      </c>
      <c r="AA1252" s="1">
        <v>2250000</v>
      </c>
      <c r="AB1252" s="1" t="s">
        <v>975</v>
      </c>
      <c r="AC1252" s="5">
        <v>44235</v>
      </c>
      <c r="AF1252" s="1">
        <v>10003</v>
      </c>
      <c r="AI1252" s="1" t="s">
        <v>53</v>
      </c>
      <c r="AJ1252" s="1">
        <v>2019</v>
      </c>
      <c r="AK1252" s="1" t="s">
        <v>77</v>
      </c>
      <c r="AL1252" s="1">
        <v>30</v>
      </c>
    </row>
    <row r="1253" spans="1:38" x14ac:dyDescent="0.2">
      <c r="A1253" s="2" t="str">
        <f>HYPERLINK("https://www.compass.com/listing/25-mercer-street-manhattan-ny-10013/50874956162015361/","25 Mercer St")</f>
        <v>25 Mercer St</v>
      </c>
      <c r="B1253" s="2" t="str">
        <f>HYPERLINK("https://www.compass.com/building/25-mercer-st-manhattan-ny-10013/281918357685436949/","25 Mercer St")</f>
        <v>25 Mercer St</v>
      </c>
      <c r="C1253" s="1" t="s">
        <v>104</v>
      </c>
      <c r="D1253" s="1" t="s">
        <v>41</v>
      </c>
      <c r="E1253" s="3">
        <v>16250000</v>
      </c>
      <c r="F1253" s="1">
        <v>5588.0330123796402</v>
      </c>
      <c r="G1253" s="1">
        <v>8</v>
      </c>
      <c r="H1253" s="1">
        <v>5</v>
      </c>
      <c r="M1253" s="4">
        <v>2908</v>
      </c>
      <c r="Q1253" s="1" t="s">
        <v>976</v>
      </c>
      <c r="S1253" s="1" t="s">
        <v>141</v>
      </c>
      <c r="T1253" s="1" t="s">
        <v>170</v>
      </c>
      <c r="U1253" s="1">
        <v>21</v>
      </c>
      <c r="V1253" s="5">
        <v>43666</v>
      </c>
      <c r="W1253" s="5">
        <v>42784</v>
      </c>
      <c r="X1253" s="1">
        <v>16500000</v>
      </c>
      <c r="Y1253" s="1">
        <v>16500000</v>
      </c>
      <c r="Z1253" s="5">
        <v>42805</v>
      </c>
      <c r="AA1253" s="1">
        <v>16250000</v>
      </c>
      <c r="AB1253" s="1" t="s">
        <v>181</v>
      </c>
      <c r="AC1253" s="5">
        <v>42838</v>
      </c>
      <c r="AF1253" s="1">
        <v>10013</v>
      </c>
      <c r="AI1253" s="1" t="s">
        <v>85</v>
      </c>
      <c r="AJ1253" s="1">
        <v>2016</v>
      </c>
      <c r="AL1253" s="1">
        <v>5</v>
      </c>
    </row>
    <row r="1254" spans="1:38" x14ac:dyDescent="0.2">
      <c r="A1254" s="2" t="str">
        <f>HYPERLINK("https://www.compass.com/listing/215-east-19th-street-unit-4j-manhattan-ny-10003/232551227336964177/","215 E 19th St, Unit 4J")</f>
        <v>215 E 19th St, Unit 4J</v>
      </c>
      <c r="B1254" s="2" t="str">
        <f>HYPERLINK("https://www.compass.com/building/the-tower-at-gramercy-square-manhattan-ny/281890815108713781/","The Tower at Gramercy Square")</f>
        <v>The Tower at Gramercy Square</v>
      </c>
      <c r="C1254" s="1" t="s">
        <v>54</v>
      </c>
      <c r="D1254" s="1" t="s">
        <v>41</v>
      </c>
      <c r="E1254" s="3">
        <v>2015000</v>
      </c>
      <c r="F1254" s="1">
        <v>1740.06908462867</v>
      </c>
      <c r="G1254" s="1">
        <v>3.5</v>
      </c>
      <c r="H1254" s="1">
        <v>1</v>
      </c>
      <c r="I1254" s="1">
        <v>2</v>
      </c>
      <c r="J1254" s="1">
        <v>1.5</v>
      </c>
      <c r="K1254" s="1">
        <v>1</v>
      </c>
      <c r="L1254" s="1">
        <v>1</v>
      </c>
      <c r="M1254" s="4">
        <v>1158</v>
      </c>
      <c r="N1254" s="1">
        <v>1315</v>
      </c>
      <c r="O1254" s="1">
        <v>2981</v>
      </c>
      <c r="P1254" s="1">
        <v>1666</v>
      </c>
      <c r="Q1254" s="1" t="s">
        <v>42</v>
      </c>
      <c r="S1254" s="1" t="s">
        <v>42</v>
      </c>
      <c r="T1254" s="1" t="s">
        <v>170</v>
      </c>
      <c r="U1254" s="1">
        <v>1437</v>
      </c>
      <c r="V1254" s="5">
        <v>43757</v>
      </c>
      <c r="W1254" s="5">
        <v>42135</v>
      </c>
      <c r="X1254" s="1">
        <v>2050000</v>
      </c>
      <c r="Y1254" s="1">
        <v>2050000</v>
      </c>
      <c r="Z1254" s="5">
        <v>43573</v>
      </c>
      <c r="AA1254" s="1">
        <v>2015000</v>
      </c>
      <c r="AB1254" s="1" t="s">
        <v>977</v>
      </c>
      <c r="AC1254" s="5">
        <v>43584</v>
      </c>
      <c r="AF1254" s="1">
        <v>10003</v>
      </c>
      <c r="AI1254" s="1" t="s">
        <v>76</v>
      </c>
      <c r="AJ1254" s="1">
        <v>1920</v>
      </c>
      <c r="AK1254" s="1" t="s">
        <v>46</v>
      </c>
      <c r="AL1254" s="1">
        <v>130</v>
      </c>
    </row>
    <row r="1255" spans="1:38" x14ac:dyDescent="0.2">
      <c r="A1255" s="2" t="str">
        <f>HYPERLINK("https://www.compass.com/listing/32-east-1st-street-unit-6ab-manhattan-ny-10003/345551742021860929/","32 E 1st St, Unit 6AB")</f>
        <v>32 E 1st St, Unit 6AB</v>
      </c>
      <c r="B1255" s="2" t="str">
        <f>HYPERLINK("https://www.compass.com/building/32-east-1st-street-manhattan-ny/292783157810310133/","32 East 1st Street")</f>
        <v>32 East 1st Street</v>
      </c>
      <c r="C1255" s="1" t="s">
        <v>89</v>
      </c>
      <c r="D1255" s="1" t="s">
        <v>41</v>
      </c>
      <c r="E1255" s="3">
        <v>4250000</v>
      </c>
      <c r="F1255" s="1">
        <v>2669.5979899497402</v>
      </c>
      <c r="G1255" s="1">
        <v>6</v>
      </c>
      <c r="H1255" s="1">
        <v>2</v>
      </c>
      <c r="I1255" s="1">
        <v>3</v>
      </c>
      <c r="J1255" s="1">
        <v>3</v>
      </c>
      <c r="M1255" s="4">
        <v>1592</v>
      </c>
      <c r="N1255" s="1">
        <v>2314</v>
      </c>
      <c r="O1255" s="1">
        <v>4844</v>
      </c>
      <c r="P1255" s="1">
        <v>2530</v>
      </c>
      <c r="Q1255" s="1" t="s">
        <v>42</v>
      </c>
      <c r="S1255" s="1" t="s">
        <v>42</v>
      </c>
      <c r="T1255" s="1" t="s">
        <v>170</v>
      </c>
      <c r="V1255" s="5">
        <v>43817</v>
      </c>
      <c r="Y1255" s="1">
        <v>4250000</v>
      </c>
      <c r="Z1255" s="5">
        <v>43078</v>
      </c>
      <c r="AB1255" s="1" t="s">
        <v>181</v>
      </c>
      <c r="AC1255" s="5">
        <v>43817</v>
      </c>
      <c r="AF1255" s="1">
        <v>10003</v>
      </c>
      <c r="AI1255" s="1" t="s">
        <v>53</v>
      </c>
      <c r="AJ1255" s="1">
        <v>2019</v>
      </c>
      <c r="AK1255" s="1" t="s">
        <v>49</v>
      </c>
      <c r="AL1255" s="1">
        <v>30</v>
      </c>
    </row>
    <row r="1256" spans="1:38" x14ac:dyDescent="0.2">
      <c r="A1256" s="2" t="str">
        <f>HYPERLINK("https://www.compass.com/listing/225-east-19th-street-unit-203-manhattan-ny-10003/29514964775521233/","225 E 19th St, Unit 203")</f>
        <v>225 E 19th St, Unit 203</v>
      </c>
      <c r="B1256" s="2" t="str">
        <f>HYPERLINK("https://www.compass.com/building/the-prewar-at-gramercy-square-manhattan-ny/282059248584654437/","The Prewar at Gramercy Square")</f>
        <v>The Prewar at Gramercy Square</v>
      </c>
      <c r="C1256" s="1" t="s">
        <v>54</v>
      </c>
      <c r="D1256" s="1" t="s">
        <v>41</v>
      </c>
      <c r="E1256" s="3">
        <v>2655000</v>
      </c>
      <c r="F1256" s="1">
        <v>2026.7175572519</v>
      </c>
      <c r="G1256" s="1">
        <v>4</v>
      </c>
      <c r="H1256" s="1">
        <v>2</v>
      </c>
      <c r="I1256" s="1">
        <v>3</v>
      </c>
      <c r="J1256" s="1">
        <v>2.5</v>
      </c>
      <c r="K1256" s="1">
        <v>2</v>
      </c>
      <c r="L1256" s="1">
        <v>1</v>
      </c>
      <c r="M1256" s="4">
        <v>1310</v>
      </c>
      <c r="N1256" s="1">
        <v>1486</v>
      </c>
      <c r="O1256" s="1">
        <v>3369</v>
      </c>
      <c r="P1256" s="1">
        <v>1883</v>
      </c>
      <c r="Q1256" s="1" t="s">
        <v>42</v>
      </c>
      <c r="S1256" s="1" t="s">
        <v>42</v>
      </c>
      <c r="T1256" s="1" t="s">
        <v>170</v>
      </c>
      <c r="U1256" s="1">
        <v>123</v>
      </c>
      <c r="V1256" s="5">
        <v>43757</v>
      </c>
      <c r="W1256" s="5">
        <v>43008</v>
      </c>
      <c r="X1256" s="1">
        <v>2590000</v>
      </c>
      <c r="Y1256" s="1">
        <v>2655000</v>
      </c>
      <c r="Z1256" s="5">
        <v>43131</v>
      </c>
      <c r="AA1256" s="1">
        <v>2655000</v>
      </c>
      <c r="AB1256" s="1" t="s">
        <v>978</v>
      </c>
      <c r="AC1256" s="5">
        <v>43328</v>
      </c>
      <c r="AF1256" s="1">
        <v>10003</v>
      </c>
      <c r="AI1256" s="1" t="s">
        <v>76</v>
      </c>
      <c r="AJ1256" s="1">
        <v>1920</v>
      </c>
      <c r="AK1256" s="1" t="s">
        <v>46</v>
      </c>
      <c r="AL1256" s="1">
        <v>48</v>
      </c>
    </row>
    <row r="1257" spans="1:38" x14ac:dyDescent="0.2">
      <c r="A1257" s="2" t="str">
        <f>HYPERLINK("https://www.compass.com/listing/10-madison-square-west-unit-4h-manhattan-ny-10010/29374718926721585/","10 Madison Sq W, Unit 4H")</f>
        <v>10 Madison Sq W, Unit 4H</v>
      </c>
      <c r="B1257" s="2" t="str">
        <f t="shared" ref="B1257:B1266" si="231">HYPERLINK("https://www.compass.com/building/10-madison-square-west-manhattan-ny/294838725091521285/","10 Madison Square West")</f>
        <v>10 Madison Square West</v>
      </c>
      <c r="C1257" s="1" t="s">
        <v>154</v>
      </c>
      <c r="D1257" s="1" t="s">
        <v>41</v>
      </c>
      <c r="E1257" s="3">
        <v>1832850</v>
      </c>
      <c r="F1257" s="1">
        <v>2052.4636058230599</v>
      </c>
      <c r="M1257" s="1">
        <v>893</v>
      </c>
      <c r="Q1257" s="1" t="s">
        <v>42</v>
      </c>
      <c r="S1257" s="1" t="s">
        <v>42</v>
      </c>
      <c r="T1257" s="1" t="s">
        <v>170</v>
      </c>
      <c r="AA1257" s="1">
        <v>1832850</v>
      </c>
      <c r="AB1257" s="1" t="s">
        <v>979</v>
      </c>
      <c r="AC1257" s="5">
        <v>42879</v>
      </c>
      <c r="AF1257" s="1">
        <v>10010</v>
      </c>
      <c r="AI1257" s="1" t="s">
        <v>59</v>
      </c>
      <c r="AJ1257" s="1">
        <v>1915</v>
      </c>
      <c r="AK1257" s="1" t="s">
        <v>46</v>
      </c>
      <c r="AL1257" s="1">
        <v>125</v>
      </c>
    </row>
    <row r="1258" spans="1:38" x14ac:dyDescent="0.2">
      <c r="A1258" s="2" t="str">
        <f>HYPERLINK("https://www.compass.com/listing/10-madison-square-west-unit-6a-manhattan-ny-10010/29374723272020641/","10 Madison Sq W, Unit 6A")</f>
        <v>10 Madison Sq W, Unit 6A</v>
      </c>
      <c r="B1258" s="2" t="str">
        <f t="shared" si="231"/>
        <v>10 Madison Square West</v>
      </c>
      <c r="C1258" s="1" t="s">
        <v>154</v>
      </c>
      <c r="D1258" s="1" t="s">
        <v>41</v>
      </c>
      <c r="E1258" s="3">
        <v>1883763</v>
      </c>
      <c r="F1258" s="1">
        <v>2116.5870786516798</v>
      </c>
      <c r="M1258" s="1">
        <v>890</v>
      </c>
      <c r="Q1258" s="1" t="s">
        <v>42</v>
      </c>
      <c r="S1258" s="1" t="s">
        <v>42</v>
      </c>
      <c r="T1258" s="1" t="s">
        <v>170</v>
      </c>
      <c r="AA1258" s="1">
        <v>1883762.5</v>
      </c>
      <c r="AB1258" s="1" t="s">
        <v>980</v>
      </c>
      <c r="AC1258" s="5">
        <v>42403</v>
      </c>
      <c r="AF1258" s="1">
        <v>10010</v>
      </c>
      <c r="AI1258" s="1" t="s">
        <v>59</v>
      </c>
      <c r="AJ1258" s="1">
        <v>1915</v>
      </c>
      <c r="AK1258" s="1" t="s">
        <v>46</v>
      </c>
      <c r="AL1258" s="1">
        <v>125</v>
      </c>
    </row>
    <row r="1259" spans="1:38" x14ac:dyDescent="0.2">
      <c r="A1259" s="2" t="str">
        <f>HYPERLINK("https://www.compass.com/listing/10-madison-square-west-unit-8a-manhattan-ny-10010/29374728733004561/","10 Madison Sq W, Unit 8A")</f>
        <v>10 Madison Sq W, Unit 8A</v>
      </c>
      <c r="B1259" s="2" t="str">
        <f t="shared" si="231"/>
        <v>10 Madison Square West</v>
      </c>
      <c r="C1259" s="1" t="s">
        <v>154</v>
      </c>
      <c r="D1259" s="1" t="s">
        <v>41</v>
      </c>
      <c r="E1259" s="3">
        <v>1957475</v>
      </c>
      <c r="F1259" s="1">
        <v>2199.4101123595501</v>
      </c>
      <c r="M1259" s="1">
        <v>890</v>
      </c>
      <c r="Q1259" s="1" t="s">
        <v>42</v>
      </c>
      <c r="S1259" s="1" t="s">
        <v>42</v>
      </c>
      <c r="T1259" s="1" t="s">
        <v>170</v>
      </c>
      <c r="AA1259" s="1">
        <v>1957475</v>
      </c>
      <c r="AB1259" s="1" t="s">
        <v>981</v>
      </c>
      <c r="AC1259" s="5">
        <v>42634</v>
      </c>
      <c r="AF1259" s="1">
        <v>10010</v>
      </c>
      <c r="AI1259" s="1" t="s">
        <v>59</v>
      </c>
      <c r="AJ1259" s="1">
        <v>1915</v>
      </c>
      <c r="AK1259" s="1" t="s">
        <v>46</v>
      </c>
      <c r="AL1259" s="1">
        <v>125</v>
      </c>
    </row>
    <row r="1260" spans="1:38" x14ac:dyDescent="0.2">
      <c r="A1260" s="2" t="str">
        <f>HYPERLINK("https://www.compass.com/listing/10-madison-square-west-unit-9g-manhattan-ny-10010/29374733388738465/","10 Madison Sq W, Unit 9G")</f>
        <v>10 Madison Sq W, Unit 9G</v>
      </c>
      <c r="B1260" s="2" t="str">
        <f t="shared" si="231"/>
        <v>10 Madison Square West</v>
      </c>
      <c r="C1260" s="1" t="s">
        <v>154</v>
      </c>
      <c r="D1260" s="1" t="s">
        <v>41</v>
      </c>
      <c r="E1260" s="3">
        <v>1731025</v>
      </c>
      <c r="F1260" s="1">
        <v>1651.74141221374</v>
      </c>
      <c r="M1260" s="4">
        <v>1048</v>
      </c>
      <c r="Q1260" s="1" t="s">
        <v>42</v>
      </c>
      <c r="S1260" s="1" t="s">
        <v>42</v>
      </c>
      <c r="T1260" s="1" t="s">
        <v>170</v>
      </c>
      <c r="AA1260" s="1">
        <v>1731025</v>
      </c>
      <c r="AB1260" s="1" t="s">
        <v>982</v>
      </c>
      <c r="AC1260" s="5">
        <v>42626</v>
      </c>
      <c r="AF1260" s="1">
        <v>10010</v>
      </c>
      <c r="AI1260" s="1" t="s">
        <v>59</v>
      </c>
      <c r="AJ1260" s="1">
        <v>1915</v>
      </c>
      <c r="AK1260" s="1" t="s">
        <v>46</v>
      </c>
      <c r="AL1260" s="1">
        <v>125</v>
      </c>
    </row>
    <row r="1261" spans="1:38" x14ac:dyDescent="0.2">
      <c r="A1261" s="2" t="str">
        <f>HYPERLINK("https://www.compass.com/listing/10-madison-square-west-unit-10g-manhattan-ny-10010/29374735443947457/","10 Madison Sq W, Unit 10G")</f>
        <v>10 Madison Sq W, Unit 10G</v>
      </c>
      <c r="B1261" s="2" t="str">
        <f t="shared" si="231"/>
        <v>10 Madison Square West</v>
      </c>
      <c r="C1261" s="1" t="s">
        <v>154</v>
      </c>
      <c r="D1261" s="1" t="s">
        <v>41</v>
      </c>
      <c r="E1261" s="3">
        <v>2036500</v>
      </c>
      <c r="F1261" s="1">
        <v>1943.22519083969</v>
      </c>
      <c r="M1261" s="4">
        <v>1048</v>
      </c>
      <c r="Q1261" s="1" t="s">
        <v>42</v>
      </c>
      <c r="S1261" s="1" t="s">
        <v>42</v>
      </c>
      <c r="T1261" s="1" t="s">
        <v>170</v>
      </c>
      <c r="AA1261" s="1">
        <v>2036500</v>
      </c>
      <c r="AB1261" s="1" t="s">
        <v>983</v>
      </c>
      <c r="AC1261" s="5">
        <v>42607</v>
      </c>
      <c r="AF1261" s="1">
        <v>10010</v>
      </c>
      <c r="AI1261" s="1" t="s">
        <v>59</v>
      </c>
      <c r="AJ1261" s="1">
        <v>1915</v>
      </c>
      <c r="AK1261" s="1" t="s">
        <v>46</v>
      </c>
      <c r="AL1261" s="1">
        <v>125</v>
      </c>
    </row>
    <row r="1262" spans="1:38" x14ac:dyDescent="0.2">
      <c r="A1262" s="2" t="str">
        <f>HYPERLINK("https://www.compass.com/listing/10-madison-square-west-unit-12b-manhattan-ny-10010/29374738388347761/","10 Madison Sq W, Unit 12B")</f>
        <v>10 Madison Sq W, Unit 12B</v>
      </c>
      <c r="B1262" s="2" t="str">
        <f t="shared" si="231"/>
        <v>10 Madison Square West</v>
      </c>
      <c r="C1262" s="1" t="s">
        <v>154</v>
      </c>
      <c r="D1262" s="1" t="s">
        <v>41</v>
      </c>
      <c r="E1262" s="3">
        <v>1858306</v>
      </c>
      <c r="F1262" s="1">
        <v>1811.2146686159799</v>
      </c>
      <c r="M1262" s="4">
        <v>1026</v>
      </c>
      <c r="Q1262" s="1" t="s">
        <v>42</v>
      </c>
      <c r="S1262" s="1" t="s">
        <v>42</v>
      </c>
      <c r="T1262" s="1" t="s">
        <v>170</v>
      </c>
      <c r="AA1262" s="1">
        <v>1858306.25</v>
      </c>
      <c r="AB1262" s="1" t="s">
        <v>984</v>
      </c>
      <c r="AC1262" s="5">
        <v>42486</v>
      </c>
      <c r="AF1262" s="1">
        <v>10010</v>
      </c>
      <c r="AI1262" s="1" t="s">
        <v>59</v>
      </c>
      <c r="AJ1262" s="1">
        <v>1915</v>
      </c>
      <c r="AK1262" s="1" t="s">
        <v>46</v>
      </c>
      <c r="AL1262" s="1">
        <v>125</v>
      </c>
    </row>
    <row r="1263" spans="1:38" x14ac:dyDescent="0.2">
      <c r="A1263" s="2" t="str">
        <f>HYPERLINK("https://www.compass.com/listing/10-madison-square-west-unit-15g-manhattan-ny-10010/29374746844066001/","10 Madison Sq W, Unit 15G")</f>
        <v>10 Madison Sq W, Unit 15G</v>
      </c>
      <c r="B1263" s="2" t="str">
        <f t="shared" si="231"/>
        <v>10 Madison Square West</v>
      </c>
      <c r="C1263" s="1" t="s">
        <v>154</v>
      </c>
      <c r="D1263" s="1" t="s">
        <v>41</v>
      </c>
      <c r="E1263" s="3">
        <v>1858306</v>
      </c>
      <c r="F1263" s="1">
        <v>1773.1929866412199</v>
      </c>
      <c r="M1263" s="4">
        <v>1048</v>
      </c>
      <c r="Q1263" s="1" t="s">
        <v>42</v>
      </c>
      <c r="S1263" s="1" t="s">
        <v>42</v>
      </c>
      <c r="T1263" s="1" t="s">
        <v>170</v>
      </c>
      <c r="AA1263" s="1">
        <v>1858306.25</v>
      </c>
      <c r="AB1263" s="1" t="s">
        <v>985</v>
      </c>
      <c r="AC1263" s="5">
        <v>42702</v>
      </c>
      <c r="AF1263" s="1">
        <v>10010</v>
      </c>
      <c r="AI1263" s="1" t="s">
        <v>59</v>
      </c>
      <c r="AJ1263" s="1">
        <v>1915</v>
      </c>
      <c r="AK1263" s="1" t="s">
        <v>46</v>
      </c>
      <c r="AL1263" s="1">
        <v>125</v>
      </c>
    </row>
    <row r="1264" spans="1:38" x14ac:dyDescent="0.2">
      <c r="A1264" s="2" t="str">
        <f>HYPERLINK("https://www.compass.com/listing/10-madison-square-west-unit-16b-manhattan-ny-10010/29374747481598993/","10 Madison Sq W, Unit 16B")</f>
        <v>10 Madison Sq W, Unit 16B</v>
      </c>
      <c r="B1264" s="2" t="str">
        <f t="shared" si="231"/>
        <v>10 Madison Square West</v>
      </c>
      <c r="C1264" s="1" t="s">
        <v>154</v>
      </c>
      <c r="D1264" s="1" t="s">
        <v>41</v>
      </c>
      <c r="E1264" s="3">
        <v>2138325</v>
      </c>
      <c r="F1264" s="1">
        <v>2084.1374269005801</v>
      </c>
      <c r="M1264" s="4">
        <v>1026</v>
      </c>
      <c r="Q1264" s="1" t="s">
        <v>42</v>
      </c>
      <c r="S1264" s="1" t="s">
        <v>42</v>
      </c>
      <c r="T1264" s="1" t="s">
        <v>170</v>
      </c>
      <c r="AA1264" s="1">
        <v>2138325</v>
      </c>
      <c r="AB1264" s="1" t="s">
        <v>986</v>
      </c>
      <c r="AC1264" s="5">
        <v>42523</v>
      </c>
      <c r="AF1264" s="1">
        <v>10010</v>
      </c>
      <c r="AI1264" s="1" t="s">
        <v>59</v>
      </c>
      <c r="AJ1264" s="1">
        <v>1915</v>
      </c>
      <c r="AK1264" s="1" t="s">
        <v>46</v>
      </c>
      <c r="AL1264" s="1">
        <v>125</v>
      </c>
    </row>
    <row r="1265" spans="1:38" x14ac:dyDescent="0.2">
      <c r="A1265" s="2" t="str">
        <f>HYPERLINK("https://www.compass.com/listing/10-madison-square-west-unit-16g-manhattan-ny-10010/29374749276705969/","10 Madison Sq W, Unit 16G")</f>
        <v>10 Madison Sq W, Unit 16G</v>
      </c>
      <c r="B1265" s="2" t="str">
        <f t="shared" si="231"/>
        <v>10 Madison Square West</v>
      </c>
      <c r="C1265" s="1" t="s">
        <v>154</v>
      </c>
      <c r="D1265" s="1" t="s">
        <v>41</v>
      </c>
      <c r="E1265" s="3">
        <v>1883763</v>
      </c>
      <c r="F1265" s="1">
        <v>1797.48330152671</v>
      </c>
      <c r="M1265" s="4">
        <v>1048</v>
      </c>
      <c r="Q1265" s="1" t="s">
        <v>42</v>
      </c>
      <c r="S1265" s="1" t="s">
        <v>42</v>
      </c>
      <c r="T1265" s="1" t="s">
        <v>170</v>
      </c>
      <c r="AA1265" s="1">
        <v>1883762.5</v>
      </c>
      <c r="AB1265" s="1" t="s">
        <v>987</v>
      </c>
      <c r="AC1265" s="5">
        <v>42725</v>
      </c>
      <c r="AF1265" s="1">
        <v>10010</v>
      </c>
      <c r="AI1265" s="1" t="s">
        <v>59</v>
      </c>
      <c r="AJ1265" s="1">
        <v>1915</v>
      </c>
      <c r="AK1265" s="1" t="s">
        <v>46</v>
      </c>
      <c r="AL1265" s="1">
        <v>125</v>
      </c>
    </row>
    <row r="1266" spans="1:38" x14ac:dyDescent="0.2">
      <c r="A1266" s="2" t="str">
        <f>HYPERLINK("https://www.compass.com/listing/10-madison-square-west-unit-17g-manhattan-ny-10010/29374751633960017/","10 Madison Sq W, Unit 17G")</f>
        <v>10 Madison Sq W, Unit 17G</v>
      </c>
      <c r="B1266" s="2" t="str">
        <f t="shared" si="231"/>
        <v>10 Madison Square West</v>
      </c>
      <c r="C1266" s="1" t="s">
        <v>154</v>
      </c>
      <c r="D1266" s="1" t="s">
        <v>41</v>
      </c>
      <c r="E1266" s="3">
        <v>2138325</v>
      </c>
      <c r="F1266" s="1">
        <v>2040.3864503816701</v>
      </c>
      <c r="M1266" s="4">
        <v>1048</v>
      </c>
      <c r="Q1266" s="1" t="s">
        <v>42</v>
      </c>
      <c r="S1266" s="1" t="s">
        <v>42</v>
      </c>
      <c r="T1266" s="1" t="s">
        <v>170</v>
      </c>
      <c r="AA1266" s="1">
        <v>2138325</v>
      </c>
      <c r="AB1266" s="1" t="s">
        <v>988</v>
      </c>
      <c r="AC1266" s="5">
        <v>42950</v>
      </c>
      <c r="AF1266" s="1">
        <v>10010</v>
      </c>
      <c r="AI1266" s="1" t="s">
        <v>59</v>
      </c>
      <c r="AJ1266" s="1">
        <v>1915</v>
      </c>
      <c r="AK1266" s="1" t="s">
        <v>46</v>
      </c>
      <c r="AL1266" s="1">
        <v>125</v>
      </c>
    </row>
    <row r="1267" spans="1:38" x14ac:dyDescent="0.2">
      <c r="A1267" s="2" t="str">
        <f>HYPERLINK("https://www.compass.com/listing/63-greene-street-unit-pha-manhattan-ny-10012/300005299947881777/","63 Greene St, Unit PHA")</f>
        <v>63 Greene St, Unit PHA</v>
      </c>
      <c r="B1267" s="2" t="str">
        <f>HYPERLINK("https://www.compass.com/building/63-greene-street-manhattan-ny/292812252044627637/","63 Greene Street")</f>
        <v>63 Greene Street</v>
      </c>
      <c r="C1267" s="1" t="s">
        <v>104</v>
      </c>
      <c r="D1267" s="1" t="s">
        <v>41</v>
      </c>
      <c r="E1267" s="3">
        <v>9450000</v>
      </c>
      <c r="F1267" s="1">
        <v>2627.1893244370299</v>
      </c>
      <c r="G1267" s="1">
        <v>6</v>
      </c>
      <c r="H1267" s="1">
        <v>4</v>
      </c>
      <c r="I1267" s="1">
        <v>4</v>
      </c>
      <c r="J1267" s="1">
        <v>4</v>
      </c>
      <c r="K1267" s="1">
        <v>4</v>
      </c>
      <c r="M1267" s="4">
        <v>3597</v>
      </c>
      <c r="N1267" s="1">
        <v>2929.75</v>
      </c>
      <c r="O1267" s="1">
        <v>11137.35</v>
      </c>
      <c r="P1267" s="1">
        <v>8207.5833333333303</v>
      </c>
      <c r="Q1267" s="1" t="s">
        <v>42</v>
      </c>
      <c r="S1267" s="1" t="s">
        <v>42</v>
      </c>
      <c r="T1267" s="1" t="s">
        <v>170</v>
      </c>
      <c r="U1267" s="1">
        <v>104</v>
      </c>
      <c r="V1267" s="5">
        <v>43854</v>
      </c>
      <c r="W1267" s="5">
        <v>43665</v>
      </c>
      <c r="X1267" s="1">
        <v>10800000</v>
      </c>
      <c r="Y1267" s="1">
        <v>10200000</v>
      </c>
      <c r="Z1267" s="5">
        <v>43769</v>
      </c>
      <c r="AA1267" s="1">
        <v>9450000</v>
      </c>
      <c r="AB1267" s="1" t="s">
        <v>989</v>
      </c>
      <c r="AC1267" s="5">
        <v>43818</v>
      </c>
      <c r="AF1267" s="1">
        <v>10012</v>
      </c>
      <c r="AI1267" s="1" t="s">
        <v>836</v>
      </c>
      <c r="AJ1267" s="1">
        <v>1877</v>
      </c>
      <c r="AK1267" s="1" t="s">
        <v>87</v>
      </c>
      <c r="AL1267" s="1">
        <v>23</v>
      </c>
    </row>
    <row r="1268" spans="1:38" x14ac:dyDescent="0.2">
      <c r="A1268" s="2" t="str">
        <f>HYPERLINK("https://www.compass.com/listing/10-madison-square-west-unit-3a-manhattan-ny-10010/29374714036218193/","10 Madison Sq W, Unit 3A")</f>
        <v>10 Madison Sq W, Unit 3A</v>
      </c>
      <c r="B1268" s="2" t="str">
        <f t="shared" ref="B1268:B1276" si="232">HYPERLINK("https://www.compass.com/building/10-madison-square-west-manhattan-ny/294838725091521285/","10 Madison Square West")</f>
        <v>10 Madison Square West</v>
      </c>
      <c r="C1268" s="1" t="s">
        <v>154</v>
      </c>
      <c r="D1268" s="1" t="s">
        <v>41</v>
      </c>
      <c r="E1268" s="3">
        <v>1374638</v>
      </c>
      <c r="F1268" s="1">
        <v>1544.5365168539299</v>
      </c>
      <c r="M1268" s="1">
        <v>890</v>
      </c>
      <c r="Q1268" s="1" t="s">
        <v>42</v>
      </c>
      <c r="S1268" s="1" t="s">
        <v>42</v>
      </c>
      <c r="T1268" s="1" t="s">
        <v>170</v>
      </c>
      <c r="AA1268" s="1">
        <v>1374637.5</v>
      </c>
      <c r="AB1268" s="1" t="s">
        <v>990</v>
      </c>
      <c r="AC1268" s="5">
        <v>42870</v>
      </c>
      <c r="AF1268" s="1">
        <v>10010</v>
      </c>
      <c r="AI1268" s="1" t="s">
        <v>59</v>
      </c>
      <c r="AJ1268" s="1">
        <v>1915</v>
      </c>
      <c r="AK1268" s="1" t="s">
        <v>46</v>
      </c>
      <c r="AL1268" s="1">
        <v>125</v>
      </c>
    </row>
    <row r="1269" spans="1:38" x14ac:dyDescent="0.2">
      <c r="A1269" s="2" t="str">
        <f>HYPERLINK("https://www.compass.com/listing/10-madison-square-west-unit-4a-manhattan-ny-10010/29374716762460689/","10 Madison Sq W, Unit 4A")</f>
        <v>10 Madison Sq W, Unit 4A</v>
      </c>
      <c r="B1269" s="2" t="str">
        <f t="shared" si="232"/>
        <v>10 Madison Square West</v>
      </c>
      <c r="C1269" s="1" t="s">
        <v>154</v>
      </c>
      <c r="D1269" s="1" t="s">
        <v>41</v>
      </c>
      <c r="E1269" s="3">
        <v>1389911</v>
      </c>
      <c r="F1269" s="1">
        <v>1561.6980337078601</v>
      </c>
      <c r="M1269" s="1">
        <v>890</v>
      </c>
      <c r="Q1269" s="1" t="s">
        <v>42</v>
      </c>
      <c r="S1269" s="1" t="s">
        <v>42</v>
      </c>
      <c r="T1269" s="1" t="s">
        <v>170</v>
      </c>
      <c r="AA1269" s="1">
        <v>1389911.25</v>
      </c>
      <c r="AB1269" s="1" t="s">
        <v>991</v>
      </c>
      <c r="AC1269" s="5">
        <v>42692</v>
      </c>
      <c r="AF1269" s="1">
        <v>10010</v>
      </c>
      <c r="AI1269" s="1" t="s">
        <v>59</v>
      </c>
      <c r="AJ1269" s="1">
        <v>1915</v>
      </c>
      <c r="AK1269" s="1" t="s">
        <v>46</v>
      </c>
      <c r="AL1269" s="1">
        <v>125</v>
      </c>
    </row>
    <row r="1270" spans="1:38" x14ac:dyDescent="0.2">
      <c r="A1270" s="2" t="str">
        <f>HYPERLINK("https://www.compass.com/listing/10-madison-square-west-unit-5h-manhattan-ny-10010/29374722928144097/","10 Madison Sq W, Unit 5H")</f>
        <v>10 Madison Sq W, Unit 5H</v>
      </c>
      <c r="B1270" s="2" t="str">
        <f t="shared" si="232"/>
        <v>10 Madison Square West</v>
      </c>
      <c r="C1270" s="1" t="s">
        <v>154</v>
      </c>
      <c r="D1270" s="1" t="s">
        <v>41</v>
      </c>
      <c r="E1270" s="3">
        <v>1527375</v>
      </c>
      <c r="F1270" s="1">
        <v>1710.3863381858901</v>
      </c>
      <c r="M1270" s="1">
        <v>893</v>
      </c>
      <c r="Q1270" s="1" t="s">
        <v>42</v>
      </c>
      <c r="S1270" s="1" t="s">
        <v>42</v>
      </c>
      <c r="T1270" s="1" t="s">
        <v>170</v>
      </c>
      <c r="AA1270" s="1">
        <v>1527375</v>
      </c>
      <c r="AB1270" s="1" t="s">
        <v>992</v>
      </c>
      <c r="AC1270" s="5">
        <v>42503</v>
      </c>
      <c r="AF1270" s="1">
        <v>10010</v>
      </c>
      <c r="AI1270" s="1" t="s">
        <v>59</v>
      </c>
      <c r="AJ1270" s="1">
        <v>1915</v>
      </c>
      <c r="AK1270" s="1" t="s">
        <v>46</v>
      </c>
      <c r="AL1270" s="1">
        <v>125</v>
      </c>
    </row>
    <row r="1271" spans="1:38" x14ac:dyDescent="0.2">
      <c r="A1271" s="2" t="str">
        <f>HYPERLINK("https://www.compass.com/listing/10-madison-square-west-unit-6h-manhattan-ny-10010/29374726065483553/","10 Madison Sq W, Unit 6H")</f>
        <v>10 Madison Sq W, Unit 6H</v>
      </c>
      <c r="B1271" s="2" t="str">
        <f t="shared" si="232"/>
        <v>10 Madison Square West</v>
      </c>
      <c r="C1271" s="1" t="s">
        <v>154</v>
      </c>
      <c r="D1271" s="1" t="s">
        <v>41</v>
      </c>
      <c r="E1271" s="3">
        <v>1509316</v>
      </c>
      <c r="F1271" s="1">
        <v>1690.1637737961901</v>
      </c>
      <c r="M1271" s="1">
        <v>893</v>
      </c>
      <c r="Q1271" s="1" t="s">
        <v>42</v>
      </c>
      <c r="S1271" s="1" t="s">
        <v>42</v>
      </c>
      <c r="T1271" s="1" t="s">
        <v>170</v>
      </c>
      <c r="AA1271" s="1">
        <v>1509316.25</v>
      </c>
      <c r="AB1271" s="1" t="s">
        <v>993</v>
      </c>
      <c r="AC1271" s="5">
        <v>42573</v>
      </c>
      <c r="AF1271" s="1">
        <v>10010</v>
      </c>
      <c r="AI1271" s="1" t="s">
        <v>59</v>
      </c>
      <c r="AJ1271" s="1">
        <v>1915</v>
      </c>
      <c r="AK1271" s="1" t="s">
        <v>46</v>
      </c>
      <c r="AL1271" s="1">
        <v>125</v>
      </c>
    </row>
    <row r="1272" spans="1:38" x14ac:dyDescent="0.2">
      <c r="A1272" s="2" t="str">
        <f>HYPERLINK("https://www.compass.com/listing/10-madison-square-west-unit-7h-manhattan-ny-10010/29374728363962177/","10 Madison Sq W, Unit 7H")</f>
        <v>10 Madison Sq W, Unit 7H</v>
      </c>
      <c r="B1272" s="2" t="str">
        <f t="shared" si="232"/>
        <v>10 Madison Square West</v>
      </c>
      <c r="C1272" s="1" t="s">
        <v>154</v>
      </c>
      <c r="D1272" s="1" t="s">
        <v>41</v>
      </c>
      <c r="E1272" s="3">
        <v>1400094</v>
      </c>
      <c r="F1272" s="1">
        <v>1567.8541433370599</v>
      </c>
      <c r="M1272" s="1">
        <v>893</v>
      </c>
      <c r="Q1272" s="1" t="s">
        <v>42</v>
      </c>
      <c r="S1272" s="1" t="s">
        <v>42</v>
      </c>
      <c r="T1272" s="1" t="s">
        <v>170</v>
      </c>
      <c r="AA1272" s="1">
        <v>1400093.75</v>
      </c>
      <c r="AB1272" s="1" t="s">
        <v>994</v>
      </c>
      <c r="AC1272" s="5">
        <v>42549</v>
      </c>
      <c r="AF1272" s="1">
        <v>10010</v>
      </c>
      <c r="AI1272" s="1" t="s">
        <v>59</v>
      </c>
      <c r="AJ1272" s="1">
        <v>1915</v>
      </c>
      <c r="AK1272" s="1" t="s">
        <v>46</v>
      </c>
      <c r="AL1272" s="1">
        <v>125</v>
      </c>
    </row>
    <row r="1273" spans="1:38" x14ac:dyDescent="0.2">
      <c r="A1273" s="2" t="str">
        <f>HYPERLINK("https://www.compass.com/listing/10-madison-square-west-unit-8h-manhattan-ny-10010/29374730712716081/","10 Madison Sq W, Unit 8H")</f>
        <v>10 Madison Sq W, Unit 8H</v>
      </c>
      <c r="B1273" s="2" t="str">
        <f t="shared" si="232"/>
        <v>10 Madison Square West</v>
      </c>
      <c r="C1273" s="1" t="s">
        <v>154</v>
      </c>
      <c r="D1273" s="1" t="s">
        <v>41</v>
      </c>
      <c r="E1273" s="3">
        <v>1632946</v>
      </c>
      <c r="F1273" s="1">
        <v>1828.60722284434</v>
      </c>
      <c r="M1273" s="1">
        <v>893</v>
      </c>
      <c r="Q1273" s="1" t="s">
        <v>42</v>
      </c>
      <c r="S1273" s="1" t="s">
        <v>42</v>
      </c>
      <c r="T1273" s="1" t="s">
        <v>170</v>
      </c>
      <c r="AA1273" s="1">
        <v>1632946.25</v>
      </c>
      <c r="AB1273" s="1" t="s">
        <v>995</v>
      </c>
      <c r="AC1273" s="5">
        <v>42592</v>
      </c>
      <c r="AF1273" s="1">
        <v>10010</v>
      </c>
      <c r="AI1273" s="1" t="s">
        <v>59</v>
      </c>
      <c r="AJ1273" s="1">
        <v>1915</v>
      </c>
      <c r="AK1273" s="1" t="s">
        <v>46</v>
      </c>
      <c r="AL1273" s="1">
        <v>125</v>
      </c>
    </row>
    <row r="1274" spans="1:38" x14ac:dyDescent="0.2">
      <c r="A1274" s="2" t="str">
        <f>HYPERLINK("https://www.compass.com/listing/10-madison-square-west-unit-9b-manhattan-ny-10010/29374731685794625/","10 Madison Sq W, Unit 9B")</f>
        <v>10 Madison Sq W, Unit 9B</v>
      </c>
      <c r="B1274" s="2" t="str">
        <f t="shared" si="232"/>
        <v>10 Madison Square West</v>
      </c>
      <c r="C1274" s="1" t="s">
        <v>154</v>
      </c>
      <c r="D1274" s="1" t="s">
        <v>41</v>
      </c>
      <c r="E1274" s="3">
        <v>1405185</v>
      </c>
      <c r="F1274" s="1">
        <v>1369.5760233918099</v>
      </c>
      <c r="M1274" s="4">
        <v>1026</v>
      </c>
      <c r="Q1274" s="1" t="s">
        <v>42</v>
      </c>
      <c r="S1274" s="1" t="s">
        <v>42</v>
      </c>
      <c r="T1274" s="1" t="s">
        <v>170</v>
      </c>
      <c r="AA1274" s="1">
        <v>1405185</v>
      </c>
      <c r="AB1274" s="1" t="s">
        <v>996</v>
      </c>
      <c r="AC1274" s="5">
        <v>42725</v>
      </c>
      <c r="AF1274" s="1">
        <v>10010</v>
      </c>
      <c r="AI1274" s="1" t="s">
        <v>59</v>
      </c>
      <c r="AJ1274" s="1">
        <v>1915</v>
      </c>
      <c r="AK1274" s="1" t="s">
        <v>46</v>
      </c>
      <c r="AL1274" s="1">
        <v>125</v>
      </c>
    </row>
    <row r="1275" spans="1:38" x14ac:dyDescent="0.2">
      <c r="A1275" s="2" t="str">
        <f>HYPERLINK("https://www.compass.com/listing/10-madison-square-west-unit-10b-manhattan-ny-10010/29374734026271505/","10 Madison Sq W, Unit 10B")</f>
        <v>10 Madison Sq W, Unit 10B</v>
      </c>
      <c r="B1275" s="2" t="str">
        <f t="shared" si="232"/>
        <v>10 Madison Square West</v>
      </c>
      <c r="C1275" s="1" t="s">
        <v>154</v>
      </c>
      <c r="D1275" s="1" t="s">
        <v>41</v>
      </c>
      <c r="E1275" s="3">
        <v>1459661</v>
      </c>
      <c r="F1275" s="1">
        <v>1422.6719103313801</v>
      </c>
      <c r="M1275" s="4">
        <v>1026</v>
      </c>
      <c r="Q1275" s="1" t="s">
        <v>42</v>
      </c>
      <c r="S1275" s="1" t="s">
        <v>42</v>
      </c>
      <c r="T1275" s="1" t="s">
        <v>170</v>
      </c>
      <c r="AA1275" s="1">
        <v>1459661.38</v>
      </c>
      <c r="AB1275" s="1" t="s">
        <v>997</v>
      </c>
      <c r="AC1275" s="5">
        <v>42478</v>
      </c>
      <c r="AF1275" s="1">
        <v>10010</v>
      </c>
      <c r="AI1275" s="1" t="s">
        <v>59</v>
      </c>
      <c r="AJ1275" s="1">
        <v>1915</v>
      </c>
      <c r="AK1275" s="1" t="s">
        <v>46</v>
      </c>
      <c r="AL1275" s="1">
        <v>125</v>
      </c>
    </row>
    <row r="1276" spans="1:38" x14ac:dyDescent="0.2">
      <c r="A1276" s="2" t="str">
        <f>HYPERLINK("https://www.compass.com/listing/10-madison-square-west-unit-17b-manhattan-ny-10010/29374749922685185/","10 Madison Sq W, Unit 17B")</f>
        <v>10 Madison Sq W, Unit 17B</v>
      </c>
      <c r="B1276" s="2" t="str">
        <f t="shared" si="232"/>
        <v>10 Madison Square West</v>
      </c>
      <c r="C1276" s="1" t="s">
        <v>154</v>
      </c>
      <c r="D1276" s="1" t="s">
        <v>41</v>
      </c>
      <c r="E1276" s="3">
        <v>1603235</v>
      </c>
      <c r="F1276" s="1">
        <v>1562.60685185185</v>
      </c>
      <c r="M1276" s="4">
        <v>1026</v>
      </c>
      <c r="Q1276" s="1" t="s">
        <v>42</v>
      </c>
      <c r="S1276" s="1" t="s">
        <v>42</v>
      </c>
      <c r="T1276" s="1" t="s">
        <v>170</v>
      </c>
      <c r="AA1276" s="1">
        <v>1603234.63</v>
      </c>
      <c r="AB1276" s="1" t="s">
        <v>998</v>
      </c>
      <c r="AC1276" s="5">
        <v>42633</v>
      </c>
      <c r="AF1276" s="1">
        <v>10010</v>
      </c>
      <c r="AI1276" s="1" t="s">
        <v>59</v>
      </c>
      <c r="AJ1276" s="1">
        <v>1915</v>
      </c>
      <c r="AK1276" s="1" t="s">
        <v>46</v>
      </c>
      <c r="AL1276" s="1">
        <v>125</v>
      </c>
    </row>
    <row r="1277" spans="1:38" x14ac:dyDescent="0.2">
      <c r="A1277" s="2" t="str">
        <f>HYPERLINK("https://www.compass.com/listing/225-east-19th-street-unit-602-manhattan-ny-10003/803350171673027313/","225 E 19th St, Unit 602")</f>
        <v>225 E 19th St, Unit 602</v>
      </c>
      <c r="B1277" s="2" t="str">
        <f>HYPERLINK("https://www.compass.com/building/the-prewar-at-gramercy-square-manhattan-ny/282059248584654437/","The Prewar at Gramercy Square")</f>
        <v>The Prewar at Gramercy Square</v>
      </c>
      <c r="C1277" s="1" t="s">
        <v>54</v>
      </c>
      <c r="D1277" s="1" t="s">
        <v>41</v>
      </c>
      <c r="E1277" s="3">
        <v>1398000</v>
      </c>
      <c r="F1277" s="1">
        <v>1706.9597069597</v>
      </c>
      <c r="G1277" s="1">
        <v>3</v>
      </c>
      <c r="H1277" s="1">
        <v>1</v>
      </c>
      <c r="I1277" s="1">
        <v>1</v>
      </c>
      <c r="J1277" s="1">
        <v>1</v>
      </c>
      <c r="K1277" s="1">
        <v>1</v>
      </c>
      <c r="M1277" s="1">
        <v>819</v>
      </c>
      <c r="N1277" s="1">
        <v>930</v>
      </c>
      <c r="O1277" s="1">
        <v>2682</v>
      </c>
      <c r="P1277" s="1">
        <v>1752</v>
      </c>
      <c r="Q1277" s="1" t="s">
        <v>42</v>
      </c>
      <c r="S1277" s="1" t="s">
        <v>42</v>
      </c>
      <c r="T1277" s="1" t="s">
        <v>170</v>
      </c>
      <c r="U1277" s="1">
        <v>83</v>
      </c>
      <c r="V1277" s="5">
        <v>44160</v>
      </c>
      <c r="W1277" s="5">
        <v>43908</v>
      </c>
      <c r="X1277" s="1">
        <v>1685000</v>
      </c>
      <c r="Y1277" s="1">
        <v>1685000</v>
      </c>
      <c r="Z1277" s="5">
        <v>44086</v>
      </c>
      <c r="AA1277" s="1">
        <v>1398000</v>
      </c>
      <c r="AB1277" s="1" t="s">
        <v>999</v>
      </c>
      <c r="AC1277" s="5">
        <v>44155</v>
      </c>
      <c r="AF1277" s="1">
        <v>10003</v>
      </c>
      <c r="AI1277" s="1" t="s">
        <v>76</v>
      </c>
      <c r="AJ1277" s="1">
        <v>1920</v>
      </c>
      <c r="AK1277" s="1" t="s">
        <v>46</v>
      </c>
      <c r="AL1277" s="1">
        <v>48</v>
      </c>
    </row>
    <row r="1278" spans="1:38" x14ac:dyDescent="0.2">
      <c r="A1278" s="2" t="str">
        <f>HYPERLINK("https://www.compass.com/listing/32-east-1st-street-unit-7c-manhattan-ny-10003/573836300359435865/","32 E 1st St, Unit 7C")</f>
        <v>32 E 1st St, Unit 7C</v>
      </c>
      <c r="B1278" s="2" t="str">
        <f t="shared" ref="B1278:B1279" si="233">HYPERLINK("https://www.compass.com/building/32-east-1st-street-manhattan-ny/292783157810310133/","32 East 1st Street")</f>
        <v>32 East 1st Street</v>
      </c>
      <c r="C1278" s="1" t="s">
        <v>89</v>
      </c>
      <c r="D1278" s="1" t="s">
        <v>41</v>
      </c>
      <c r="E1278" s="3">
        <v>3995000</v>
      </c>
      <c r="F1278" s="1">
        <v>2643.9444076770301</v>
      </c>
      <c r="G1278" s="1">
        <v>6</v>
      </c>
      <c r="H1278" s="1">
        <v>3</v>
      </c>
      <c r="I1278" s="1">
        <v>3</v>
      </c>
      <c r="J1278" s="1">
        <v>3</v>
      </c>
      <c r="K1278" s="1">
        <v>3</v>
      </c>
      <c r="M1278" s="4">
        <v>1511</v>
      </c>
      <c r="N1278" s="1">
        <v>2043</v>
      </c>
      <c r="O1278" s="1">
        <v>5143</v>
      </c>
      <c r="P1278" s="1">
        <v>3100</v>
      </c>
      <c r="Q1278" s="1" t="s">
        <v>42</v>
      </c>
      <c r="S1278" s="1" t="s">
        <v>42</v>
      </c>
      <c r="T1278" s="1" t="s">
        <v>170</v>
      </c>
      <c r="U1278" s="1">
        <v>1230</v>
      </c>
      <c r="V1278" s="5">
        <v>44337</v>
      </c>
      <c r="W1278" s="5">
        <v>42956</v>
      </c>
      <c r="X1278" s="1">
        <v>4200000</v>
      </c>
      <c r="Y1278" s="1">
        <v>4200000</v>
      </c>
      <c r="Z1278" s="5">
        <v>44281</v>
      </c>
      <c r="AA1278" s="1">
        <v>3995000</v>
      </c>
      <c r="AB1278" s="1" t="s">
        <v>1000</v>
      </c>
      <c r="AC1278" s="5">
        <v>44307</v>
      </c>
      <c r="AF1278" s="1">
        <v>10003</v>
      </c>
      <c r="AI1278" s="1" t="s">
        <v>53</v>
      </c>
      <c r="AJ1278" s="1">
        <v>2019</v>
      </c>
      <c r="AK1278" s="1" t="s">
        <v>77</v>
      </c>
      <c r="AL1278" s="1">
        <v>30</v>
      </c>
    </row>
    <row r="1279" spans="1:38" x14ac:dyDescent="0.2">
      <c r="A1279" s="2" t="str">
        <f>HYPERLINK("https://www.compass.com/listing/32-east-1st-street-unit-4c-manhattan-ny-10003/784888259959201897/","32 E 1st St, Unit 4C")</f>
        <v>32 E 1st St, Unit 4C</v>
      </c>
      <c r="B1279" s="2" t="str">
        <f t="shared" si="233"/>
        <v>32 East 1st Street</v>
      </c>
      <c r="C1279" s="1" t="s">
        <v>89</v>
      </c>
      <c r="D1279" s="1" t="s">
        <v>41</v>
      </c>
      <c r="E1279" s="3">
        <v>3420550</v>
      </c>
      <c r="F1279" s="1">
        <v>2263.7657180675001</v>
      </c>
      <c r="G1279" s="1">
        <v>5.5</v>
      </c>
      <c r="H1279" s="1">
        <v>3</v>
      </c>
      <c r="I1279" s="1">
        <v>3</v>
      </c>
      <c r="J1279" s="1">
        <v>3</v>
      </c>
      <c r="K1279" s="1">
        <v>3</v>
      </c>
      <c r="M1279" s="4">
        <v>1511</v>
      </c>
      <c r="N1279" s="1">
        <v>1884</v>
      </c>
      <c r="O1279" s="1">
        <v>4739</v>
      </c>
      <c r="P1279" s="1">
        <v>2855</v>
      </c>
      <c r="Q1279" s="1" t="s">
        <v>42</v>
      </c>
      <c r="S1279" s="1" t="s">
        <v>42</v>
      </c>
      <c r="T1279" s="1" t="s">
        <v>170</v>
      </c>
      <c r="V1279" s="5">
        <v>44427</v>
      </c>
      <c r="W1279" s="5">
        <v>43767</v>
      </c>
      <c r="X1279" s="1">
        <v>3775000</v>
      </c>
      <c r="Y1279" s="1">
        <v>3775000</v>
      </c>
      <c r="Z1279" s="5">
        <v>43767</v>
      </c>
      <c r="AA1279" s="1">
        <v>3420550</v>
      </c>
      <c r="AB1279" s="1" t="s">
        <v>1001</v>
      </c>
      <c r="AC1279" s="5">
        <v>44132</v>
      </c>
      <c r="AF1279" s="1">
        <v>10003</v>
      </c>
      <c r="AI1279" s="1" t="s">
        <v>53</v>
      </c>
      <c r="AJ1279" s="1">
        <v>2019</v>
      </c>
      <c r="AK1279" s="1" t="s">
        <v>77</v>
      </c>
      <c r="AL1279" s="1">
        <v>30</v>
      </c>
    </row>
    <row r="1280" spans="1:38" x14ac:dyDescent="0.2">
      <c r="A1280" s="2" t="str">
        <f>HYPERLINK("https://www.compass.com/listing/121-east-22nd-street-unit-n303-manhattan-ny-10010/200630834108060513/","121 E 22nd St, Unit N303")</f>
        <v>121 E 22nd St, Unit N303</v>
      </c>
      <c r="B1280" s="2" t="str">
        <f t="shared" ref="B1280:B1281" si="234">HYPERLINK("https://www.compass.com/building/121-e-22nd-manhattan-ny/292795784653461493/","121 E 22nd")</f>
        <v>121 E 22nd</v>
      </c>
      <c r="C1280" s="1" t="s">
        <v>54</v>
      </c>
      <c r="D1280" s="1" t="s">
        <v>41</v>
      </c>
      <c r="E1280" s="3">
        <v>1170988</v>
      </c>
      <c r="F1280" s="1">
        <v>1900.95373376623</v>
      </c>
      <c r="G1280" s="1">
        <v>2</v>
      </c>
      <c r="H1280" s="1" t="s">
        <v>79</v>
      </c>
      <c r="I1280" s="1">
        <v>1</v>
      </c>
      <c r="J1280" s="1">
        <v>1</v>
      </c>
      <c r="K1280" s="1">
        <v>1</v>
      </c>
      <c r="M1280" s="1">
        <v>616</v>
      </c>
      <c r="N1280" s="1">
        <v>638</v>
      </c>
      <c r="O1280" s="1">
        <v>1767</v>
      </c>
      <c r="P1280" s="1">
        <v>1129</v>
      </c>
      <c r="Q1280" s="1" t="s">
        <v>42</v>
      </c>
      <c r="S1280" s="1" t="s">
        <v>42</v>
      </c>
      <c r="T1280" s="1" t="s">
        <v>170</v>
      </c>
      <c r="V1280" s="5">
        <v>44373</v>
      </c>
      <c r="AA1280" s="1">
        <v>1170987.5</v>
      </c>
      <c r="AB1280" s="1" t="s">
        <v>1002</v>
      </c>
      <c r="AC1280" s="5">
        <v>43523</v>
      </c>
      <c r="AF1280" s="1">
        <v>10010</v>
      </c>
      <c r="AI1280" s="1" t="s">
        <v>159</v>
      </c>
      <c r="AJ1280" s="1">
        <v>2016</v>
      </c>
      <c r="AK1280" s="1" t="s">
        <v>77</v>
      </c>
      <c r="AL1280" s="1">
        <v>140</v>
      </c>
    </row>
    <row r="1281" spans="1:38" x14ac:dyDescent="0.2">
      <c r="A1281" s="2" t="str">
        <f>HYPERLINK("https://www.compass.com/listing/121-east-22nd-street-unit-n1003-manhattan-ny-10010/729546862510038921/","121 E 22nd St, Unit N1003")</f>
        <v>121 E 22nd St, Unit N1003</v>
      </c>
      <c r="B1281" s="2" t="str">
        <f t="shared" si="234"/>
        <v>121 E 22nd</v>
      </c>
      <c r="C1281" s="1" t="s">
        <v>54</v>
      </c>
      <c r="D1281" s="1" t="s">
        <v>41</v>
      </c>
      <c r="E1281" s="3">
        <v>1325000</v>
      </c>
      <c r="F1281" s="1">
        <v>2150.9740259740202</v>
      </c>
      <c r="H1281" s="1" t="s">
        <v>79</v>
      </c>
      <c r="J1281" s="1">
        <v>1</v>
      </c>
      <c r="K1281" s="1">
        <v>1</v>
      </c>
      <c r="M1281" s="1">
        <v>616</v>
      </c>
      <c r="N1281" s="1">
        <v>704</v>
      </c>
      <c r="O1281" s="1">
        <v>1956</v>
      </c>
      <c r="P1281" s="1">
        <v>1252</v>
      </c>
      <c r="Q1281" s="1" t="s">
        <v>42</v>
      </c>
      <c r="S1281" s="1" t="s">
        <v>42</v>
      </c>
      <c r="T1281" s="1" t="s">
        <v>170</v>
      </c>
      <c r="AA1281" s="1">
        <v>1325000</v>
      </c>
      <c r="AB1281" s="1" t="s">
        <v>1003</v>
      </c>
      <c r="AC1281" s="5">
        <v>44203</v>
      </c>
      <c r="AF1281" s="1">
        <v>10010</v>
      </c>
      <c r="AI1281" s="1" t="s">
        <v>55</v>
      </c>
      <c r="AJ1281" s="1">
        <v>2016</v>
      </c>
      <c r="AK1281" s="1" t="s">
        <v>49</v>
      </c>
      <c r="AL1281" s="1">
        <v>140</v>
      </c>
    </row>
    <row r="1282" spans="1:38" x14ac:dyDescent="0.2">
      <c r="A1282" s="2" t="str">
        <f>HYPERLINK("https://www.compass.com/listing/215-east-19th-street-unit-11a-manhattan-ny-10003/763769757606816833/","215 E 19th St, Unit 11A")</f>
        <v>215 E 19th St, Unit 11A</v>
      </c>
      <c r="B1282" s="2" t="str">
        <f t="shared" ref="B1282:B1284" si="235">HYPERLINK("https://www.compass.com/building/the-tower-at-gramercy-square-manhattan-ny/281890815108713781/","The Tower at Gramercy Square")</f>
        <v>The Tower at Gramercy Square</v>
      </c>
      <c r="C1282" s="1" t="s">
        <v>54</v>
      </c>
      <c r="D1282" s="1" t="s">
        <v>41</v>
      </c>
      <c r="E1282" s="3">
        <v>3250000</v>
      </c>
      <c r="F1282" s="1">
        <v>1759.6101786681099</v>
      </c>
      <c r="G1282" s="1">
        <v>4</v>
      </c>
      <c r="H1282" s="1">
        <v>2</v>
      </c>
      <c r="I1282" s="1">
        <v>3</v>
      </c>
      <c r="J1282" s="1">
        <v>3</v>
      </c>
      <c r="K1282" s="1">
        <v>3</v>
      </c>
      <c r="M1282" s="4">
        <v>1847</v>
      </c>
      <c r="N1282" s="1">
        <v>2097</v>
      </c>
      <c r="O1282" s="1">
        <v>6038</v>
      </c>
      <c r="P1282" s="1">
        <v>3941</v>
      </c>
      <c r="Q1282" s="1" t="s">
        <v>42</v>
      </c>
      <c r="S1282" s="1" t="s">
        <v>42</v>
      </c>
      <c r="T1282" s="1" t="s">
        <v>170</v>
      </c>
      <c r="U1282" s="1">
        <v>6</v>
      </c>
      <c r="V1282" s="5">
        <v>44344</v>
      </c>
      <c r="W1282" s="5">
        <v>44299</v>
      </c>
      <c r="X1282" s="1">
        <v>4190000</v>
      </c>
      <c r="Y1282" s="1">
        <v>4190000</v>
      </c>
      <c r="Z1282" s="5">
        <v>44306</v>
      </c>
      <c r="AA1282" s="1">
        <v>3250000</v>
      </c>
      <c r="AB1282" s="1" t="s">
        <v>1004</v>
      </c>
      <c r="AC1282" s="5">
        <v>44337</v>
      </c>
      <c r="AF1282" s="1">
        <v>10003</v>
      </c>
      <c r="AI1282" s="1" t="s">
        <v>76</v>
      </c>
      <c r="AJ1282" s="1">
        <v>1920</v>
      </c>
      <c r="AK1282" s="1" t="s">
        <v>46</v>
      </c>
      <c r="AL1282" s="1">
        <v>130</v>
      </c>
    </row>
    <row r="1283" spans="1:38" x14ac:dyDescent="0.2">
      <c r="A1283" s="2" t="str">
        <f>HYPERLINK("https://www.compass.com/listing/215-east-19th-street-unit-4b-manhattan-ny-10003/99927568555232689/","215 E 19th St, Unit 4B")</f>
        <v>215 E 19th St, Unit 4B</v>
      </c>
      <c r="B1283" s="2" t="str">
        <f t="shared" si="235"/>
        <v>The Tower at Gramercy Square</v>
      </c>
      <c r="C1283" s="1" t="s">
        <v>54</v>
      </c>
      <c r="D1283" s="1" t="s">
        <v>41</v>
      </c>
      <c r="E1283" s="3">
        <v>3192213</v>
      </c>
      <c r="F1283" s="1">
        <v>2100.1401315789399</v>
      </c>
      <c r="G1283" s="1">
        <v>4</v>
      </c>
      <c r="H1283" s="1">
        <v>2</v>
      </c>
      <c r="I1283" s="1">
        <v>3</v>
      </c>
      <c r="J1283" s="1">
        <v>2.5</v>
      </c>
      <c r="K1283" s="1">
        <v>2</v>
      </c>
      <c r="L1283" s="1">
        <v>1</v>
      </c>
      <c r="M1283" s="4">
        <v>1520</v>
      </c>
      <c r="N1283" s="1">
        <v>1725</v>
      </c>
      <c r="O1283" s="1">
        <v>3910</v>
      </c>
      <c r="P1283" s="1">
        <v>2185</v>
      </c>
      <c r="Q1283" s="1" t="s">
        <v>42</v>
      </c>
      <c r="S1283" s="1" t="s">
        <v>42</v>
      </c>
      <c r="T1283" s="1" t="s">
        <v>170</v>
      </c>
      <c r="V1283" s="5">
        <v>43694</v>
      </c>
      <c r="W1283" s="5">
        <v>43390</v>
      </c>
      <c r="X1283" s="1">
        <v>3230000</v>
      </c>
      <c r="Y1283" s="1">
        <v>3230000</v>
      </c>
      <c r="Z1283" s="5">
        <v>43390</v>
      </c>
      <c r="AA1283" s="1">
        <v>3192213</v>
      </c>
      <c r="AB1283" s="1" t="s">
        <v>1005</v>
      </c>
      <c r="AC1283" s="5">
        <v>43616</v>
      </c>
      <c r="AF1283" s="1">
        <v>10003</v>
      </c>
      <c r="AI1283" s="1" t="s">
        <v>76</v>
      </c>
      <c r="AJ1283" s="1">
        <v>1920</v>
      </c>
      <c r="AK1283" s="1" t="s">
        <v>46</v>
      </c>
      <c r="AL1283" s="1">
        <v>130</v>
      </c>
    </row>
    <row r="1284" spans="1:38" x14ac:dyDescent="0.2">
      <c r="A1284" s="2" t="str">
        <f>HYPERLINK("https://www.compass.com/listing/215-east-19th-street-unit-6a-manhattan-ny-10003/99927580282510625/","215 E 19th St, Unit 6A")</f>
        <v>215 E 19th St, Unit 6A</v>
      </c>
      <c r="B1284" s="2" t="str">
        <f t="shared" si="235"/>
        <v>The Tower at Gramercy Square</v>
      </c>
      <c r="C1284" s="1" t="s">
        <v>54</v>
      </c>
      <c r="D1284" s="1" t="s">
        <v>41</v>
      </c>
      <c r="E1284" s="3">
        <v>2482448</v>
      </c>
      <c r="F1284" s="1">
        <v>1876.37792894935</v>
      </c>
      <c r="G1284" s="1">
        <v>3</v>
      </c>
      <c r="H1284" s="1">
        <v>1</v>
      </c>
      <c r="I1284" s="1">
        <v>2</v>
      </c>
      <c r="J1284" s="1">
        <v>2</v>
      </c>
      <c r="K1284" s="1">
        <v>2</v>
      </c>
      <c r="M1284" s="4">
        <v>1323</v>
      </c>
      <c r="N1284" s="1">
        <v>1501</v>
      </c>
      <c r="O1284" s="1">
        <v>3403</v>
      </c>
      <c r="P1284" s="1">
        <v>1902</v>
      </c>
      <c r="Q1284" s="1" t="s">
        <v>42</v>
      </c>
      <c r="S1284" s="1" t="s">
        <v>42</v>
      </c>
      <c r="T1284" s="1" t="s">
        <v>170</v>
      </c>
      <c r="V1284" s="5">
        <v>44327</v>
      </c>
      <c r="W1284" s="5">
        <v>43390</v>
      </c>
      <c r="X1284" s="1">
        <v>2460000</v>
      </c>
      <c r="Y1284" s="1">
        <v>2460000</v>
      </c>
      <c r="Z1284" s="5">
        <v>43390</v>
      </c>
      <c r="AA1284" s="1">
        <v>2482448</v>
      </c>
      <c r="AB1284" s="1" t="s">
        <v>945</v>
      </c>
      <c r="AC1284" s="5">
        <v>43489</v>
      </c>
      <c r="AF1284" s="1">
        <v>10003</v>
      </c>
      <c r="AI1284" s="1" t="s">
        <v>76</v>
      </c>
      <c r="AJ1284" s="1">
        <v>1920</v>
      </c>
      <c r="AK1284" s="1" t="s">
        <v>46</v>
      </c>
      <c r="AL1284" s="1">
        <v>130</v>
      </c>
    </row>
    <row r="1285" spans="1:38" x14ac:dyDescent="0.2">
      <c r="A1285" s="2" t="str">
        <f>HYPERLINK("https://www.compass.com/listing/10-madison-square-west-unit-2a-manhattan-ny-10010/29374710563334401/","10 Madison Sq W, Unit 2A")</f>
        <v>10 Madison Sq W, Unit 2A</v>
      </c>
      <c r="B1285" s="2" t="str">
        <f t="shared" ref="B1285:B1287" si="236">HYPERLINK("https://www.compass.com/building/10-madison-square-west-manhattan-ny/294838725091521285/","10 Madison Square West")</f>
        <v>10 Madison Square West</v>
      </c>
      <c r="C1285" s="1" t="s">
        <v>154</v>
      </c>
      <c r="D1285" s="1" t="s">
        <v>41</v>
      </c>
      <c r="E1285" s="3">
        <v>2698363</v>
      </c>
      <c r="F1285" s="1">
        <v>1697.0833333333301</v>
      </c>
      <c r="M1285" s="4">
        <v>1590</v>
      </c>
      <c r="Q1285" s="1" t="s">
        <v>42</v>
      </c>
      <c r="S1285" s="1" t="s">
        <v>42</v>
      </c>
      <c r="T1285" s="1" t="s">
        <v>170</v>
      </c>
      <c r="AA1285" s="1">
        <v>2698362.5</v>
      </c>
      <c r="AB1285" s="1" t="s">
        <v>1006</v>
      </c>
      <c r="AC1285" s="5">
        <v>43055</v>
      </c>
      <c r="AF1285" s="1">
        <v>10010</v>
      </c>
      <c r="AI1285" s="1" t="s">
        <v>59</v>
      </c>
      <c r="AJ1285" s="1">
        <v>1915</v>
      </c>
      <c r="AK1285" s="1" t="s">
        <v>46</v>
      </c>
      <c r="AL1285" s="1">
        <v>125</v>
      </c>
    </row>
    <row r="1286" spans="1:38" x14ac:dyDescent="0.2">
      <c r="A1286" s="2" t="str">
        <f>HYPERLINK("https://www.compass.com/listing/10-madison-square-west-unit-3c-manhattan-ny-10010/29374714724028897/","10 Madison Sq W, Unit 3C")</f>
        <v>10 Madison Sq W, Unit 3C</v>
      </c>
      <c r="B1286" s="2" t="str">
        <f t="shared" si="236"/>
        <v>10 Madison Square West</v>
      </c>
      <c r="C1286" s="1" t="s">
        <v>154</v>
      </c>
      <c r="D1286" s="1" t="s">
        <v>41</v>
      </c>
      <c r="E1286" s="3">
        <v>2749275</v>
      </c>
      <c r="F1286" s="1">
        <v>1918.5450104675499</v>
      </c>
      <c r="M1286" s="4">
        <v>1433</v>
      </c>
      <c r="Q1286" s="1" t="s">
        <v>42</v>
      </c>
      <c r="S1286" s="1" t="s">
        <v>42</v>
      </c>
      <c r="T1286" s="1" t="s">
        <v>170</v>
      </c>
      <c r="AA1286" s="1">
        <v>2749275</v>
      </c>
      <c r="AB1286" s="1" t="s">
        <v>1007</v>
      </c>
      <c r="AC1286" s="5">
        <v>42717</v>
      </c>
      <c r="AF1286" s="1">
        <v>10010</v>
      </c>
      <c r="AI1286" s="1" t="s">
        <v>59</v>
      </c>
      <c r="AJ1286" s="1">
        <v>1915</v>
      </c>
      <c r="AK1286" s="1" t="s">
        <v>46</v>
      </c>
      <c r="AL1286" s="1">
        <v>125</v>
      </c>
    </row>
    <row r="1287" spans="1:38" x14ac:dyDescent="0.2">
      <c r="A1287" s="2" t="str">
        <f>HYPERLINK("https://www.compass.com/listing/10-madison-square-west-unit-14g-manhattan-ny-10010/29374743882830897/","10 Madison Sq W, Unit 14G")</f>
        <v>10 Madison Sq W, Unit 14G</v>
      </c>
      <c r="B1287" s="2" t="str">
        <f t="shared" si="236"/>
        <v>10 Madison Square West</v>
      </c>
      <c r="C1287" s="1" t="s">
        <v>154</v>
      </c>
      <c r="D1287" s="1" t="s">
        <v>41</v>
      </c>
      <c r="E1287" s="3">
        <v>2189238</v>
      </c>
      <c r="F1287" s="1">
        <v>2088.96708015267</v>
      </c>
      <c r="M1287" s="4">
        <v>1048</v>
      </c>
      <c r="Q1287" s="1" t="s">
        <v>42</v>
      </c>
      <c r="S1287" s="1" t="s">
        <v>42</v>
      </c>
      <c r="T1287" s="1" t="s">
        <v>170</v>
      </c>
      <c r="AA1287" s="1">
        <v>2189237.5</v>
      </c>
      <c r="AB1287" s="1" t="s">
        <v>1008</v>
      </c>
      <c r="AC1287" s="5">
        <v>42621</v>
      </c>
      <c r="AF1287" s="1">
        <v>10010</v>
      </c>
      <c r="AI1287" s="1" t="s">
        <v>59</v>
      </c>
      <c r="AJ1287" s="1">
        <v>1915</v>
      </c>
      <c r="AK1287" s="1" t="s">
        <v>46</v>
      </c>
      <c r="AL1287" s="1">
        <v>125</v>
      </c>
    </row>
    <row r="1288" spans="1:38" x14ac:dyDescent="0.2">
      <c r="A1288" s="2" t="str">
        <f>HYPERLINK("https://www.compass.com/listing/121-east-22nd-street-unit-n203-manhattan-ny-10010/200630834460464529/","121 E 22nd St, Unit N203")</f>
        <v>121 E 22nd St, Unit N203</v>
      </c>
      <c r="B1288" s="2" t="str">
        <f>HYPERLINK("https://www.compass.com/building/121-e-22nd-manhattan-ny/292795784653461493/","121 E 22nd")</f>
        <v>121 E 22nd</v>
      </c>
      <c r="C1288" s="1" t="s">
        <v>54</v>
      </c>
      <c r="D1288" s="1" t="s">
        <v>41</v>
      </c>
      <c r="E1288" s="3">
        <v>1094169</v>
      </c>
      <c r="F1288" s="1">
        <v>1784.9412724306601</v>
      </c>
      <c r="G1288" s="1">
        <v>2</v>
      </c>
      <c r="H1288" s="1" t="s">
        <v>79</v>
      </c>
      <c r="I1288" s="1">
        <v>1</v>
      </c>
      <c r="J1288" s="1">
        <v>0.5</v>
      </c>
      <c r="L1288" s="1">
        <v>1</v>
      </c>
      <c r="M1288" s="1">
        <v>613</v>
      </c>
      <c r="N1288" s="1">
        <v>626</v>
      </c>
      <c r="O1288" s="1">
        <v>1733</v>
      </c>
      <c r="P1288" s="1">
        <v>1107</v>
      </c>
      <c r="Q1288" s="1" t="s">
        <v>42</v>
      </c>
      <c r="S1288" s="1" t="s">
        <v>42</v>
      </c>
      <c r="T1288" s="1" t="s">
        <v>170</v>
      </c>
      <c r="V1288" s="5">
        <v>44373</v>
      </c>
      <c r="W1288" s="5">
        <v>43529</v>
      </c>
      <c r="X1288" s="1">
        <v>1075000</v>
      </c>
      <c r="Y1288" s="1">
        <v>1075000</v>
      </c>
      <c r="Z1288" s="5">
        <v>43529</v>
      </c>
      <c r="AA1288" s="1">
        <v>1094618.75</v>
      </c>
      <c r="AB1288" s="1" t="s">
        <v>1009</v>
      </c>
      <c r="AC1288" s="5">
        <v>43530</v>
      </c>
      <c r="AF1288" s="1">
        <v>10010</v>
      </c>
      <c r="AI1288" s="1" t="s">
        <v>159</v>
      </c>
      <c r="AJ1288" s="1">
        <v>2016</v>
      </c>
      <c r="AK1288" s="1" t="s">
        <v>77</v>
      </c>
      <c r="AL1288" s="1">
        <v>140</v>
      </c>
    </row>
    <row r="1289" spans="1:38" x14ac:dyDescent="0.2">
      <c r="A1289" s="2" t="str">
        <f>HYPERLINK("https://www.compass.com/listing/215-east-19th-street-unit-5g-manhattan-ny-10003/803426197299926545/","215 E 19th St, Unit 5G")</f>
        <v>215 E 19th St, Unit 5G</v>
      </c>
      <c r="B1289" s="2" t="str">
        <f t="shared" ref="B1289:B1290" si="237">HYPERLINK("https://www.compass.com/building/the-tower-at-gramercy-square-manhattan-ny/281890815108713781/","The Tower at Gramercy Square")</f>
        <v>The Tower at Gramercy Square</v>
      </c>
      <c r="C1289" s="1" t="s">
        <v>54</v>
      </c>
      <c r="D1289" s="1" t="s">
        <v>41</v>
      </c>
      <c r="E1289" s="3">
        <v>1308451</v>
      </c>
      <c r="F1289" s="1">
        <v>1918.5498533724301</v>
      </c>
      <c r="G1289" s="1">
        <v>2</v>
      </c>
      <c r="H1289" s="1" t="s">
        <v>79</v>
      </c>
      <c r="I1289" s="1">
        <v>1</v>
      </c>
      <c r="J1289" s="1">
        <v>1</v>
      </c>
      <c r="K1289" s="1">
        <v>1</v>
      </c>
      <c r="M1289" s="1">
        <v>682</v>
      </c>
      <c r="N1289" s="1">
        <v>774</v>
      </c>
      <c r="O1289" s="1">
        <v>1754</v>
      </c>
      <c r="P1289" s="1">
        <v>980</v>
      </c>
      <c r="Q1289" s="1" t="s">
        <v>42</v>
      </c>
      <c r="S1289" s="1" t="s">
        <v>42</v>
      </c>
      <c r="T1289" s="1" t="s">
        <v>170</v>
      </c>
      <c r="V1289" s="5">
        <v>43727</v>
      </c>
      <c r="W1289" s="5">
        <v>43389</v>
      </c>
      <c r="X1289" s="1">
        <v>1245000</v>
      </c>
      <c r="Y1289" s="1">
        <v>1245000</v>
      </c>
      <c r="Z1289" s="5">
        <v>43390</v>
      </c>
      <c r="AA1289" s="1">
        <v>1308451</v>
      </c>
      <c r="AB1289" s="1" t="s">
        <v>1010</v>
      </c>
      <c r="AC1289" s="5">
        <v>43746</v>
      </c>
      <c r="AF1289" s="1">
        <v>10003</v>
      </c>
      <c r="AI1289" s="1" t="s">
        <v>76</v>
      </c>
      <c r="AJ1289" s="1">
        <v>1920</v>
      </c>
      <c r="AK1289" s="1" t="s">
        <v>46</v>
      </c>
      <c r="AL1289" s="1">
        <v>130</v>
      </c>
    </row>
    <row r="1290" spans="1:38" x14ac:dyDescent="0.2">
      <c r="A1290" s="2" t="str">
        <f>HYPERLINK("https://www.compass.com/listing/215-east-19th-street-unit-3g-manhattan-ny-10003/99927570023194801/","215 E 19th St, Unit 3G")</f>
        <v>215 E 19th St, Unit 3G</v>
      </c>
      <c r="B1290" s="2" t="str">
        <f t="shared" si="237"/>
        <v>The Tower at Gramercy Square</v>
      </c>
      <c r="C1290" s="1" t="s">
        <v>54</v>
      </c>
      <c r="D1290" s="1" t="s">
        <v>41</v>
      </c>
      <c r="E1290" s="3">
        <v>1218000</v>
      </c>
      <c r="F1290" s="1">
        <v>1785.9237536656799</v>
      </c>
      <c r="G1290" s="1">
        <v>2</v>
      </c>
      <c r="H1290" s="1" t="s">
        <v>79</v>
      </c>
      <c r="I1290" s="1">
        <v>1</v>
      </c>
      <c r="J1290" s="1">
        <v>1</v>
      </c>
      <c r="K1290" s="1">
        <v>1</v>
      </c>
      <c r="M1290" s="1">
        <v>682</v>
      </c>
      <c r="N1290" s="1">
        <v>774</v>
      </c>
      <c r="O1290" s="1">
        <v>1754</v>
      </c>
      <c r="P1290" s="1">
        <v>980</v>
      </c>
      <c r="Q1290" s="1" t="s">
        <v>42</v>
      </c>
      <c r="S1290" s="1" t="s">
        <v>42</v>
      </c>
      <c r="T1290" s="1" t="s">
        <v>170</v>
      </c>
      <c r="V1290" s="5">
        <v>43595</v>
      </c>
      <c r="W1290" s="5">
        <v>43389</v>
      </c>
      <c r="X1290" s="1">
        <v>1225000</v>
      </c>
      <c r="Y1290" s="1">
        <v>1225000</v>
      </c>
      <c r="Z1290" s="5">
        <v>43390</v>
      </c>
      <c r="AA1290" s="1">
        <v>1218000</v>
      </c>
      <c r="AB1290" s="1" t="s">
        <v>1011</v>
      </c>
      <c r="AC1290" s="5">
        <v>43539</v>
      </c>
      <c r="AF1290" s="1">
        <v>10003</v>
      </c>
      <c r="AI1290" s="1" t="s">
        <v>76</v>
      </c>
      <c r="AJ1290" s="1">
        <v>1920</v>
      </c>
      <c r="AK1290" s="1" t="s">
        <v>46</v>
      </c>
      <c r="AL1290" s="1">
        <v>130</v>
      </c>
    </row>
    <row r="1291" spans="1:38" x14ac:dyDescent="0.2">
      <c r="A1291" s="2" t="str">
        <f>HYPERLINK("https://www.compass.com/listing/10-madison-square-west-unit-3h-manhattan-ny-10010/29374716435361345/","10 Madison Sq W, Unit 3H")</f>
        <v>10 Madison Sq W, Unit 3H</v>
      </c>
      <c r="B1291" s="2" t="str">
        <f>HYPERLINK("https://www.compass.com/building/10-madison-square-west-manhattan-ny/294838725091521285/","10 Madison Square West")</f>
        <v>10 Madison Square West</v>
      </c>
      <c r="C1291" s="1" t="s">
        <v>154</v>
      </c>
      <c r="D1291" s="1" t="s">
        <v>41</v>
      </c>
      <c r="E1291" s="3">
        <v>1680113</v>
      </c>
      <c r="F1291" s="1">
        <v>1881.42497200447</v>
      </c>
      <c r="M1291" s="1">
        <v>893</v>
      </c>
      <c r="Q1291" s="1" t="s">
        <v>42</v>
      </c>
      <c r="S1291" s="1" t="s">
        <v>42</v>
      </c>
      <c r="T1291" s="1" t="s">
        <v>170</v>
      </c>
      <c r="AA1291" s="1">
        <v>1680112.5</v>
      </c>
      <c r="AB1291" s="1" t="s">
        <v>1012</v>
      </c>
      <c r="AC1291" s="5">
        <v>42788</v>
      </c>
      <c r="AF1291" s="1">
        <v>10010</v>
      </c>
      <c r="AI1291" s="1" t="s">
        <v>59</v>
      </c>
      <c r="AJ1291" s="1">
        <v>1915</v>
      </c>
      <c r="AK1291" s="1" t="s">
        <v>46</v>
      </c>
      <c r="AL1291" s="1">
        <v>125</v>
      </c>
    </row>
    <row r="1292" spans="1:38" x14ac:dyDescent="0.2">
      <c r="A1292" s="2" t="str">
        <f>HYPERLINK("https://www.compass.com/listing/221-west-77th-street-unit-7e-manhattan-ny-10024/8743040772536673/","221 W 77th St, Unit 7E")</f>
        <v>221 W 77th St, Unit 7E</v>
      </c>
      <c r="B1292" s="2" t="str">
        <f>HYPERLINK("https://www.compass.com/building/221-west-77th-street-manhattan-ny/292869344491294229/","221 West 77th Street")</f>
        <v>221 West 77th Street</v>
      </c>
      <c r="C1292" s="1" t="s">
        <v>50</v>
      </c>
      <c r="D1292" s="1" t="s">
        <v>41</v>
      </c>
      <c r="E1292" s="3">
        <v>4036500</v>
      </c>
      <c r="F1292" s="1">
        <v>2326.5129682997099</v>
      </c>
      <c r="G1292" s="1">
        <v>4</v>
      </c>
      <c r="H1292" s="1">
        <v>2</v>
      </c>
      <c r="I1292" s="1">
        <v>3</v>
      </c>
      <c r="J1292" s="1">
        <v>0.5</v>
      </c>
      <c r="L1292" s="1">
        <v>1</v>
      </c>
      <c r="M1292" s="4">
        <v>1735</v>
      </c>
      <c r="N1292" s="1">
        <v>1734</v>
      </c>
      <c r="O1292" s="1">
        <v>3971</v>
      </c>
      <c r="P1292" s="1">
        <v>2237</v>
      </c>
      <c r="Q1292" s="1" t="s">
        <v>42</v>
      </c>
      <c r="S1292" s="1" t="s">
        <v>42</v>
      </c>
      <c r="T1292" s="1" t="s">
        <v>170</v>
      </c>
      <c r="U1292" s="1">
        <v>51</v>
      </c>
      <c r="V1292" s="5">
        <v>43637</v>
      </c>
      <c r="W1292" s="5">
        <v>42704</v>
      </c>
      <c r="X1292" s="1">
        <v>4000000</v>
      </c>
      <c r="Y1292" s="1">
        <v>4000000</v>
      </c>
      <c r="Z1292" s="5">
        <v>42755</v>
      </c>
      <c r="AA1292" s="1">
        <v>4036500</v>
      </c>
      <c r="AB1292" s="1" t="s">
        <v>1013</v>
      </c>
      <c r="AC1292" s="5">
        <v>42902</v>
      </c>
      <c r="AF1292" s="1">
        <v>10024</v>
      </c>
      <c r="AI1292" s="1" t="s">
        <v>1014</v>
      </c>
      <c r="AJ1292" s="1">
        <v>2017</v>
      </c>
      <c r="AK1292" s="1" t="s">
        <v>77</v>
      </c>
      <c r="AL1292" s="1">
        <v>26</v>
      </c>
    </row>
    <row r="1293" spans="1:38" x14ac:dyDescent="0.2">
      <c r="A1293" s="2" t="str">
        <f>HYPERLINK("https://www.compass.com/listing/10-madison-square-west-unit-8c-manhattan-ny-10010/29374729370595153/","10 Madison Sq W, Unit 8C")</f>
        <v>10 Madison Sq W, Unit 8C</v>
      </c>
      <c r="B1293" s="2" t="str">
        <f t="shared" ref="B1293:B1298" si="238">HYPERLINK("https://www.compass.com/building/10-madison-square-west-manhattan-ny/294838725091521285/","10 Madison Square West")</f>
        <v>10 Madison Square West</v>
      </c>
      <c r="C1293" s="1" t="s">
        <v>154</v>
      </c>
      <c r="D1293" s="1" t="s">
        <v>41</v>
      </c>
      <c r="E1293" s="3">
        <v>3207488</v>
      </c>
      <c r="F1293" s="1">
        <v>2238.3025122121398</v>
      </c>
      <c r="M1293" s="4">
        <v>1433</v>
      </c>
      <c r="Q1293" s="1" t="s">
        <v>42</v>
      </c>
      <c r="S1293" s="1" t="s">
        <v>42</v>
      </c>
      <c r="T1293" s="1" t="s">
        <v>170</v>
      </c>
      <c r="AA1293" s="1">
        <v>3207487.5</v>
      </c>
      <c r="AB1293" s="1" t="s">
        <v>1015</v>
      </c>
      <c r="AC1293" s="5">
        <v>42457</v>
      </c>
      <c r="AF1293" s="1">
        <v>10010</v>
      </c>
      <c r="AI1293" s="1" t="s">
        <v>59</v>
      </c>
      <c r="AJ1293" s="1">
        <v>1915</v>
      </c>
      <c r="AK1293" s="1" t="s">
        <v>46</v>
      </c>
      <c r="AL1293" s="1">
        <v>125</v>
      </c>
    </row>
    <row r="1294" spans="1:38" x14ac:dyDescent="0.2">
      <c r="A1294" s="2" t="str">
        <f>HYPERLINK("https://www.compass.com/listing/10-madison-square-west-unit-8d-manhattan-ny-10010/29374729722860321/","10 Madison Sq W, Unit 8D")</f>
        <v>10 Madison Sq W, Unit 8D</v>
      </c>
      <c r="B1294" s="2" t="str">
        <f t="shared" si="238"/>
        <v>10 Madison Square West</v>
      </c>
      <c r="C1294" s="1" t="s">
        <v>154</v>
      </c>
      <c r="D1294" s="1" t="s">
        <v>41</v>
      </c>
      <c r="E1294" s="3">
        <v>3309313</v>
      </c>
      <c r="F1294" s="1">
        <v>1958.1730769230701</v>
      </c>
      <c r="M1294" s="4">
        <v>1690</v>
      </c>
      <c r="Q1294" s="1" t="s">
        <v>42</v>
      </c>
      <c r="S1294" s="1" t="s">
        <v>42</v>
      </c>
      <c r="T1294" s="1" t="s">
        <v>170</v>
      </c>
      <c r="AA1294" s="1">
        <v>3309312.5</v>
      </c>
      <c r="AB1294" s="1" t="s">
        <v>1016</v>
      </c>
      <c r="AC1294" s="5">
        <v>42517</v>
      </c>
      <c r="AF1294" s="1">
        <v>10010</v>
      </c>
      <c r="AI1294" s="1" t="s">
        <v>59</v>
      </c>
      <c r="AJ1294" s="1">
        <v>1915</v>
      </c>
      <c r="AK1294" s="1" t="s">
        <v>46</v>
      </c>
      <c r="AL1294" s="1">
        <v>125</v>
      </c>
    </row>
    <row r="1295" spans="1:38" x14ac:dyDescent="0.2">
      <c r="A1295" s="2" t="str">
        <f>HYPERLINK("https://www.compass.com/listing/10-madison-square-west-unit-11c-manhattan-ny-10010/29374736131812161/","10 Madison Sq W, Unit 11C")</f>
        <v>10 Madison Sq W, Unit 11C</v>
      </c>
      <c r="B1295" s="2" t="str">
        <f t="shared" si="238"/>
        <v>10 Madison Square West</v>
      </c>
      <c r="C1295" s="1" t="s">
        <v>154</v>
      </c>
      <c r="D1295" s="1" t="s">
        <v>41</v>
      </c>
      <c r="E1295" s="3">
        <v>3614788</v>
      </c>
      <c r="F1295" s="1">
        <v>2031.9210230466499</v>
      </c>
      <c r="M1295" s="4">
        <v>1779</v>
      </c>
      <c r="Q1295" s="1" t="s">
        <v>42</v>
      </c>
      <c r="S1295" s="1" t="s">
        <v>42</v>
      </c>
      <c r="T1295" s="1" t="s">
        <v>170</v>
      </c>
      <c r="AA1295" s="1">
        <v>3614787.5</v>
      </c>
      <c r="AB1295" s="1" t="s">
        <v>1017</v>
      </c>
      <c r="AC1295" s="5">
        <v>42486</v>
      </c>
      <c r="AF1295" s="1">
        <v>10010</v>
      </c>
      <c r="AI1295" s="1" t="s">
        <v>59</v>
      </c>
      <c r="AJ1295" s="1">
        <v>1915</v>
      </c>
      <c r="AK1295" s="1" t="s">
        <v>46</v>
      </c>
      <c r="AL1295" s="1">
        <v>125</v>
      </c>
    </row>
    <row r="1296" spans="1:38" x14ac:dyDescent="0.2">
      <c r="A1296" s="2" t="str">
        <f>HYPERLINK("https://www.compass.com/listing/10-madison-square-west-unit-16c-manhattan-ny-10010/29374747783590113/","10 Madison Sq W, Unit 16C")</f>
        <v>10 Madison Sq W, Unit 16C</v>
      </c>
      <c r="B1296" s="2" t="str">
        <f t="shared" si="238"/>
        <v>10 Madison Square West</v>
      </c>
      <c r="C1296" s="1" t="s">
        <v>154</v>
      </c>
      <c r="D1296" s="1" t="s">
        <v>41</v>
      </c>
      <c r="E1296" s="3">
        <v>4276650</v>
      </c>
      <c r="F1296" s="1">
        <v>2403.9629005059001</v>
      </c>
      <c r="M1296" s="4">
        <v>1779</v>
      </c>
      <c r="Q1296" s="1" t="s">
        <v>42</v>
      </c>
      <c r="S1296" s="1" t="s">
        <v>42</v>
      </c>
      <c r="T1296" s="1" t="s">
        <v>170</v>
      </c>
      <c r="AA1296" s="1">
        <v>4276650</v>
      </c>
      <c r="AB1296" s="1" t="s">
        <v>1018</v>
      </c>
      <c r="AC1296" s="5">
        <v>42514</v>
      </c>
      <c r="AF1296" s="1">
        <v>10010</v>
      </c>
      <c r="AI1296" s="1" t="s">
        <v>59</v>
      </c>
      <c r="AJ1296" s="1">
        <v>1915</v>
      </c>
      <c r="AK1296" s="1" t="s">
        <v>46</v>
      </c>
      <c r="AL1296" s="1">
        <v>125</v>
      </c>
    </row>
    <row r="1297" spans="1:38" x14ac:dyDescent="0.2">
      <c r="A1297" s="2" t="str">
        <f>HYPERLINK("https://www.compass.com/listing/10-madison-square-west-unit-7f-manhattan-ny-10010/583062396455997129/","10 Madison Sq W, Unit 7F")</f>
        <v>10 Madison Sq W, Unit 7F</v>
      </c>
      <c r="B1297" s="2" t="str">
        <f t="shared" si="238"/>
        <v>10 Madison Square West</v>
      </c>
      <c r="C1297" s="1" t="s">
        <v>154</v>
      </c>
      <c r="D1297" s="1" t="s">
        <v>41</v>
      </c>
      <c r="E1297" s="3">
        <v>3150000</v>
      </c>
      <c r="F1297" s="1">
        <v>663.856691253951</v>
      </c>
      <c r="M1297" s="4">
        <v>4745</v>
      </c>
      <c r="Q1297" s="1" t="s">
        <v>42</v>
      </c>
      <c r="S1297" s="1" t="s">
        <v>42</v>
      </c>
      <c r="T1297" s="1" t="s">
        <v>170</v>
      </c>
      <c r="AA1297" s="1">
        <v>3150000</v>
      </c>
      <c r="AB1297" s="1" t="s">
        <v>1019</v>
      </c>
      <c r="AC1297" s="5">
        <v>44049</v>
      </c>
      <c r="AF1297" s="1">
        <v>10010</v>
      </c>
      <c r="AI1297" s="1" t="s">
        <v>59</v>
      </c>
      <c r="AJ1297" s="1">
        <v>1915</v>
      </c>
      <c r="AK1297" s="1" t="s">
        <v>46</v>
      </c>
      <c r="AL1297" s="1">
        <v>125</v>
      </c>
    </row>
    <row r="1298" spans="1:38" x14ac:dyDescent="0.2">
      <c r="A1298" s="2" t="str">
        <f>HYPERLINK("https://www.compass.com/listing/10-madison-square-west-unit-7d-manhattan-ny-10010/850206970031362801/","10 Madison Sq W, Unit 7D")</f>
        <v>10 Madison Sq W, Unit 7D</v>
      </c>
      <c r="B1298" s="2" t="str">
        <f t="shared" si="238"/>
        <v>10 Madison Square West</v>
      </c>
      <c r="C1298" s="1" t="s">
        <v>154</v>
      </c>
      <c r="D1298" s="1" t="s">
        <v>41</v>
      </c>
      <c r="E1298" s="3">
        <v>4050000</v>
      </c>
      <c r="F1298" s="1">
        <v>2396.44970414201</v>
      </c>
      <c r="M1298" s="4">
        <v>1690</v>
      </c>
      <c r="Q1298" s="1" t="s">
        <v>42</v>
      </c>
      <c r="S1298" s="1" t="s">
        <v>42</v>
      </c>
      <c r="T1298" s="1" t="s">
        <v>170</v>
      </c>
      <c r="AA1298" s="1">
        <v>4050000</v>
      </c>
      <c r="AB1298" s="1" t="s">
        <v>1020</v>
      </c>
      <c r="AC1298" s="5">
        <v>43725</v>
      </c>
      <c r="AF1298" s="1">
        <v>10010</v>
      </c>
      <c r="AI1298" s="1" t="s">
        <v>59</v>
      </c>
      <c r="AJ1298" s="1">
        <v>1915</v>
      </c>
      <c r="AK1298" s="1" t="s">
        <v>46</v>
      </c>
      <c r="AL1298" s="1">
        <v>125</v>
      </c>
    </row>
    <row r="1299" spans="1:38" x14ac:dyDescent="0.2">
      <c r="A1299" s="2" t="str">
        <f>HYPERLINK("https://www.compass.com/listing/225-east-19th-street-unit-506-manhattan-ny-10003/29514962879695745/","225 E 19th St, Unit 506")</f>
        <v>225 E 19th St, Unit 506</v>
      </c>
      <c r="B1299" s="2" t="str">
        <f t="shared" ref="B1299:B1304" si="239">HYPERLINK("https://www.compass.com/building/the-prewar-at-gramercy-square-manhattan-ny/282059248584654437/","The Prewar at Gramercy Square")</f>
        <v>The Prewar at Gramercy Square</v>
      </c>
      <c r="C1299" s="1" t="s">
        <v>54</v>
      </c>
      <c r="D1299" s="1" t="s">
        <v>41</v>
      </c>
      <c r="E1299" s="3">
        <v>2647450</v>
      </c>
      <c r="F1299" s="1">
        <v>2116.2669864108698</v>
      </c>
      <c r="G1299" s="1">
        <v>4</v>
      </c>
      <c r="H1299" s="1">
        <v>2</v>
      </c>
      <c r="I1299" s="1">
        <v>2</v>
      </c>
      <c r="J1299" s="1">
        <v>2</v>
      </c>
      <c r="K1299" s="1">
        <v>2</v>
      </c>
      <c r="M1299" s="4">
        <v>1251</v>
      </c>
      <c r="N1299" s="1">
        <v>1420</v>
      </c>
      <c r="O1299" s="1">
        <v>3219</v>
      </c>
      <c r="P1299" s="1">
        <v>1799</v>
      </c>
      <c r="Q1299" s="1" t="s">
        <v>42</v>
      </c>
      <c r="S1299" s="1" t="s">
        <v>42</v>
      </c>
      <c r="T1299" s="1" t="s">
        <v>170</v>
      </c>
      <c r="U1299" s="1">
        <v>1</v>
      </c>
      <c r="V1299" s="5">
        <v>44225</v>
      </c>
      <c r="W1299" s="5">
        <v>43005</v>
      </c>
      <c r="X1299" s="1">
        <v>2625000</v>
      </c>
      <c r="Y1299" s="1">
        <v>2690000</v>
      </c>
      <c r="Z1299" s="5">
        <v>43006</v>
      </c>
      <c r="AA1299" s="1">
        <v>2647450</v>
      </c>
      <c r="AB1299" s="1" t="s">
        <v>1021</v>
      </c>
      <c r="AC1299" s="5">
        <v>43348</v>
      </c>
      <c r="AF1299" s="1">
        <v>10003</v>
      </c>
      <c r="AI1299" s="1" t="s">
        <v>76</v>
      </c>
      <c r="AJ1299" s="1">
        <v>1920</v>
      </c>
      <c r="AK1299" s="1" t="s">
        <v>46</v>
      </c>
      <c r="AL1299" s="1">
        <v>48</v>
      </c>
    </row>
    <row r="1300" spans="1:38" x14ac:dyDescent="0.2">
      <c r="A1300" s="2" t="str">
        <f>HYPERLINK("https://www.compass.com/listing/225-east-19th-street-unit-403-manhattan-ny-10003/29514963181726673/","225 E 19th St, Unit 403")</f>
        <v>225 E 19th St, Unit 403</v>
      </c>
      <c r="B1300" s="2" t="str">
        <f t="shared" si="239"/>
        <v>The Prewar at Gramercy Square</v>
      </c>
      <c r="C1300" s="1" t="s">
        <v>54</v>
      </c>
      <c r="D1300" s="1" t="s">
        <v>41</v>
      </c>
      <c r="E1300" s="3">
        <v>2588406</v>
      </c>
      <c r="F1300" s="1">
        <v>2077.3723916532899</v>
      </c>
      <c r="G1300" s="1">
        <v>4</v>
      </c>
      <c r="H1300" s="1">
        <v>2</v>
      </c>
      <c r="I1300" s="1">
        <v>2</v>
      </c>
      <c r="J1300" s="1">
        <v>2</v>
      </c>
      <c r="K1300" s="1">
        <v>2</v>
      </c>
      <c r="M1300" s="4">
        <v>1246</v>
      </c>
      <c r="N1300" s="1">
        <v>1411</v>
      </c>
      <c r="O1300" s="1">
        <v>3198</v>
      </c>
      <c r="P1300" s="1">
        <v>1787</v>
      </c>
      <c r="Q1300" s="1" t="s">
        <v>42</v>
      </c>
      <c r="S1300" s="1" t="s">
        <v>42</v>
      </c>
      <c r="T1300" s="1" t="s">
        <v>170</v>
      </c>
      <c r="V1300" s="5">
        <v>44350</v>
      </c>
      <c r="W1300" s="5">
        <v>43147</v>
      </c>
      <c r="X1300" s="1">
        <v>2630000</v>
      </c>
      <c r="Y1300" s="1">
        <v>2630000</v>
      </c>
      <c r="Z1300" s="5">
        <v>43147</v>
      </c>
      <c r="AA1300" s="1">
        <v>2588406</v>
      </c>
      <c r="AB1300" s="1" t="s">
        <v>1022</v>
      </c>
      <c r="AC1300" s="5">
        <v>43358</v>
      </c>
      <c r="AF1300" s="1">
        <v>10003</v>
      </c>
      <c r="AI1300" s="1" t="s">
        <v>103</v>
      </c>
      <c r="AJ1300" s="1">
        <v>1920</v>
      </c>
      <c r="AK1300" s="1" t="s">
        <v>46</v>
      </c>
      <c r="AL1300" s="1">
        <v>48</v>
      </c>
    </row>
    <row r="1301" spans="1:38" x14ac:dyDescent="0.2">
      <c r="A1301" s="2" t="str">
        <f>HYPERLINK("https://www.compass.com/listing/225-east-19th-street-unit-703-manhattan-ny-10003/29514965379473793/","225 E 19th St, Unit 703")</f>
        <v>225 E 19th St, Unit 703</v>
      </c>
      <c r="B1301" s="2" t="str">
        <f t="shared" si="239"/>
        <v>The Prewar at Gramercy Square</v>
      </c>
      <c r="C1301" s="1" t="s">
        <v>54</v>
      </c>
      <c r="D1301" s="1" t="s">
        <v>41</v>
      </c>
      <c r="E1301" s="3">
        <v>2662724</v>
      </c>
      <c r="F1301" s="1">
        <v>2137.0176565008001</v>
      </c>
      <c r="G1301" s="1">
        <v>4</v>
      </c>
      <c r="H1301" s="1">
        <v>2</v>
      </c>
      <c r="I1301" s="1">
        <v>2</v>
      </c>
      <c r="J1301" s="1">
        <v>2</v>
      </c>
      <c r="K1301" s="1">
        <v>2</v>
      </c>
      <c r="M1301" s="4">
        <v>1246</v>
      </c>
      <c r="N1301" s="1">
        <v>1411</v>
      </c>
      <c r="O1301" s="1">
        <v>3198</v>
      </c>
      <c r="P1301" s="1">
        <v>1787</v>
      </c>
      <c r="Q1301" s="1" t="s">
        <v>42</v>
      </c>
      <c r="S1301" s="1" t="s">
        <v>42</v>
      </c>
      <c r="T1301" s="1" t="s">
        <v>170</v>
      </c>
      <c r="U1301" s="1">
        <v>1</v>
      </c>
      <c r="V1301" s="5">
        <v>43757</v>
      </c>
      <c r="W1301" s="5">
        <v>43005</v>
      </c>
      <c r="X1301" s="1">
        <v>2615000</v>
      </c>
      <c r="Y1301" s="1">
        <v>2705000</v>
      </c>
      <c r="Z1301" s="5">
        <v>43006</v>
      </c>
      <c r="AA1301" s="1">
        <v>2662724</v>
      </c>
      <c r="AB1301" s="1" t="s">
        <v>1023</v>
      </c>
      <c r="AC1301" s="5">
        <v>43333</v>
      </c>
      <c r="AF1301" s="1">
        <v>10003</v>
      </c>
      <c r="AI1301" s="1" t="s">
        <v>76</v>
      </c>
      <c r="AJ1301" s="1">
        <v>1920</v>
      </c>
      <c r="AK1301" s="1" t="s">
        <v>46</v>
      </c>
      <c r="AL1301" s="1">
        <v>48</v>
      </c>
    </row>
    <row r="1302" spans="1:38" x14ac:dyDescent="0.2">
      <c r="A1302" s="2" t="str">
        <f>HYPERLINK("https://www.compass.com/listing/225-east-19th-street-unit-603-manhattan-ny-10003/75465662608286081/","225 E 19th St, Unit 603")</f>
        <v>225 E 19th St, Unit 603</v>
      </c>
      <c r="B1302" s="2" t="str">
        <f t="shared" si="239"/>
        <v>The Prewar at Gramercy Square</v>
      </c>
      <c r="C1302" s="1" t="s">
        <v>54</v>
      </c>
      <c r="D1302" s="1" t="s">
        <v>41</v>
      </c>
      <c r="E1302" s="3">
        <v>2677998</v>
      </c>
      <c r="F1302" s="1">
        <v>2149.2760834670898</v>
      </c>
      <c r="G1302" s="1">
        <v>4</v>
      </c>
      <c r="H1302" s="1">
        <v>2</v>
      </c>
      <c r="I1302" s="1">
        <v>2</v>
      </c>
      <c r="J1302" s="1">
        <v>2</v>
      </c>
      <c r="K1302" s="1">
        <v>2</v>
      </c>
      <c r="M1302" s="4">
        <v>1246</v>
      </c>
      <c r="N1302" s="1">
        <v>1411</v>
      </c>
      <c r="O1302" s="1">
        <v>3198</v>
      </c>
      <c r="P1302" s="1">
        <v>1787</v>
      </c>
      <c r="Q1302" s="1" t="s">
        <v>42</v>
      </c>
      <c r="S1302" s="1" t="s">
        <v>42</v>
      </c>
      <c r="T1302" s="1" t="s">
        <v>170</v>
      </c>
      <c r="U1302" s="1">
        <v>63</v>
      </c>
      <c r="V1302" s="5">
        <v>43936</v>
      </c>
      <c r="W1302" s="5">
        <v>43356</v>
      </c>
      <c r="X1302" s="1">
        <v>2680000</v>
      </c>
      <c r="Y1302" s="1">
        <v>2680000</v>
      </c>
      <c r="Z1302" s="5">
        <v>43419</v>
      </c>
      <c r="AA1302" s="1">
        <v>2677998</v>
      </c>
      <c r="AB1302" s="1" t="s">
        <v>1024</v>
      </c>
      <c r="AC1302" s="5">
        <v>43435</v>
      </c>
      <c r="AF1302" s="1">
        <v>10003</v>
      </c>
      <c r="AI1302" s="1" t="s">
        <v>76</v>
      </c>
      <c r="AJ1302" s="1">
        <v>1920</v>
      </c>
      <c r="AK1302" s="1" t="s">
        <v>46</v>
      </c>
      <c r="AL1302" s="1">
        <v>48</v>
      </c>
    </row>
    <row r="1303" spans="1:38" x14ac:dyDescent="0.2">
      <c r="A1303" s="2" t="str">
        <f>HYPERLINK("https://www.compass.com/listing/225-east-19th-street-unit-806-manhattan-ny-10003/96242681356840241/","225 E 19th St, Unit 806")</f>
        <v>225 E 19th St, Unit 806</v>
      </c>
      <c r="B1303" s="2" t="str">
        <f t="shared" si="239"/>
        <v>The Prewar at Gramercy Square</v>
      </c>
      <c r="C1303" s="1" t="s">
        <v>54</v>
      </c>
      <c r="D1303" s="1" t="s">
        <v>41</v>
      </c>
      <c r="E1303" s="3">
        <v>2779823</v>
      </c>
      <c r="F1303" s="1">
        <v>2138.3253846153798</v>
      </c>
      <c r="G1303" s="1">
        <v>4</v>
      </c>
      <c r="H1303" s="1">
        <v>2</v>
      </c>
      <c r="I1303" s="1">
        <v>2</v>
      </c>
      <c r="J1303" s="1">
        <v>2</v>
      </c>
      <c r="K1303" s="1">
        <v>2</v>
      </c>
      <c r="M1303" s="4">
        <v>1300</v>
      </c>
      <c r="N1303" s="1">
        <v>1420</v>
      </c>
      <c r="O1303" s="1">
        <v>3218</v>
      </c>
      <c r="P1303" s="1">
        <v>1798</v>
      </c>
      <c r="Q1303" s="1" t="s">
        <v>42</v>
      </c>
      <c r="S1303" s="1" t="s">
        <v>42</v>
      </c>
      <c r="T1303" s="1" t="s">
        <v>170</v>
      </c>
      <c r="V1303" s="5">
        <v>44225</v>
      </c>
      <c r="W1303" s="5">
        <v>43384</v>
      </c>
      <c r="X1303" s="1">
        <v>2795000</v>
      </c>
      <c r="Y1303" s="1">
        <v>2795000</v>
      </c>
      <c r="Z1303" s="5">
        <v>43384</v>
      </c>
      <c r="AA1303" s="1">
        <v>2779823</v>
      </c>
      <c r="AB1303" s="1" t="s">
        <v>1025</v>
      </c>
      <c r="AC1303" s="5">
        <v>43435</v>
      </c>
      <c r="AF1303" s="1">
        <v>10003</v>
      </c>
      <c r="AI1303" s="1" t="s">
        <v>103</v>
      </c>
      <c r="AJ1303" s="1">
        <v>1920</v>
      </c>
      <c r="AK1303" s="1" t="s">
        <v>46</v>
      </c>
      <c r="AL1303" s="1">
        <v>48</v>
      </c>
    </row>
    <row r="1304" spans="1:38" x14ac:dyDescent="0.2">
      <c r="A1304" s="2" t="str">
        <f>HYPERLINK("https://www.compass.com/listing/225-east-19th-street-unit-606-manhattan-ny-10003/99927578738961153/","225 E 19th St, Unit 606")</f>
        <v>225 E 19th St, Unit 606</v>
      </c>
      <c r="B1304" s="2" t="str">
        <f t="shared" si="239"/>
        <v>The Prewar at Gramercy Square</v>
      </c>
      <c r="C1304" s="1" t="s">
        <v>54</v>
      </c>
      <c r="D1304" s="1" t="s">
        <v>41</v>
      </c>
      <c r="E1304" s="3">
        <v>2724637</v>
      </c>
      <c r="F1304" s="1">
        <v>2171.0254980079599</v>
      </c>
      <c r="G1304" s="1">
        <v>4</v>
      </c>
      <c r="H1304" s="1">
        <v>2</v>
      </c>
      <c r="I1304" s="1">
        <v>2</v>
      </c>
      <c r="J1304" s="1">
        <v>2</v>
      </c>
      <c r="K1304" s="1">
        <v>2</v>
      </c>
      <c r="M1304" s="4">
        <v>1255</v>
      </c>
      <c r="N1304" s="1">
        <v>1420</v>
      </c>
      <c r="O1304" s="1">
        <v>3218</v>
      </c>
      <c r="P1304" s="1">
        <v>1798</v>
      </c>
      <c r="Q1304" s="1" t="s">
        <v>42</v>
      </c>
      <c r="S1304" s="1" t="s">
        <v>42</v>
      </c>
      <c r="T1304" s="1" t="s">
        <v>170</v>
      </c>
      <c r="U1304" s="1">
        <v>216</v>
      </c>
      <c r="V1304" s="5">
        <v>43694</v>
      </c>
      <c r="W1304" s="5">
        <v>43390</v>
      </c>
      <c r="X1304" s="1">
        <v>2715000</v>
      </c>
      <c r="Y1304" s="1">
        <v>2715000</v>
      </c>
      <c r="Z1304" s="5">
        <v>43606</v>
      </c>
      <c r="AA1304" s="1">
        <v>2724637</v>
      </c>
      <c r="AB1304" s="1" t="s">
        <v>1026</v>
      </c>
      <c r="AC1304" s="5">
        <v>43631</v>
      </c>
      <c r="AF1304" s="1">
        <v>10003</v>
      </c>
      <c r="AI1304" s="1" t="s">
        <v>76</v>
      </c>
      <c r="AJ1304" s="1">
        <v>1920</v>
      </c>
      <c r="AK1304" s="1" t="s">
        <v>46</v>
      </c>
      <c r="AL1304" s="1">
        <v>48</v>
      </c>
    </row>
    <row r="1305" spans="1:38" x14ac:dyDescent="0.2">
      <c r="A1305" s="2" t="str">
        <f>HYPERLINK("https://www.compass.com/listing/221-west-77th-street-unit-8e-manhattan-ny-10024/8743037383538465/","221 W 77th St, Unit 8E")</f>
        <v>221 W 77th St, Unit 8E</v>
      </c>
      <c r="B1305" s="2" t="str">
        <f>HYPERLINK("https://www.compass.com/building/221-west-77th-street-manhattan-ny/292869344491294229/","221 West 77th Street")</f>
        <v>221 West 77th Street</v>
      </c>
      <c r="C1305" s="1" t="s">
        <v>50</v>
      </c>
      <c r="D1305" s="1" t="s">
        <v>41</v>
      </c>
      <c r="E1305" s="3">
        <v>4050000</v>
      </c>
      <c r="F1305" s="1">
        <v>2334.2939481267999</v>
      </c>
      <c r="G1305" s="1">
        <v>4</v>
      </c>
      <c r="H1305" s="1">
        <v>2</v>
      </c>
      <c r="I1305" s="1">
        <v>3</v>
      </c>
      <c r="J1305" s="1">
        <v>0.5</v>
      </c>
      <c r="L1305" s="1">
        <v>1</v>
      </c>
      <c r="M1305" s="4">
        <v>1735</v>
      </c>
      <c r="N1305" s="1">
        <v>1734</v>
      </c>
      <c r="O1305" s="1">
        <v>3971</v>
      </c>
      <c r="P1305" s="1">
        <v>2237</v>
      </c>
      <c r="Q1305" s="1" t="s">
        <v>42</v>
      </c>
      <c r="S1305" s="1" t="s">
        <v>42</v>
      </c>
      <c r="T1305" s="1" t="s">
        <v>170</v>
      </c>
      <c r="U1305" s="1">
        <v>327</v>
      </c>
      <c r="V1305" s="5">
        <v>43662</v>
      </c>
      <c r="W1305" s="5">
        <v>42265</v>
      </c>
      <c r="X1305" s="1">
        <v>4050000</v>
      </c>
      <c r="Y1305" s="1">
        <v>4050000</v>
      </c>
      <c r="Z1305" s="5">
        <v>42592</v>
      </c>
      <c r="AA1305" s="1">
        <v>4050000</v>
      </c>
      <c r="AB1305" s="1" t="s">
        <v>1027</v>
      </c>
      <c r="AC1305" s="5">
        <v>42905</v>
      </c>
      <c r="AF1305" s="1">
        <v>10024</v>
      </c>
      <c r="AI1305" s="1" t="s">
        <v>1014</v>
      </c>
      <c r="AJ1305" s="1">
        <v>2017</v>
      </c>
      <c r="AK1305" s="1" t="s">
        <v>77</v>
      </c>
      <c r="AL1305" s="1">
        <v>26</v>
      </c>
    </row>
    <row r="1306" spans="1:38" x14ac:dyDescent="0.2">
      <c r="A1306" s="2" t="str">
        <f>HYPERLINK("https://www.compass.com/listing/215-east-19th-street-unit-9d-manhattan-ny-10003/405830857382884513/","215 E 19th St, Unit 9D")</f>
        <v>215 E 19th St, Unit 9D</v>
      </c>
      <c r="B1306" s="2" t="str">
        <f t="shared" ref="B1306:B1308" si="240">HYPERLINK("https://www.compass.com/building/the-tower-at-gramercy-square-manhattan-ny/281890815108713781/","The Tower at Gramercy Square")</f>
        <v>The Tower at Gramercy Square</v>
      </c>
      <c r="C1306" s="1" t="s">
        <v>54</v>
      </c>
      <c r="D1306" s="1" t="s">
        <v>41</v>
      </c>
      <c r="E1306" s="3">
        <v>3150000</v>
      </c>
      <c r="F1306" s="1">
        <v>1717.5572519083901</v>
      </c>
      <c r="G1306" s="1">
        <v>4</v>
      </c>
      <c r="H1306" s="1">
        <v>2</v>
      </c>
      <c r="I1306" s="1">
        <v>3</v>
      </c>
      <c r="J1306" s="1">
        <v>2.5</v>
      </c>
      <c r="K1306" s="1">
        <v>2</v>
      </c>
      <c r="L1306" s="1">
        <v>1</v>
      </c>
      <c r="M1306" s="4">
        <v>1834</v>
      </c>
      <c r="N1306" s="1">
        <v>2082</v>
      </c>
      <c r="O1306" s="1">
        <v>5568</v>
      </c>
      <c r="P1306" s="1">
        <v>3486</v>
      </c>
      <c r="Q1306" s="1" t="s">
        <v>42</v>
      </c>
      <c r="S1306" s="1" t="s">
        <v>42</v>
      </c>
      <c r="T1306" s="1" t="s">
        <v>170</v>
      </c>
      <c r="U1306" s="1">
        <v>1950</v>
      </c>
      <c r="V1306" s="5">
        <v>44314</v>
      </c>
      <c r="W1306" s="5">
        <v>42135</v>
      </c>
      <c r="X1306" s="1">
        <v>3695000</v>
      </c>
      <c r="Y1306" s="1">
        <v>3695000</v>
      </c>
      <c r="Z1306" s="5">
        <v>44180</v>
      </c>
      <c r="AA1306" s="1">
        <v>3150000</v>
      </c>
      <c r="AB1306" s="1" t="s">
        <v>1028</v>
      </c>
      <c r="AC1306" s="5">
        <v>44239</v>
      </c>
      <c r="AF1306" s="1">
        <v>10003</v>
      </c>
      <c r="AI1306" s="1" t="s">
        <v>76</v>
      </c>
      <c r="AJ1306" s="1">
        <v>1920</v>
      </c>
      <c r="AK1306" s="1" t="s">
        <v>46</v>
      </c>
      <c r="AL1306" s="1">
        <v>130</v>
      </c>
    </row>
    <row r="1307" spans="1:38" x14ac:dyDescent="0.2">
      <c r="A1307" s="2" t="str">
        <f>HYPERLINK("https://www.compass.com/listing/215-east-19th-street-unit-11f-manhattan-ny-10003/29514952486251073/","215 E 19th St, Unit 11F")</f>
        <v>215 E 19th St, Unit 11F</v>
      </c>
      <c r="B1307" s="2" t="str">
        <f t="shared" si="240"/>
        <v>The Tower at Gramercy Square</v>
      </c>
      <c r="C1307" s="1" t="s">
        <v>54</v>
      </c>
      <c r="D1307" s="1" t="s">
        <v>41</v>
      </c>
      <c r="E1307" s="3">
        <v>1379729</v>
      </c>
      <c r="F1307" s="1">
        <v>2011.2667638483899</v>
      </c>
      <c r="G1307" s="1">
        <v>2</v>
      </c>
      <c r="H1307" s="1" t="s">
        <v>79</v>
      </c>
      <c r="I1307" s="1">
        <v>1</v>
      </c>
      <c r="J1307" s="1">
        <v>1</v>
      </c>
      <c r="K1307" s="1">
        <v>1</v>
      </c>
      <c r="M1307" s="1">
        <v>686</v>
      </c>
      <c r="N1307" s="1">
        <v>779</v>
      </c>
      <c r="O1307" s="1">
        <v>1765</v>
      </c>
      <c r="P1307" s="1">
        <v>986</v>
      </c>
      <c r="Q1307" s="1" t="s">
        <v>42</v>
      </c>
      <c r="S1307" s="1" t="s">
        <v>42</v>
      </c>
      <c r="T1307" s="1" t="s">
        <v>170</v>
      </c>
      <c r="U1307" s="1">
        <v>1</v>
      </c>
      <c r="V1307" s="5">
        <v>44383</v>
      </c>
      <c r="W1307" s="5">
        <v>43005</v>
      </c>
      <c r="X1307" s="1">
        <v>1355000</v>
      </c>
      <c r="Y1307" s="1">
        <v>1385000</v>
      </c>
      <c r="Z1307" s="5">
        <v>43006</v>
      </c>
      <c r="AA1307" s="1">
        <v>1379729</v>
      </c>
      <c r="AB1307" s="1" t="s">
        <v>1029</v>
      </c>
      <c r="AC1307" s="5">
        <v>43494</v>
      </c>
      <c r="AF1307" s="1">
        <v>10003</v>
      </c>
      <c r="AI1307" s="1" t="s">
        <v>76</v>
      </c>
      <c r="AJ1307" s="1">
        <v>1920</v>
      </c>
      <c r="AK1307" s="1" t="s">
        <v>46</v>
      </c>
      <c r="AL1307" s="1">
        <v>130</v>
      </c>
    </row>
    <row r="1308" spans="1:38" x14ac:dyDescent="0.2">
      <c r="A1308" s="2" t="str">
        <f>HYPERLINK("https://www.compass.com/listing/215-east-19th-street-unit-7c-manhattan-ny-10003/769607510951172657/","215 E 19th St, Unit 7C")</f>
        <v>215 E 19th St, Unit 7C</v>
      </c>
      <c r="B1308" s="2" t="str">
        <f t="shared" si="240"/>
        <v>The Tower at Gramercy Square</v>
      </c>
      <c r="C1308" s="1" t="s">
        <v>54</v>
      </c>
      <c r="D1308" s="1" t="s">
        <v>41</v>
      </c>
      <c r="E1308" s="3">
        <v>4995000</v>
      </c>
      <c r="F1308" s="1">
        <v>1957.28840125391</v>
      </c>
      <c r="G1308" s="1">
        <v>6</v>
      </c>
      <c r="H1308" s="1">
        <v>4</v>
      </c>
      <c r="I1308" s="1">
        <v>5</v>
      </c>
      <c r="J1308" s="1">
        <v>4.5</v>
      </c>
      <c r="K1308" s="1">
        <v>4</v>
      </c>
      <c r="L1308" s="1">
        <v>1</v>
      </c>
      <c r="M1308" s="4">
        <v>2552</v>
      </c>
      <c r="N1308" s="1">
        <v>2897</v>
      </c>
      <c r="O1308" s="1">
        <v>7883</v>
      </c>
      <c r="P1308" s="1">
        <v>4986</v>
      </c>
      <c r="Q1308" s="1" t="s">
        <v>42</v>
      </c>
      <c r="S1308" s="1" t="s">
        <v>42</v>
      </c>
      <c r="T1308" s="1" t="s">
        <v>170</v>
      </c>
      <c r="U1308" s="1">
        <v>99</v>
      </c>
      <c r="V1308" s="5">
        <v>44418</v>
      </c>
      <c r="W1308" s="5">
        <v>44314</v>
      </c>
      <c r="X1308" s="1">
        <v>5530000</v>
      </c>
      <c r="Y1308" s="1">
        <v>5530000</v>
      </c>
      <c r="AA1308" s="1">
        <v>4995000</v>
      </c>
      <c r="AB1308" s="1" t="s">
        <v>181</v>
      </c>
      <c r="AC1308" s="5">
        <v>44413</v>
      </c>
      <c r="AF1308" s="1">
        <v>10003</v>
      </c>
      <c r="AI1308" s="1" t="s">
        <v>76</v>
      </c>
      <c r="AJ1308" s="1">
        <v>1920</v>
      </c>
      <c r="AK1308" s="1" t="s">
        <v>46</v>
      </c>
      <c r="AL1308" s="1">
        <v>130</v>
      </c>
    </row>
    <row r="1309" spans="1:38" x14ac:dyDescent="0.2">
      <c r="A1309" s="2" t="str">
        <f>HYPERLINK("https://www.compass.com/listing/10-madison-square-west-unit-2e-manhattan-ny-10010/29374713004419393/","10 Madison Sq W, Unit 2E")</f>
        <v>10 Madison Sq W, Unit 2E</v>
      </c>
      <c r="B1309" s="2" t="str">
        <f t="shared" ref="B1309:B1336" si="241">HYPERLINK("https://www.compass.com/building/10-madison-square-west-manhattan-ny/294838725091521285/","10 Madison Square West")</f>
        <v>10 Madison Square West</v>
      </c>
      <c r="C1309" s="1" t="s">
        <v>154</v>
      </c>
      <c r="D1309" s="1" t="s">
        <v>41</v>
      </c>
      <c r="E1309" s="3">
        <v>7062073</v>
      </c>
      <c r="F1309" s="1">
        <v>2459.7954998258401</v>
      </c>
      <c r="M1309" s="4">
        <v>2871</v>
      </c>
      <c r="Q1309" s="1" t="s">
        <v>42</v>
      </c>
      <c r="S1309" s="1" t="s">
        <v>42</v>
      </c>
      <c r="T1309" s="1" t="s">
        <v>170</v>
      </c>
      <c r="AA1309" s="1">
        <v>7062072.8799999999</v>
      </c>
      <c r="AB1309" s="1" t="s">
        <v>1030</v>
      </c>
      <c r="AC1309" s="5">
        <v>42934</v>
      </c>
      <c r="AF1309" s="1">
        <v>10010</v>
      </c>
      <c r="AI1309" s="1" t="s">
        <v>59</v>
      </c>
      <c r="AJ1309" s="1">
        <v>1915</v>
      </c>
      <c r="AK1309" s="1" t="s">
        <v>46</v>
      </c>
      <c r="AL1309" s="1">
        <v>125</v>
      </c>
    </row>
    <row r="1310" spans="1:38" x14ac:dyDescent="0.2">
      <c r="A1310" s="2" t="str">
        <f>HYPERLINK("https://www.compass.com/listing/10-madison-square-west-unit-3e-manhattan-ny-10010/29374715378396721/","10 Madison Sq W, Unit 3E")</f>
        <v>10 Madison Sq W, Unit 3E</v>
      </c>
      <c r="B1310" s="2" t="str">
        <f t="shared" si="241"/>
        <v>10 Madison Square West</v>
      </c>
      <c r="C1310" s="1" t="s">
        <v>154</v>
      </c>
      <c r="D1310" s="1" t="s">
        <v>41</v>
      </c>
      <c r="E1310" s="3">
        <v>8095088</v>
      </c>
      <c r="F1310" s="1">
        <v>2819.6055381400201</v>
      </c>
      <c r="M1310" s="4">
        <v>2871</v>
      </c>
      <c r="Q1310" s="1" t="s">
        <v>42</v>
      </c>
      <c r="S1310" s="1" t="s">
        <v>42</v>
      </c>
      <c r="T1310" s="1" t="s">
        <v>170</v>
      </c>
      <c r="AA1310" s="1">
        <v>8095087.5</v>
      </c>
      <c r="AB1310" s="1" t="s">
        <v>1031</v>
      </c>
      <c r="AC1310" s="5">
        <v>42724</v>
      </c>
      <c r="AF1310" s="1">
        <v>10010</v>
      </c>
      <c r="AI1310" s="1" t="s">
        <v>59</v>
      </c>
      <c r="AJ1310" s="1">
        <v>1915</v>
      </c>
      <c r="AK1310" s="1" t="s">
        <v>46</v>
      </c>
      <c r="AL1310" s="1">
        <v>125</v>
      </c>
    </row>
    <row r="1311" spans="1:38" x14ac:dyDescent="0.2">
      <c r="A1311" s="2" t="str">
        <f>HYPERLINK("https://www.compass.com/listing/10-madison-square-west-unit-3g-manhattan-ny-10010/29374716133370241/","10 Madison Sq W, Unit 3G")</f>
        <v>10 Madison Sq W, Unit 3G</v>
      </c>
      <c r="B1311" s="2" t="str">
        <f t="shared" si="241"/>
        <v>10 Madison Square West</v>
      </c>
      <c r="C1311" s="1" t="s">
        <v>154</v>
      </c>
      <c r="D1311" s="1" t="s">
        <v>41</v>
      </c>
      <c r="E1311" s="3">
        <v>4582125</v>
      </c>
      <c r="F1311" s="1">
        <v>1946.5271877655</v>
      </c>
      <c r="M1311" s="4">
        <v>2354</v>
      </c>
      <c r="Q1311" s="1" t="s">
        <v>42</v>
      </c>
      <c r="S1311" s="1" t="s">
        <v>42</v>
      </c>
      <c r="T1311" s="1" t="s">
        <v>170</v>
      </c>
      <c r="AA1311" s="1">
        <v>4582125</v>
      </c>
      <c r="AB1311" s="1" t="s">
        <v>1032</v>
      </c>
      <c r="AC1311" s="5">
        <v>42775</v>
      </c>
      <c r="AF1311" s="1">
        <v>10010</v>
      </c>
      <c r="AI1311" s="1" t="s">
        <v>59</v>
      </c>
      <c r="AJ1311" s="1">
        <v>1915</v>
      </c>
      <c r="AK1311" s="1" t="s">
        <v>46</v>
      </c>
      <c r="AL1311" s="1">
        <v>125</v>
      </c>
    </row>
    <row r="1312" spans="1:38" x14ac:dyDescent="0.2">
      <c r="A1312" s="2" t="str">
        <f>HYPERLINK("https://www.compass.com/listing/10-madison-square-west-unit-4e-manhattan-ny-10010/29374717685207585/","10 Madison Sq W, Unit 4E")</f>
        <v>10 Madison Sq W, Unit 4E</v>
      </c>
      <c r="B1312" s="2" t="str">
        <f t="shared" si="241"/>
        <v>10 Madison Square West</v>
      </c>
      <c r="C1312" s="1" t="s">
        <v>154</v>
      </c>
      <c r="D1312" s="1" t="s">
        <v>41</v>
      </c>
      <c r="E1312" s="3">
        <v>9418813</v>
      </c>
      <c r="F1312" s="1">
        <v>3280.6731104144801</v>
      </c>
      <c r="M1312" s="4">
        <v>2871</v>
      </c>
      <c r="Q1312" s="1" t="s">
        <v>42</v>
      </c>
      <c r="S1312" s="1" t="s">
        <v>42</v>
      </c>
      <c r="T1312" s="1" t="s">
        <v>170</v>
      </c>
      <c r="AA1312" s="1">
        <v>9418812.5</v>
      </c>
      <c r="AB1312" s="1" t="s">
        <v>1033</v>
      </c>
      <c r="AC1312" s="5">
        <v>42611</v>
      </c>
      <c r="AF1312" s="1">
        <v>10010</v>
      </c>
      <c r="AI1312" s="1" t="s">
        <v>59</v>
      </c>
      <c r="AJ1312" s="1">
        <v>1915</v>
      </c>
      <c r="AK1312" s="1" t="s">
        <v>46</v>
      </c>
      <c r="AL1312" s="1">
        <v>125</v>
      </c>
    </row>
    <row r="1313" spans="1:38" x14ac:dyDescent="0.2">
      <c r="A1313" s="2" t="str">
        <f>HYPERLINK("https://www.compass.com/listing/10-madison-square-west-unit-6e-manhattan-ny-10010/29374724689750609/","10 Madison Sq W, Unit 6E")</f>
        <v>10 Madison Sq W, Unit 6E</v>
      </c>
      <c r="B1313" s="2" t="str">
        <f t="shared" si="241"/>
        <v>10 Madison Square West</v>
      </c>
      <c r="C1313" s="1" t="s">
        <v>154</v>
      </c>
      <c r="D1313" s="1" t="s">
        <v>41</v>
      </c>
      <c r="E1313" s="3">
        <v>8706038</v>
      </c>
      <c r="F1313" s="1">
        <v>3032.4059561128502</v>
      </c>
      <c r="M1313" s="4">
        <v>2871</v>
      </c>
      <c r="Q1313" s="1" t="s">
        <v>42</v>
      </c>
      <c r="S1313" s="1" t="s">
        <v>42</v>
      </c>
      <c r="T1313" s="1" t="s">
        <v>170</v>
      </c>
      <c r="AA1313" s="1">
        <v>8706037.5</v>
      </c>
      <c r="AB1313" s="1" t="s">
        <v>1034</v>
      </c>
      <c r="AC1313" s="5">
        <v>42352</v>
      </c>
      <c r="AF1313" s="1">
        <v>10010</v>
      </c>
      <c r="AI1313" s="1" t="s">
        <v>59</v>
      </c>
      <c r="AJ1313" s="1">
        <v>1915</v>
      </c>
      <c r="AK1313" s="1" t="s">
        <v>46</v>
      </c>
      <c r="AL1313" s="1">
        <v>125</v>
      </c>
    </row>
    <row r="1314" spans="1:38" x14ac:dyDescent="0.2">
      <c r="A1314" s="2" t="str">
        <f>HYPERLINK("https://www.compass.com/listing/10-madison-square-west-unit-6f-manhattan-ny-10010/29374725067239185/","10 Madison Sq W, Unit 6F")</f>
        <v>10 Madison Sq W, Unit 6F</v>
      </c>
      <c r="B1314" s="2" t="str">
        <f t="shared" si="241"/>
        <v>10 Madison Square West</v>
      </c>
      <c r="C1314" s="1" t="s">
        <v>154</v>
      </c>
      <c r="D1314" s="1" t="s">
        <v>41</v>
      </c>
      <c r="E1314" s="3">
        <v>6414975</v>
      </c>
      <c r="F1314" s="1">
        <v>2682.9673776662398</v>
      </c>
      <c r="M1314" s="4">
        <v>2391</v>
      </c>
      <c r="Q1314" s="1" t="s">
        <v>42</v>
      </c>
      <c r="S1314" s="1" t="s">
        <v>42</v>
      </c>
      <c r="T1314" s="1" t="s">
        <v>170</v>
      </c>
      <c r="AA1314" s="1">
        <v>6414975</v>
      </c>
      <c r="AB1314" s="1" t="s">
        <v>1035</v>
      </c>
      <c r="AC1314" s="5">
        <v>42338</v>
      </c>
      <c r="AF1314" s="1">
        <v>10010</v>
      </c>
      <c r="AI1314" s="1" t="s">
        <v>59</v>
      </c>
      <c r="AJ1314" s="1">
        <v>1915</v>
      </c>
      <c r="AK1314" s="1" t="s">
        <v>46</v>
      </c>
      <c r="AL1314" s="1">
        <v>125</v>
      </c>
    </row>
    <row r="1315" spans="1:38" x14ac:dyDescent="0.2">
      <c r="A1315" s="2" t="str">
        <f>HYPERLINK("https://www.compass.com/listing/10-madison-square-west-unit-7f-manhattan-ny-10010/29374728061971105/","10 Madison Sq W, Unit 7F")</f>
        <v>10 Madison Sq W, Unit 7F</v>
      </c>
      <c r="B1315" s="2" t="str">
        <f t="shared" si="241"/>
        <v>10 Madison Square West</v>
      </c>
      <c r="C1315" s="1" t="s">
        <v>154</v>
      </c>
      <c r="D1315" s="1" t="s">
        <v>41</v>
      </c>
      <c r="E1315" s="3">
        <v>12880863</v>
      </c>
      <c r="F1315" s="1">
        <v>2714.61801896733</v>
      </c>
      <c r="M1315" s="4">
        <v>4745</v>
      </c>
      <c r="Q1315" s="1" t="s">
        <v>42</v>
      </c>
      <c r="S1315" s="1" t="s">
        <v>42</v>
      </c>
      <c r="T1315" s="1" t="s">
        <v>170</v>
      </c>
      <c r="AA1315" s="1">
        <v>12880862.5</v>
      </c>
      <c r="AB1315" s="1" t="s">
        <v>1036</v>
      </c>
      <c r="AC1315" s="5">
        <v>42353</v>
      </c>
      <c r="AF1315" s="1">
        <v>10010</v>
      </c>
      <c r="AI1315" s="1" t="s">
        <v>59</v>
      </c>
      <c r="AJ1315" s="1">
        <v>1915</v>
      </c>
      <c r="AK1315" s="1" t="s">
        <v>46</v>
      </c>
      <c r="AL1315" s="1">
        <v>125</v>
      </c>
    </row>
    <row r="1316" spans="1:38" x14ac:dyDescent="0.2">
      <c r="A1316" s="2" t="str">
        <f>HYPERLINK("https://www.compass.com/listing/10-madison-square-west-unit-8e-manhattan-ny-10010/29374730075237057/","10 Madison Sq W, Unit 8E")</f>
        <v>10 Madison Sq W, Unit 8E</v>
      </c>
      <c r="B1316" s="2" t="str">
        <f t="shared" si="241"/>
        <v>10 Madison Square West</v>
      </c>
      <c r="C1316" s="1" t="s">
        <v>154</v>
      </c>
      <c r="D1316" s="1" t="s">
        <v>41</v>
      </c>
      <c r="E1316" s="3">
        <v>8706038</v>
      </c>
      <c r="F1316" s="1">
        <v>3032.4059561128502</v>
      </c>
      <c r="M1316" s="4">
        <v>2871</v>
      </c>
      <c r="Q1316" s="1" t="s">
        <v>42</v>
      </c>
      <c r="S1316" s="1" t="s">
        <v>42</v>
      </c>
      <c r="T1316" s="1" t="s">
        <v>170</v>
      </c>
      <c r="AA1316" s="1">
        <v>8706037.5</v>
      </c>
      <c r="AB1316" s="1" t="s">
        <v>1037</v>
      </c>
      <c r="AC1316" s="5">
        <v>42482</v>
      </c>
      <c r="AF1316" s="1">
        <v>10010</v>
      </c>
      <c r="AI1316" s="1" t="s">
        <v>59</v>
      </c>
      <c r="AJ1316" s="1">
        <v>1915</v>
      </c>
      <c r="AK1316" s="1" t="s">
        <v>46</v>
      </c>
      <c r="AL1316" s="1">
        <v>125</v>
      </c>
    </row>
    <row r="1317" spans="1:38" x14ac:dyDescent="0.2">
      <c r="A1317" s="2" t="str">
        <f>HYPERLINK("https://www.compass.com/listing/10-madison-square-west-unit-9d-manhattan-ny-10010/29374732340162449/","10 Madison Sq W, Unit 9D")</f>
        <v>10 Madison Sq W, Unit 9D</v>
      </c>
      <c r="B1317" s="2" t="str">
        <f t="shared" si="241"/>
        <v>10 Madison Square West</v>
      </c>
      <c r="C1317" s="1" t="s">
        <v>154</v>
      </c>
      <c r="D1317" s="1" t="s">
        <v>41</v>
      </c>
      <c r="E1317" s="3">
        <v>9316988</v>
      </c>
      <c r="F1317" s="1">
        <v>2815.6504986400701</v>
      </c>
      <c r="M1317" s="4">
        <v>3309</v>
      </c>
      <c r="Q1317" s="1" t="s">
        <v>42</v>
      </c>
      <c r="S1317" s="1" t="s">
        <v>42</v>
      </c>
      <c r="T1317" s="1" t="s">
        <v>170</v>
      </c>
      <c r="AA1317" s="1">
        <v>9316987.5</v>
      </c>
      <c r="AB1317" s="1" t="s">
        <v>1038</v>
      </c>
      <c r="AC1317" s="5">
        <v>42355</v>
      </c>
      <c r="AF1317" s="1">
        <v>10010</v>
      </c>
      <c r="AI1317" s="1" t="s">
        <v>59</v>
      </c>
      <c r="AJ1317" s="1">
        <v>1915</v>
      </c>
      <c r="AK1317" s="1" t="s">
        <v>46</v>
      </c>
      <c r="AL1317" s="1">
        <v>125</v>
      </c>
    </row>
    <row r="1318" spans="1:38" x14ac:dyDescent="0.2">
      <c r="A1318" s="2" t="str">
        <f>HYPERLINK("https://www.compass.com/listing/10-madison-square-west-unit-9e-manhattan-ny-10010/29374732684038993/","10 Madison Sq W, Unit 9E")</f>
        <v>10 Madison Sq W, Unit 9E</v>
      </c>
      <c r="B1318" s="2" t="str">
        <f t="shared" si="241"/>
        <v>10 Madison Square West</v>
      </c>
      <c r="C1318" s="1" t="s">
        <v>154</v>
      </c>
      <c r="D1318" s="1" t="s">
        <v>41</v>
      </c>
      <c r="E1318" s="3">
        <v>7771500</v>
      </c>
      <c r="F1318" s="1">
        <v>3311.24840221559</v>
      </c>
      <c r="M1318" s="4">
        <v>2347</v>
      </c>
      <c r="Q1318" s="1" t="s">
        <v>42</v>
      </c>
      <c r="S1318" s="1" t="s">
        <v>42</v>
      </c>
      <c r="T1318" s="1" t="s">
        <v>170</v>
      </c>
      <c r="AA1318" s="1">
        <v>7771500</v>
      </c>
      <c r="AB1318" s="1" t="s">
        <v>1039</v>
      </c>
      <c r="AC1318" s="5">
        <v>42306</v>
      </c>
      <c r="AF1318" s="1">
        <v>10010</v>
      </c>
      <c r="AI1318" s="1" t="s">
        <v>59</v>
      </c>
      <c r="AJ1318" s="1">
        <v>1915</v>
      </c>
      <c r="AK1318" s="1" t="s">
        <v>46</v>
      </c>
      <c r="AL1318" s="1">
        <v>125</v>
      </c>
    </row>
    <row r="1319" spans="1:38" x14ac:dyDescent="0.2">
      <c r="A1319" s="2" t="str">
        <f>HYPERLINK("https://www.compass.com/listing/10-madison-square-west-unit-10a-manhattan-ny-10010/29374733715837793/","10 Madison Sq W, Unit 10A")</f>
        <v>10 Madison Sq W, Unit 10A</v>
      </c>
      <c r="B1319" s="2" t="str">
        <f t="shared" si="241"/>
        <v>10 Madison Square West</v>
      </c>
      <c r="C1319" s="1" t="s">
        <v>154</v>
      </c>
      <c r="D1319" s="1" t="s">
        <v>41</v>
      </c>
      <c r="E1319" s="3">
        <v>5345813</v>
      </c>
      <c r="F1319" s="1">
        <v>2424.4047619047601</v>
      </c>
      <c r="M1319" s="4">
        <v>2205</v>
      </c>
      <c r="Q1319" s="1" t="s">
        <v>42</v>
      </c>
      <c r="S1319" s="1" t="s">
        <v>42</v>
      </c>
      <c r="T1319" s="1" t="s">
        <v>170</v>
      </c>
      <c r="AA1319" s="1">
        <v>5345812.5</v>
      </c>
      <c r="AB1319" s="1" t="s">
        <v>1040</v>
      </c>
      <c r="AC1319" s="5">
        <v>42482</v>
      </c>
      <c r="AF1319" s="1">
        <v>10010</v>
      </c>
      <c r="AI1319" s="1" t="s">
        <v>59</v>
      </c>
      <c r="AJ1319" s="1">
        <v>1915</v>
      </c>
      <c r="AK1319" s="1" t="s">
        <v>46</v>
      </c>
      <c r="AL1319" s="1">
        <v>125</v>
      </c>
    </row>
    <row r="1320" spans="1:38" x14ac:dyDescent="0.2">
      <c r="A1320" s="2" t="str">
        <f>HYPERLINK("https://www.compass.com/listing/10-madison-square-west-unit-10d-manhattan-ny-10010/29374734680527729/","10 Madison Sq W, Unit 10D")</f>
        <v>10 Madison Sq W, Unit 10D</v>
      </c>
      <c r="B1320" s="2" t="str">
        <f t="shared" si="241"/>
        <v>10 Madison Square West</v>
      </c>
      <c r="C1320" s="1" t="s">
        <v>154</v>
      </c>
      <c r="D1320" s="1" t="s">
        <v>41</v>
      </c>
      <c r="E1320" s="3">
        <v>9724288</v>
      </c>
      <c r="F1320" s="1">
        <v>2938.7390450286998</v>
      </c>
      <c r="M1320" s="4">
        <v>3309</v>
      </c>
      <c r="Q1320" s="1" t="s">
        <v>42</v>
      </c>
      <c r="S1320" s="1" t="s">
        <v>42</v>
      </c>
      <c r="T1320" s="1" t="s">
        <v>170</v>
      </c>
      <c r="AA1320" s="1">
        <v>9724287.5</v>
      </c>
      <c r="AB1320" s="1" t="s">
        <v>1041</v>
      </c>
      <c r="AC1320" s="5">
        <v>42474</v>
      </c>
      <c r="AF1320" s="1">
        <v>10010</v>
      </c>
      <c r="AI1320" s="1" t="s">
        <v>59</v>
      </c>
      <c r="AJ1320" s="1">
        <v>1915</v>
      </c>
      <c r="AK1320" s="1" t="s">
        <v>46</v>
      </c>
      <c r="AL1320" s="1">
        <v>125</v>
      </c>
    </row>
    <row r="1321" spans="1:38" x14ac:dyDescent="0.2">
      <c r="A1321" s="2" t="str">
        <f>HYPERLINK("https://www.compass.com/listing/10-madison-square-west-unit-11a-manhattan-ny-10010/29374735796212609/","10 Madison Sq W, Unit 11A")</f>
        <v>10 Madison Sq W, Unit 11A</v>
      </c>
      <c r="B1321" s="2" t="str">
        <f t="shared" si="241"/>
        <v>10 Madison Square West</v>
      </c>
      <c r="C1321" s="1" t="s">
        <v>154</v>
      </c>
      <c r="D1321" s="1" t="s">
        <v>41</v>
      </c>
      <c r="E1321" s="3">
        <v>5396725</v>
      </c>
      <c r="F1321" s="1">
        <v>2447.49433106575</v>
      </c>
      <c r="M1321" s="4">
        <v>2205</v>
      </c>
      <c r="Q1321" s="1" t="s">
        <v>42</v>
      </c>
      <c r="S1321" s="1" t="s">
        <v>42</v>
      </c>
      <c r="T1321" s="1" t="s">
        <v>170</v>
      </c>
      <c r="AA1321" s="1">
        <v>5396725</v>
      </c>
      <c r="AB1321" s="1" t="s">
        <v>1042</v>
      </c>
      <c r="AC1321" s="5">
        <v>42524</v>
      </c>
      <c r="AF1321" s="1">
        <v>10010</v>
      </c>
      <c r="AI1321" s="1" t="s">
        <v>59</v>
      </c>
      <c r="AJ1321" s="1">
        <v>1915</v>
      </c>
      <c r="AK1321" s="1" t="s">
        <v>46</v>
      </c>
      <c r="AL1321" s="1">
        <v>125</v>
      </c>
    </row>
    <row r="1322" spans="1:38" x14ac:dyDescent="0.2">
      <c r="A1322" s="2" t="str">
        <f>HYPERLINK("https://www.compass.com/listing/10-madison-square-west-unit-11d-manhattan-ny-10010/29374736475746257/","10 Madison Sq W, Unit 11D")</f>
        <v>10 Madison Sq W, Unit 11D</v>
      </c>
      <c r="B1322" s="2" t="str">
        <f t="shared" si="241"/>
        <v>10 Madison Square West</v>
      </c>
      <c r="C1322" s="1" t="s">
        <v>154</v>
      </c>
      <c r="D1322" s="1" t="s">
        <v>41</v>
      </c>
      <c r="E1322" s="3">
        <v>11964438</v>
      </c>
      <c r="F1322" s="1">
        <v>3615.7260501662099</v>
      </c>
      <c r="M1322" s="4">
        <v>3309</v>
      </c>
      <c r="Q1322" s="1" t="s">
        <v>42</v>
      </c>
      <c r="S1322" s="1" t="s">
        <v>42</v>
      </c>
      <c r="T1322" s="1" t="s">
        <v>170</v>
      </c>
      <c r="AA1322" s="1">
        <v>11964437.5</v>
      </c>
      <c r="AB1322" s="1" t="s">
        <v>1043</v>
      </c>
      <c r="AC1322" s="5">
        <v>42527</v>
      </c>
      <c r="AF1322" s="1">
        <v>10010</v>
      </c>
      <c r="AI1322" s="1" t="s">
        <v>59</v>
      </c>
      <c r="AJ1322" s="1">
        <v>1915</v>
      </c>
      <c r="AK1322" s="1" t="s">
        <v>46</v>
      </c>
      <c r="AL1322" s="1">
        <v>125</v>
      </c>
    </row>
    <row r="1323" spans="1:38" x14ac:dyDescent="0.2">
      <c r="A1323" s="2" t="str">
        <f>HYPERLINK("https://www.compass.com/listing/10-madison-square-west-unit-12e-manhattan-ny-10010/29374739537587073/","10 Madison Sq W, Unit 12E")</f>
        <v>10 Madison Sq W, Unit 12E</v>
      </c>
      <c r="B1323" s="2" t="str">
        <f t="shared" si="241"/>
        <v>10 Madison Square West</v>
      </c>
      <c r="C1323" s="1" t="s">
        <v>154</v>
      </c>
      <c r="D1323" s="1" t="s">
        <v>41</v>
      </c>
      <c r="E1323" s="3">
        <v>8655125</v>
      </c>
      <c r="F1323" s="1">
        <v>3687.73966766084</v>
      </c>
      <c r="M1323" s="4">
        <v>2347</v>
      </c>
      <c r="Q1323" s="1" t="s">
        <v>42</v>
      </c>
      <c r="S1323" s="1" t="s">
        <v>42</v>
      </c>
      <c r="T1323" s="1" t="s">
        <v>170</v>
      </c>
      <c r="AA1323" s="1">
        <v>8655125</v>
      </c>
      <c r="AB1323" s="1" t="s">
        <v>1044</v>
      </c>
      <c r="AC1323" s="5">
        <v>42524</v>
      </c>
      <c r="AF1323" s="1">
        <v>10010</v>
      </c>
      <c r="AI1323" s="1" t="s">
        <v>59</v>
      </c>
      <c r="AJ1323" s="1">
        <v>1915</v>
      </c>
      <c r="AK1323" s="1" t="s">
        <v>46</v>
      </c>
      <c r="AL1323" s="1">
        <v>125</v>
      </c>
    </row>
    <row r="1324" spans="1:38" x14ac:dyDescent="0.2">
      <c r="A1324" s="2" t="str">
        <f>HYPERLINK("https://www.compass.com/listing/10-madison-square-west-unit-12f-manhattan-ny-10010/29374739847966737/","10 Madison Sq W, Unit 12F")</f>
        <v>10 Madison Sq W, Unit 12F</v>
      </c>
      <c r="B1324" s="2" t="str">
        <f t="shared" si="241"/>
        <v>10 Madison Square West</v>
      </c>
      <c r="C1324" s="1" t="s">
        <v>154</v>
      </c>
      <c r="D1324" s="1" t="s">
        <v>41</v>
      </c>
      <c r="E1324" s="3">
        <v>7178663</v>
      </c>
      <c r="F1324" s="1">
        <v>2547.43168914123</v>
      </c>
      <c r="M1324" s="4">
        <v>2818</v>
      </c>
      <c r="Q1324" s="1" t="s">
        <v>42</v>
      </c>
      <c r="S1324" s="1" t="s">
        <v>42</v>
      </c>
      <c r="T1324" s="1" t="s">
        <v>170</v>
      </c>
      <c r="AA1324" s="1">
        <v>7178662.5</v>
      </c>
      <c r="AB1324" s="1" t="s">
        <v>1045</v>
      </c>
      <c r="AC1324" s="5">
        <v>42475</v>
      </c>
      <c r="AF1324" s="1">
        <v>10010</v>
      </c>
      <c r="AI1324" s="1" t="s">
        <v>59</v>
      </c>
      <c r="AJ1324" s="1">
        <v>1915</v>
      </c>
      <c r="AK1324" s="1" t="s">
        <v>46</v>
      </c>
      <c r="AL1324" s="1">
        <v>125</v>
      </c>
    </row>
    <row r="1325" spans="1:38" x14ac:dyDescent="0.2">
      <c r="A1325" s="2" t="str">
        <f>HYPERLINK("https://www.compass.com/listing/10-madison-square-west-unit-14a-manhattan-ny-10010/29374740560997265/","10 Madison Sq W, Unit 14A")</f>
        <v>10 Madison Sq W, Unit 14A</v>
      </c>
      <c r="B1325" s="2" t="str">
        <f t="shared" si="241"/>
        <v>10 Madison Square West</v>
      </c>
      <c r="C1325" s="1" t="s">
        <v>154</v>
      </c>
      <c r="D1325" s="1" t="s">
        <v>41</v>
      </c>
      <c r="E1325" s="3">
        <v>4919444</v>
      </c>
      <c r="F1325" s="1">
        <v>2231.0402494331001</v>
      </c>
      <c r="M1325" s="4">
        <v>2205</v>
      </c>
      <c r="Q1325" s="1" t="s">
        <v>42</v>
      </c>
      <c r="S1325" s="1" t="s">
        <v>42</v>
      </c>
      <c r="T1325" s="1" t="s">
        <v>170</v>
      </c>
      <c r="AA1325" s="1">
        <v>4919443.75</v>
      </c>
      <c r="AB1325" s="1" t="s">
        <v>1046</v>
      </c>
      <c r="AC1325" s="5">
        <v>42548</v>
      </c>
      <c r="AF1325" s="1">
        <v>10010</v>
      </c>
      <c r="AI1325" s="1" t="s">
        <v>59</v>
      </c>
      <c r="AJ1325" s="1">
        <v>1915</v>
      </c>
      <c r="AK1325" s="1" t="s">
        <v>46</v>
      </c>
      <c r="AL1325" s="1">
        <v>125</v>
      </c>
    </row>
    <row r="1326" spans="1:38" x14ac:dyDescent="0.2">
      <c r="A1326" s="2" t="str">
        <f>HYPERLINK("https://www.compass.com/listing/10-madison-square-west-unit-16a-manhattan-ny-10010/29374747204719729/","10 Madison Sq W, Unit 16A")</f>
        <v>10 Madison Sq W, Unit 16A</v>
      </c>
      <c r="B1326" s="2" t="str">
        <f t="shared" si="241"/>
        <v>10 Madison Square West</v>
      </c>
      <c r="C1326" s="1" t="s">
        <v>154</v>
      </c>
      <c r="D1326" s="1" t="s">
        <v>41</v>
      </c>
      <c r="E1326" s="3">
        <v>6720450</v>
      </c>
      <c r="F1326" s="1">
        <v>3047.8231292516998</v>
      </c>
      <c r="M1326" s="4">
        <v>2205</v>
      </c>
      <c r="Q1326" s="1" t="s">
        <v>42</v>
      </c>
      <c r="S1326" s="1" t="s">
        <v>42</v>
      </c>
      <c r="T1326" s="1" t="s">
        <v>170</v>
      </c>
      <c r="AA1326" s="1">
        <v>6720450</v>
      </c>
      <c r="AB1326" s="1" t="s">
        <v>1047</v>
      </c>
      <c r="AC1326" s="5">
        <v>42678</v>
      </c>
      <c r="AF1326" s="1">
        <v>10010</v>
      </c>
      <c r="AI1326" s="1" t="s">
        <v>59</v>
      </c>
      <c r="AJ1326" s="1">
        <v>1915</v>
      </c>
      <c r="AK1326" s="1" t="s">
        <v>46</v>
      </c>
      <c r="AL1326" s="1">
        <v>125</v>
      </c>
    </row>
    <row r="1327" spans="1:38" x14ac:dyDescent="0.2">
      <c r="A1327" s="2" t="str">
        <f>HYPERLINK("https://www.compass.com/listing/10-madison-square-west-unit-16f-manhattan-ny-10010/29374748924440817/","10 Madison Sq W, Unit 16F")</f>
        <v>10 Madison Sq W, Unit 16F</v>
      </c>
      <c r="B1327" s="2" t="str">
        <f t="shared" si="241"/>
        <v>10 Madison Square West</v>
      </c>
      <c r="C1327" s="1" t="s">
        <v>154</v>
      </c>
      <c r="D1327" s="1" t="s">
        <v>41</v>
      </c>
      <c r="E1327" s="3">
        <v>7229575</v>
      </c>
      <c r="F1327" s="1">
        <v>2565.4985805535798</v>
      </c>
      <c r="M1327" s="4">
        <v>2818</v>
      </c>
      <c r="Q1327" s="1" t="s">
        <v>42</v>
      </c>
      <c r="S1327" s="1" t="s">
        <v>42</v>
      </c>
      <c r="T1327" s="1" t="s">
        <v>170</v>
      </c>
      <c r="AA1327" s="1">
        <v>7229575</v>
      </c>
      <c r="AB1327" s="1" t="s">
        <v>1048</v>
      </c>
      <c r="AC1327" s="5">
        <v>42579</v>
      </c>
      <c r="AF1327" s="1">
        <v>10010</v>
      </c>
      <c r="AI1327" s="1" t="s">
        <v>59</v>
      </c>
      <c r="AJ1327" s="1">
        <v>1915</v>
      </c>
      <c r="AK1327" s="1" t="s">
        <v>46</v>
      </c>
      <c r="AL1327" s="1">
        <v>125</v>
      </c>
    </row>
    <row r="1328" spans="1:38" x14ac:dyDescent="0.2">
      <c r="A1328" s="2" t="str">
        <f>HYPERLINK("https://www.compass.com/listing/10-madison-square-west-unit-17a-manhattan-ny-10010/29374749587139633/","10 Madison Sq W, Unit 17A")</f>
        <v>10 Madison Sq W, Unit 17A</v>
      </c>
      <c r="B1328" s="2" t="str">
        <f t="shared" si="241"/>
        <v>10 Madison Square West</v>
      </c>
      <c r="C1328" s="1" t="s">
        <v>154</v>
      </c>
      <c r="D1328" s="1" t="s">
        <v>41</v>
      </c>
      <c r="E1328" s="3">
        <v>5294900</v>
      </c>
      <c r="F1328" s="1">
        <v>2401.3151927437598</v>
      </c>
      <c r="M1328" s="4">
        <v>2205</v>
      </c>
      <c r="Q1328" s="1" t="s">
        <v>42</v>
      </c>
      <c r="S1328" s="1" t="s">
        <v>42</v>
      </c>
      <c r="T1328" s="1" t="s">
        <v>170</v>
      </c>
      <c r="AA1328" s="1">
        <v>5294900</v>
      </c>
      <c r="AB1328" s="1" t="s">
        <v>1049</v>
      </c>
      <c r="AC1328" s="5">
        <v>42873</v>
      </c>
      <c r="AF1328" s="1">
        <v>10010</v>
      </c>
      <c r="AI1328" s="1" t="s">
        <v>59</v>
      </c>
      <c r="AJ1328" s="1">
        <v>1915</v>
      </c>
      <c r="AK1328" s="1" t="s">
        <v>46</v>
      </c>
      <c r="AL1328" s="1">
        <v>125</v>
      </c>
    </row>
    <row r="1329" spans="1:38" x14ac:dyDescent="0.2">
      <c r="A1329" s="2" t="str">
        <f>HYPERLINK("https://www.compass.com/listing/10-madison-square-west-unit-17f-manhattan-ny-10010/29374751315137745/","10 Madison Sq W, Unit 17F")</f>
        <v>10 Madison Sq W, Unit 17F</v>
      </c>
      <c r="B1329" s="2" t="str">
        <f t="shared" si="241"/>
        <v>10 Madison Square West</v>
      </c>
      <c r="C1329" s="1" t="s">
        <v>154</v>
      </c>
      <c r="D1329" s="1" t="s">
        <v>41</v>
      </c>
      <c r="E1329" s="3">
        <v>7280488</v>
      </c>
      <c r="F1329" s="1">
        <v>2583.5654719659301</v>
      </c>
      <c r="M1329" s="4">
        <v>2818</v>
      </c>
      <c r="Q1329" s="1" t="s">
        <v>42</v>
      </c>
      <c r="S1329" s="1" t="s">
        <v>42</v>
      </c>
      <c r="T1329" s="1" t="s">
        <v>170</v>
      </c>
      <c r="AA1329" s="1">
        <v>7280487.5</v>
      </c>
      <c r="AB1329" s="1" t="s">
        <v>1050</v>
      </c>
      <c r="AC1329" s="5">
        <v>42705</v>
      </c>
      <c r="AF1329" s="1">
        <v>10010</v>
      </c>
      <c r="AI1329" s="1" t="s">
        <v>59</v>
      </c>
      <c r="AJ1329" s="1">
        <v>1915</v>
      </c>
      <c r="AK1329" s="1" t="s">
        <v>46</v>
      </c>
      <c r="AL1329" s="1">
        <v>125</v>
      </c>
    </row>
    <row r="1330" spans="1:38" x14ac:dyDescent="0.2">
      <c r="A1330" s="2" t="str">
        <f>HYPERLINK("https://www.compass.com/listing/10-madison-square-west-unit-19b-manhattan-ny-10010/29374752321770721/","10 Madison Sq W, Unit 19B")</f>
        <v>10 Madison Sq W, Unit 19B</v>
      </c>
      <c r="B1330" s="2" t="str">
        <f t="shared" si="241"/>
        <v>10 Madison Square West</v>
      </c>
      <c r="C1330" s="1" t="s">
        <v>154</v>
      </c>
      <c r="D1330" s="1" t="s">
        <v>41</v>
      </c>
      <c r="E1330" s="3">
        <v>11007283</v>
      </c>
      <c r="F1330" s="1">
        <v>3399.4078134650999</v>
      </c>
      <c r="M1330" s="4">
        <v>3238</v>
      </c>
      <c r="Q1330" s="1" t="s">
        <v>42</v>
      </c>
      <c r="S1330" s="1" t="s">
        <v>42</v>
      </c>
      <c r="T1330" s="1" t="s">
        <v>170</v>
      </c>
      <c r="AA1330" s="1">
        <v>11007282.5</v>
      </c>
      <c r="AB1330" s="1" t="s">
        <v>1051</v>
      </c>
      <c r="AC1330" s="5">
        <v>42845</v>
      </c>
      <c r="AF1330" s="1">
        <v>10010</v>
      </c>
      <c r="AI1330" s="1" t="s">
        <v>59</v>
      </c>
      <c r="AJ1330" s="1">
        <v>1915</v>
      </c>
      <c r="AK1330" s="1" t="s">
        <v>46</v>
      </c>
      <c r="AL1330" s="1">
        <v>125</v>
      </c>
    </row>
    <row r="1331" spans="1:38" x14ac:dyDescent="0.2">
      <c r="A1331" s="2" t="str">
        <f>HYPERLINK("https://www.compass.com/listing/10-madison-square-west-unit-20b-manhattan-ny-10010/29374753529730289/","10 Madison Sq W, Unit 20B")</f>
        <v>10 Madison Sq W, Unit 20B</v>
      </c>
      <c r="B1331" s="2" t="str">
        <f t="shared" si="241"/>
        <v>10 Madison Square West</v>
      </c>
      <c r="C1331" s="1" t="s">
        <v>154</v>
      </c>
      <c r="D1331" s="1" t="s">
        <v>41</v>
      </c>
      <c r="E1331" s="3">
        <v>12728125</v>
      </c>
      <c r="F1331" s="1">
        <v>3930.8600988264302</v>
      </c>
      <c r="M1331" s="4">
        <v>3238</v>
      </c>
      <c r="Q1331" s="1" t="s">
        <v>42</v>
      </c>
      <c r="S1331" s="1" t="s">
        <v>42</v>
      </c>
      <c r="T1331" s="1" t="s">
        <v>170</v>
      </c>
      <c r="AA1331" s="1">
        <v>12728125</v>
      </c>
      <c r="AB1331" s="1" t="s">
        <v>1052</v>
      </c>
      <c r="AC1331" s="5">
        <v>42850</v>
      </c>
      <c r="AF1331" s="1">
        <v>10010</v>
      </c>
      <c r="AI1331" s="1" t="s">
        <v>59</v>
      </c>
      <c r="AJ1331" s="1">
        <v>1915</v>
      </c>
      <c r="AK1331" s="1" t="s">
        <v>46</v>
      </c>
      <c r="AL1331" s="1">
        <v>125</v>
      </c>
    </row>
    <row r="1332" spans="1:38" x14ac:dyDescent="0.2">
      <c r="A1332" s="2" t="str">
        <f>HYPERLINK("https://www.compass.com/listing/10-madison-square-west-unit-21c-manhattan-ny-10010/29374755148786849/","10 Madison Sq W, Unit 21C")</f>
        <v>10 Madison Sq W, Unit 21C</v>
      </c>
      <c r="B1332" s="2" t="str">
        <f t="shared" si="241"/>
        <v>10 Madison Square West</v>
      </c>
      <c r="C1332" s="1" t="s">
        <v>154</v>
      </c>
      <c r="D1332" s="1" t="s">
        <v>41</v>
      </c>
      <c r="E1332" s="3">
        <v>10691625</v>
      </c>
      <c r="F1332" s="1">
        <v>4230.9556786703597</v>
      </c>
      <c r="M1332" s="4">
        <v>2527</v>
      </c>
      <c r="Q1332" s="1" t="s">
        <v>42</v>
      </c>
      <c r="S1332" s="1" t="s">
        <v>42</v>
      </c>
      <c r="T1332" s="1" t="s">
        <v>170</v>
      </c>
      <c r="AA1332" s="1">
        <v>10691625</v>
      </c>
      <c r="AB1332" s="1" t="s">
        <v>1053</v>
      </c>
      <c r="AC1332" s="5">
        <v>42789</v>
      </c>
      <c r="AF1332" s="1">
        <v>10010</v>
      </c>
      <c r="AI1332" s="1" t="s">
        <v>59</v>
      </c>
      <c r="AJ1332" s="1">
        <v>1915</v>
      </c>
      <c r="AK1332" s="1" t="s">
        <v>46</v>
      </c>
      <c r="AL1332" s="1">
        <v>125</v>
      </c>
    </row>
    <row r="1333" spans="1:38" x14ac:dyDescent="0.2">
      <c r="A1333" s="2" t="str">
        <f>HYPERLINK("https://www.compass.com/listing/10-madison-square-west-unit-ph2-manhattan-ny-10010/29374755467555169/","10 Madison Sq W, Unit PH2")</f>
        <v>10 Madison Sq W, Unit PH2</v>
      </c>
      <c r="B1333" s="2" t="str">
        <f t="shared" si="241"/>
        <v>10 Madison Square West</v>
      </c>
      <c r="C1333" s="1" t="s">
        <v>154</v>
      </c>
      <c r="D1333" s="1" t="s">
        <v>41</v>
      </c>
      <c r="E1333" s="3">
        <v>33093125</v>
      </c>
      <c r="F1333" s="1">
        <v>5079.5280122793502</v>
      </c>
      <c r="M1333" s="4">
        <v>6515</v>
      </c>
      <c r="Q1333" s="1" t="s">
        <v>42</v>
      </c>
      <c r="S1333" s="1" t="s">
        <v>42</v>
      </c>
      <c r="T1333" s="1" t="s">
        <v>170</v>
      </c>
      <c r="AA1333" s="1">
        <v>33093125</v>
      </c>
      <c r="AB1333" s="1" t="s">
        <v>1054</v>
      </c>
      <c r="AC1333" s="5">
        <v>42629</v>
      </c>
      <c r="AF1333" s="1">
        <v>10010</v>
      </c>
      <c r="AI1333" s="1" t="s">
        <v>59</v>
      </c>
      <c r="AJ1333" s="1">
        <v>1915</v>
      </c>
      <c r="AK1333" s="1" t="s">
        <v>46</v>
      </c>
      <c r="AL1333" s="1">
        <v>125</v>
      </c>
    </row>
    <row r="1334" spans="1:38" x14ac:dyDescent="0.2">
      <c r="A1334" s="2" t="str">
        <f>HYPERLINK("https://www.compass.com/listing/10-madison-square-west-unit-ph-manhattan-ny-10010/29374755819820321/","10 Madison Sq W, Unit PH")</f>
        <v>10 Madison Sq W, Unit PH</v>
      </c>
      <c r="B1334" s="2" t="str">
        <f t="shared" si="241"/>
        <v>10 Madison Square West</v>
      </c>
      <c r="C1334" s="1" t="s">
        <v>154</v>
      </c>
      <c r="D1334" s="1" t="s">
        <v>41</v>
      </c>
      <c r="E1334" s="3">
        <v>36573875</v>
      </c>
      <c r="F1334" s="1">
        <v>5457.1583109519497</v>
      </c>
      <c r="M1334" s="4">
        <v>6702</v>
      </c>
      <c r="Q1334" s="1" t="s">
        <v>42</v>
      </c>
      <c r="S1334" s="1" t="s">
        <v>42</v>
      </c>
      <c r="T1334" s="1" t="s">
        <v>170</v>
      </c>
      <c r="AA1334" s="1">
        <v>36573875</v>
      </c>
      <c r="AB1334" s="1" t="s">
        <v>1055</v>
      </c>
      <c r="AC1334" s="5">
        <v>42634</v>
      </c>
      <c r="AF1334" s="1">
        <v>10010</v>
      </c>
      <c r="AI1334" s="1" t="s">
        <v>59</v>
      </c>
      <c r="AJ1334" s="1">
        <v>1915</v>
      </c>
      <c r="AK1334" s="1" t="s">
        <v>46</v>
      </c>
      <c r="AL1334" s="1">
        <v>125</v>
      </c>
    </row>
    <row r="1335" spans="1:38" x14ac:dyDescent="0.2">
      <c r="A1335" s="2" t="str">
        <f>HYPERLINK("https://www.compass.com/listing/10-madison-square-west-unit-19b-manhattan-ny-10010/820739274946912569/","10 Madison Sq W, Unit 19B")</f>
        <v>10 Madison Sq W, Unit 19B</v>
      </c>
      <c r="B1335" s="2" t="str">
        <f t="shared" si="241"/>
        <v>10 Madison Square West</v>
      </c>
      <c r="C1335" s="1" t="s">
        <v>154</v>
      </c>
      <c r="D1335" s="1" t="s">
        <v>41</v>
      </c>
      <c r="E1335" s="3">
        <v>12750000</v>
      </c>
      <c r="F1335" s="1">
        <v>3937.6158122297702</v>
      </c>
      <c r="M1335" s="4">
        <v>3238</v>
      </c>
      <c r="Q1335" s="1" t="s">
        <v>42</v>
      </c>
      <c r="S1335" s="1" t="s">
        <v>42</v>
      </c>
      <c r="T1335" s="1" t="s">
        <v>170</v>
      </c>
      <c r="AA1335" s="1">
        <v>12750000</v>
      </c>
      <c r="AB1335" s="1" t="s">
        <v>1056</v>
      </c>
      <c r="AC1335" s="5">
        <v>44371</v>
      </c>
      <c r="AF1335" s="1">
        <v>10010</v>
      </c>
      <c r="AI1335" s="1" t="s">
        <v>59</v>
      </c>
      <c r="AJ1335" s="1">
        <v>1915</v>
      </c>
      <c r="AK1335" s="1" t="s">
        <v>46</v>
      </c>
      <c r="AL1335" s="1">
        <v>125</v>
      </c>
    </row>
    <row r="1336" spans="1:38" x14ac:dyDescent="0.2">
      <c r="A1336" s="2" t="str">
        <f>HYPERLINK("https://www.compass.com/listing/10-madison-square-west-unit-15a-manhattan-ny-10010/850286317781361577/","10 Madison Sq W, Unit 15A")</f>
        <v>10 Madison Sq W, Unit 15A</v>
      </c>
      <c r="B1336" s="2" t="str">
        <f t="shared" si="241"/>
        <v>10 Madison Square West</v>
      </c>
      <c r="C1336" s="1" t="s">
        <v>154</v>
      </c>
      <c r="D1336" s="1" t="s">
        <v>41</v>
      </c>
      <c r="E1336" s="3">
        <v>5225000</v>
      </c>
      <c r="F1336" s="1">
        <v>2369.61451247165</v>
      </c>
      <c r="M1336" s="4">
        <v>2205</v>
      </c>
      <c r="Q1336" s="1" t="s">
        <v>42</v>
      </c>
      <c r="S1336" s="1" t="s">
        <v>42</v>
      </c>
      <c r="T1336" s="1" t="s">
        <v>170</v>
      </c>
      <c r="AA1336" s="1">
        <v>5225000</v>
      </c>
      <c r="AB1336" s="1" t="s">
        <v>1057</v>
      </c>
      <c r="AC1336" s="5">
        <v>44336</v>
      </c>
      <c r="AF1336" s="1">
        <v>10010</v>
      </c>
      <c r="AI1336" s="1" t="s">
        <v>59</v>
      </c>
      <c r="AJ1336" s="1">
        <v>1915</v>
      </c>
      <c r="AK1336" s="1" t="s">
        <v>46</v>
      </c>
      <c r="AL1336" s="1">
        <v>125</v>
      </c>
    </row>
    <row r="1337" spans="1:38" x14ac:dyDescent="0.2">
      <c r="A1337" s="2" t="str">
        <f>HYPERLINK("https://www.compass.com/listing/221-west-77th-street-unit-8e-manhattan-ny-10024/8743037383538481/","221 W 77th St, Unit 8E")</f>
        <v>221 W 77th St, Unit 8E</v>
      </c>
      <c r="B1337" s="2" t="str">
        <f t="shared" ref="B1337:B1338" si="242">HYPERLINK("https://www.compass.com/building/221-west-77th-street-manhattan-ny/292869344491294229/","221 West 77th Street")</f>
        <v>221 West 77th Street</v>
      </c>
      <c r="C1337" s="1" t="s">
        <v>50</v>
      </c>
      <c r="D1337" s="1" t="s">
        <v>41</v>
      </c>
      <c r="E1337" s="3">
        <v>4050000</v>
      </c>
      <c r="F1337" s="1">
        <v>2334.2939481267999</v>
      </c>
      <c r="G1337" s="1">
        <v>4</v>
      </c>
      <c r="H1337" s="1">
        <v>2</v>
      </c>
      <c r="I1337" s="1">
        <v>3</v>
      </c>
      <c r="J1337" s="1">
        <v>2.5</v>
      </c>
      <c r="M1337" s="4">
        <v>1735</v>
      </c>
      <c r="N1337" s="1">
        <v>1734</v>
      </c>
      <c r="O1337" s="1">
        <v>3971</v>
      </c>
      <c r="P1337" s="1">
        <v>2237</v>
      </c>
      <c r="Q1337" s="1" t="s">
        <v>42</v>
      </c>
      <c r="S1337" s="1" t="s">
        <v>42</v>
      </c>
      <c r="T1337" s="1" t="s">
        <v>170</v>
      </c>
      <c r="U1337" s="1">
        <v>327</v>
      </c>
      <c r="V1337" s="5">
        <v>43662</v>
      </c>
      <c r="W1337" s="5">
        <v>42265</v>
      </c>
      <c r="X1337" s="1">
        <v>4050000</v>
      </c>
      <c r="Y1337" s="1">
        <v>4050000</v>
      </c>
      <c r="Z1337" s="5">
        <v>42592</v>
      </c>
      <c r="AA1337" s="1">
        <v>4050000</v>
      </c>
      <c r="AB1337" s="1" t="s">
        <v>1027</v>
      </c>
      <c r="AC1337" s="5">
        <v>42905</v>
      </c>
      <c r="AF1337" s="1">
        <v>10024</v>
      </c>
      <c r="AI1337" s="1" t="s">
        <v>80</v>
      </c>
      <c r="AJ1337" s="1">
        <v>2017</v>
      </c>
      <c r="AK1337" s="1" t="s">
        <v>49</v>
      </c>
      <c r="AL1337" s="1">
        <v>26</v>
      </c>
    </row>
    <row r="1338" spans="1:38" x14ac:dyDescent="0.2">
      <c r="A1338" s="2" t="str">
        <f>HYPERLINK("https://www.compass.com/listing/221-west-77th-street-unit-7e-manhattan-ny-10024/8743040772536689/","221 W 77th St, Unit 7E")</f>
        <v>221 W 77th St, Unit 7E</v>
      </c>
      <c r="B1338" s="2" t="str">
        <f t="shared" si="242"/>
        <v>221 West 77th Street</v>
      </c>
      <c r="C1338" s="1" t="s">
        <v>50</v>
      </c>
      <c r="D1338" s="1" t="s">
        <v>41</v>
      </c>
      <c r="E1338" s="3">
        <v>4036500</v>
      </c>
      <c r="F1338" s="1">
        <v>2326.5129682997099</v>
      </c>
      <c r="G1338" s="1">
        <v>4</v>
      </c>
      <c r="H1338" s="1">
        <v>2</v>
      </c>
      <c r="I1338" s="1">
        <v>3</v>
      </c>
      <c r="J1338" s="1">
        <v>2.5</v>
      </c>
      <c r="M1338" s="4">
        <v>1735</v>
      </c>
      <c r="N1338" s="1">
        <v>1734</v>
      </c>
      <c r="O1338" s="1">
        <v>3971</v>
      </c>
      <c r="P1338" s="1">
        <v>2237</v>
      </c>
      <c r="Q1338" s="1" t="s">
        <v>42</v>
      </c>
      <c r="S1338" s="1" t="s">
        <v>42</v>
      </c>
      <c r="T1338" s="1" t="s">
        <v>170</v>
      </c>
      <c r="U1338" s="1">
        <v>51</v>
      </c>
      <c r="V1338" s="5">
        <v>43650</v>
      </c>
      <c r="W1338" s="5">
        <v>42704</v>
      </c>
      <c r="X1338" s="1">
        <v>4000000</v>
      </c>
      <c r="Y1338" s="1">
        <v>4000000</v>
      </c>
      <c r="Z1338" s="5">
        <v>42755</v>
      </c>
      <c r="AA1338" s="1">
        <v>4036500</v>
      </c>
      <c r="AB1338" s="1" t="s">
        <v>1013</v>
      </c>
      <c r="AC1338" s="5">
        <v>42902</v>
      </c>
      <c r="AF1338" s="1">
        <v>10024</v>
      </c>
      <c r="AI1338" s="1" t="s">
        <v>80</v>
      </c>
      <c r="AJ1338" s="1">
        <v>2017</v>
      </c>
      <c r="AK1338" s="1" t="s">
        <v>49</v>
      </c>
      <c r="AL1338" s="1">
        <v>26</v>
      </c>
    </row>
    <row r="1339" spans="1:38" x14ac:dyDescent="0.2">
      <c r="A1339" s="2" t="str">
        <f>HYPERLINK("https://www.compass.com/listing/25-mercer-street-unit-3-manhattan-ny-10013/4852265629220082673/","25 Mercer St, Unit 3")</f>
        <v>25 Mercer St, Unit 3</v>
      </c>
      <c r="B1339" s="2" t="str">
        <f>HYPERLINK("https://www.compass.com/building/25-mercer-st-manhattan-ny-10013/281918357685436949/","25 Mercer St")</f>
        <v>25 Mercer St</v>
      </c>
      <c r="C1339" s="1" t="s">
        <v>104</v>
      </c>
      <c r="D1339" s="1" t="s">
        <v>41</v>
      </c>
      <c r="E1339" s="3">
        <v>8150000</v>
      </c>
      <c r="F1339" s="1">
        <v>2802.6134800550199</v>
      </c>
      <c r="G1339" s="1">
        <v>6</v>
      </c>
      <c r="H1339" s="1">
        <v>3</v>
      </c>
      <c r="I1339" s="1">
        <v>4</v>
      </c>
      <c r="J1339" s="1">
        <v>3.5</v>
      </c>
      <c r="M1339" s="4">
        <v>2908</v>
      </c>
      <c r="N1339" s="1">
        <v>1871</v>
      </c>
      <c r="O1339" s="1">
        <v>5489</v>
      </c>
      <c r="P1339" s="1">
        <v>3618</v>
      </c>
      <c r="Q1339" s="1" t="s">
        <v>42</v>
      </c>
      <c r="S1339" s="1" t="s">
        <v>42</v>
      </c>
      <c r="T1339" s="1" t="s">
        <v>170</v>
      </c>
      <c r="U1339" s="1">
        <v>56</v>
      </c>
      <c r="V1339" s="5">
        <v>43668</v>
      </c>
      <c r="W1339" s="5">
        <v>42467</v>
      </c>
      <c r="X1339" s="1">
        <v>8250000</v>
      </c>
      <c r="Y1339" s="1">
        <v>8250000</v>
      </c>
      <c r="Z1339" s="5">
        <v>42752</v>
      </c>
      <c r="AA1339" s="1">
        <v>8150000</v>
      </c>
      <c r="AB1339" s="1" t="s">
        <v>181</v>
      </c>
      <c r="AC1339" s="5">
        <v>42846</v>
      </c>
      <c r="AF1339" s="1">
        <v>10013</v>
      </c>
      <c r="AI1339" s="1" t="s">
        <v>84</v>
      </c>
      <c r="AJ1339" s="1">
        <v>2016</v>
      </c>
      <c r="AK1339" s="1" t="s">
        <v>63</v>
      </c>
      <c r="AL1339" s="1">
        <v>5</v>
      </c>
    </row>
    <row r="1340" spans="1:38" x14ac:dyDescent="0.2">
      <c r="A1340" s="2" t="str">
        <f>HYPERLINK("https://www.compass.com/listing/215-east-19th-street-unit-14b-manhattan-ny-10003/29514956722429985/","215 E 19th St, Unit 14B")</f>
        <v>215 E 19th St, Unit 14B</v>
      </c>
      <c r="B1340" s="2" t="str">
        <f t="shared" ref="B1340:B1341" si="243">HYPERLINK("https://www.compass.com/building/the-tower-at-gramercy-square-manhattan-ny/281890815108713781/","The Tower at Gramercy Square")</f>
        <v>The Tower at Gramercy Square</v>
      </c>
      <c r="C1340" s="1" t="s">
        <v>54</v>
      </c>
      <c r="D1340" s="1" t="s">
        <v>41</v>
      </c>
      <c r="E1340" s="3">
        <v>4197960</v>
      </c>
      <c r="G1340" s="1">
        <v>4</v>
      </c>
      <c r="H1340" s="1">
        <v>2</v>
      </c>
      <c r="I1340" s="1">
        <v>3</v>
      </c>
      <c r="J1340" s="1">
        <v>3</v>
      </c>
      <c r="K1340" s="1">
        <v>3</v>
      </c>
      <c r="N1340" s="1">
        <v>2047</v>
      </c>
      <c r="O1340" s="1">
        <v>4963</v>
      </c>
      <c r="P1340" s="1">
        <v>2916</v>
      </c>
      <c r="Q1340" s="1" t="s">
        <v>42</v>
      </c>
      <c r="S1340" s="1" t="s">
        <v>42</v>
      </c>
      <c r="T1340" s="1" t="s">
        <v>170</v>
      </c>
      <c r="V1340" s="5">
        <v>44349</v>
      </c>
      <c r="W1340" s="5">
        <v>43133</v>
      </c>
      <c r="X1340" s="1">
        <v>4320000</v>
      </c>
      <c r="Y1340" s="1">
        <v>4320000</v>
      </c>
      <c r="Z1340" s="5">
        <v>43133</v>
      </c>
      <c r="AA1340" s="1">
        <v>4197960</v>
      </c>
      <c r="AB1340" s="1" t="s">
        <v>1058</v>
      </c>
      <c r="AC1340" s="5">
        <v>43627</v>
      </c>
      <c r="AF1340" s="1">
        <v>10003</v>
      </c>
      <c r="AI1340" s="1" t="s">
        <v>76</v>
      </c>
      <c r="AJ1340" s="1">
        <v>1920</v>
      </c>
      <c r="AK1340" s="1" t="s">
        <v>46</v>
      </c>
      <c r="AL1340" s="1">
        <v>130</v>
      </c>
    </row>
    <row r="1341" spans="1:38" x14ac:dyDescent="0.2">
      <c r="A1341" s="2" t="str">
        <f>HYPERLINK("https://www.compass.com/listing/215-east-19th-street-unit-5b-manhattan-ny-10003/29514957452307217/","215 E 19th St, Unit 5B")</f>
        <v>215 E 19th St, Unit 5B</v>
      </c>
      <c r="B1341" s="2" t="str">
        <f t="shared" si="243"/>
        <v>The Tower at Gramercy Square</v>
      </c>
      <c r="C1341" s="1" t="s">
        <v>54</v>
      </c>
      <c r="D1341" s="1" t="s">
        <v>41</v>
      </c>
      <c r="E1341" s="3">
        <v>3250000</v>
      </c>
      <c r="F1341" s="1">
        <v>2138.1578947368398</v>
      </c>
      <c r="G1341" s="1">
        <v>4</v>
      </c>
      <c r="H1341" s="1">
        <v>2</v>
      </c>
      <c r="I1341" s="1">
        <v>3</v>
      </c>
      <c r="J1341" s="1">
        <v>2.5</v>
      </c>
      <c r="K1341" s="1">
        <v>2</v>
      </c>
      <c r="L1341" s="1">
        <v>1</v>
      </c>
      <c r="M1341" s="4">
        <v>1520</v>
      </c>
      <c r="N1341" s="1">
        <v>1725</v>
      </c>
      <c r="O1341" s="1">
        <v>3910</v>
      </c>
      <c r="P1341" s="1">
        <v>2185</v>
      </c>
      <c r="Q1341" s="1" t="s">
        <v>42</v>
      </c>
      <c r="S1341" s="1" t="s">
        <v>42</v>
      </c>
      <c r="T1341" s="1" t="s">
        <v>170</v>
      </c>
      <c r="V1341" s="5">
        <v>43719</v>
      </c>
      <c r="W1341" s="5">
        <v>43133</v>
      </c>
      <c r="X1341" s="1">
        <v>3315000</v>
      </c>
      <c r="Y1341" s="1">
        <v>3315000</v>
      </c>
      <c r="Z1341" s="5">
        <v>43133</v>
      </c>
      <c r="AA1341" s="1">
        <v>3250000</v>
      </c>
      <c r="AB1341" s="1" t="s">
        <v>1059</v>
      </c>
      <c r="AC1341" s="5">
        <v>43698</v>
      </c>
      <c r="AF1341" s="1">
        <v>10003</v>
      </c>
      <c r="AI1341" s="1" t="s">
        <v>76</v>
      </c>
      <c r="AJ1341" s="1">
        <v>1920</v>
      </c>
      <c r="AK1341" s="1" t="s">
        <v>46</v>
      </c>
      <c r="AL1341" s="1">
        <v>130</v>
      </c>
    </row>
    <row r="1342" spans="1:38" x14ac:dyDescent="0.2">
      <c r="A1342" s="2" t="str">
        <f>HYPERLINK("https://www.compass.com/listing/90-morton-street-unit-8a-manhattan-ny-10014/29515685415737921/","90 Morton St, Unit 8A")</f>
        <v>90 Morton St, Unit 8A</v>
      </c>
      <c r="B1342" s="2" t="str">
        <f t="shared" ref="B1342:B1344" si="244">HYPERLINK("https://www.compass.com/building/90-morton-street-manhattan-ny/292834843018978005/","90 Morton Street")</f>
        <v>90 Morton Street</v>
      </c>
      <c r="C1342" s="1" t="s">
        <v>71</v>
      </c>
      <c r="D1342" s="1" t="s">
        <v>41</v>
      </c>
      <c r="E1342" s="3">
        <v>7636875</v>
      </c>
      <c r="F1342" s="1">
        <v>2841.0993303571399</v>
      </c>
      <c r="G1342" s="1">
        <v>4</v>
      </c>
      <c r="H1342" s="1">
        <v>2</v>
      </c>
      <c r="I1342" s="1">
        <v>3</v>
      </c>
      <c r="J1342" s="1">
        <v>2.5</v>
      </c>
      <c r="K1342" s="1">
        <v>2</v>
      </c>
      <c r="L1342" s="1">
        <v>1</v>
      </c>
      <c r="M1342" s="4">
        <v>2688</v>
      </c>
      <c r="N1342" s="1">
        <v>3966.95</v>
      </c>
      <c r="O1342" s="1">
        <v>7152.9</v>
      </c>
      <c r="P1342" s="1">
        <v>3185.9166666666601</v>
      </c>
      <c r="Q1342" s="1" t="s">
        <v>42</v>
      </c>
      <c r="S1342" s="1" t="s">
        <v>42</v>
      </c>
      <c r="T1342" s="1" t="s">
        <v>170</v>
      </c>
      <c r="V1342" s="5">
        <v>43697</v>
      </c>
      <c r="W1342" s="5">
        <v>43207</v>
      </c>
      <c r="X1342" s="1">
        <v>9930000</v>
      </c>
      <c r="Y1342" s="1">
        <v>9930000</v>
      </c>
      <c r="Z1342" s="5">
        <v>43207</v>
      </c>
      <c r="AA1342" s="1">
        <v>7636875</v>
      </c>
      <c r="AB1342" s="1" t="s">
        <v>1060</v>
      </c>
      <c r="AC1342" s="5">
        <v>43644</v>
      </c>
      <c r="AF1342" s="1">
        <v>10014</v>
      </c>
      <c r="AI1342" s="1" t="s">
        <v>786</v>
      </c>
      <c r="AJ1342" s="1">
        <v>2018</v>
      </c>
      <c r="AK1342" s="1" t="s">
        <v>46</v>
      </c>
      <c r="AL1342" s="1">
        <v>35</v>
      </c>
    </row>
    <row r="1343" spans="1:38" x14ac:dyDescent="0.2">
      <c r="A1343" s="2" t="str">
        <f>HYPERLINK("https://www.compass.com/listing/90-morton-street-unit-8d-manhattan-ny-10014/29515686002893041/","90 Morton St, Unit 8D")</f>
        <v>90 Morton St, Unit 8D</v>
      </c>
      <c r="B1343" s="2" t="str">
        <f t="shared" si="244"/>
        <v>90 Morton Street</v>
      </c>
      <c r="C1343" s="1" t="s">
        <v>71</v>
      </c>
      <c r="D1343" s="1" t="s">
        <v>41</v>
      </c>
      <c r="E1343" s="3">
        <v>5566940</v>
      </c>
      <c r="F1343" s="1">
        <v>2342.9882449494899</v>
      </c>
      <c r="G1343" s="1">
        <v>5</v>
      </c>
      <c r="H1343" s="1">
        <v>3</v>
      </c>
      <c r="I1343" s="1">
        <v>3</v>
      </c>
      <c r="J1343" s="1">
        <v>2.5</v>
      </c>
      <c r="K1343" s="1">
        <v>2</v>
      </c>
      <c r="L1343" s="1">
        <v>1</v>
      </c>
      <c r="M1343" s="4">
        <v>2376</v>
      </c>
      <c r="N1343" s="1">
        <v>3253.85</v>
      </c>
      <c r="O1343" s="1">
        <v>5867.09</v>
      </c>
      <c r="P1343" s="1">
        <v>2613.25</v>
      </c>
      <c r="Q1343" s="1" t="s">
        <v>42</v>
      </c>
      <c r="S1343" s="1" t="s">
        <v>42</v>
      </c>
      <c r="T1343" s="1" t="s">
        <v>170</v>
      </c>
      <c r="V1343" s="5">
        <v>43740</v>
      </c>
      <c r="W1343" s="5">
        <v>43207</v>
      </c>
      <c r="X1343" s="1">
        <v>7515000</v>
      </c>
      <c r="Y1343" s="1">
        <v>7515000</v>
      </c>
      <c r="Z1343" s="5">
        <v>43207</v>
      </c>
      <c r="AA1343" s="1">
        <v>7515000</v>
      </c>
      <c r="AB1343" s="1" t="s">
        <v>181</v>
      </c>
      <c r="AC1343" s="5">
        <v>43712</v>
      </c>
      <c r="AF1343" s="1">
        <v>10014</v>
      </c>
      <c r="AI1343" s="1" t="s">
        <v>53</v>
      </c>
      <c r="AJ1343" s="1">
        <v>2018</v>
      </c>
      <c r="AK1343" s="1" t="s">
        <v>46</v>
      </c>
      <c r="AL1343" s="1">
        <v>35</v>
      </c>
    </row>
    <row r="1344" spans="1:38" x14ac:dyDescent="0.2">
      <c r="A1344" s="2" t="str">
        <f>HYPERLINK("https://www.compass.com/listing/90-morton-street-unit-8d-manhattan-ny-10014/480868872384456441/","90 Morton St, Unit 8D")</f>
        <v>90 Morton St, Unit 8D</v>
      </c>
      <c r="B1344" s="2" t="str">
        <f t="shared" si="244"/>
        <v>90 Morton Street</v>
      </c>
      <c r="C1344" s="1" t="s">
        <v>71</v>
      </c>
      <c r="D1344" s="1" t="s">
        <v>41</v>
      </c>
      <c r="E1344" s="3">
        <v>5566940</v>
      </c>
      <c r="F1344" s="1">
        <v>2342.9882449494899</v>
      </c>
      <c r="H1344" s="1">
        <v>3</v>
      </c>
      <c r="J1344" s="1">
        <v>2.5</v>
      </c>
      <c r="K1344" s="1">
        <v>2</v>
      </c>
      <c r="L1344" s="1">
        <v>1</v>
      </c>
      <c r="M1344" s="4">
        <v>2376</v>
      </c>
      <c r="N1344" s="1">
        <v>3253.85</v>
      </c>
      <c r="O1344" s="1">
        <v>5867.09</v>
      </c>
      <c r="P1344" s="1">
        <v>2613.25</v>
      </c>
      <c r="Q1344" s="1" t="s">
        <v>42</v>
      </c>
      <c r="S1344" s="1" t="s">
        <v>42</v>
      </c>
      <c r="T1344" s="1" t="s">
        <v>170</v>
      </c>
      <c r="AA1344" s="1">
        <v>5566940.0700000003</v>
      </c>
      <c r="AB1344" s="1" t="s">
        <v>1061</v>
      </c>
      <c r="AC1344" s="5">
        <v>43712</v>
      </c>
      <c r="AF1344" s="1">
        <v>10014</v>
      </c>
      <c r="AI1344" s="1" t="s">
        <v>786</v>
      </c>
      <c r="AJ1344" s="1">
        <v>2018</v>
      </c>
      <c r="AK1344" s="1" t="s">
        <v>46</v>
      </c>
      <c r="AL1344" s="1">
        <v>35</v>
      </c>
    </row>
    <row r="1345" spans="1:38" x14ac:dyDescent="0.2">
      <c r="A1345" s="2" t="str">
        <f>HYPERLINK("https://www.compass.com/listing/215-east-19th-street-unit-7f-manhattan-ny-10003/475413409379381993/","215 E 19th St, Unit 7F")</f>
        <v>215 E 19th St, Unit 7F</v>
      </c>
      <c r="B1345" s="2" t="str">
        <f>HYPERLINK("https://www.compass.com/building/the-tower-at-gramercy-square-manhattan-ny/281890815108713781/","The Tower at Gramercy Square")</f>
        <v>The Tower at Gramercy Square</v>
      </c>
      <c r="C1345" s="1" t="s">
        <v>54</v>
      </c>
      <c r="D1345" s="1" t="s">
        <v>41</v>
      </c>
      <c r="E1345" s="3">
        <v>1059581</v>
      </c>
      <c r="F1345" s="1">
        <v>1533.4026772793</v>
      </c>
      <c r="G1345" s="1">
        <v>1</v>
      </c>
      <c r="H1345" s="1" t="s">
        <v>79</v>
      </c>
      <c r="I1345" s="1">
        <v>1</v>
      </c>
      <c r="J1345" s="1">
        <v>1</v>
      </c>
      <c r="K1345" s="1">
        <v>1</v>
      </c>
      <c r="M1345" s="1">
        <v>691</v>
      </c>
      <c r="N1345" s="1">
        <v>785</v>
      </c>
      <c r="O1345" s="1">
        <v>2101</v>
      </c>
      <c r="P1345" s="1">
        <v>1316</v>
      </c>
      <c r="Q1345" s="1" t="s">
        <v>42</v>
      </c>
      <c r="S1345" s="1" t="s">
        <v>42</v>
      </c>
      <c r="T1345" s="1" t="s">
        <v>170</v>
      </c>
      <c r="U1345" s="1">
        <v>136</v>
      </c>
      <c r="V1345" s="5">
        <v>44314</v>
      </c>
      <c r="W1345" s="5">
        <v>44044</v>
      </c>
      <c r="Y1345" s="1">
        <v>1150000</v>
      </c>
      <c r="Z1345" s="5">
        <v>44180</v>
      </c>
      <c r="AA1345" s="1">
        <v>1059581.25</v>
      </c>
      <c r="AB1345" s="1" t="s">
        <v>1062</v>
      </c>
      <c r="AC1345" s="5">
        <v>44243</v>
      </c>
      <c r="AF1345" s="1">
        <v>10003</v>
      </c>
      <c r="AI1345" s="1" t="s">
        <v>76</v>
      </c>
      <c r="AJ1345" s="1">
        <v>1920</v>
      </c>
      <c r="AK1345" s="1" t="s">
        <v>73</v>
      </c>
      <c r="AL1345" s="1">
        <v>130</v>
      </c>
    </row>
    <row r="1346" spans="1:38" x14ac:dyDescent="0.2">
      <c r="A1346" s="2" t="str">
        <f>HYPERLINK("https://www.compass.com/listing/32-east-1st-street-unit-3e-manhattan-ny-10003/480867064798872929/","32 E 1st St, Unit 3E")</f>
        <v>32 E 1st St, Unit 3E</v>
      </c>
      <c r="B1346" s="2" t="str">
        <f>HYPERLINK("https://www.compass.com/building/32-east-1st-street-manhattan-ny/292783157810310133/","32 East 1st Street")</f>
        <v>32 East 1st Street</v>
      </c>
      <c r="C1346" s="1" t="s">
        <v>89</v>
      </c>
      <c r="D1346" s="1" t="s">
        <v>41</v>
      </c>
      <c r="E1346" s="3">
        <v>1080000</v>
      </c>
      <c r="F1346" s="1">
        <v>2231.40495867768</v>
      </c>
      <c r="H1346" s="1">
        <v>1</v>
      </c>
      <c r="J1346" s="1">
        <v>1</v>
      </c>
      <c r="K1346" s="1">
        <v>1</v>
      </c>
      <c r="M1346" s="1">
        <v>484</v>
      </c>
      <c r="N1346" s="1">
        <v>605</v>
      </c>
      <c r="O1346" s="1">
        <v>1265</v>
      </c>
      <c r="P1346" s="1">
        <v>660</v>
      </c>
      <c r="Q1346" s="1" t="s">
        <v>42</v>
      </c>
      <c r="S1346" s="1" t="s">
        <v>42</v>
      </c>
      <c r="T1346" s="1" t="s">
        <v>170</v>
      </c>
      <c r="AA1346" s="1">
        <v>1080000</v>
      </c>
      <c r="AB1346" s="1" t="s">
        <v>1063</v>
      </c>
      <c r="AC1346" s="5">
        <v>43901</v>
      </c>
      <c r="AF1346" s="1">
        <v>10003</v>
      </c>
      <c r="AI1346" s="1" t="s">
        <v>53</v>
      </c>
      <c r="AJ1346" s="1">
        <v>2019</v>
      </c>
      <c r="AK1346" s="1" t="s">
        <v>49</v>
      </c>
      <c r="AL1346" s="1">
        <v>30</v>
      </c>
    </row>
    <row r="1347" spans="1:38" x14ac:dyDescent="0.2">
      <c r="A1347" s="2" t="str">
        <f>HYPERLINK("https://www.compass.com/listing/225-east-19th-street-unit-205-manhattan-ny-10003/29514965933190193/","225 E 19th St, Unit 205")</f>
        <v>225 E 19th St, Unit 205</v>
      </c>
      <c r="B1347" s="2" t="str">
        <f t="shared" ref="B1347:B1348" si="245">HYPERLINK("https://www.compass.com/building/the-prewar-at-gramercy-square-manhattan-ny/282059248584654437/","The Prewar at Gramercy Square")</f>
        <v>The Prewar at Gramercy Square</v>
      </c>
      <c r="C1347" s="1" t="s">
        <v>54</v>
      </c>
      <c r="D1347" s="1" t="s">
        <v>41</v>
      </c>
      <c r="E1347" s="3">
        <v>1013159</v>
      </c>
      <c r="F1347" s="1">
        <v>1786.8765432098701</v>
      </c>
      <c r="G1347" s="1">
        <v>2</v>
      </c>
      <c r="H1347" s="1" t="s">
        <v>79</v>
      </c>
      <c r="I1347" s="1">
        <v>1</v>
      </c>
      <c r="J1347" s="1">
        <v>1</v>
      </c>
      <c r="K1347" s="1">
        <v>1</v>
      </c>
      <c r="M1347" s="1">
        <v>567</v>
      </c>
      <c r="N1347" s="1">
        <v>644</v>
      </c>
      <c r="O1347" s="1">
        <v>1459</v>
      </c>
      <c r="P1347" s="1">
        <v>815</v>
      </c>
      <c r="Q1347" s="1" t="s">
        <v>42</v>
      </c>
      <c r="S1347" s="1" t="s">
        <v>42</v>
      </c>
      <c r="T1347" s="1" t="s">
        <v>170</v>
      </c>
      <c r="U1347" s="1">
        <v>1</v>
      </c>
      <c r="V1347" s="5">
        <v>43637</v>
      </c>
      <c r="W1347" s="5">
        <v>43005</v>
      </c>
      <c r="X1347" s="1">
        <v>995000</v>
      </c>
      <c r="Y1347" s="1">
        <v>1020000</v>
      </c>
      <c r="Z1347" s="5">
        <v>43006</v>
      </c>
      <c r="AA1347" s="1">
        <v>1013159</v>
      </c>
      <c r="AB1347" s="1" t="s">
        <v>1064</v>
      </c>
      <c r="AC1347" s="5">
        <v>43349</v>
      </c>
      <c r="AF1347" s="1">
        <v>10003</v>
      </c>
      <c r="AI1347" s="1" t="s">
        <v>76</v>
      </c>
      <c r="AJ1347" s="1">
        <v>1920</v>
      </c>
      <c r="AK1347" s="1" t="s">
        <v>46</v>
      </c>
      <c r="AL1347" s="1">
        <v>48</v>
      </c>
    </row>
    <row r="1348" spans="1:38" x14ac:dyDescent="0.2">
      <c r="A1348" s="2" t="str">
        <f>HYPERLINK("https://www.compass.com/listing/225-east-19th-street-unit-204-manhattan-ny-10003/99927573059917409/","225 E 19th St, Unit 204")</f>
        <v>225 E 19th St, Unit 204</v>
      </c>
      <c r="B1348" s="2" t="str">
        <f t="shared" si="245"/>
        <v>The Prewar at Gramercy Square</v>
      </c>
      <c r="C1348" s="1" t="s">
        <v>54</v>
      </c>
      <c r="D1348" s="1" t="s">
        <v>41</v>
      </c>
      <c r="E1348" s="3">
        <v>1028433</v>
      </c>
      <c r="F1348" s="1">
        <v>1779.29584775086</v>
      </c>
      <c r="G1348" s="1">
        <v>2</v>
      </c>
      <c r="H1348" s="1" t="s">
        <v>79</v>
      </c>
      <c r="I1348" s="1">
        <v>1</v>
      </c>
      <c r="J1348" s="1">
        <v>1</v>
      </c>
      <c r="M1348" s="1">
        <v>578</v>
      </c>
      <c r="N1348" s="1">
        <v>656</v>
      </c>
      <c r="O1348" s="1">
        <v>1486</v>
      </c>
      <c r="P1348" s="1">
        <v>830</v>
      </c>
      <c r="Q1348" s="1" t="s">
        <v>42</v>
      </c>
      <c r="S1348" s="1" t="s">
        <v>42</v>
      </c>
      <c r="T1348" s="1" t="s">
        <v>170</v>
      </c>
      <c r="V1348" s="5">
        <v>43641</v>
      </c>
      <c r="W1348" s="5">
        <v>43390</v>
      </c>
      <c r="X1348" s="1">
        <v>1040000</v>
      </c>
      <c r="Y1348" s="1">
        <v>1040000</v>
      </c>
      <c r="Z1348" s="5">
        <v>43390</v>
      </c>
      <c r="AA1348" s="1">
        <v>1028433</v>
      </c>
      <c r="AB1348" s="1" t="s">
        <v>1065</v>
      </c>
      <c r="AC1348" s="5">
        <v>43431</v>
      </c>
      <c r="AF1348" s="1">
        <v>10003</v>
      </c>
      <c r="AI1348" s="1" t="s">
        <v>76</v>
      </c>
      <c r="AJ1348" s="1">
        <v>1920</v>
      </c>
      <c r="AK1348" s="1" t="s">
        <v>46</v>
      </c>
      <c r="AL1348" s="1">
        <v>48</v>
      </c>
    </row>
    <row r="1349" spans="1:38" x14ac:dyDescent="0.2">
      <c r="A1349" s="2" t="str">
        <f>HYPERLINK("https://www.compass.com/listing/25-mercer-street-unit-2-manhattan-ny-10013/29359655553633393/","25 Mercer St, Unit 2")</f>
        <v>25 Mercer St, Unit 2</v>
      </c>
      <c r="B1349" s="2" t="str">
        <f>HYPERLINK("https://www.compass.com/building/25-mercer-st-manhattan-ny-10013/281918357685436949/","25 Mercer St")</f>
        <v>25 Mercer St</v>
      </c>
      <c r="C1349" s="1" t="s">
        <v>104</v>
      </c>
      <c r="D1349" s="1" t="s">
        <v>41</v>
      </c>
      <c r="E1349" s="3">
        <v>8146000</v>
      </c>
      <c r="F1349" s="1">
        <v>2807.9972423302302</v>
      </c>
      <c r="G1349" s="1">
        <v>6</v>
      </c>
      <c r="H1349" s="1">
        <v>3</v>
      </c>
      <c r="I1349" s="1">
        <v>4</v>
      </c>
      <c r="J1349" s="1">
        <v>3.5</v>
      </c>
      <c r="M1349" s="4">
        <v>2901</v>
      </c>
      <c r="N1349" s="1">
        <v>1605</v>
      </c>
      <c r="O1349" s="1">
        <v>5215</v>
      </c>
      <c r="P1349" s="1">
        <v>3610</v>
      </c>
      <c r="Q1349" s="1" t="s">
        <v>1066</v>
      </c>
      <c r="S1349" s="1" t="s">
        <v>155</v>
      </c>
      <c r="T1349" s="1" t="s">
        <v>170</v>
      </c>
      <c r="U1349" s="1">
        <v>33</v>
      </c>
      <c r="V1349" s="5">
        <v>43650</v>
      </c>
      <c r="W1349" s="5">
        <v>42868</v>
      </c>
      <c r="X1349" s="1">
        <v>8250000</v>
      </c>
      <c r="Y1349" s="1">
        <v>8250000</v>
      </c>
      <c r="Z1349" s="5">
        <v>42901</v>
      </c>
      <c r="AA1349" s="1">
        <v>8146000</v>
      </c>
      <c r="AB1349" s="1" t="s">
        <v>1067</v>
      </c>
      <c r="AC1349" s="5">
        <v>42962</v>
      </c>
      <c r="AF1349" s="1">
        <v>10013</v>
      </c>
      <c r="AI1349" s="1" t="s">
        <v>116</v>
      </c>
      <c r="AJ1349" s="1">
        <v>2016</v>
      </c>
      <c r="AL1349" s="1">
        <v>5</v>
      </c>
    </row>
    <row r="1350" spans="1:38" x14ac:dyDescent="0.2">
      <c r="A1350" s="2" t="str">
        <f>HYPERLINK("https://www.compass.com/listing/215-east-19th-street-unit-9e-manhattan-ny-10003/146485823309703857/","215 E 19th St, Unit 9E")</f>
        <v>215 E 19th St, Unit 9E</v>
      </c>
      <c r="B1350" s="2" t="str">
        <f t="shared" ref="B1350:B1351" si="246">HYPERLINK("https://www.compass.com/building/the-tower-at-gramercy-square-manhattan-ny/281890815108713781/","The Tower at Gramercy Square")</f>
        <v>The Tower at Gramercy Square</v>
      </c>
      <c r="C1350" s="1" t="s">
        <v>54</v>
      </c>
      <c r="D1350" s="1" t="s">
        <v>41</v>
      </c>
      <c r="E1350" s="3">
        <v>5450000</v>
      </c>
      <c r="F1350" s="1">
        <v>2163.5569670504101</v>
      </c>
      <c r="G1350" s="1">
        <v>6</v>
      </c>
      <c r="H1350" s="1">
        <v>3</v>
      </c>
      <c r="I1350" s="1">
        <v>4</v>
      </c>
      <c r="J1350" s="1">
        <v>3.5</v>
      </c>
      <c r="K1350" s="1">
        <v>3</v>
      </c>
      <c r="L1350" s="1">
        <v>1</v>
      </c>
      <c r="M1350" s="4">
        <v>2519</v>
      </c>
      <c r="N1350" s="1">
        <v>2859</v>
      </c>
      <c r="O1350" s="1">
        <v>7646</v>
      </c>
      <c r="P1350" s="1">
        <v>4787</v>
      </c>
      <c r="Q1350" s="1" t="s">
        <v>42</v>
      </c>
      <c r="S1350" s="1" t="s">
        <v>42</v>
      </c>
      <c r="T1350" s="1" t="s">
        <v>170</v>
      </c>
      <c r="U1350" s="1">
        <v>737</v>
      </c>
      <c r="V1350" s="5">
        <v>44370</v>
      </c>
      <c r="W1350" s="5">
        <v>43453</v>
      </c>
      <c r="X1350" s="1">
        <v>5505000</v>
      </c>
      <c r="Y1350" s="1">
        <v>4710000</v>
      </c>
      <c r="Z1350" s="5">
        <v>44285</v>
      </c>
      <c r="AA1350" s="1">
        <v>5450000</v>
      </c>
      <c r="AB1350" s="1" t="s">
        <v>181</v>
      </c>
      <c r="AC1350" s="5">
        <v>44361</v>
      </c>
      <c r="AF1350" s="1">
        <v>10003</v>
      </c>
      <c r="AI1350" s="1" t="s">
        <v>76</v>
      </c>
      <c r="AJ1350" s="1">
        <v>1920</v>
      </c>
      <c r="AK1350" s="1" t="s">
        <v>46</v>
      </c>
      <c r="AL1350" s="1">
        <v>130</v>
      </c>
    </row>
    <row r="1351" spans="1:38" x14ac:dyDescent="0.2">
      <c r="A1351" s="2" t="str">
        <f>HYPERLINK("https://www.compass.com/listing/215-east-19th-street-unit-3c-manhattan-ny-10003/29514954759495649/","215 E 19th St, Unit 3C")</f>
        <v>215 E 19th St, Unit 3C</v>
      </c>
      <c r="B1351" s="2" t="str">
        <f t="shared" si="246"/>
        <v>The Tower at Gramercy Square</v>
      </c>
      <c r="C1351" s="1" t="s">
        <v>54</v>
      </c>
      <c r="D1351" s="1" t="s">
        <v>41</v>
      </c>
      <c r="E1351" s="3">
        <v>4100000</v>
      </c>
      <c r="F1351" s="1">
        <v>1944.0493124703601</v>
      </c>
      <c r="G1351" s="1">
        <v>6</v>
      </c>
      <c r="H1351" s="1">
        <v>3</v>
      </c>
      <c r="I1351" s="1">
        <v>4</v>
      </c>
      <c r="J1351" s="1">
        <v>3.5</v>
      </c>
      <c r="K1351" s="1">
        <v>3</v>
      </c>
      <c r="L1351" s="1">
        <v>1</v>
      </c>
      <c r="M1351" s="4">
        <v>2109</v>
      </c>
      <c r="N1351" s="1">
        <v>2394</v>
      </c>
      <c r="O1351" s="1">
        <v>5427</v>
      </c>
      <c r="P1351" s="1">
        <v>3033</v>
      </c>
      <c r="Q1351" s="1" t="s">
        <v>42</v>
      </c>
      <c r="S1351" s="1" t="s">
        <v>42</v>
      </c>
      <c r="T1351" s="1" t="s">
        <v>170</v>
      </c>
      <c r="U1351" s="1">
        <v>181</v>
      </c>
      <c r="V1351" s="5">
        <v>43757</v>
      </c>
      <c r="W1351" s="5">
        <v>43008</v>
      </c>
      <c r="X1351" s="1">
        <v>4430000</v>
      </c>
      <c r="Y1351" s="1">
        <v>4430000</v>
      </c>
      <c r="Z1351" s="5">
        <v>43189</v>
      </c>
      <c r="AA1351" s="1">
        <v>4100000</v>
      </c>
      <c r="AB1351" s="1" t="s">
        <v>1068</v>
      </c>
      <c r="AC1351" s="5">
        <v>43521</v>
      </c>
      <c r="AF1351" s="1">
        <v>10003</v>
      </c>
      <c r="AI1351" s="1" t="s">
        <v>76</v>
      </c>
      <c r="AJ1351" s="1">
        <v>1920</v>
      </c>
      <c r="AK1351" s="1" t="s">
        <v>46</v>
      </c>
      <c r="AL1351" s="1">
        <v>130</v>
      </c>
    </row>
    <row r="1352" spans="1:38" x14ac:dyDescent="0.2">
      <c r="A1352" s="2" t="str">
        <f>HYPERLINK("https://www.compass.com/listing/90-morton-street-unit-ph10a-manhattan-ny-10014/29515684602042897/","90 Morton St, Unit PH10A")</f>
        <v>90 Morton St, Unit PH10A</v>
      </c>
      <c r="B1352" s="2" t="str">
        <f t="shared" ref="B1352:B1355" si="247">HYPERLINK("https://www.compass.com/building/90-morton-street-manhattan-ny/292834843018978005/","90 Morton Street")</f>
        <v>90 Morton Street</v>
      </c>
      <c r="C1352" s="1" t="s">
        <v>71</v>
      </c>
      <c r="D1352" s="1" t="s">
        <v>41</v>
      </c>
      <c r="E1352" s="3">
        <v>12600843</v>
      </c>
      <c r="F1352" s="1">
        <v>3426.0040783034201</v>
      </c>
      <c r="G1352" s="1">
        <v>5</v>
      </c>
      <c r="H1352" s="1">
        <v>3</v>
      </c>
      <c r="I1352" s="1">
        <v>4</v>
      </c>
      <c r="J1352" s="1">
        <v>3.5</v>
      </c>
      <c r="K1352" s="1">
        <v>3</v>
      </c>
      <c r="L1352" s="1">
        <v>1</v>
      </c>
      <c r="M1352" s="4">
        <v>3678</v>
      </c>
      <c r="N1352" s="1">
        <v>6083.42</v>
      </c>
      <c r="O1352" s="1">
        <v>10969.16</v>
      </c>
      <c r="P1352" s="1">
        <v>4885.75</v>
      </c>
      <c r="Q1352" s="1" t="s">
        <v>42</v>
      </c>
      <c r="S1352" s="1" t="s">
        <v>42</v>
      </c>
      <c r="T1352" s="1" t="s">
        <v>170</v>
      </c>
      <c r="V1352" s="5">
        <v>43697</v>
      </c>
      <c r="W1352" s="5">
        <v>43207</v>
      </c>
      <c r="X1352" s="1">
        <v>16500000</v>
      </c>
      <c r="Y1352" s="1">
        <v>16500000</v>
      </c>
      <c r="Z1352" s="5">
        <v>43207</v>
      </c>
      <c r="AA1352" s="1">
        <v>12600843</v>
      </c>
      <c r="AB1352" s="1" t="s">
        <v>1069</v>
      </c>
      <c r="AC1352" s="5">
        <v>43645</v>
      </c>
      <c r="AF1352" s="1">
        <v>10014</v>
      </c>
      <c r="AI1352" s="1" t="s">
        <v>786</v>
      </c>
      <c r="AJ1352" s="1">
        <v>2018</v>
      </c>
      <c r="AK1352" s="1" t="s">
        <v>46</v>
      </c>
      <c r="AL1352" s="1">
        <v>35</v>
      </c>
    </row>
    <row r="1353" spans="1:38" x14ac:dyDescent="0.2">
      <c r="A1353" s="2" t="str">
        <f>HYPERLINK("https://www.compass.com/listing/90-morton-street-unit-4d-manhattan-ny-10014/29515684903958961/","90 Morton St, Unit 4D")</f>
        <v>90 Morton St, Unit 4D</v>
      </c>
      <c r="B1353" s="2" t="str">
        <f t="shared" si="247"/>
        <v>90 Morton Street</v>
      </c>
      <c r="C1353" s="1" t="s">
        <v>71</v>
      </c>
      <c r="D1353" s="1" t="s">
        <v>41</v>
      </c>
      <c r="E1353" s="3">
        <v>6730000</v>
      </c>
      <c r="F1353" s="1">
        <v>2999.1087344028501</v>
      </c>
      <c r="G1353" s="1">
        <v>5</v>
      </c>
      <c r="H1353" s="1">
        <v>3</v>
      </c>
      <c r="I1353" s="1">
        <v>4</v>
      </c>
      <c r="J1353" s="1">
        <v>3.5</v>
      </c>
      <c r="K1353" s="1">
        <v>3</v>
      </c>
      <c r="L1353" s="1">
        <v>1</v>
      </c>
      <c r="M1353" s="4">
        <v>2244</v>
      </c>
      <c r="N1353" s="1">
        <v>2969.06</v>
      </c>
      <c r="O1353" s="1">
        <v>5353.58</v>
      </c>
      <c r="P1353" s="1">
        <v>2384.5</v>
      </c>
      <c r="Q1353" s="1" t="s">
        <v>42</v>
      </c>
      <c r="S1353" s="1" t="s">
        <v>42</v>
      </c>
      <c r="T1353" s="1" t="s">
        <v>170</v>
      </c>
      <c r="V1353" s="5">
        <v>43880</v>
      </c>
      <c r="W1353" s="5">
        <v>43206</v>
      </c>
      <c r="X1353" s="1">
        <v>6730000</v>
      </c>
      <c r="Y1353" s="1">
        <v>6730000</v>
      </c>
      <c r="Z1353" s="5">
        <v>43206</v>
      </c>
      <c r="AA1353" s="1">
        <v>6730000</v>
      </c>
      <c r="AB1353" s="1" t="s">
        <v>181</v>
      </c>
      <c r="AC1353" s="5">
        <v>43853</v>
      </c>
      <c r="AF1353" s="1">
        <v>10014</v>
      </c>
      <c r="AI1353" s="1" t="s">
        <v>786</v>
      </c>
      <c r="AJ1353" s="1">
        <v>2018</v>
      </c>
      <c r="AK1353" s="1" t="s">
        <v>46</v>
      </c>
      <c r="AL1353" s="1">
        <v>35</v>
      </c>
    </row>
    <row r="1354" spans="1:38" x14ac:dyDescent="0.2">
      <c r="A1354" s="2" t="str">
        <f>HYPERLINK("https://www.compass.com/listing/90-morton-street-unit-ph9b-manhattan-ny-10014/29515686564903441/","90 Morton St, Unit PH9B")</f>
        <v>90 Morton St, Unit PH9B</v>
      </c>
      <c r="B1354" s="2" t="str">
        <f t="shared" si="247"/>
        <v>90 Morton Street</v>
      </c>
      <c r="C1354" s="1" t="s">
        <v>71</v>
      </c>
      <c r="D1354" s="1" t="s">
        <v>41</v>
      </c>
      <c r="E1354" s="3">
        <v>11608050</v>
      </c>
      <c r="F1354" s="1">
        <v>3197.8099173553701</v>
      </c>
      <c r="G1354" s="1">
        <v>5</v>
      </c>
      <c r="H1354" s="1">
        <v>3</v>
      </c>
      <c r="I1354" s="1">
        <v>4</v>
      </c>
      <c r="J1354" s="1">
        <v>3.5</v>
      </c>
      <c r="K1354" s="1">
        <v>3</v>
      </c>
      <c r="L1354" s="1">
        <v>1</v>
      </c>
      <c r="M1354" s="4">
        <v>3630</v>
      </c>
      <c r="N1354" s="1">
        <v>5789.37</v>
      </c>
      <c r="O1354" s="1">
        <v>10438.950000000001</v>
      </c>
      <c r="P1354" s="1">
        <v>4649.5833333333303</v>
      </c>
      <c r="Q1354" s="1" t="s">
        <v>42</v>
      </c>
      <c r="S1354" s="1" t="s">
        <v>42</v>
      </c>
      <c r="T1354" s="1" t="s">
        <v>170</v>
      </c>
      <c r="V1354" s="5">
        <v>43697</v>
      </c>
      <c r="W1354" s="5">
        <v>43207</v>
      </c>
      <c r="X1354" s="1">
        <v>15200000</v>
      </c>
      <c r="Y1354" s="1">
        <v>15200000</v>
      </c>
      <c r="Z1354" s="5">
        <v>43207</v>
      </c>
      <c r="AA1354" s="1">
        <v>11608050</v>
      </c>
      <c r="AB1354" s="1" t="s">
        <v>1070</v>
      </c>
      <c r="AC1354" s="5">
        <v>43644</v>
      </c>
      <c r="AF1354" s="1">
        <v>10014</v>
      </c>
      <c r="AI1354" s="1" t="s">
        <v>786</v>
      </c>
      <c r="AJ1354" s="1">
        <v>2018</v>
      </c>
      <c r="AK1354" s="1" t="s">
        <v>46</v>
      </c>
      <c r="AL1354" s="1">
        <v>35</v>
      </c>
    </row>
    <row r="1355" spans="1:38" x14ac:dyDescent="0.2">
      <c r="A1355" s="2" t="str">
        <f>HYPERLINK("https://www.compass.com/listing/90-morton-street-unit-4d-manhattan-ny-10014/480868861196000641/","90 Morton St, Unit 4D")</f>
        <v>90 Morton St, Unit 4D</v>
      </c>
      <c r="B1355" s="2" t="str">
        <f t="shared" si="247"/>
        <v>90 Morton Street</v>
      </c>
      <c r="C1355" s="1" t="s">
        <v>71</v>
      </c>
      <c r="D1355" s="1" t="s">
        <v>41</v>
      </c>
      <c r="E1355" s="3">
        <v>5044183</v>
      </c>
      <c r="F1355" s="1">
        <v>2247.8533734402799</v>
      </c>
      <c r="H1355" s="1">
        <v>3</v>
      </c>
      <c r="J1355" s="1">
        <v>3.5</v>
      </c>
      <c r="K1355" s="1">
        <v>3</v>
      </c>
      <c r="L1355" s="1">
        <v>1</v>
      </c>
      <c r="M1355" s="4">
        <v>2244</v>
      </c>
      <c r="N1355" s="1">
        <v>2969.06</v>
      </c>
      <c r="O1355" s="1">
        <v>5353.58</v>
      </c>
      <c r="P1355" s="1">
        <v>2384.5</v>
      </c>
      <c r="Q1355" s="1" t="s">
        <v>42</v>
      </c>
      <c r="S1355" s="1" t="s">
        <v>42</v>
      </c>
      <c r="T1355" s="1" t="s">
        <v>170</v>
      </c>
      <c r="AA1355" s="1">
        <v>5044182.97</v>
      </c>
      <c r="AB1355" s="1" t="s">
        <v>1071</v>
      </c>
      <c r="AC1355" s="5">
        <v>43853</v>
      </c>
      <c r="AF1355" s="1">
        <v>10014</v>
      </c>
      <c r="AI1355" s="1" t="s">
        <v>786</v>
      </c>
      <c r="AJ1355" s="1">
        <v>2018</v>
      </c>
      <c r="AK1355" s="1" t="s">
        <v>46</v>
      </c>
      <c r="AL1355" s="1">
        <v>35</v>
      </c>
    </row>
    <row r="1356" spans="1:38" x14ac:dyDescent="0.2">
      <c r="A1356" s="2" t="str">
        <f>HYPERLINK("https://www.compass.com/listing/215-east-19th-street-unit-10g-manhattan-ny-10003/29514956034591345/","215 E 19th St, Unit 10G")</f>
        <v>215 E 19th St, Unit 10G</v>
      </c>
      <c r="B1356" s="2" t="str">
        <f>HYPERLINK("https://www.compass.com/building/the-tower-at-gramercy-square-manhattan-ny/281890815108713781/","The Tower at Gramercy Square")</f>
        <v>The Tower at Gramercy Square</v>
      </c>
      <c r="C1356" s="1" t="s">
        <v>54</v>
      </c>
      <c r="D1356" s="1" t="s">
        <v>41</v>
      </c>
      <c r="E1356" s="3">
        <v>4635000</v>
      </c>
      <c r="F1356" s="1">
        <v>2256.5725413826599</v>
      </c>
      <c r="G1356" s="1">
        <v>6</v>
      </c>
      <c r="H1356" s="1">
        <v>3</v>
      </c>
      <c r="I1356" s="1">
        <v>4</v>
      </c>
      <c r="J1356" s="1">
        <v>3.5</v>
      </c>
      <c r="K1356" s="1">
        <v>3</v>
      </c>
      <c r="L1356" s="1">
        <v>1</v>
      </c>
      <c r="M1356" s="4">
        <v>2054</v>
      </c>
      <c r="N1356" s="1">
        <v>2331</v>
      </c>
      <c r="O1356" s="1">
        <v>5284</v>
      </c>
      <c r="P1356" s="1">
        <v>2953</v>
      </c>
      <c r="Q1356" s="1" t="s">
        <v>42</v>
      </c>
      <c r="S1356" s="1" t="s">
        <v>42</v>
      </c>
      <c r="T1356" s="1" t="s">
        <v>170</v>
      </c>
      <c r="V1356" s="5">
        <v>43554</v>
      </c>
      <c r="W1356" s="5">
        <v>43145</v>
      </c>
      <c r="X1356" s="1">
        <v>4770000</v>
      </c>
      <c r="Y1356" s="1">
        <v>4770000</v>
      </c>
      <c r="Z1356" s="5">
        <v>43146</v>
      </c>
      <c r="AA1356" s="1">
        <v>4635000</v>
      </c>
      <c r="AB1356" s="1" t="s">
        <v>1072</v>
      </c>
      <c r="AC1356" s="5">
        <v>43539</v>
      </c>
      <c r="AF1356" s="1">
        <v>10003</v>
      </c>
      <c r="AI1356" s="1" t="s">
        <v>76</v>
      </c>
      <c r="AJ1356" s="1">
        <v>1920</v>
      </c>
      <c r="AK1356" s="1" t="s">
        <v>46</v>
      </c>
      <c r="AL1356" s="1">
        <v>130</v>
      </c>
    </row>
    <row r="1357" spans="1:38" x14ac:dyDescent="0.2">
      <c r="A1357" s="2" t="str">
        <f>HYPERLINK("https://www.compass.com/listing/221-west-77th-street-unit-5e-manhattan-ny-10024/8743036167190081/","221 W 77th St, Unit 5E")</f>
        <v>221 W 77th St, Unit 5E</v>
      </c>
      <c r="B1357" s="2" t="str">
        <f t="shared" ref="B1357:B1358" si="248">HYPERLINK("https://www.compass.com/building/221-west-77th-street-manhattan-ny/292869344491294229/","221 West 77th Street")</f>
        <v>221 West 77th Street</v>
      </c>
      <c r="C1357" s="1" t="s">
        <v>50</v>
      </c>
      <c r="D1357" s="1" t="s">
        <v>41</v>
      </c>
      <c r="E1357" s="3">
        <v>4825000</v>
      </c>
      <c r="F1357" s="1">
        <v>2355.95703125</v>
      </c>
      <c r="G1357" s="1">
        <v>5</v>
      </c>
      <c r="H1357" s="1">
        <v>3</v>
      </c>
      <c r="I1357" s="1">
        <v>4</v>
      </c>
      <c r="J1357" s="1">
        <v>0.5</v>
      </c>
      <c r="L1357" s="1">
        <v>1</v>
      </c>
      <c r="M1357" s="4">
        <v>2048</v>
      </c>
      <c r="N1357" s="1">
        <v>2047</v>
      </c>
      <c r="O1357" s="1">
        <v>4688</v>
      </c>
      <c r="P1357" s="1">
        <v>2641</v>
      </c>
      <c r="Q1357" s="1" t="s">
        <v>42</v>
      </c>
      <c r="S1357" s="1" t="s">
        <v>42</v>
      </c>
      <c r="T1357" s="1" t="s">
        <v>170</v>
      </c>
      <c r="U1357" s="1">
        <v>75</v>
      </c>
      <c r="V1357" s="5">
        <v>43672</v>
      </c>
      <c r="W1357" s="5">
        <v>42692</v>
      </c>
      <c r="X1357" s="1">
        <v>4850000</v>
      </c>
      <c r="Y1357" s="1">
        <v>4850000</v>
      </c>
      <c r="Z1357" s="5">
        <v>42767</v>
      </c>
      <c r="AA1357" s="1">
        <v>4825000</v>
      </c>
      <c r="AB1357" s="1" t="s">
        <v>1073</v>
      </c>
      <c r="AC1357" s="5">
        <v>42912</v>
      </c>
      <c r="AF1357" s="1">
        <v>10024</v>
      </c>
      <c r="AI1357" s="1" t="s">
        <v>1014</v>
      </c>
      <c r="AJ1357" s="1">
        <v>2017</v>
      </c>
      <c r="AK1357" s="1" t="s">
        <v>77</v>
      </c>
      <c r="AL1357" s="1">
        <v>26</v>
      </c>
    </row>
    <row r="1358" spans="1:38" x14ac:dyDescent="0.2">
      <c r="A1358" s="2" t="str">
        <f>HYPERLINK("https://www.compass.com/listing/221-west-77th-street-unit-6e-manhattan-ny-10024/8743038524389313/","221 W 77th St, Unit 6E")</f>
        <v>221 W 77th St, Unit 6E</v>
      </c>
      <c r="B1358" s="2" t="str">
        <f t="shared" si="248"/>
        <v>221 West 77th Street</v>
      </c>
      <c r="C1358" s="1" t="s">
        <v>50</v>
      </c>
      <c r="D1358" s="1" t="s">
        <v>41</v>
      </c>
      <c r="E1358" s="3">
        <v>4875000</v>
      </c>
      <c r="F1358" s="1">
        <v>2380.37109375</v>
      </c>
      <c r="G1358" s="1">
        <v>5</v>
      </c>
      <c r="H1358" s="1">
        <v>3</v>
      </c>
      <c r="I1358" s="1">
        <v>4</v>
      </c>
      <c r="J1358" s="1">
        <v>0.5</v>
      </c>
      <c r="L1358" s="1">
        <v>1</v>
      </c>
      <c r="M1358" s="4">
        <v>2048</v>
      </c>
      <c r="N1358" s="1">
        <v>2047</v>
      </c>
      <c r="O1358" s="1">
        <v>4688</v>
      </c>
      <c r="P1358" s="1">
        <v>2641</v>
      </c>
      <c r="Q1358" s="1" t="s">
        <v>42</v>
      </c>
      <c r="S1358" s="1" t="s">
        <v>42</v>
      </c>
      <c r="T1358" s="1" t="s">
        <v>170</v>
      </c>
      <c r="U1358" s="1">
        <v>178</v>
      </c>
      <c r="V1358" s="5">
        <v>43671</v>
      </c>
      <c r="W1358" s="5">
        <v>42528</v>
      </c>
      <c r="X1358" s="1">
        <v>4925000</v>
      </c>
      <c r="Y1358" s="1">
        <v>4925000</v>
      </c>
      <c r="Z1358" s="5">
        <v>42706</v>
      </c>
      <c r="AA1358" s="1">
        <v>4875000</v>
      </c>
      <c r="AB1358" s="1" t="s">
        <v>1074</v>
      </c>
      <c r="AC1358" s="5">
        <v>42898</v>
      </c>
      <c r="AF1358" s="1">
        <v>10024</v>
      </c>
      <c r="AI1358" s="1" t="s">
        <v>1014</v>
      </c>
      <c r="AJ1358" s="1">
        <v>2017</v>
      </c>
      <c r="AK1358" s="1" t="s">
        <v>77</v>
      </c>
      <c r="AL1358" s="1">
        <v>26</v>
      </c>
    </row>
    <row r="1359" spans="1:38" x14ac:dyDescent="0.2">
      <c r="A1359" s="2" t="str">
        <f>HYPERLINK("https://www.compass.com/listing/215-east-19th-street-unit-14e-manhattan-ny-10003/29514961378175905/","215 E 19th St, Unit 14E")</f>
        <v>215 E 19th St, Unit 14E</v>
      </c>
      <c r="B1359" s="2" t="str">
        <f t="shared" ref="B1359:B1363" si="249">HYPERLINK("https://www.compass.com/building/the-tower-at-gramercy-square-manhattan-ny/281890815108713781/","The Tower at Gramercy Square")</f>
        <v>The Tower at Gramercy Square</v>
      </c>
      <c r="C1359" s="1" t="s">
        <v>54</v>
      </c>
      <c r="D1359" s="1" t="s">
        <v>41</v>
      </c>
      <c r="E1359" s="3">
        <v>5780000</v>
      </c>
      <c r="F1359" s="1">
        <v>2294.5613338626399</v>
      </c>
      <c r="G1359" s="1">
        <v>6</v>
      </c>
      <c r="H1359" s="1">
        <v>3</v>
      </c>
      <c r="I1359" s="1">
        <v>4</v>
      </c>
      <c r="J1359" s="1">
        <v>3.5</v>
      </c>
      <c r="K1359" s="1">
        <v>3</v>
      </c>
      <c r="L1359" s="1">
        <v>1</v>
      </c>
      <c r="M1359" s="4">
        <v>2519</v>
      </c>
      <c r="N1359" s="1">
        <v>2859</v>
      </c>
      <c r="O1359" s="1">
        <v>5480</v>
      </c>
      <c r="P1359" s="1">
        <v>2621</v>
      </c>
      <c r="Q1359" s="1" t="s">
        <v>42</v>
      </c>
      <c r="S1359" s="1" t="s">
        <v>42</v>
      </c>
      <c r="T1359" s="1" t="s">
        <v>170</v>
      </c>
      <c r="V1359" s="5">
        <v>43757</v>
      </c>
      <c r="W1359" s="5">
        <v>43188</v>
      </c>
      <c r="X1359" s="1">
        <v>5870000</v>
      </c>
      <c r="Y1359" s="1">
        <v>5870000</v>
      </c>
      <c r="Z1359" s="5">
        <v>43188</v>
      </c>
      <c r="AA1359" s="1">
        <v>5780000</v>
      </c>
      <c r="AB1359" s="1" t="s">
        <v>1075</v>
      </c>
      <c r="AC1359" s="5">
        <v>43523</v>
      </c>
      <c r="AF1359" s="1">
        <v>10003</v>
      </c>
      <c r="AI1359" s="1" t="s">
        <v>76</v>
      </c>
      <c r="AJ1359" s="1">
        <v>1920</v>
      </c>
      <c r="AK1359" s="1" t="s">
        <v>46</v>
      </c>
      <c r="AL1359" s="1">
        <v>130</v>
      </c>
    </row>
    <row r="1360" spans="1:38" x14ac:dyDescent="0.2">
      <c r="A1360" s="2" t="str">
        <f>HYPERLINK("https://www.compass.com/listing/215-east-19th-street-unit-towerph-manhattan-ny-10003/694651140676448481/","215 E 19th St, Unit TOWERPH")</f>
        <v>215 E 19th St, Unit TOWERPH</v>
      </c>
      <c r="B1360" s="2" t="str">
        <f t="shared" si="249"/>
        <v>The Tower at Gramercy Square</v>
      </c>
      <c r="C1360" s="1" t="s">
        <v>54</v>
      </c>
      <c r="D1360" s="1" t="s">
        <v>41</v>
      </c>
      <c r="E1360" s="3">
        <v>29500000</v>
      </c>
      <c r="F1360" s="1">
        <v>4220.9185863499697</v>
      </c>
      <c r="G1360" s="1">
        <v>10</v>
      </c>
      <c r="H1360" s="1">
        <v>5</v>
      </c>
      <c r="I1360" s="1">
        <v>7</v>
      </c>
      <c r="J1360" s="1">
        <v>6.5</v>
      </c>
      <c r="K1360" s="1">
        <v>6</v>
      </c>
      <c r="L1360" s="1">
        <v>1</v>
      </c>
      <c r="M1360" s="4">
        <v>6989</v>
      </c>
      <c r="N1360" s="1">
        <v>10062</v>
      </c>
      <c r="O1360" s="1">
        <v>29022</v>
      </c>
      <c r="P1360" s="1">
        <v>18960</v>
      </c>
      <c r="Q1360" s="1" t="s">
        <v>42</v>
      </c>
      <c r="S1360" s="1" t="s">
        <v>42</v>
      </c>
      <c r="T1360" s="1" t="s">
        <v>170</v>
      </c>
      <c r="V1360" s="5">
        <v>44363</v>
      </c>
      <c r="W1360" s="5">
        <v>44209</v>
      </c>
      <c r="X1360" s="1">
        <v>29500000</v>
      </c>
      <c r="Y1360" s="1">
        <v>29500000</v>
      </c>
      <c r="Z1360" s="5">
        <v>44209</v>
      </c>
      <c r="AA1360" s="1">
        <v>29500000</v>
      </c>
      <c r="AB1360" s="1" t="s">
        <v>181</v>
      </c>
      <c r="AC1360" s="5">
        <v>44361</v>
      </c>
      <c r="AF1360" s="1">
        <v>10003</v>
      </c>
      <c r="AI1360" s="1" t="s">
        <v>1076</v>
      </c>
      <c r="AJ1360" s="1">
        <v>1920</v>
      </c>
      <c r="AK1360" s="1" t="s">
        <v>46</v>
      </c>
      <c r="AL1360" s="1">
        <v>130</v>
      </c>
    </row>
    <row r="1361" spans="1:38" x14ac:dyDescent="0.2">
      <c r="A1361" s="2" t="str">
        <f>HYPERLINK("https://www.compass.com/listing/215-east-19th-street-unit-15c-manhattan-ny-10003/29514955740962817/","215 E 19th St, Unit 15C")</f>
        <v>215 E 19th St, Unit 15C</v>
      </c>
      <c r="B1361" s="2" t="str">
        <f t="shared" si="249"/>
        <v>The Tower at Gramercy Square</v>
      </c>
      <c r="C1361" s="1" t="s">
        <v>54</v>
      </c>
      <c r="D1361" s="1" t="s">
        <v>41</v>
      </c>
      <c r="E1361" s="3">
        <v>6338606</v>
      </c>
      <c r="F1361" s="1">
        <v>2496.4971445450901</v>
      </c>
      <c r="G1361" s="1">
        <v>7</v>
      </c>
      <c r="H1361" s="1">
        <v>4</v>
      </c>
      <c r="I1361" s="1">
        <v>5</v>
      </c>
      <c r="J1361" s="1">
        <v>5</v>
      </c>
      <c r="K1361" s="1">
        <v>5</v>
      </c>
      <c r="M1361" s="4">
        <v>2539</v>
      </c>
      <c r="N1361" s="1">
        <v>2882</v>
      </c>
      <c r="O1361" s="1">
        <v>6532</v>
      </c>
      <c r="P1361" s="1">
        <v>3650</v>
      </c>
      <c r="Q1361" s="1" t="s">
        <v>42</v>
      </c>
      <c r="S1361" s="1" t="s">
        <v>42</v>
      </c>
      <c r="T1361" s="1" t="s">
        <v>170</v>
      </c>
      <c r="V1361" s="5">
        <v>44225</v>
      </c>
      <c r="W1361" s="5">
        <v>43025</v>
      </c>
      <c r="X1361" s="1">
        <v>6535000</v>
      </c>
      <c r="Y1361" s="1">
        <v>6535000</v>
      </c>
      <c r="Z1361" s="5">
        <v>43026</v>
      </c>
      <c r="AA1361" s="1">
        <v>6338606.25</v>
      </c>
      <c r="AB1361" s="1" t="s">
        <v>1077</v>
      </c>
      <c r="AC1361" s="5">
        <v>43622</v>
      </c>
      <c r="AF1361" s="1">
        <v>10003</v>
      </c>
      <c r="AI1361" s="1" t="s">
        <v>76</v>
      </c>
      <c r="AJ1361" s="1">
        <v>1920</v>
      </c>
      <c r="AK1361" s="1" t="s">
        <v>46</v>
      </c>
      <c r="AL1361" s="1">
        <v>130</v>
      </c>
    </row>
    <row r="1362" spans="1:38" x14ac:dyDescent="0.2">
      <c r="A1362" s="2" t="str">
        <f>HYPERLINK("https://www.compass.com/listing/215-east-19th-street-unit-14c-manhattan-ny-10003/29514957838114881/","215 E 19th St, Unit 14C")</f>
        <v>215 E 19th St, Unit 14C</v>
      </c>
      <c r="B1362" s="2" t="str">
        <f t="shared" si="249"/>
        <v>The Tower at Gramercy Square</v>
      </c>
      <c r="C1362" s="1" t="s">
        <v>54</v>
      </c>
      <c r="D1362" s="1" t="s">
        <v>41</v>
      </c>
      <c r="E1362" s="3">
        <v>6337305</v>
      </c>
      <c r="F1362" s="1">
        <v>2495.98463962189</v>
      </c>
      <c r="G1362" s="1">
        <v>7</v>
      </c>
      <c r="H1362" s="1">
        <v>4</v>
      </c>
      <c r="I1362" s="1">
        <v>5</v>
      </c>
      <c r="J1362" s="1">
        <v>4.5</v>
      </c>
      <c r="K1362" s="1">
        <v>4</v>
      </c>
      <c r="L1362" s="1">
        <v>1</v>
      </c>
      <c r="M1362" s="4">
        <v>2539</v>
      </c>
      <c r="N1362" s="1">
        <v>2882</v>
      </c>
      <c r="O1362" s="1">
        <v>6533</v>
      </c>
      <c r="P1362" s="1">
        <v>3651</v>
      </c>
      <c r="Q1362" s="1" t="s">
        <v>42</v>
      </c>
      <c r="S1362" s="1" t="s">
        <v>42</v>
      </c>
      <c r="T1362" s="1" t="s">
        <v>170</v>
      </c>
      <c r="U1362" s="1">
        <v>189</v>
      </c>
      <c r="V1362" s="5">
        <v>43648</v>
      </c>
      <c r="W1362" s="5">
        <v>42817</v>
      </c>
      <c r="X1362" s="1">
        <v>6125000</v>
      </c>
      <c r="Y1362" s="1">
        <v>6435000</v>
      </c>
      <c r="Z1362" s="5">
        <v>43006</v>
      </c>
      <c r="AA1362" s="1">
        <v>6337305</v>
      </c>
      <c r="AB1362" s="1" t="s">
        <v>1078</v>
      </c>
      <c r="AC1362" s="5">
        <v>43495</v>
      </c>
      <c r="AF1362" s="1">
        <v>10003</v>
      </c>
      <c r="AI1362" s="1" t="s">
        <v>76</v>
      </c>
      <c r="AJ1362" s="1">
        <v>1920</v>
      </c>
      <c r="AK1362" s="1" t="s">
        <v>46</v>
      </c>
      <c r="AL1362" s="1">
        <v>130</v>
      </c>
    </row>
    <row r="1363" spans="1:38" x14ac:dyDescent="0.2">
      <c r="A1363" s="2" t="str">
        <f>HYPERLINK("https://www.compass.com/listing/215-east-19th-street-unit-10e-manhattan-ny-10003/29514953442552465/","215 E 19th St, Unit 10E")</f>
        <v>215 E 19th St, Unit 10E</v>
      </c>
      <c r="B1363" s="2" t="str">
        <f t="shared" si="249"/>
        <v>The Tower at Gramercy Square</v>
      </c>
      <c r="C1363" s="1" t="s">
        <v>54</v>
      </c>
      <c r="D1363" s="1" t="s">
        <v>41</v>
      </c>
      <c r="E1363" s="3">
        <v>5530000</v>
      </c>
      <c r="F1363" s="1">
        <v>2195.3156014291299</v>
      </c>
      <c r="G1363" s="1">
        <v>6</v>
      </c>
      <c r="H1363" s="1">
        <v>3</v>
      </c>
      <c r="I1363" s="1">
        <v>4</v>
      </c>
      <c r="J1363" s="1">
        <v>3.5</v>
      </c>
      <c r="K1363" s="1">
        <v>3</v>
      </c>
      <c r="L1363" s="1">
        <v>1</v>
      </c>
      <c r="M1363" s="4">
        <v>2519</v>
      </c>
      <c r="N1363" s="1">
        <v>2859</v>
      </c>
      <c r="O1363" s="1">
        <v>6481</v>
      </c>
      <c r="P1363" s="1">
        <v>3622</v>
      </c>
      <c r="Q1363" s="1" t="s">
        <v>42</v>
      </c>
      <c r="S1363" s="1" t="s">
        <v>42</v>
      </c>
      <c r="T1363" s="1" t="s">
        <v>170</v>
      </c>
      <c r="U1363" s="1">
        <v>431</v>
      </c>
      <c r="V1363" s="5">
        <v>43694</v>
      </c>
      <c r="W1363" s="5">
        <v>43008</v>
      </c>
      <c r="X1363" s="1">
        <v>5525000</v>
      </c>
      <c r="Y1363" s="1">
        <v>5580000</v>
      </c>
      <c r="Z1363" s="5">
        <v>43439</v>
      </c>
      <c r="AA1363" s="1">
        <v>5530000</v>
      </c>
      <c r="AB1363" s="1" t="s">
        <v>1079</v>
      </c>
      <c r="AC1363" s="5">
        <v>43633</v>
      </c>
      <c r="AF1363" s="1">
        <v>10003</v>
      </c>
      <c r="AI1363" s="1" t="s">
        <v>76</v>
      </c>
      <c r="AJ1363" s="1">
        <v>1920</v>
      </c>
      <c r="AK1363" s="1" t="s">
        <v>46</v>
      </c>
      <c r="AL1363" s="1">
        <v>130</v>
      </c>
    </row>
    <row r="1364" spans="1:38" x14ac:dyDescent="0.2">
      <c r="A1364" s="2" t="str">
        <f>HYPERLINK("https://www.compass.com/listing/221-west-77th-street-unit-9e-manhattan-ny-10024/8743031830235889/","221 W 77th St, Unit 9E")</f>
        <v>221 W 77th St, Unit 9E</v>
      </c>
      <c r="B1364" s="2" t="str">
        <f>HYPERLINK("https://www.compass.com/building/221-west-77th-street-manhattan-ny/292869344491294229/","221 West 77th Street")</f>
        <v>221 West 77th Street</v>
      </c>
      <c r="C1364" s="1" t="s">
        <v>50</v>
      </c>
      <c r="D1364" s="1" t="s">
        <v>41</v>
      </c>
      <c r="E1364" s="3">
        <v>5269443</v>
      </c>
      <c r="F1364" s="1">
        <v>3037.1429394812599</v>
      </c>
      <c r="G1364" s="1">
        <v>4</v>
      </c>
      <c r="H1364" s="1">
        <v>2</v>
      </c>
      <c r="I1364" s="1">
        <v>3</v>
      </c>
      <c r="J1364" s="1">
        <v>0.5</v>
      </c>
      <c r="L1364" s="1">
        <v>1</v>
      </c>
      <c r="M1364" s="4">
        <v>1735</v>
      </c>
      <c r="N1364" s="1">
        <v>1734</v>
      </c>
      <c r="O1364" s="1">
        <v>3971</v>
      </c>
      <c r="P1364" s="1">
        <v>2237</v>
      </c>
      <c r="Q1364" s="1" t="s">
        <v>42</v>
      </c>
      <c r="S1364" s="1" t="s">
        <v>42</v>
      </c>
      <c r="T1364" s="1" t="s">
        <v>170</v>
      </c>
      <c r="V1364" s="5">
        <v>43658</v>
      </c>
      <c r="W1364" s="5">
        <v>42287</v>
      </c>
      <c r="X1364" s="1">
        <v>4100000</v>
      </c>
      <c r="Y1364" s="1">
        <v>4100000</v>
      </c>
      <c r="Z1364" s="5">
        <v>42287</v>
      </c>
      <c r="AA1364" s="1">
        <v>5269443</v>
      </c>
      <c r="AB1364" s="1" t="s">
        <v>1080</v>
      </c>
      <c r="AC1364" s="5">
        <v>42902</v>
      </c>
      <c r="AF1364" s="1">
        <v>10024</v>
      </c>
      <c r="AI1364" s="1" t="s">
        <v>1014</v>
      </c>
      <c r="AJ1364" s="1">
        <v>2017</v>
      </c>
      <c r="AK1364" s="1" t="s">
        <v>77</v>
      </c>
      <c r="AL1364" s="1">
        <v>26</v>
      </c>
    </row>
    <row r="1365" spans="1:38" x14ac:dyDescent="0.2">
      <c r="A1365" s="2" t="str">
        <f>HYPERLINK("https://www.compass.com/listing/215-east-19th-street-unit-12e-manhattan-ny-10003/29514961705263329/","215 E 19th St, Unit 12E")</f>
        <v>215 E 19th St, Unit 12E</v>
      </c>
      <c r="B1365" s="2" t="str">
        <f t="shared" ref="B1365:B1370" si="250">HYPERLINK("https://www.compass.com/building/the-tower-at-gramercy-square-manhattan-ny/281890815108713781/","The Tower at Gramercy Square")</f>
        <v>The Tower at Gramercy Square</v>
      </c>
      <c r="C1365" s="1" t="s">
        <v>54</v>
      </c>
      <c r="D1365" s="1" t="s">
        <v>41</v>
      </c>
      <c r="E1365" s="3">
        <v>5920576</v>
      </c>
      <c r="F1365" s="1">
        <v>2350.36760619293</v>
      </c>
      <c r="G1365" s="1">
        <v>6</v>
      </c>
      <c r="H1365" s="1">
        <v>3</v>
      </c>
      <c r="I1365" s="1">
        <v>4</v>
      </c>
      <c r="J1365" s="1">
        <v>3.5</v>
      </c>
      <c r="K1365" s="1">
        <v>3</v>
      </c>
      <c r="L1365" s="1">
        <v>1</v>
      </c>
      <c r="M1365" s="4">
        <v>2519</v>
      </c>
      <c r="N1365" s="1">
        <v>2859</v>
      </c>
      <c r="O1365" s="1">
        <v>6480</v>
      </c>
      <c r="P1365" s="1">
        <v>3621</v>
      </c>
      <c r="Q1365" s="1" t="s">
        <v>42</v>
      </c>
      <c r="S1365" s="1" t="s">
        <v>42</v>
      </c>
      <c r="T1365" s="1" t="s">
        <v>170</v>
      </c>
      <c r="V1365" s="5">
        <v>43635</v>
      </c>
      <c r="W1365" s="5">
        <v>43258</v>
      </c>
      <c r="X1365" s="1">
        <v>5785000</v>
      </c>
      <c r="Y1365" s="1">
        <v>5785000</v>
      </c>
      <c r="Z1365" s="5">
        <v>43258</v>
      </c>
      <c r="AA1365" s="1">
        <v>5920576</v>
      </c>
      <c r="AB1365" s="1" t="s">
        <v>1081</v>
      </c>
      <c r="AC1365" s="5">
        <v>43495</v>
      </c>
      <c r="AF1365" s="1">
        <v>10003</v>
      </c>
      <c r="AI1365" s="1" t="s">
        <v>76</v>
      </c>
      <c r="AJ1365" s="1">
        <v>1920</v>
      </c>
      <c r="AK1365" s="1" t="s">
        <v>46</v>
      </c>
      <c r="AL1365" s="1">
        <v>130</v>
      </c>
    </row>
    <row r="1366" spans="1:38" x14ac:dyDescent="0.2">
      <c r="A1366" s="2" t="str">
        <f>HYPERLINK("https://www.compass.com/listing/215-east-19th-street-unit-12g-manhattan-ny-10003/810258839212342129/","215 E 19th St, Unit 12G")</f>
        <v>215 E 19th St, Unit 12G</v>
      </c>
      <c r="B1366" s="2" t="str">
        <f t="shared" si="250"/>
        <v>The Tower at Gramercy Square</v>
      </c>
      <c r="C1366" s="1" t="s">
        <v>54</v>
      </c>
      <c r="D1366" s="1" t="s">
        <v>41</v>
      </c>
      <c r="E1366" s="3">
        <v>5050000</v>
      </c>
      <c r="F1366" s="1">
        <v>2458.6173320350499</v>
      </c>
      <c r="G1366" s="1">
        <v>5</v>
      </c>
      <c r="H1366" s="1">
        <v>3</v>
      </c>
      <c r="I1366" s="1">
        <v>4</v>
      </c>
      <c r="J1366" s="1">
        <v>3.5</v>
      </c>
      <c r="K1366" s="1">
        <v>3</v>
      </c>
      <c r="L1366" s="1">
        <v>1</v>
      </c>
      <c r="M1366" s="4">
        <v>2054</v>
      </c>
      <c r="N1366" s="1">
        <v>2332</v>
      </c>
      <c r="O1366" s="1">
        <v>6345</v>
      </c>
      <c r="P1366" s="1">
        <v>4013</v>
      </c>
      <c r="Q1366" s="1" t="s">
        <v>42</v>
      </c>
      <c r="S1366" s="1" t="s">
        <v>42</v>
      </c>
      <c r="T1366" s="1" t="s">
        <v>170</v>
      </c>
      <c r="V1366" s="5">
        <v>44370</v>
      </c>
      <c r="AA1366" s="1">
        <v>5050000</v>
      </c>
      <c r="AB1366" s="1" t="s">
        <v>181</v>
      </c>
      <c r="AC1366" s="5">
        <v>44361</v>
      </c>
      <c r="AF1366" s="1">
        <v>10003</v>
      </c>
      <c r="AI1366" s="1" t="s">
        <v>76</v>
      </c>
      <c r="AJ1366" s="1">
        <v>1920</v>
      </c>
      <c r="AK1366" s="1" t="s">
        <v>46</v>
      </c>
      <c r="AL1366" s="1">
        <v>130</v>
      </c>
    </row>
    <row r="1367" spans="1:38" x14ac:dyDescent="0.2">
      <c r="A1367" s="2" t="str">
        <f>HYPERLINK("https://www.compass.com/listing/215-east-19th-street-unit-8c-manhattan-ny-10003/104275331812193505/","215 E 19th St, Unit 8C")</f>
        <v>215 E 19th St, Unit 8C</v>
      </c>
      <c r="B1367" s="2" t="str">
        <f t="shared" si="250"/>
        <v>The Tower at Gramercy Square</v>
      </c>
      <c r="C1367" s="1" t="s">
        <v>54</v>
      </c>
      <c r="D1367" s="1" t="s">
        <v>41</v>
      </c>
      <c r="E1367" s="3">
        <v>5800000</v>
      </c>
      <c r="F1367" s="1">
        <v>2264.7403358063202</v>
      </c>
      <c r="G1367" s="1">
        <v>7</v>
      </c>
      <c r="H1367" s="1">
        <v>4</v>
      </c>
      <c r="I1367" s="1">
        <v>5</v>
      </c>
      <c r="J1367" s="1">
        <v>4.5</v>
      </c>
      <c r="K1367" s="1">
        <v>4</v>
      </c>
      <c r="L1367" s="1">
        <v>1</v>
      </c>
      <c r="M1367" s="4">
        <v>2561</v>
      </c>
      <c r="N1367" s="1">
        <v>2907</v>
      </c>
      <c r="O1367" s="1">
        <v>6589</v>
      </c>
      <c r="P1367" s="1">
        <v>3682</v>
      </c>
      <c r="Q1367" s="1" t="s">
        <v>42</v>
      </c>
      <c r="S1367" s="1" t="s">
        <v>42</v>
      </c>
      <c r="T1367" s="1" t="s">
        <v>170</v>
      </c>
      <c r="V1367" s="5">
        <v>43608</v>
      </c>
      <c r="W1367" s="5">
        <v>43395</v>
      </c>
      <c r="X1367" s="1">
        <v>5850000</v>
      </c>
      <c r="Y1367" s="1">
        <v>5850000</v>
      </c>
      <c r="Z1367" s="5">
        <v>43396</v>
      </c>
      <c r="AA1367" s="1">
        <v>5800000</v>
      </c>
      <c r="AB1367" s="1" t="s">
        <v>1082</v>
      </c>
      <c r="AC1367" s="5">
        <v>43607</v>
      </c>
      <c r="AF1367" s="1">
        <v>10003</v>
      </c>
      <c r="AI1367" s="1" t="s">
        <v>76</v>
      </c>
      <c r="AJ1367" s="1">
        <v>1920</v>
      </c>
      <c r="AK1367" s="1" t="s">
        <v>46</v>
      </c>
      <c r="AL1367" s="1">
        <v>130</v>
      </c>
    </row>
    <row r="1368" spans="1:38" x14ac:dyDescent="0.2">
      <c r="A1368" s="2" t="str">
        <f>HYPERLINK("https://www.compass.com/listing/215-east-19th-street-unit-12c-manhattan-ny-10003/29514960430263169/","215 E 19th St, Unit 12C")</f>
        <v>215 E 19th St, Unit 12C</v>
      </c>
      <c r="B1368" s="2" t="str">
        <f t="shared" si="250"/>
        <v>The Tower at Gramercy Square</v>
      </c>
      <c r="C1368" s="1" t="s">
        <v>54</v>
      </c>
      <c r="D1368" s="1" t="s">
        <v>41</v>
      </c>
      <c r="E1368" s="3">
        <v>6025000</v>
      </c>
      <c r="F1368" s="1">
        <v>2372.9814887750999</v>
      </c>
      <c r="G1368" s="1">
        <v>7</v>
      </c>
      <c r="H1368" s="1">
        <v>4</v>
      </c>
      <c r="I1368" s="1">
        <v>5</v>
      </c>
      <c r="J1368" s="1">
        <v>4.5</v>
      </c>
      <c r="K1368" s="1">
        <v>4</v>
      </c>
      <c r="L1368" s="1">
        <v>1</v>
      </c>
      <c r="M1368" s="4">
        <v>2539</v>
      </c>
      <c r="N1368" s="1">
        <v>2882</v>
      </c>
      <c r="O1368" s="1">
        <v>6532</v>
      </c>
      <c r="P1368" s="1">
        <v>3650</v>
      </c>
      <c r="Q1368" s="1" t="s">
        <v>42</v>
      </c>
      <c r="S1368" s="1" t="s">
        <v>42</v>
      </c>
      <c r="T1368" s="1" t="s">
        <v>170</v>
      </c>
      <c r="U1368" s="1">
        <v>196</v>
      </c>
      <c r="V1368" s="5">
        <v>43647</v>
      </c>
      <c r="W1368" s="5">
        <v>43200</v>
      </c>
      <c r="X1368" s="1">
        <v>6270000</v>
      </c>
      <c r="Y1368" s="1">
        <v>6270000</v>
      </c>
      <c r="Z1368" s="5">
        <v>43396</v>
      </c>
      <c r="AA1368" s="1">
        <v>6025000</v>
      </c>
      <c r="AB1368" s="1" t="s">
        <v>1083</v>
      </c>
      <c r="AC1368" s="5">
        <v>43516</v>
      </c>
      <c r="AF1368" s="1">
        <v>10003</v>
      </c>
      <c r="AI1368" s="1" t="s">
        <v>76</v>
      </c>
      <c r="AJ1368" s="1">
        <v>1920</v>
      </c>
      <c r="AK1368" s="1" t="s">
        <v>46</v>
      </c>
      <c r="AL1368" s="1">
        <v>130</v>
      </c>
    </row>
    <row r="1369" spans="1:38" x14ac:dyDescent="0.2">
      <c r="A1369" s="2" t="str">
        <f>HYPERLINK("https://www.compass.com/listing/215-east-19th-street-unit-15e-manhattan-ny-10003/29514952846892865/","215 E 19th St, Unit 15E")</f>
        <v>215 E 19th St, Unit 15E</v>
      </c>
      <c r="B1369" s="2" t="str">
        <f t="shared" si="250"/>
        <v>The Tower at Gramercy Square</v>
      </c>
      <c r="C1369" s="1" t="s">
        <v>54</v>
      </c>
      <c r="D1369" s="1" t="s">
        <v>41</v>
      </c>
      <c r="E1369" s="3">
        <v>5885000</v>
      </c>
      <c r="F1369" s="1">
        <v>2336.2445414847102</v>
      </c>
      <c r="G1369" s="1">
        <v>6</v>
      </c>
      <c r="H1369" s="1">
        <v>3</v>
      </c>
      <c r="I1369" s="1">
        <v>4</v>
      </c>
      <c r="J1369" s="1">
        <v>3.5</v>
      </c>
      <c r="K1369" s="1">
        <v>3</v>
      </c>
      <c r="L1369" s="1">
        <v>1</v>
      </c>
      <c r="M1369" s="4">
        <v>2519</v>
      </c>
      <c r="N1369" s="1">
        <v>2859</v>
      </c>
      <c r="O1369" s="1">
        <v>6481</v>
      </c>
      <c r="P1369" s="1">
        <v>3622</v>
      </c>
      <c r="Q1369" s="1" t="s">
        <v>42</v>
      </c>
      <c r="S1369" s="1" t="s">
        <v>42</v>
      </c>
      <c r="T1369" s="1" t="s">
        <v>170</v>
      </c>
      <c r="U1369" s="1">
        <v>1</v>
      </c>
      <c r="V1369" s="5">
        <v>43721</v>
      </c>
      <c r="W1369" s="5">
        <v>43005</v>
      </c>
      <c r="X1369" s="1">
        <v>5825000</v>
      </c>
      <c r="Y1369" s="1">
        <v>5945000</v>
      </c>
      <c r="Z1369" s="5">
        <v>43006</v>
      </c>
      <c r="AA1369" s="1">
        <v>5885000</v>
      </c>
      <c r="AB1369" s="1" t="s">
        <v>1084</v>
      </c>
      <c r="AC1369" s="5">
        <v>43538</v>
      </c>
      <c r="AF1369" s="1">
        <v>10003</v>
      </c>
      <c r="AI1369" s="1" t="s">
        <v>76</v>
      </c>
      <c r="AJ1369" s="1">
        <v>1920</v>
      </c>
      <c r="AK1369" s="1" t="s">
        <v>46</v>
      </c>
      <c r="AL1369" s="1">
        <v>130</v>
      </c>
    </row>
    <row r="1370" spans="1:38" x14ac:dyDescent="0.2">
      <c r="A1370" s="2" t="str">
        <f>HYPERLINK("https://www.compass.com/listing/215-east-19th-street-unit-11e-manhattan-ny-10003/39574136065889521/","215 E 19th St, Unit 11E")</f>
        <v>215 E 19th St, Unit 11E</v>
      </c>
      <c r="B1370" s="2" t="str">
        <f t="shared" si="250"/>
        <v>The Tower at Gramercy Square</v>
      </c>
      <c r="C1370" s="1" t="s">
        <v>54</v>
      </c>
      <c r="D1370" s="1" t="s">
        <v>41</v>
      </c>
      <c r="E1370" s="3">
        <v>5655000</v>
      </c>
      <c r="F1370" s="1">
        <v>2244.9384676458899</v>
      </c>
      <c r="G1370" s="1">
        <v>6</v>
      </c>
      <c r="H1370" s="1">
        <v>3</v>
      </c>
      <c r="I1370" s="1">
        <v>4</v>
      </c>
      <c r="J1370" s="1">
        <v>3.5</v>
      </c>
      <c r="K1370" s="1">
        <v>3</v>
      </c>
      <c r="L1370" s="1">
        <v>1</v>
      </c>
      <c r="M1370" s="4">
        <v>2519</v>
      </c>
      <c r="N1370" s="1">
        <v>2859</v>
      </c>
      <c r="O1370" s="1">
        <v>6480</v>
      </c>
      <c r="P1370" s="1">
        <v>3621</v>
      </c>
      <c r="Q1370" s="1" t="s">
        <v>42</v>
      </c>
      <c r="S1370" s="1" t="s">
        <v>42</v>
      </c>
      <c r="T1370" s="1" t="s">
        <v>170</v>
      </c>
      <c r="V1370" s="5">
        <v>43694</v>
      </c>
      <c r="W1370" s="5">
        <v>43306</v>
      </c>
      <c r="X1370" s="1">
        <v>5655000</v>
      </c>
      <c r="Y1370" s="1">
        <v>5655000</v>
      </c>
      <c r="Z1370" s="5">
        <v>43306</v>
      </c>
      <c r="AA1370" s="1">
        <v>5655000</v>
      </c>
      <c r="AB1370" s="1" t="s">
        <v>1085</v>
      </c>
      <c r="AC1370" s="5">
        <v>43640</v>
      </c>
      <c r="AF1370" s="1">
        <v>10003</v>
      </c>
      <c r="AI1370" s="1" t="s">
        <v>76</v>
      </c>
      <c r="AJ1370" s="1">
        <v>1920</v>
      </c>
      <c r="AK1370" s="1" t="s">
        <v>46</v>
      </c>
      <c r="AL1370" s="1">
        <v>130</v>
      </c>
    </row>
    <row r="1371" spans="1:38" x14ac:dyDescent="0.2">
      <c r="A1371" s="2" t="str">
        <f>HYPERLINK("https://www.compass.com/listing/221-west-77th-street-unit-9e-manhattan-ny-10024/8743031830235905/","221 W 77th St, Unit 9E")</f>
        <v>221 W 77th St, Unit 9E</v>
      </c>
      <c r="B1371" s="2" t="str">
        <f t="shared" ref="B1371:B1374" si="251">HYPERLINK("https://www.compass.com/building/221-west-77th-street-manhattan-ny/292869344491294229/","221 West 77th Street")</f>
        <v>221 West 77th Street</v>
      </c>
      <c r="C1371" s="1" t="s">
        <v>50</v>
      </c>
      <c r="D1371" s="1" t="s">
        <v>41</v>
      </c>
      <c r="E1371" s="3">
        <v>5269444</v>
      </c>
      <c r="F1371" s="1">
        <v>3037.1435158501399</v>
      </c>
      <c r="G1371" s="1">
        <v>4</v>
      </c>
      <c r="H1371" s="1">
        <v>2</v>
      </c>
      <c r="I1371" s="1">
        <v>3</v>
      </c>
      <c r="J1371" s="1">
        <v>2.5</v>
      </c>
      <c r="M1371" s="4">
        <v>1735</v>
      </c>
      <c r="N1371" s="1">
        <v>1734</v>
      </c>
      <c r="O1371" s="1">
        <v>3971</v>
      </c>
      <c r="P1371" s="1">
        <v>2237</v>
      </c>
      <c r="Q1371" s="1" t="s">
        <v>42</v>
      </c>
      <c r="S1371" s="1" t="s">
        <v>42</v>
      </c>
      <c r="T1371" s="1" t="s">
        <v>170</v>
      </c>
      <c r="V1371" s="5">
        <v>43662</v>
      </c>
      <c r="W1371" s="5">
        <v>42287</v>
      </c>
      <c r="X1371" s="1">
        <v>4100000</v>
      </c>
      <c r="Y1371" s="1">
        <v>4100000</v>
      </c>
      <c r="Z1371" s="5">
        <v>42287</v>
      </c>
      <c r="AA1371" s="1">
        <v>5269444</v>
      </c>
      <c r="AB1371" s="1" t="s">
        <v>1080</v>
      </c>
      <c r="AC1371" s="5">
        <v>42902</v>
      </c>
      <c r="AF1371" s="1">
        <v>10024</v>
      </c>
      <c r="AI1371" s="1" t="s">
        <v>80</v>
      </c>
      <c r="AJ1371" s="1">
        <v>2017</v>
      </c>
      <c r="AK1371" s="1" t="s">
        <v>49</v>
      </c>
      <c r="AL1371" s="1">
        <v>26</v>
      </c>
    </row>
    <row r="1372" spans="1:38" x14ac:dyDescent="0.2">
      <c r="A1372" s="2" t="str">
        <f>HYPERLINK("https://www.compass.com/listing/221-west-77th-street-unit-6w-manhattan-ny-10024/8743038230745057/","221 W 77th St, Unit 6W")</f>
        <v>221 W 77th St, Unit 6W</v>
      </c>
      <c r="B1372" s="2" t="str">
        <f t="shared" si="251"/>
        <v>221 West 77th Street</v>
      </c>
      <c r="C1372" s="1" t="s">
        <v>50</v>
      </c>
      <c r="D1372" s="1" t="s">
        <v>41</v>
      </c>
      <c r="E1372" s="3">
        <v>6200000</v>
      </c>
      <c r="F1372" s="1">
        <v>2273.5606894022699</v>
      </c>
      <c r="G1372" s="1">
        <v>6</v>
      </c>
      <c r="H1372" s="1">
        <v>4</v>
      </c>
      <c r="I1372" s="1">
        <v>5</v>
      </c>
      <c r="J1372" s="1">
        <v>0.5</v>
      </c>
      <c r="L1372" s="1">
        <v>1</v>
      </c>
      <c r="M1372" s="4">
        <v>2727</v>
      </c>
      <c r="N1372" s="1">
        <v>2725</v>
      </c>
      <c r="O1372" s="1">
        <v>6241</v>
      </c>
      <c r="P1372" s="1">
        <v>3516</v>
      </c>
      <c r="Q1372" s="1" t="s">
        <v>42</v>
      </c>
      <c r="S1372" s="1" t="s">
        <v>42</v>
      </c>
      <c r="T1372" s="1" t="s">
        <v>170</v>
      </c>
      <c r="U1372" s="1">
        <v>1</v>
      </c>
      <c r="V1372" s="5">
        <v>43671</v>
      </c>
      <c r="W1372" s="5">
        <v>42712</v>
      </c>
      <c r="X1372" s="1">
        <v>6550000</v>
      </c>
      <c r="Y1372" s="1">
        <v>6550000</v>
      </c>
      <c r="Z1372" s="5">
        <v>42713</v>
      </c>
      <c r="AA1372" s="1">
        <v>6200000</v>
      </c>
      <c r="AB1372" s="1" t="s">
        <v>1086</v>
      </c>
      <c r="AC1372" s="5">
        <v>42906</v>
      </c>
      <c r="AF1372" s="1">
        <v>10024</v>
      </c>
      <c r="AI1372" s="1" t="s">
        <v>1014</v>
      </c>
      <c r="AJ1372" s="1">
        <v>2017</v>
      </c>
      <c r="AK1372" s="1" t="s">
        <v>77</v>
      </c>
      <c r="AL1372" s="1">
        <v>26</v>
      </c>
    </row>
    <row r="1373" spans="1:38" x14ac:dyDescent="0.2">
      <c r="A1373" s="2" t="str">
        <f>HYPERLINK("https://www.compass.com/listing/221-west-77th-street-unit-10e-manhattan-ny-10024/8743032669140033/","221 W 77th St, Unit 10E")</f>
        <v>221 W 77th St, Unit 10E</v>
      </c>
      <c r="B1373" s="2" t="str">
        <f t="shared" si="251"/>
        <v>221 West 77th Street</v>
      </c>
      <c r="C1373" s="1" t="s">
        <v>50</v>
      </c>
      <c r="D1373" s="1" t="s">
        <v>41</v>
      </c>
      <c r="E1373" s="3">
        <v>5150000</v>
      </c>
      <c r="F1373" s="1">
        <v>2491.5336236090898</v>
      </c>
      <c r="G1373" s="1">
        <v>6</v>
      </c>
      <c r="H1373" s="1">
        <v>3</v>
      </c>
      <c r="I1373" s="1">
        <v>4</v>
      </c>
      <c r="J1373" s="1">
        <v>0.5</v>
      </c>
      <c r="L1373" s="1">
        <v>1</v>
      </c>
      <c r="M1373" s="4">
        <v>2067</v>
      </c>
      <c r="N1373" s="1">
        <v>2066</v>
      </c>
      <c r="O1373" s="1">
        <v>4731</v>
      </c>
      <c r="P1373" s="1">
        <v>2665</v>
      </c>
      <c r="Q1373" s="1" t="s">
        <v>42</v>
      </c>
      <c r="S1373" s="1" t="s">
        <v>42</v>
      </c>
      <c r="T1373" s="1" t="s">
        <v>170</v>
      </c>
      <c r="U1373" s="1">
        <v>36</v>
      </c>
      <c r="V1373" s="5">
        <v>43649</v>
      </c>
      <c r="W1373" s="5">
        <v>42475</v>
      </c>
      <c r="X1373" s="1">
        <v>5150000</v>
      </c>
      <c r="Y1373" s="1">
        <v>5150000</v>
      </c>
      <c r="Z1373" s="5">
        <v>42511</v>
      </c>
      <c r="AA1373" s="1">
        <v>5150000</v>
      </c>
      <c r="AB1373" s="1" t="s">
        <v>1087</v>
      </c>
      <c r="AC1373" s="5">
        <v>42902</v>
      </c>
      <c r="AF1373" s="1">
        <v>10024</v>
      </c>
      <c r="AI1373" s="1" t="s">
        <v>1014</v>
      </c>
      <c r="AJ1373" s="1">
        <v>2017</v>
      </c>
      <c r="AK1373" s="1" t="s">
        <v>77</v>
      </c>
      <c r="AL1373" s="1">
        <v>26</v>
      </c>
    </row>
    <row r="1374" spans="1:38" x14ac:dyDescent="0.2">
      <c r="A1374" s="2" t="str">
        <f>HYPERLINK("https://www.compass.com/listing/221-west-77th-street-unit-11e-manhattan-ny-10024/8743035907100241/","221 W 77th St, Unit 11E")</f>
        <v>221 W 77th St, Unit 11E</v>
      </c>
      <c r="B1374" s="2" t="str">
        <f t="shared" si="251"/>
        <v>221 West 77th Street</v>
      </c>
      <c r="C1374" s="1" t="s">
        <v>50</v>
      </c>
      <c r="D1374" s="1" t="s">
        <v>41</v>
      </c>
      <c r="E1374" s="3">
        <v>5250000</v>
      </c>
      <c r="F1374" s="1">
        <v>2539.9129172714001</v>
      </c>
      <c r="G1374" s="1">
        <v>6</v>
      </c>
      <c r="H1374" s="1">
        <v>3</v>
      </c>
      <c r="I1374" s="1">
        <v>4</v>
      </c>
      <c r="J1374" s="1">
        <v>0.5</v>
      </c>
      <c r="L1374" s="1">
        <v>1</v>
      </c>
      <c r="M1374" s="4">
        <v>2067</v>
      </c>
      <c r="N1374" s="1">
        <v>2066</v>
      </c>
      <c r="O1374" s="1">
        <v>4731</v>
      </c>
      <c r="P1374" s="1">
        <v>2665</v>
      </c>
      <c r="Q1374" s="1" t="s">
        <v>42</v>
      </c>
      <c r="S1374" s="1" t="s">
        <v>42</v>
      </c>
      <c r="T1374" s="1" t="s">
        <v>170</v>
      </c>
      <c r="U1374" s="1">
        <v>297</v>
      </c>
      <c r="V1374" s="5">
        <v>43664</v>
      </c>
      <c r="W1374" s="5">
        <v>42629</v>
      </c>
      <c r="X1374" s="1">
        <v>5350000</v>
      </c>
      <c r="Y1374" s="1">
        <v>5350000</v>
      </c>
      <c r="Z1374" s="5">
        <v>42528</v>
      </c>
      <c r="AA1374" s="1">
        <v>5250000</v>
      </c>
      <c r="AB1374" s="1" t="s">
        <v>1088</v>
      </c>
      <c r="AC1374" s="5">
        <v>42926</v>
      </c>
      <c r="AF1374" s="1">
        <v>10024</v>
      </c>
      <c r="AI1374" s="1" t="s">
        <v>1014</v>
      </c>
      <c r="AJ1374" s="1">
        <v>2017</v>
      </c>
      <c r="AK1374" s="1" t="s">
        <v>77</v>
      </c>
      <c r="AL1374" s="1">
        <v>26</v>
      </c>
    </row>
    <row r="1375" spans="1:38" x14ac:dyDescent="0.2">
      <c r="A1375" s="2" t="str">
        <f>HYPERLINK("https://www.compass.com/listing/90-morton-street-unit-7d-manhattan-ny-10014/29515685180809409/","90 Morton St, Unit 7D")</f>
        <v>90 Morton St, Unit 7D</v>
      </c>
      <c r="B1375" s="2" t="str">
        <f t="shared" ref="B1375:B1379" si="252">HYPERLINK("https://www.compass.com/building/90-morton-street-manhattan-ny/292834843018978005/","90 Morton Street")</f>
        <v>90 Morton Street</v>
      </c>
      <c r="C1375" s="1" t="s">
        <v>71</v>
      </c>
      <c r="D1375" s="1" t="s">
        <v>41</v>
      </c>
      <c r="E1375" s="3">
        <v>5422181</v>
      </c>
      <c r="F1375" s="1">
        <v>2006.72881199111</v>
      </c>
      <c r="G1375" s="1">
        <v>6</v>
      </c>
      <c r="H1375" s="1">
        <v>4</v>
      </c>
      <c r="I1375" s="1">
        <v>4</v>
      </c>
      <c r="J1375" s="1">
        <v>4.5</v>
      </c>
      <c r="K1375" s="1">
        <v>4</v>
      </c>
      <c r="L1375" s="1">
        <v>1</v>
      </c>
      <c r="M1375" s="4">
        <v>2702</v>
      </c>
      <c r="N1375" s="1">
        <v>3624.8</v>
      </c>
      <c r="O1375" s="1">
        <v>6535.97</v>
      </c>
      <c r="P1375" s="1">
        <v>2911.1666666666601</v>
      </c>
      <c r="Q1375" s="1" t="s">
        <v>42</v>
      </c>
      <c r="S1375" s="1" t="s">
        <v>42</v>
      </c>
      <c r="T1375" s="1" t="s">
        <v>170</v>
      </c>
      <c r="V1375" s="5">
        <v>43665</v>
      </c>
      <c r="W1375" s="5">
        <v>43206</v>
      </c>
      <c r="X1375" s="1">
        <v>7100000</v>
      </c>
      <c r="Y1375" s="1">
        <v>8350000</v>
      </c>
      <c r="Z1375" s="5">
        <v>43206</v>
      </c>
      <c r="AA1375" s="1">
        <v>5422181.25</v>
      </c>
      <c r="AB1375" s="1" t="s">
        <v>1089</v>
      </c>
      <c r="AC1375" s="5">
        <v>43658</v>
      </c>
      <c r="AF1375" s="1">
        <v>10014</v>
      </c>
      <c r="AI1375" s="1" t="s">
        <v>786</v>
      </c>
      <c r="AJ1375" s="1">
        <v>2018</v>
      </c>
      <c r="AK1375" s="1" t="s">
        <v>46</v>
      </c>
      <c r="AL1375" s="1">
        <v>35</v>
      </c>
    </row>
    <row r="1376" spans="1:38" x14ac:dyDescent="0.2">
      <c r="A1376" s="2" t="str">
        <f>HYPERLINK("https://www.compass.com/listing/90-morton-street-unit-8b-manhattan-ny-10014/29515685734431201/","90 Morton St, Unit 8B")</f>
        <v>90 Morton St, Unit 8B</v>
      </c>
      <c r="B1376" s="2" t="str">
        <f t="shared" si="252"/>
        <v>90 Morton Street</v>
      </c>
      <c r="C1376" s="1" t="s">
        <v>71</v>
      </c>
      <c r="D1376" s="1" t="s">
        <v>41</v>
      </c>
      <c r="E1376" s="3">
        <v>8395226</v>
      </c>
      <c r="F1376" s="1">
        <v>2382.97644053363</v>
      </c>
      <c r="G1376" s="1">
        <v>6</v>
      </c>
      <c r="H1376" s="1">
        <v>4</v>
      </c>
      <c r="I1376" s="1">
        <v>5</v>
      </c>
      <c r="J1376" s="1">
        <v>4.5</v>
      </c>
      <c r="K1376" s="1">
        <v>4</v>
      </c>
      <c r="L1376" s="1">
        <v>1</v>
      </c>
      <c r="M1376" s="4">
        <v>3523</v>
      </c>
      <c r="N1376" s="1">
        <v>4991.59</v>
      </c>
      <c r="O1376" s="1">
        <v>9000.4599999999991</v>
      </c>
      <c r="P1376" s="1">
        <v>4008.8333333333298</v>
      </c>
      <c r="Q1376" s="1" t="s">
        <v>42</v>
      </c>
      <c r="S1376" s="1" t="s">
        <v>42</v>
      </c>
      <c r="T1376" s="1" t="s">
        <v>170</v>
      </c>
      <c r="V1376" s="5">
        <v>43753</v>
      </c>
      <c r="W1376" s="5">
        <v>43207</v>
      </c>
      <c r="X1376" s="1">
        <v>12025000</v>
      </c>
      <c r="Y1376" s="1">
        <v>12025000</v>
      </c>
      <c r="Z1376" s="5">
        <v>43207</v>
      </c>
      <c r="AA1376" s="1">
        <v>8395226</v>
      </c>
      <c r="AB1376" s="1" t="s">
        <v>181</v>
      </c>
      <c r="AC1376" s="5">
        <v>43707</v>
      </c>
      <c r="AF1376" s="1">
        <v>10014</v>
      </c>
      <c r="AI1376" s="1" t="s">
        <v>53</v>
      </c>
      <c r="AJ1376" s="1">
        <v>2018</v>
      </c>
      <c r="AK1376" s="1" t="s">
        <v>46</v>
      </c>
      <c r="AL1376" s="1">
        <v>35</v>
      </c>
    </row>
    <row r="1377" spans="1:38" x14ac:dyDescent="0.2">
      <c r="A1377" s="2" t="str">
        <f>HYPERLINK("https://www.compass.com/listing/90-morton-street-unit-7a-manhattan-ny-10014/29515688578169441/","90 Morton St, Unit 7A")</f>
        <v>90 Morton St, Unit 7A</v>
      </c>
      <c r="B1377" s="2" t="str">
        <f t="shared" si="252"/>
        <v>90 Morton Street</v>
      </c>
      <c r="C1377" s="1" t="s">
        <v>71</v>
      </c>
      <c r="D1377" s="1" t="s">
        <v>41</v>
      </c>
      <c r="E1377" s="3">
        <v>9586687</v>
      </c>
      <c r="F1377" s="1">
        <v>2950.65774084333</v>
      </c>
      <c r="G1377" s="1">
        <v>6</v>
      </c>
      <c r="H1377" s="1">
        <v>4</v>
      </c>
      <c r="I1377" s="1">
        <v>5</v>
      </c>
      <c r="J1377" s="1">
        <v>4.5</v>
      </c>
      <c r="K1377" s="1">
        <v>4</v>
      </c>
      <c r="L1377" s="1">
        <v>1</v>
      </c>
      <c r="M1377" s="4">
        <v>3249</v>
      </c>
      <c r="N1377" s="1">
        <v>4348.92</v>
      </c>
      <c r="O1377" s="1">
        <v>7841.6399999999903</v>
      </c>
      <c r="P1377" s="1">
        <v>3492.75</v>
      </c>
      <c r="Q1377" s="1" t="s">
        <v>42</v>
      </c>
      <c r="S1377" s="1" t="s">
        <v>42</v>
      </c>
      <c r="T1377" s="1" t="s">
        <v>170</v>
      </c>
      <c r="V1377" s="5">
        <v>43669</v>
      </c>
      <c r="W1377" s="5">
        <v>43215</v>
      </c>
      <c r="X1377" s="1">
        <v>10000000</v>
      </c>
      <c r="Y1377" s="1">
        <v>10000000</v>
      </c>
      <c r="Z1377" s="5">
        <v>43215</v>
      </c>
      <c r="AA1377" s="1">
        <v>9586687</v>
      </c>
      <c r="AB1377" s="1" t="s">
        <v>1090</v>
      </c>
      <c r="AC1377" s="5">
        <v>43645</v>
      </c>
      <c r="AF1377" s="1">
        <v>10014</v>
      </c>
      <c r="AI1377" s="1" t="s">
        <v>786</v>
      </c>
      <c r="AJ1377" s="1">
        <v>2018</v>
      </c>
      <c r="AK1377" s="1" t="s">
        <v>46</v>
      </c>
      <c r="AL1377" s="1">
        <v>35</v>
      </c>
    </row>
    <row r="1378" spans="1:38" x14ac:dyDescent="0.2">
      <c r="A1378" s="2" t="str">
        <f>HYPERLINK("https://www.compass.com/listing/90-morton-street-unit-8b-manhattan-ny-10014/480868870757394441/","90 Morton St, Unit 8B")</f>
        <v>90 Morton St, Unit 8B</v>
      </c>
      <c r="B1378" s="2" t="str">
        <f t="shared" si="252"/>
        <v>90 Morton Street</v>
      </c>
      <c r="C1378" s="1" t="s">
        <v>71</v>
      </c>
      <c r="D1378" s="1" t="s">
        <v>41</v>
      </c>
      <c r="E1378" s="3">
        <v>8395226</v>
      </c>
      <c r="F1378" s="1">
        <v>2382.9763837638302</v>
      </c>
      <c r="H1378" s="1">
        <v>4</v>
      </c>
      <c r="J1378" s="1">
        <v>4.5</v>
      </c>
      <c r="K1378" s="1">
        <v>4</v>
      </c>
      <c r="L1378" s="1">
        <v>1</v>
      </c>
      <c r="M1378" s="4">
        <v>3523</v>
      </c>
      <c r="N1378" s="1">
        <v>4991.59</v>
      </c>
      <c r="O1378" s="1">
        <v>9000.4599999999991</v>
      </c>
      <c r="P1378" s="1">
        <v>4008.8333333333298</v>
      </c>
      <c r="Q1378" s="1" t="s">
        <v>42</v>
      </c>
      <c r="S1378" s="1" t="s">
        <v>42</v>
      </c>
      <c r="T1378" s="1" t="s">
        <v>170</v>
      </c>
      <c r="AA1378" s="1">
        <v>8395225.8000000007</v>
      </c>
      <c r="AB1378" s="1" t="s">
        <v>1091</v>
      </c>
      <c r="AC1378" s="5">
        <v>43706</v>
      </c>
      <c r="AF1378" s="1">
        <v>10014</v>
      </c>
      <c r="AI1378" s="1" t="s">
        <v>786</v>
      </c>
      <c r="AJ1378" s="1">
        <v>2018</v>
      </c>
      <c r="AK1378" s="1" t="s">
        <v>46</v>
      </c>
      <c r="AL1378" s="1">
        <v>35</v>
      </c>
    </row>
    <row r="1379" spans="1:38" x14ac:dyDescent="0.2">
      <c r="A1379" s="2" t="str">
        <f>HYPERLINK("https://www.compass.com/listing/90-morton-street-unit-1a-manhattan-ny-10014/694694860625053601/","90 Morton St, Unit 1A")</f>
        <v>90 Morton St, Unit 1A</v>
      </c>
      <c r="B1379" s="2" t="str">
        <f t="shared" si="252"/>
        <v>90 Morton Street</v>
      </c>
      <c r="C1379" s="1" t="s">
        <v>71</v>
      </c>
      <c r="D1379" s="1" t="s">
        <v>41</v>
      </c>
      <c r="E1379" s="3">
        <v>7700000</v>
      </c>
      <c r="F1379" s="1">
        <v>2176.9861464517899</v>
      </c>
      <c r="H1379" s="1">
        <v>4</v>
      </c>
      <c r="J1379" s="1">
        <v>3.5</v>
      </c>
      <c r="K1379" s="1">
        <v>3</v>
      </c>
      <c r="L1379" s="1">
        <v>1</v>
      </c>
      <c r="M1379" s="4">
        <v>3537</v>
      </c>
      <c r="N1379" s="1">
        <v>4555.43</v>
      </c>
      <c r="O1379" s="1">
        <v>9273.51</v>
      </c>
      <c r="P1379" s="1">
        <v>4718.0833333333303</v>
      </c>
      <c r="Q1379" s="1" t="s">
        <v>42</v>
      </c>
      <c r="S1379" s="1" t="s">
        <v>42</v>
      </c>
      <c r="T1379" s="1" t="s">
        <v>170</v>
      </c>
      <c r="AA1379" s="1">
        <v>7700000</v>
      </c>
      <c r="AB1379" s="1" t="s">
        <v>1092</v>
      </c>
      <c r="AC1379" s="5">
        <v>44194</v>
      </c>
      <c r="AF1379" s="1">
        <v>10014</v>
      </c>
      <c r="AI1379" s="1" t="s">
        <v>786</v>
      </c>
      <c r="AJ1379" s="1">
        <v>2018</v>
      </c>
      <c r="AK1379" s="1" t="s">
        <v>46</v>
      </c>
      <c r="AL1379" s="1">
        <v>35</v>
      </c>
    </row>
    <row r="1380" spans="1:38" x14ac:dyDescent="0.2">
      <c r="A1380" s="2" t="str">
        <f>HYPERLINK("https://www.compass.com/listing/215-east-19th-street-unit-1c-manhattan-ny-10003/558693892743320201/","215 E 19th St, Unit 1C")</f>
        <v>215 E 19th St, Unit 1C</v>
      </c>
      <c r="B1380" s="2" t="str">
        <f>HYPERLINK("https://www.compass.com/building/the-tower-at-gramercy-square-manhattan-ny/281890815108713781/","The Tower at Gramercy Square")</f>
        <v>The Tower at Gramercy Square</v>
      </c>
      <c r="C1380" s="1" t="s">
        <v>54</v>
      </c>
      <c r="D1380" s="1" t="s">
        <v>41</v>
      </c>
      <c r="E1380" s="3">
        <v>5300000</v>
      </c>
      <c r="F1380" s="1">
        <v>1916.1243673174199</v>
      </c>
      <c r="G1380" s="1">
        <v>6</v>
      </c>
      <c r="H1380" s="1">
        <v>3</v>
      </c>
      <c r="I1380" s="1">
        <v>4</v>
      </c>
      <c r="J1380" s="1">
        <v>3.5</v>
      </c>
      <c r="K1380" s="1">
        <v>3</v>
      </c>
      <c r="L1380" s="1">
        <v>1</v>
      </c>
      <c r="M1380" s="4">
        <v>2766</v>
      </c>
      <c r="Q1380" s="1" t="s">
        <v>42</v>
      </c>
      <c r="S1380" s="1" t="s">
        <v>42</v>
      </c>
      <c r="T1380" s="1" t="s">
        <v>170</v>
      </c>
      <c r="U1380" s="1">
        <v>1</v>
      </c>
      <c r="V1380" s="5">
        <v>44231</v>
      </c>
      <c r="W1380" s="5">
        <v>44021</v>
      </c>
      <c r="X1380" s="1">
        <v>6165000</v>
      </c>
      <c r="Y1380" s="1">
        <v>6165000</v>
      </c>
      <c r="Z1380" s="5">
        <v>44023</v>
      </c>
      <c r="AA1380" s="1">
        <v>5300000</v>
      </c>
      <c r="AB1380" s="1" t="s">
        <v>1093</v>
      </c>
      <c r="AC1380" s="5">
        <v>44074</v>
      </c>
      <c r="AF1380" s="1">
        <v>10003</v>
      </c>
      <c r="AI1380" s="1" t="s">
        <v>1094</v>
      </c>
      <c r="AJ1380" s="1">
        <v>1920</v>
      </c>
      <c r="AK1380" s="1" t="s">
        <v>46</v>
      </c>
      <c r="AL1380" s="1">
        <v>130</v>
      </c>
    </row>
    <row r="1381" spans="1:38" x14ac:dyDescent="0.2">
      <c r="A1381" s="2" t="str">
        <f>HYPERLINK("https://www.compass.com/listing/221-west-77th-street-unit-5w-manhattan-ny-10024/8743033516346609/","221 W 77th St, Unit 5W")</f>
        <v>221 W 77th St, Unit 5W</v>
      </c>
      <c r="B1381" s="2" t="str">
        <f t="shared" ref="B1381:B1383" si="253">HYPERLINK("https://www.compass.com/building/221-west-77th-street-manhattan-ny/292869344491294229/","221 West 77th Street")</f>
        <v>221 West 77th Street</v>
      </c>
      <c r="C1381" s="1" t="s">
        <v>50</v>
      </c>
      <c r="D1381" s="1" t="s">
        <v>41</v>
      </c>
      <c r="E1381" s="3">
        <v>6150000</v>
      </c>
      <c r="F1381" s="1">
        <v>2255.2255225522499</v>
      </c>
      <c r="G1381" s="1">
        <v>6</v>
      </c>
      <c r="H1381" s="1">
        <v>4</v>
      </c>
      <c r="I1381" s="1">
        <v>5</v>
      </c>
      <c r="J1381" s="1">
        <v>0.5</v>
      </c>
      <c r="L1381" s="1">
        <v>1</v>
      </c>
      <c r="M1381" s="4">
        <v>2727</v>
      </c>
      <c r="N1381" s="1">
        <v>2725</v>
      </c>
      <c r="O1381" s="1">
        <v>6241</v>
      </c>
      <c r="P1381" s="1">
        <v>3516</v>
      </c>
      <c r="Q1381" s="1" t="s">
        <v>42</v>
      </c>
      <c r="S1381" s="1" t="s">
        <v>42</v>
      </c>
      <c r="T1381" s="1" t="s">
        <v>170</v>
      </c>
      <c r="V1381" s="5">
        <v>43637</v>
      </c>
      <c r="W1381" s="5">
        <v>42587</v>
      </c>
      <c r="X1381" s="1">
        <v>6450000</v>
      </c>
      <c r="Y1381" s="1">
        <v>6450000</v>
      </c>
      <c r="Z1381" s="5">
        <v>42587</v>
      </c>
      <c r="AA1381" s="1">
        <v>6150000</v>
      </c>
      <c r="AB1381" s="1" t="s">
        <v>1095</v>
      </c>
      <c r="AC1381" s="5">
        <v>42913</v>
      </c>
      <c r="AF1381" s="1">
        <v>10024</v>
      </c>
      <c r="AI1381" s="1" t="s">
        <v>1014</v>
      </c>
      <c r="AJ1381" s="1">
        <v>2017</v>
      </c>
      <c r="AK1381" s="1" t="s">
        <v>77</v>
      </c>
      <c r="AL1381" s="1">
        <v>26</v>
      </c>
    </row>
    <row r="1382" spans="1:38" x14ac:dyDescent="0.2">
      <c r="A1382" s="2" t="str">
        <f>HYPERLINK("https://www.compass.com/listing/221-west-77th-street-unit-8w-manhattan-ny-10024/8743033919042753/","221 W 77th St, Unit 8W")</f>
        <v>221 W 77th St, Unit 8W</v>
      </c>
      <c r="B1382" s="2" t="str">
        <f t="shared" si="253"/>
        <v>221 West 77th Street</v>
      </c>
      <c r="C1382" s="1" t="s">
        <v>50</v>
      </c>
      <c r="D1382" s="1" t="s">
        <v>41</v>
      </c>
      <c r="E1382" s="3">
        <v>7467525</v>
      </c>
      <c r="F1382" s="1">
        <v>2440.3676470588198</v>
      </c>
      <c r="G1382" s="1">
        <v>7</v>
      </c>
      <c r="H1382" s="1">
        <v>5</v>
      </c>
      <c r="I1382" s="1">
        <v>6</v>
      </c>
      <c r="J1382" s="1">
        <v>0.5</v>
      </c>
      <c r="L1382" s="1">
        <v>1</v>
      </c>
      <c r="M1382" s="4">
        <v>3060</v>
      </c>
      <c r="N1382" s="1">
        <v>3058</v>
      </c>
      <c r="O1382" s="1">
        <v>7004</v>
      </c>
      <c r="P1382" s="1">
        <v>3946</v>
      </c>
      <c r="Q1382" s="1" t="s">
        <v>42</v>
      </c>
      <c r="S1382" s="1" t="s">
        <v>42</v>
      </c>
      <c r="T1382" s="1" t="s">
        <v>170</v>
      </c>
      <c r="U1382" s="1">
        <v>161</v>
      </c>
      <c r="V1382" s="5">
        <v>43661</v>
      </c>
      <c r="W1382" s="5">
        <v>42608</v>
      </c>
      <c r="X1382" s="1">
        <v>8075000</v>
      </c>
      <c r="Y1382" s="1">
        <v>8075000</v>
      </c>
      <c r="Z1382" s="5">
        <v>43011</v>
      </c>
      <c r="AA1382" s="1">
        <v>7467525</v>
      </c>
      <c r="AB1382" s="1" t="s">
        <v>1096</v>
      </c>
      <c r="AC1382" s="5">
        <v>43045</v>
      </c>
      <c r="AF1382" s="1">
        <v>10024</v>
      </c>
      <c r="AI1382" s="1" t="s">
        <v>1014</v>
      </c>
      <c r="AJ1382" s="1">
        <v>2017</v>
      </c>
      <c r="AK1382" s="1" t="s">
        <v>77</v>
      </c>
      <c r="AL1382" s="1">
        <v>26</v>
      </c>
    </row>
    <row r="1383" spans="1:38" x14ac:dyDescent="0.2">
      <c r="A1383" s="2" t="str">
        <f>HYPERLINK("https://www.compass.com/listing/221-west-77th-street-unit-15-manhattan-ny-10024/8743037056339665/","221 W 77th St, Unit 15")</f>
        <v>221 W 77th St, Unit 15</v>
      </c>
      <c r="B1383" s="2" t="str">
        <f t="shared" si="253"/>
        <v>221 West 77th Street</v>
      </c>
      <c r="C1383" s="1" t="s">
        <v>50</v>
      </c>
      <c r="D1383" s="1" t="s">
        <v>41</v>
      </c>
      <c r="E1383" s="3">
        <v>10450000</v>
      </c>
      <c r="F1383" s="1">
        <v>3077.1495877502898</v>
      </c>
      <c r="G1383" s="1">
        <v>7</v>
      </c>
      <c r="H1383" s="1">
        <v>5</v>
      </c>
      <c r="I1383" s="1">
        <v>5</v>
      </c>
      <c r="J1383" s="1">
        <v>0.5</v>
      </c>
      <c r="L1383" s="1">
        <v>1</v>
      </c>
      <c r="M1383" s="4">
        <v>3396</v>
      </c>
      <c r="N1383" s="1">
        <v>3422</v>
      </c>
      <c r="O1383" s="1">
        <v>7836</v>
      </c>
      <c r="P1383" s="1">
        <v>4414</v>
      </c>
      <c r="Q1383" s="1" t="s">
        <v>42</v>
      </c>
      <c r="S1383" s="1" t="s">
        <v>42</v>
      </c>
      <c r="T1383" s="1" t="s">
        <v>170</v>
      </c>
      <c r="U1383" s="1">
        <v>247</v>
      </c>
      <c r="V1383" s="5">
        <v>43637</v>
      </c>
      <c r="W1383" s="5">
        <v>42277</v>
      </c>
      <c r="X1383" s="1">
        <v>10450000</v>
      </c>
      <c r="Y1383" s="1">
        <v>10450000</v>
      </c>
      <c r="Z1383" s="5">
        <v>42524</v>
      </c>
      <c r="AA1383" s="1">
        <v>10450000</v>
      </c>
      <c r="AB1383" s="1" t="s">
        <v>181</v>
      </c>
      <c r="AC1383" s="5">
        <v>42980</v>
      </c>
      <c r="AF1383" s="1">
        <v>10024</v>
      </c>
      <c r="AI1383" s="1" t="s">
        <v>1014</v>
      </c>
      <c r="AJ1383" s="1">
        <v>2017</v>
      </c>
      <c r="AK1383" s="1" t="s">
        <v>77</v>
      </c>
      <c r="AL1383" s="1">
        <v>26</v>
      </c>
    </row>
    <row r="1384" spans="1:38" x14ac:dyDescent="0.2">
      <c r="A1384" s="2" t="str">
        <f>HYPERLINK("https://www.compass.com/listing/215-east-19th-street-unit-16c-manhattan-ny-10003/547819557958882601/","215 E 19th St, Unit 16C")</f>
        <v>215 E 19th St, Unit 16C</v>
      </c>
      <c r="B1384" s="2" t="str">
        <f>HYPERLINK("https://www.compass.com/building/the-tower-at-gramercy-square-manhattan-ny/281890815108713781/","The Tower at Gramercy Square")</f>
        <v>The Tower at Gramercy Square</v>
      </c>
      <c r="C1384" s="1" t="s">
        <v>54</v>
      </c>
      <c r="D1384" s="1" t="s">
        <v>41</v>
      </c>
      <c r="E1384" s="3">
        <v>8549000</v>
      </c>
      <c r="F1384" s="1">
        <v>2275.4857599148199</v>
      </c>
      <c r="G1384" s="1">
        <v>6.5</v>
      </c>
      <c r="H1384" s="1">
        <v>3</v>
      </c>
      <c r="I1384" s="1">
        <v>4</v>
      </c>
      <c r="J1384" s="1">
        <v>3.5</v>
      </c>
      <c r="K1384" s="1">
        <v>3</v>
      </c>
      <c r="L1384" s="1">
        <v>1</v>
      </c>
      <c r="M1384" s="4">
        <v>3757</v>
      </c>
      <c r="N1384" s="1">
        <v>4265</v>
      </c>
      <c r="O1384" s="1">
        <v>11406</v>
      </c>
      <c r="P1384" s="1">
        <v>7141</v>
      </c>
      <c r="Q1384" s="1" t="s">
        <v>42</v>
      </c>
      <c r="S1384" s="1" t="s">
        <v>42</v>
      </c>
      <c r="T1384" s="1" t="s">
        <v>170</v>
      </c>
      <c r="U1384" s="1">
        <v>264</v>
      </c>
      <c r="V1384" s="5">
        <v>44387</v>
      </c>
      <c r="W1384" s="5">
        <v>44006</v>
      </c>
      <c r="X1384" s="1">
        <v>9995000</v>
      </c>
      <c r="Y1384" s="1">
        <v>9995000</v>
      </c>
      <c r="Z1384" s="5">
        <v>44273</v>
      </c>
      <c r="AA1384" s="1">
        <v>8549000</v>
      </c>
      <c r="AB1384" s="1" t="s">
        <v>1097</v>
      </c>
      <c r="AC1384" s="5">
        <v>44362</v>
      </c>
      <c r="AF1384" s="1">
        <v>10003</v>
      </c>
      <c r="AI1384" s="1" t="s">
        <v>76</v>
      </c>
      <c r="AJ1384" s="1">
        <v>1920</v>
      </c>
      <c r="AK1384" s="1" t="s">
        <v>46</v>
      </c>
      <c r="AL1384" s="1">
        <v>130</v>
      </c>
    </row>
    <row r="1385" spans="1:38" x14ac:dyDescent="0.2">
      <c r="A1385" s="2" t="str">
        <f>HYPERLINK("https://www.compass.com/listing/225-east-19th-street-unit-1c-manhattan-ny-10003/559170470912894561/","225 E 19th St, Unit 1C")</f>
        <v>225 E 19th St, Unit 1C</v>
      </c>
      <c r="B1385" s="2" t="str">
        <f>HYPERLINK("https://www.compass.com/building/the-prewar-at-gramercy-square-manhattan-ny/282059248584654437/","The Prewar at Gramercy Square")</f>
        <v>The Prewar at Gramercy Square</v>
      </c>
      <c r="C1385" s="1" t="s">
        <v>54</v>
      </c>
      <c r="D1385" s="1" t="s">
        <v>41</v>
      </c>
      <c r="E1385" s="3">
        <v>6165000</v>
      </c>
      <c r="F1385" s="1">
        <v>2228.8503253795998</v>
      </c>
      <c r="G1385" s="1">
        <v>5</v>
      </c>
      <c r="H1385" s="1">
        <v>3</v>
      </c>
      <c r="J1385" s="1">
        <v>3.5</v>
      </c>
      <c r="M1385" s="4">
        <v>2766</v>
      </c>
      <c r="N1385" s="1">
        <v>3578</v>
      </c>
      <c r="O1385" s="1">
        <v>3579</v>
      </c>
      <c r="P1385" s="1">
        <v>1</v>
      </c>
      <c r="S1385" s="1" t="s">
        <v>42</v>
      </c>
      <c r="T1385" s="1" t="s">
        <v>170</v>
      </c>
      <c r="U1385" s="1">
        <v>2</v>
      </c>
      <c r="V1385" s="5">
        <v>44247</v>
      </c>
      <c r="W1385" s="5">
        <v>44022</v>
      </c>
      <c r="X1385" s="1">
        <v>6165000</v>
      </c>
      <c r="Y1385" s="1">
        <v>6165000</v>
      </c>
      <c r="Z1385" s="5">
        <v>44026</v>
      </c>
      <c r="AA1385" s="1">
        <v>6165000</v>
      </c>
      <c r="AB1385" s="1" t="s">
        <v>181</v>
      </c>
      <c r="AC1385" s="5">
        <v>44124</v>
      </c>
      <c r="AF1385" s="1">
        <v>10003</v>
      </c>
      <c r="AI1385" s="1" t="s">
        <v>849</v>
      </c>
      <c r="AJ1385" s="1">
        <v>1920</v>
      </c>
      <c r="AK1385" s="1" t="s">
        <v>73</v>
      </c>
      <c r="AL1385" s="1">
        <v>48</v>
      </c>
    </row>
    <row r="1386" spans="1:38" x14ac:dyDescent="0.2">
      <c r="A1386" s="2" t="str">
        <f>HYPERLINK("https://www.compass.com/listing/215-east-19th-street-unit-11g-manhattan-ny-10003/277362221548332657/","215 E 19th St, Unit 11G")</f>
        <v>215 E 19th St, Unit 11G</v>
      </c>
      <c r="B1386" s="2" t="str">
        <f>HYPERLINK("https://www.compass.com/building/the-tower-at-gramercy-square-manhattan-ny/281890815108713781/","The Tower at Gramercy Square")</f>
        <v>The Tower at Gramercy Square</v>
      </c>
      <c r="C1386" s="1" t="s">
        <v>54</v>
      </c>
      <c r="D1386" s="1" t="s">
        <v>41</v>
      </c>
      <c r="E1386" s="3">
        <v>4800000</v>
      </c>
      <c r="F1386" s="1">
        <v>2336.9036027263801</v>
      </c>
      <c r="G1386" s="1">
        <v>6</v>
      </c>
      <c r="H1386" s="1">
        <v>3</v>
      </c>
      <c r="I1386" s="1">
        <v>4</v>
      </c>
      <c r="J1386" s="1">
        <v>3.5</v>
      </c>
      <c r="K1386" s="1">
        <v>3</v>
      </c>
      <c r="L1386" s="1">
        <v>1</v>
      </c>
      <c r="M1386" s="4">
        <v>2054</v>
      </c>
      <c r="N1386" s="1">
        <v>2331</v>
      </c>
      <c r="O1386" s="1">
        <v>5284</v>
      </c>
      <c r="P1386" s="1">
        <v>2953</v>
      </c>
      <c r="Q1386" s="1" t="s">
        <v>42</v>
      </c>
      <c r="S1386" s="1" t="s">
        <v>42</v>
      </c>
      <c r="T1386" s="1" t="s">
        <v>170</v>
      </c>
      <c r="U1386" s="1">
        <v>435</v>
      </c>
      <c r="V1386" s="5">
        <v>43757</v>
      </c>
      <c r="W1386" s="5">
        <v>43199</v>
      </c>
      <c r="X1386" s="1">
        <v>4850000</v>
      </c>
      <c r="Y1386" s="1">
        <v>4850000</v>
      </c>
      <c r="Z1386" s="5">
        <v>43635</v>
      </c>
      <c r="AA1386" s="1">
        <v>4800000</v>
      </c>
      <c r="AB1386" s="1" t="s">
        <v>1098</v>
      </c>
      <c r="AC1386" s="5">
        <v>43642</v>
      </c>
      <c r="AF1386" s="1">
        <v>10003</v>
      </c>
      <c r="AI1386" s="1" t="s">
        <v>76</v>
      </c>
      <c r="AJ1386" s="1">
        <v>1920</v>
      </c>
      <c r="AK1386" s="1" t="s">
        <v>46</v>
      </c>
      <c r="AL1386" s="1">
        <v>130</v>
      </c>
    </row>
    <row r="1387" spans="1:38" x14ac:dyDescent="0.2">
      <c r="A1387" s="2" t="str">
        <f>HYPERLINK("https://www.compass.com/listing/25-mercer-street-unit-ph-manhattan-ny-10013/29359656174426257/","25 Mercer St, Unit PH")</f>
        <v>25 Mercer St, Unit PH</v>
      </c>
      <c r="B1387" s="2" t="str">
        <f>HYPERLINK("https://www.compass.com/building/25-mercer-st-manhattan-ny-10013/281918357685436949/","25 Mercer St")</f>
        <v>25 Mercer St</v>
      </c>
      <c r="C1387" s="1" t="s">
        <v>104</v>
      </c>
      <c r="D1387" s="1" t="s">
        <v>41</v>
      </c>
      <c r="E1387" s="3">
        <v>17310375</v>
      </c>
      <c r="F1387" s="1">
        <v>3979.3965517241299</v>
      </c>
      <c r="G1387" s="1">
        <v>9</v>
      </c>
      <c r="H1387" s="1">
        <v>4</v>
      </c>
      <c r="I1387" s="1">
        <v>5</v>
      </c>
      <c r="J1387" s="1">
        <v>4.5</v>
      </c>
      <c r="K1387" s="1">
        <v>4</v>
      </c>
      <c r="L1387" s="1">
        <v>1</v>
      </c>
      <c r="M1387" s="4">
        <v>4350</v>
      </c>
      <c r="N1387" s="1">
        <v>2949</v>
      </c>
      <c r="O1387" s="1">
        <v>8653</v>
      </c>
      <c r="P1387" s="1">
        <v>5704</v>
      </c>
      <c r="Q1387" s="1" t="s">
        <v>42</v>
      </c>
      <c r="S1387" s="1" t="s">
        <v>42</v>
      </c>
      <c r="T1387" s="1" t="s">
        <v>170</v>
      </c>
      <c r="U1387" s="1">
        <v>58</v>
      </c>
      <c r="V1387" s="5">
        <v>44377</v>
      </c>
      <c r="W1387" s="5">
        <v>42467</v>
      </c>
      <c r="X1387" s="1">
        <v>17500000</v>
      </c>
      <c r="Y1387" s="1">
        <v>17500000</v>
      </c>
      <c r="Z1387" s="5">
        <v>42525</v>
      </c>
      <c r="AA1387" s="1">
        <v>17310375</v>
      </c>
      <c r="AB1387" s="1" t="s">
        <v>1099</v>
      </c>
      <c r="AC1387" s="5">
        <v>42811</v>
      </c>
      <c r="AF1387" s="1">
        <v>10013</v>
      </c>
      <c r="AI1387" s="1" t="s">
        <v>1100</v>
      </c>
      <c r="AJ1387" s="1">
        <v>2016</v>
      </c>
      <c r="AL1387" s="1">
        <v>5</v>
      </c>
    </row>
    <row r="1388" spans="1:38" x14ac:dyDescent="0.2">
      <c r="A1388" s="2" t="str">
        <f>HYPERLINK("https://www.compass.com/listing/221-west-77th-street-unit-11w-manhattan-ny-10024/8743034799803809/","221 W 77th St, Unit 11W")</f>
        <v>221 W 77th St, Unit 11W</v>
      </c>
      <c r="B1388" s="2" t="str">
        <f t="shared" ref="B1388:B1417" si="254">HYPERLINK("https://www.compass.com/building/221-west-77th-street-manhattan-ny/292869344491294229/","221 West 77th Street")</f>
        <v>221 West 77th Street</v>
      </c>
      <c r="C1388" s="1" t="s">
        <v>50</v>
      </c>
      <c r="D1388" s="1" t="s">
        <v>41</v>
      </c>
      <c r="E1388" s="3">
        <v>7013418</v>
      </c>
      <c r="F1388" s="1">
        <v>2571.84378437843</v>
      </c>
      <c r="G1388" s="1">
        <v>6</v>
      </c>
      <c r="H1388" s="1">
        <v>4</v>
      </c>
      <c r="I1388" s="1">
        <v>5</v>
      </c>
      <c r="J1388" s="1">
        <v>0.5</v>
      </c>
      <c r="L1388" s="1">
        <v>1</v>
      </c>
      <c r="M1388" s="4">
        <v>2727</v>
      </c>
      <c r="N1388" s="1">
        <v>2725</v>
      </c>
      <c r="O1388" s="1">
        <v>6241</v>
      </c>
      <c r="P1388" s="1">
        <v>3516</v>
      </c>
      <c r="Q1388" s="1" t="s">
        <v>42</v>
      </c>
      <c r="S1388" s="1" t="s">
        <v>42</v>
      </c>
      <c r="T1388" s="1" t="s">
        <v>170</v>
      </c>
      <c r="U1388" s="1">
        <v>233</v>
      </c>
      <c r="V1388" s="5">
        <v>43637</v>
      </c>
      <c r="W1388" s="5">
        <v>42661</v>
      </c>
      <c r="X1388" s="1">
        <v>7150000</v>
      </c>
      <c r="Y1388" s="1">
        <v>6950000</v>
      </c>
      <c r="Z1388" s="5">
        <v>42894</v>
      </c>
      <c r="AA1388" s="1">
        <v>7013418</v>
      </c>
      <c r="AB1388" s="1" t="s">
        <v>1101</v>
      </c>
      <c r="AC1388" s="5">
        <v>42952</v>
      </c>
      <c r="AF1388" s="1">
        <v>10024</v>
      </c>
      <c r="AI1388" s="1" t="s">
        <v>1014</v>
      </c>
      <c r="AJ1388" s="1">
        <v>2017</v>
      </c>
      <c r="AK1388" s="1" t="s">
        <v>77</v>
      </c>
      <c r="AL1388" s="1">
        <v>26</v>
      </c>
    </row>
    <row r="1389" spans="1:38" x14ac:dyDescent="0.2">
      <c r="A1389" s="2" t="str">
        <f>HYPERLINK("https://www.compass.com/listing/221-west-77th-street-unit-9w-manhattan-ny-10024/8743035538001265/","221 W 77th St, Unit 9W")</f>
        <v>221 W 77th St, Unit 9W</v>
      </c>
      <c r="B1389" s="2" t="str">
        <f t="shared" si="254"/>
        <v>221 West 77th Street</v>
      </c>
      <c r="C1389" s="1" t="s">
        <v>50</v>
      </c>
      <c r="D1389" s="1" t="s">
        <v>41</v>
      </c>
      <c r="E1389" s="3">
        <v>6761137</v>
      </c>
      <c r="F1389" s="1">
        <v>2460.384643377</v>
      </c>
      <c r="G1389" s="1">
        <v>7</v>
      </c>
      <c r="H1389" s="1">
        <v>4</v>
      </c>
      <c r="I1389" s="1">
        <v>5</v>
      </c>
      <c r="J1389" s="1">
        <v>0.5</v>
      </c>
      <c r="L1389" s="1">
        <v>1</v>
      </c>
      <c r="M1389" s="4">
        <v>2748</v>
      </c>
      <c r="N1389" s="1">
        <v>3058</v>
      </c>
      <c r="O1389" s="1">
        <v>7004</v>
      </c>
      <c r="P1389" s="1">
        <v>3946</v>
      </c>
      <c r="Q1389" s="1" t="s">
        <v>42</v>
      </c>
      <c r="S1389" s="1" t="s">
        <v>42</v>
      </c>
      <c r="T1389" s="1" t="s">
        <v>170</v>
      </c>
      <c r="U1389" s="1">
        <v>133</v>
      </c>
      <c r="V1389" s="5">
        <v>43637</v>
      </c>
      <c r="W1389" s="5">
        <v>42475</v>
      </c>
      <c r="X1389" s="1">
        <v>7695000</v>
      </c>
      <c r="Y1389" s="1">
        <v>8200000</v>
      </c>
      <c r="Z1389" s="5">
        <v>42670</v>
      </c>
      <c r="AA1389" s="1">
        <v>6761137</v>
      </c>
      <c r="AB1389" s="1" t="s">
        <v>1102</v>
      </c>
      <c r="AC1389" s="5">
        <v>42927</v>
      </c>
      <c r="AF1389" s="1">
        <v>10024</v>
      </c>
      <c r="AI1389" s="1" t="s">
        <v>1014</v>
      </c>
      <c r="AJ1389" s="1">
        <v>2017</v>
      </c>
      <c r="AK1389" s="1" t="s">
        <v>77</v>
      </c>
      <c r="AL1389" s="1">
        <v>26</v>
      </c>
    </row>
    <row r="1390" spans="1:38" x14ac:dyDescent="0.2">
      <c r="A1390" s="2" t="str">
        <f>HYPERLINK("https://www.compass.com/listing/221-west-77th-street-unit-12w-manhattan-ny-10024/8743038859890689/","221 W 77th St, Unit 12W")</f>
        <v>221 W 77th St, Unit 12W</v>
      </c>
      <c r="B1390" s="2" t="str">
        <f t="shared" si="254"/>
        <v>221 West 77th Street</v>
      </c>
      <c r="C1390" s="1" t="s">
        <v>50</v>
      </c>
      <c r="D1390" s="1" t="s">
        <v>41</v>
      </c>
      <c r="E1390" s="3">
        <v>7125000</v>
      </c>
      <c r="F1390" s="1">
        <v>2612.76127612761</v>
      </c>
      <c r="G1390" s="1">
        <v>6</v>
      </c>
      <c r="H1390" s="1">
        <v>4</v>
      </c>
      <c r="I1390" s="1">
        <v>5</v>
      </c>
      <c r="J1390" s="1">
        <v>0.5</v>
      </c>
      <c r="L1390" s="1">
        <v>1</v>
      </c>
      <c r="M1390" s="4">
        <v>2727</v>
      </c>
      <c r="N1390" s="1">
        <v>2725</v>
      </c>
      <c r="O1390" s="1">
        <v>6241</v>
      </c>
      <c r="P1390" s="1">
        <v>3516</v>
      </c>
      <c r="Q1390" s="1" t="s">
        <v>42</v>
      </c>
      <c r="S1390" s="1" t="s">
        <v>42</v>
      </c>
      <c r="T1390" s="1" t="s">
        <v>170</v>
      </c>
      <c r="U1390" s="1">
        <v>96</v>
      </c>
      <c r="V1390" s="5">
        <v>43659</v>
      </c>
      <c r="W1390" s="5">
        <v>42895</v>
      </c>
      <c r="X1390" s="1">
        <v>7250000</v>
      </c>
      <c r="Y1390" s="1">
        <v>7250000</v>
      </c>
      <c r="Z1390" s="5">
        <v>42991</v>
      </c>
      <c r="AA1390" s="1">
        <v>7125000</v>
      </c>
      <c r="AB1390" s="1" t="s">
        <v>1103</v>
      </c>
      <c r="AC1390" s="5">
        <v>43056</v>
      </c>
      <c r="AF1390" s="1">
        <v>10024</v>
      </c>
      <c r="AI1390" s="1" t="s">
        <v>1014</v>
      </c>
      <c r="AJ1390" s="1">
        <v>2017</v>
      </c>
      <c r="AK1390" s="1" t="s">
        <v>77</v>
      </c>
      <c r="AL1390" s="1">
        <v>26</v>
      </c>
    </row>
    <row r="1391" spans="1:38" x14ac:dyDescent="0.2">
      <c r="A1391" s="2" t="str">
        <f>HYPERLINK("https://www.compass.com/listing/221-west-77th-street-unit-10w-manhattan-ny-10024/8743039572965537/","221 W 77th St, Unit 10W")</f>
        <v>221 W 77th St, Unit 10W</v>
      </c>
      <c r="B1391" s="2" t="str">
        <f t="shared" si="254"/>
        <v>221 West 77th Street</v>
      </c>
      <c r="C1391" s="1" t="s">
        <v>50</v>
      </c>
      <c r="D1391" s="1" t="s">
        <v>41</v>
      </c>
      <c r="E1391" s="3">
        <v>6800000</v>
      </c>
      <c r="F1391" s="1">
        <v>2493.5826916024898</v>
      </c>
      <c r="G1391" s="1">
        <v>6</v>
      </c>
      <c r="H1391" s="1">
        <v>4</v>
      </c>
      <c r="I1391" s="1">
        <v>5</v>
      </c>
      <c r="J1391" s="1">
        <v>0.5</v>
      </c>
      <c r="L1391" s="1">
        <v>1</v>
      </c>
      <c r="M1391" s="4">
        <v>2727</v>
      </c>
      <c r="N1391" s="1">
        <v>2725</v>
      </c>
      <c r="O1391" s="1">
        <v>6241</v>
      </c>
      <c r="P1391" s="1">
        <v>3516</v>
      </c>
      <c r="Q1391" s="1" t="s">
        <v>42</v>
      </c>
      <c r="S1391" s="1" t="s">
        <v>42</v>
      </c>
      <c r="T1391" s="1" t="s">
        <v>170</v>
      </c>
      <c r="U1391" s="1">
        <v>361</v>
      </c>
      <c r="V1391" s="5">
        <v>43637</v>
      </c>
      <c r="W1391" s="5">
        <v>42265</v>
      </c>
      <c r="X1391" s="1">
        <v>7050000</v>
      </c>
      <c r="Y1391" s="1">
        <v>6750000</v>
      </c>
      <c r="Z1391" s="5">
        <v>42626</v>
      </c>
      <c r="AA1391" s="1">
        <v>6800000</v>
      </c>
      <c r="AB1391" s="1" t="s">
        <v>1104</v>
      </c>
      <c r="AC1391" s="5">
        <v>42906</v>
      </c>
      <c r="AF1391" s="1">
        <v>10024</v>
      </c>
      <c r="AI1391" s="1" t="s">
        <v>1014</v>
      </c>
      <c r="AJ1391" s="1">
        <v>2017</v>
      </c>
      <c r="AK1391" s="1" t="s">
        <v>77</v>
      </c>
      <c r="AL1391" s="1">
        <v>26</v>
      </c>
    </row>
    <row r="1392" spans="1:38" x14ac:dyDescent="0.2">
      <c r="A1392" s="2" t="str">
        <f>HYPERLINK("https://www.compass.com/listing/221-west-77th-street-unit-14-manhattan-ny-10024/8743039975575681/","221 W 77th St, Unit 14")</f>
        <v>221 W 77th St, Unit 14</v>
      </c>
      <c r="B1392" s="2" t="str">
        <f t="shared" si="254"/>
        <v>221 West 77th Street</v>
      </c>
      <c r="C1392" s="1" t="s">
        <v>50</v>
      </c>
      <c r="D1392" s="1" t="s">
        <v>41</v>
      </c>
      <c r="E1392" s="3">
        <v>12750000</v>
      </c>
      <c r="F1392" s="1">
        <v>3650.1574577726801</v>
      </c>
      <c r="G1392" s="1">
        <v>7</v>
      </c>
      <c r="H1392" s="1">
        <v>5</v>
      </c>
      <c r="I1392" s="1">
        <v>5</v>
      </c>
      <c r="J1392" s="1">
        <v>0.5</v>
      </c>
      <c r="L1392" s="1">
        <v>1</v>
      </c>
      <c r="M1392" s="4">
        <v>3493</v>
      </c>
      <c r="N1392" s="1">
        <v>3817</v>
      </c>
      <c r="O1392" s="1">
        <v>8741</v>
      </c>
      <c r="P1392" s="1">
        <v>4924</v>
      </c>
      <c r="Q1392" s="1" t="s">
        <v>42</v>
      </c>
      <c r="S1392" s="1" t="s">
        <v>42</v>
      </c>
      <c r="T1392" s="1" t="s">
        <v>170</v>
      </c>
      <c r="V1392" s="5">
        <v>43649</v>
      </c>
      <c r="W1392" s="5">
        <v>42980</v>
      </c>
      <c r="X1392" s="1">
        <v>12750000</v>
      </c>
      <c r="Z1392" s="5">
        <v>42690</v>
      </c>
      <c r="AA1392" s="1">
        <v>12750000</v>
      </c>
      <c r="AB1392" s="1" t="s">
        <v>181</v>
      </c>
      <c r="AC1392" s="5">
        <v>42265</v>
      </c>
      <c r="AF1392" s="1">
        <v>10024</v>
      </c>
      <c r="AI1392" s="1" t="s">
        <v>1014</v>
      </c>
      <c r="AJ1392" s="1">
        <v>2017</v>
      </c>
      <c r="AK1392" s="1" t="s">
        <v>77</v>
      </c>
      <c r="AL1392" s="1">
        <v>26</v>
      </c>
    </row>
    <row r="1393" spans="1:38" x14ac:dyDescent="0.2">
      <c r="A1393" s="2" t="str">
        <f>HYPERLINK("https://www.compass.com/listing/221-west-77th-street-unit-16-manhattan-ny-10024/8743034330041473/","221 W 77th St, Unit 16")</f>
        <v>221 W 77th St, Unit 16</v>
      </c>
      <c r="B1393" s="2" t="str">
        <f t="shared" si="254"/>
        <v>221 West 77th Street</v>
      </c>
      <c r="C1393" s="1" t="s">
        <v>50</v>
      </c>
      <c r="D1393" s="1" t="s">
        <v>41</v>
      </c>
      <c r="E1393" s="3">
        <v>10350000</v>
      </c>
      <c r="F1393" s="1">
        <v>3136.3636363636301</v>
      </c>
      <c r="G1393" s="1">
        <v>8</v>
      </c>
      <c r="H1393" s="1">
        <v>5</v>
      </c>
      <c r="I1393" s="1">
        <v>5</v>
      </c>
      <c r="J1393" s="1">
        <v>0.5</v>
      </c>
      <c r="L1393" s="1">
        <v>1</v>
      </c>
      <c r="M1393" s="4">
        <v>3300</v>
      </c>
      <c r="N1393" s="1">
        <v>3326</v>
      </c>
      <c r="O1393" s="1">
        <v>7617</v>
      </c>
      <c r="P1393" s="1">
        <v>4291</v>
      </c>
      <c r="Q1393" s="1" t="s">
        <v>42</v>
      </c>
      <c r="S1393" s="1" t="s">
        <v>42</v>
      </c>
      <c r="T1393" s="1" t="s">
        <v>170</v>
      </c>
      <c r="U1393" s="1">
        <v>147</v>
      </c>
      <c r="V1393" s="5">
        <v>43649</v>
      </c>
      <c r="W1393" s="5">
        <v>42524</v>
      </c>
      <c r="X1393" s="1">
        <v>10350000</v>
      </c>
      <c r="Y1393" s="1">
        <v>10350000</v>
      </c>
      <c r="Z1393" s="5">
        <v>42671</v>
      </c>
      <c r="AA1393" s="1">
        <v>10350000</v>
      </c>
      <c r="AB1393" s="1" t="s">
        <v>181</v>
      </c>
      <c r="AC1393" s="5">
        <v>42993</v>
      </c>
      <c r="AF1393" s="1">
        <v>10024</v>
      </c>
      <c r="AI1393" s="1" t="s">
        <v>1014</v>
      </c>
      <c r="AJ1393" s="1">
        <v>2017</v>
      </c>
      <c r="AK1393" s="1" t="s">
        <v>77</v>
      </c>
      <c r="AL1393" s="1">
        <v>26</v>
      </c>
    </row>
    <row r="1394" spans="1:38" x14ac:dyDescent="0.2">
      <c r="A1394" s="2" t="str">
        <f>HYPERLINK("https://www.compass.com/listing/221-west-77th-street-unit-6e-manhattan-ny-10024/8743038524389329/","221 W 77th St, Unit 6E")</f>
        <v>221 W 77th St, Unit 6E</v>
      </c>
      <c r="B1394" s="2" t="str">
        <f t="shared" si="254"/>
        <v>221 West 77th Street</v>
      </c>
      <c r="C1394" s="1" t="s">
        <v>50</v>
      </c>
      <c r="D1394" s="1" t="s">
        <v>41</v>
      </c>
      <c r="E1394" s="3">
        <v>4875000</v>
      </c>
      <c r="F1394" s="1">
        <v>2380.37109375</v>
      </c>
      <c r="G1394" s="1">
        <v>5</v>
      </c>
      <c r="H1394" s="1">
        <v>3</v>
      </c>
      <c r="I1394" s="1">
        <v>4</v>
      </c>
      <c r="J1394" s="1">
        <v>3.5</v>
      </c>
      <c r="M1394" s="4">
        <v>2048</v>
      </c>
      <c r="N1394" s="1">
        <v>2047</v>
      </c>
      <c r="O1394" s="1">
        <v>4688</v>
      </c>
      <c r="P1394" s="1">
        <v>2641</v>
      </c>
      <c r="Q1394" s="1" t="s">
        <v>42</v>
      </c>
      <c r="S1394" s="1" t="s">
        <v>42</v>
      </c>
      <c r="T1394" s="1" t="s">
        <v>170</v>
      </c>
      <c r="U1394" s="1">
        <v>178</v>
      </c>
      <c r="V1394" s="5">
        <v>43642</v>
      </c>
      <c r="W1394" s="5">
        <v>42528</v>
      </c>
      <c r="X1394" s="1">
        <v>4925000</v>
      </c>
      <c r="Y1394" s="1">
        <v>4925000</v>
      </c>
      <c r="Z1394" s="5">
        <v>42706</v>
      </c>
      <c r="AA1394" s="1">
        <v>4875000</v>
      </c>
      <c r="AB1394" s="1" t="s">
        <v>1074</v>
      </c>
      <c r="AC1394" s="5">
        <v>42898</v>
      </c>
      <c r="AF1394" s="1">
        <v>10024</v>
      </c>
      <c r="AI1394" s="1" t="s">
        <v>80</v>
      </c>
      <c r="AJ1394" s="1">
        <v>2017</v>
      </c>
      <c r="AK1394" s="1" t="s">
        <v>49</v>
      </c>
      <c r="AL1394" s="1">
        <v>26</v>
      </c>
    </row>
    <row r="1395" spans="1:38" x14ac:dyDescent="0.2">
      <c r="A1395" s="2" t="str">
        <f>HYPERLINK("https://www.compass.com/listing/221-west-77th-street-unit-4e-manhattan-ny-10024/29514356500759121/","221 W 77th St, Unit 4E")</f>
        <v>221 W 77th St, Unit 4E</v>
      </c>
      <c r="B1395" s="2" t="str">
        <f t="shared" si="254"/>
        <v>221 West 77th Street</v>
      </c>
      <c r="C1395" s="1" t="s">
        <v>50</v>
      </c>
      <c r="D1395" s="1" t="s">
        <v>41</v>
      </c>
      <c r="E1395" s="3">
        <v>5086158</v>
      </c>
      <c r="F1395" s="1">
        <v>2483.4755859375</v>
      </c>
      <c r="G1395" s="1">
        <v>5</v>
      </c>
      <c r="H1395" s="1">
        <v>3</v>
      </c>
      <c r="I1395" s="1">
        <v>4</v>
      </c>
      <c r="J1395" s="1">
        <v>3.5</v>
      </c>
      <c r="K1395" s="1">
        <v>3</v>
      </c>
      <c r="L1395" s="1">
        <v>1</v>
      </c>
      <c r="M1395" s="4">
        <v>2048</v>
      </c>
      <c r="N1395" s="1">
        <v>2047</v>
      </c>
      <c r="O1395" s="1">
        <v>4688</v>
      </c>
      <c r="P1395" s="1">
        <v>2641</v>
      </c>
      <c r="Q1395" s="1" t="s">
        <v>42</v>
      </c>
      <c r="S1395" s="1" t="s">
        <v>42</v>
      </c>
      <c r="T1395" s="1" t="s">
        <v>170</v>
      </c>
      <c r="U1395" s="1">
        <v>208</v>
      </c>
      <c r="V1395" s="5">
        <v>43689</v>
      </c>
      <c r="W1395" s="5">
        <v>43125</v>
      </c>
      <c r="X1395" s="1">
        <v>4995000</v>
      </c>
      <c r="Y1395" s="1">
        <v>4995000</v>
      </c>
      <c r="Z1395" s="5">
        <v>43333</v>
      </c>
      <c r="AA1395" s="1">
        <v>5086158.75</v>
      </c>
      <c r="AB1395" s="1" t="s">
        <v>1105</v>
      </c>
      <c r="AC1395" s="5">
        <v>43363</v>
      </c>
      <c r="AF1395" s="1">
        <v>10024</v>
      </c>
      <c r="AI1395" s="1" t="s">
        <v>1106</v>
      </c>
      <c r="AJ1395" s="1">
        <v>2017</v>
      </c>
      <c r="AK1395" s="1" t="s">
        <v>77</v>
      </c>
      <c r="AL1395" s="1">
        <v>26</v>
      </c>
    </row>
    <row r="1396" spans="1:38" x14ac:dyDescent="0.2">
      <c r="A1396" s="2" t="str">
        <f>HYPERLINK("https://www.compass.com/listing/221-west-77th-street-unit-5e-manhattan-ny-10024/8743036167190097/","221 W 77th St, Unit 5E")</f>
        <v>221 W 77th St, Unit 5E</v>
      </c>
      <c r="B1396" s="2" t="str">
        <f t="shared" si="254"/>
        <v>221 West 77th Street</v>
      </c>
      <c r="C1396" s="1" t="s">
        <v>50</v>
      </c>
      <c r="D1396" s="1" t="s">
        <v>41</v>
      </c>
      <c r="E1396" s="3">
        <v>4825000</v>
      </c>
      <c r="F1396" s="1">
        <v>2355.95703125</v>
      </c>
      <c r="G1396" s="1">
        <v>5</v>
      </c>
      <c r="H1396" s="1">
        <v>3</v>
      </c>
      <c r="I1396" s="1">
        <v>4</v>
      </c>
      <c r="J1396" s="1">
        <v>3.5</v>
      </c>
      <c r="M1396" s="4">
        <v>2048</v>
      </c>
      <c r="N1396" s="1">
        <v>2047</v>
      </c>
      <c r="O1396" s="1">
        <v>4688</v>
      </c>
      <c r="P1396" s="1">
        <v>2641</v>
      </c>
      <c r="Q1396" s="1" t="s">
        <v>42</v>
      </c>
      <c r="S1396" s="1" t="s">
        <v>42</v>
      </c>
      <c r="T1396" s="1" t="s">
        <v>170</v>
      </c>
      <c r="U1396" s="1">
        <v>75</v>
      </c>
      <c r="V1396" s="5">
        <v>43637</v>
      </c>
      <c r="W1396" s="5">
        <v>42692</v>
      </c>
      <c r="X1396" s="1">
        <v>4850000</v>
      </c>
      <c r="Y1396" s="1">
        <v>4850000</v>
      </c>
      <c r="Z1396" s="5">
        <v>42767</v>
      </c>
      <c r="AA1396" s="1">
        <v>4825000</v>
      </c>
      <c r="AB1396" s="1" t="s">
        <v>1073</v>
      </c>
      <c r="AC1396" s="5">
        <v>42912</v>
      </c>
      <c r="AF1396" s="1">
        <v>10024</v>
      </c>
      <c r="AI1396" s="1" t="s">
        <v>80</v>
      </c>
      <c r="AJ1396" s="1">
        <v>2017</v>
      </c>
      <c r="AK1396" s="1" t="s">
        <v>77</v>
      </c>
      <c r="AL1396" s="1">
        <v>26</v>
      </c>
    </row>
    <row r="1397" spans="1:38" x14ac:dyDescent="0.2">
      <c r="A1397" s="2" t="str">
        <f>HYPERLINK("https://www.compass.com/listing/221-west-77th-street-unit-ph-manhattan-ny-10024/14532642871467425/","221 W 77th St, Unit PH")</f>
        <v>221 W 77th St, Unit PH</v>
      </c>
      <c r="B1397" s="2" t="str">
        <f t="shared" si="254"/>
        <v>221 West 77th Street</v>
      </c>
      <c r="C1397" s="1" t="s">
        <v>50</v>
      </c>
      <c r="D1397" s="1" t="s">
        <v>41</v>
      </c>
      <c r="E1397" s="3">
        <v>20850000</v>
      </c>
      <c r="F1397" s="1">
        <v>3472.10657785179</v>
      </c>
      <c r="G1397" s="1">
        <v>8</v>
      </c>
      <c r="H1397" s="1">
        <v>5</v>
      </c>
      <c r="I1397" s="1">
        <v>6</v>
      </c>
      <c r="J1397" s="1">
        <v>5.5</v>
      </c>
      <c r="K1397" s="1">
        <v>5</v>
      </c>
      <c r="L1397" s="1">
        <v>1</v>
      </c>
      <c r="M1397" s="4">
        <v>6005</v>
      </c>
      <c r="N1397" s="1">
        <v>6337</v>
      </c>
      <c r="O1397" s="1">
        <v>14513</v>
      </c>
      <c r="P1397" s="1">
        <v>8176</v>
      </c>
      <c r="Q1397" s="1" t="s">
        <v>42</v>
      </c>
      <c r="S1397" s="1" t="s">
        <v>42</v>
      </c>
      <c r="T1397" s="1" t="s">
        <v>170</v>
      </c>
      <c r="U1397" s="1">
        <v>144</v>
      </c>
      <c r="V1397" s="5">
        <v>43678</v>
      </c>
      <c r="W1397" s="5">
        <v>42287</v>
      </c>
      <c r="X1397" s="1">
        <v>22500000</v>
      </c>
      <c r="Y1397" s="1">
        <v>22500000</v>
      </c>
      <c r="Z1397" s="5">
        <v>42431</v>
      </c>
      <c r="AA1397" s="1">
        <v>20850000</v>
      </c>
      <c r="AB1397" s="1" t="s">
        <v>1107</v>
      </c>
      <c r="AC1397" s="5">
        <v>43243</v>
      </c>
      <c r="AF1397" s="1">
        <v>10024</v>
      </c>
      <c r="AI1397" s="1" t="s">
        <v>1108</v>
      </c>
      <c r="AJ1397" s="1">
        <v>2017</v>
      </c>
      <c r="AK1397" s="1" t="s">
        <v>77</v>
      </c>
      <c r="AL1397" s="1">
        <v>26</v>
      </c>
    </row>
    <row r="1398" spans="1:38" x14ac:dyDescent="0.2">
      <c r="A1398" s="2" t="str">
        <f>HYPERLINK("https://www.compass.com/listing/221-west-77th-street-unit-the-manhattan-ny-10024/191148371002652689/","221 W 77th St")</f>
        <v>221 W 77th St</v>
      </c>
      <c r="B1398" s="2" t="str">
        <f t="shared" si="254"/>
        <v>221 West 77th Street</v>
      </c>
      <c r="C1398" s="1" t="s">
        <v>50</v>
      </c>
      <c r="D1398" s="1" t="s">
        <v>41</v>
      </c>
      <c r="E1398" s="3">
        <v>7300000</v>
      </c>
      <c r="F1398" s="1">
        <v>2294.8758252121902</v>
      </c>
      <c r="G1398" s="1">
        <v>6</v>
      </c>
      <c r="H1398" s="1">
        <v>4</v>
      </c>
      <c r="I1398" s="1">
        <v>5</v>
      </c>
      <c r="J1398" s="1">
        <v>4.5</v>
      </c>
      <c r="K1398" s="1">
        <v>4</v>
      </c>
      <c r="L1398" s="1">
        <v>1</v>
      </c>
      <c r="M1398" s="4">
        <v>3181</v>
      </c>
      <c r="N1398" s="1">
        <v>3565</v>
      </c>
      <c r="O1398" s="1">
        <v>8918</v>
      </c>
      <c r="P1398" s="1">
        <v>5353</v>
      </c>
      <c r="Q1398" s="1" t="s">
        <v>42</v>
      </c>
      <c r="S1398" s="1" t="s">
        <v>155</v>
      </c>
      <c r="T1398" s="1" t="s">
        <v>170</v>
      </c>
      <c r="U1398" s="1">
        <v>98</v>
      </c>
      <c r="V1398" s="5">
        <v>43696</v>
      </c>
      <c r="W1398" s="5">
        <v>43516</v>
      </c>
      <c r="X1398" s="1">
        <v>7995000</v>
      </c>
      <c r="Y1398" s="1">
        <v>7995000</v>
      </c>
      <c r="Z1398" s="5">
        <v>43614</v>
      </c>
      <c r="AA1398" s="1">
        <v>7300000</v>
      </c>
      <c r="AB1398" s="1" t="s">
        <v>1109</v>
      </c>
      <c r="AC1398" s="5">
        <v>43629</v>
      </c>
      <c r="AF1398" s="1">
        <v>10024</v>
      </c>
      <c r="AI1398" s="1" t="s">
        <v>781</v>
      </c>
      <c r="AJ1398" s="1">
        <v>2017</v>
      </c>
      <c r="AK1398" s="1" t="s">
        <v>77</v>
      </c>
      <c r="AL1398" s="1">
        <v>26</v>
      </c>
    </row>
    <row r="1399" spans="1:38" x14ac:dyDescent="0.2">
      <c r="A1399" s="2" t="str">
        <f>HYPERLINK("https://www.compass.com/listing/221-west-77th-street-unit-10e-manhattan-ny-10024/8743032669140049/","221 W 77th St, Unit 10E")</f>
        <v>221 W 77th St, Unit 10E</v>
      </c>
      <c r="B1399" s="2" t="str">
        <f t="shared" si="254"/>
        <v>221 West 77th Street</v>
      </c>
      <c r="C1399" s="1" t="s">
        <v>50</v>
      </c>
      <c r="D1399" s="1" t="s">
        <v>41</v>
      </c>
      <c r="E1399" s="3">
        <v>5150000</v>
      </c>
      <c r="F1399" s="1">
        <v>2491.5336236090898</v>
      </c>
      <c r="G1399" s="1">
        <v>5</v>
      </c>
      <c r="H1399" s="1">
        <v>3</v>
      </c>
      <c r="I1399" s="1">
        <v>4</v>
      </c>
      <c r="J1399" s="1">
        <v>3.5</v>
      </c>
      <c r="M1399" s="4">
        <v>2067</v>
      </c>
      <c r="N1399" s="1">
        <v>2066</v>
      </c>
      <c r="O1399" s="1">
        <v>4731</v>
      </c>
      <c r="P1399" s="1">
        <v>2665</v>
      </c>
      <c r="Q1399" s="1" t="s">
        <v>42</v>
      </c>
      <c r="S1399" s="1" t="s">
        <v>42</v>
      </c>
      <c r="T1399" s="1" t="s">
        <v>170</v>
      </c>
      <c r="U1399" s="1">
        <v>36</v>
      </c>
      <c r="V1399" s="5">
        <v>43642</v>
      </c>
      <c r="W1399" s="5">
        <v>42475</v>
      </c>
      <c r="X1399" s="1">
        <v>5150000</v>
      </c>
      <c r="Y1399" s="1">
        <v>5150000</v>
      </c>
      <c r="Z1399" s="5">
        <v>42511</v>
      </c>
      <c r="AA1399" s="1">
        <v>5150000</v>
      </c>
      <c r="AB1399" s="1" t="s">
        <v>1087</v>
      </c>
      <c r="AC1399" s="5">
        <v>42902</v>
      </c>
      <c r="AF1399" s="1">
        <v>10024</v>
      </c>
      <c r="AI1399" s="1" t="s">
        <v>162</v>
      </c>
      <c r="AJ1399" s="1">
        <v>2017</v>
      </c>
      <c r="AK1399" s="1" t="s">
        <v>49</v>
      </c>
      <c r="AL1399" s="1">
        <v>26</v>
      </c>
    </row>
    <row r="1400" spans="1:38" x14ac:dyDescent="0.2">
      <c r="A1400" s="2" t="str">
        <f>HYPERLINK("https://www.compass.com/listing/221-west-77th-street-unit-11e-manhattan-ny-10024/8743035907100225/","221 W 77th St, Unit 11E")</f>
        <v>221 W 77th St, Unit 11E</v>
      </c>
      <c r="B1400" s="2" t="str">
        <f t="shared" si="254"/>
        <v>221 West 77th Street</v>
      </c>
      <c r="C1400" s="1" t="s">
        <v>50</v>
      </c>
      <c r="D1400" s="1" t="s">
        <v>41</v>
      </c>
      <c r="E1400" s="3">
        <v>5250000</v>
      </c>
      <c r="F1400" s="1">
        <v>2539.9129172714001</v>
      </c>
      <c r="G1400" s="1">
        <v>6</v>
      </c>
      <c r="H1400" s="1">
        <v>3</v>
      </c>
      <c r="I1400" s="1">
        <v>4</v>
      </c>
      <c r="J1400" s="1">
        <v>3.5</v>
      </c>
      <c r="M1400" s="4">
        <v>2067</v>
      </c>
      <c r="N1400" s="1">
        <v>2066</v>
      </c>
      <c r="O1400" s="1">
        <v>4731</v>
      </c>
      <c r="P1400" s="1">
        <v>2665</v>
      </c>
      <c r="Q1400" s="1" t="s">
        <v>42</v>
      </c>
      <c r="S1400" s="1" t="s">
        <v>42</v>
      </c>
      <c r="T1400" s="1" t="s">
        <v>170</v>
      </c>
      <c r="V1400" s="5">
        <v>43664</v>
      </c>
      <c r="W1400" s="5">
        <v>42528</v>
      </c>
      <c r="X1400" s="1">
        <v>5350000</v>
      </c>
      <c r="Y1400" s="1">
        <v>5350000</v>
      </c>
      <c r="Z1400" s="5">
        <v>42528</v>
      </c>
      <c r="AA1400" s="1">
        <v>5250000</v>
      </c>
      <c r="AB1400" s="1" t="s">
        <v>1088</v>
      </c>
      <c r="AC1400" s="5">
        <v>42926</v>
      </c>
      <c r="AF1400" s="1">
        <v>10024</v>
      </c>
      <c r="AI1400" s="1" t="s">
        <v>80</v>
      </c>
      <c r="AJ1400" s="1">
        <v>2017</v>
      </c>
      <c r="AK1400" s="1" t="s">
        <v>49</v>
      </c>
      <c r="AL1400" s="1">
        <v>26</v>
      </c>
    </row>
    <row r="1401" spans="1:38" x14ac:dyDescent="0.2">
      <c r="A1401" s="2" t="str">
        <f>HYPERLINK("https://www.compass.com/listing/221-west-77th-street-unit-thw-manhattan-ny-10024/29514357180332833/","221 W 77th St, Unit THW")</f>
        <v>221 W 77th St, Unit THW</v>
      </c>
      <c r="B1401" s="2" t="str">
        <f t="shared" si="254"/>
        <v>221 West 77th Street</v>
      </c>
      <c r="C1401" s="1" t="s">
        <v>50</v>
      </c>
      <c r="D1401" s="1" t="s">
        <v>41</v>
      </c>
      <c r="E1401" s="3">
        <v>9750000</v>
      </c>
      <c r="F1401" s="1">
        <v>2559.72696245733</v>
      </c>
      <c r="G1401" s="1">
        <v>7</v>
      </c>
      <c r="H1401" s="1">
        <v>5</v>
      </c>
      <c r="I1401" s="1">
        <v>6</v>
      </c>
      <c r="J1401" s="1">
        <v>5.5</v>
      </c>
      <c r="K1401" s="1">
        <v>5</v>
      </c>
      <c r="L1401" s="1">
        <v>1</v>
      </c>
      <c r="M1401" s="4">
        <v>3809</v>
      </c>
      <c r="N1401" s="1">
        <v>4128</v>
      </c>
      <c r="O1401" s="1">
        <v>10610</v>
      </c>
      <c r="P1401" s="1">
        <v>6482</v>
      </c>
      <c r="Q1401" s="1" t="s">
        <v>42</v>
      </c>
      <c r="S1401" s="1" t="s">
        <v>42</v>
      </c>
      <c r="T1401" s="1" t="s">
        <v>170</v>
      </c>
      <c r="U1401" s="1">
        <v>190</v>
      </c>
      <c r="V1401" s="5">
        <v>43678</v>
      </c>
      <c r="W1401" s="5">
        <v>43119</v>
      </c>
      <c r="X1401" s="1">
        <v>9750000</v>
      </c>
      <c r="Y1401" s="1">
        <v>9750000</v>
      </c>
      <c r="Z1401" s="5">
        <v>43309</v>
      </c>
      <c r="AA1401" s="1">
        <v>9750000</v>
      </c>
      <c r="AB1401" s="1" t="s">
        <v>1110</v>
      </c>
      <c r="AC1401" s="5">
        <v>43462</v>
      </c>
      <c r="AF1401" s="1">
        <v>10024</v>
      </c>
      <c r="AI1401" s="1" t="s">
        <v>1106</v>
      </c>
      <c r="AJ1401" s="1">
        <v>2017</v>
      </c>
      <c r="AK1401" s="1" t="s">
        <v>77</v>
      </c>
      <c r="AL1401" s="1">
        <v>26</v>
      </c>
    </row>
    <row r="1402" spans="1:38" x14ac:dyDescent="0.2">
      <c r="A1402" s="2" t="str">
        <f>HYPERLINK("https://www.compass.com/listing/221-west-77th-street-unit-7w-manhattan-ny-10024/14532615767868305/","221 W 77th St, Unit 7W")</f>
        <v>221 W 77th St, Unit 7W</v>
      </c>
      <c r="B1402" s="2" t="str">
        <f t="shared" si="254"/>
        <v>221 West 77th Street</v>
      </c>
      <c r="C1402" s="1" t="s">
        <v>50</v>
      </c>
      <c r="D1402" s="1" t="s">
        <v>41</v>
      </c>
      <c r="E1402" s="3">
        <v>8375737</v>
      </c>
      <c r="F1402" s="1">
        <v>2737.16895424836</v>
      </c>
      <c r="G1402" s="1">
        <v>7</v>
      </c>
      <c r="H1402" s="1">
        <v>5</v>
      </c>
      <c r="I1402" s="1">
        <v>6</v>
      </c>
      <c r="J1402" s="1">
        <v>5.5</v>
      </c>
      <c r="M1402" s="4">
        <v>3060</v>
      </c>
      <c r="N1402" s="1">
        <v>3058</v>
      </c>
      <c r="O1402" s="1">
        <v>7004</v>
      </c>
      <c r="P1402" s="1">
        <v>3946</v>
      </c>
      <c r="Q1402" s="1" t="s">
        <v>42</v>
      </c>
      <c r="S1402" s="1" t="s">
        <v>42</v>
      </c>
      <c r="T1402" s="1" t="s">
        <v>170</v>
      </c>
      <c r="U1402" s="1">
        <v>271</v>
      </c>
      <c r="V1402" s="5">
        <v>43649</v>
      </c>
      <c r="W1402" s="5">
        <v>42769</v>
      </c>
      <c r="X1402" s="1">
        <v>7950000</v>
      </c>
      <c r="Y1402" s="1">
        <v>7950000</v>
      </c>
      <c r="Z1402" s="5">
        <v>43040</v>
      </c>
      <c r="AA1402" s="1">
        <v>8375737</v>
      </c>
      <c r="AB1402" s="1" t="s">
        <v>1111</v>
      </c>
      <c r="AC1402" s="5">
        <v>43117</v>
      </c>
      <c r="AF1402" s="1">
        <v>10024</v>
      </c>
      <c r="AI1402" s="1" t="s">
        <v>80</v>
      </c>
      <c r="AJ1402" s="1">
        <v>2017</v>
      </c>
      <c r="AK1402" s="1" t="s">
        <v>77</v>
      </c>
      <c r="AL1402" s="1">
        <v>26</v>
      </c>
    </row>
    <row r="1403" spans="1:38" x14ac:dyDescent="0.2">
      <c r="A1403" s="2" t="str">
        <f>HYPERLINK("https://www.compass.com/listing/221-west-77th-street-unit-7w-manhattan-ny-10024/803329987524550553/","221 W 77th St, Unit 7W")</f>
        <v>221 W 77th St, Unit 7W</v>
      </c>
      <c r="B1403" s="2" t="str">
        <f t="shared" si="254"/>
        <v>221 West 77th Street</v>
      </c>
      <c r="C1403" s="1" t="s">
        <v>50</v>
      </c>
      <c r="D1403" s="1" t="s">
        <v>41</v>
      </c>
      <c r="E1403" s="3">
        <v>8375738</v>
      </c>
      <c r="F1403" s="1">
        <v>2737.1691176470499</v>
      </c>
      <c r="G1403" s="1">
        <v>7</v>
      </c>
      <c r="H1403" s="1">
        <v>5</v>
      </c>
      <c r="I1403" s="1">
        <v>6</v>
      </c>
      <c r="J1403" s="1">
        <v>5.5</v>
      </c>
      <c r="K1403" s="1">
        <v>5</v>
      </c>
      <c r="L1403" s="1">
        <v>1</v>
      </c>
      <c r="M1403" s="4">
        <v>3060</v>
      </c>
      <c r="N1403" s="1">
        <v>3058</v>
      </c>
      <c r="O1403" s="1">
        <v>7004</v>
      </c>
      <c r="P1403" s="1">
        <v>3946</v>
      </c>
      <c r="Q1403" s="1" t="s">
        <v>42</v>
      </c>
      <c r="S1403" s="1" t="s">
        <v>42</v>
      </c>
      <c r="T1403" s="1" t="s">
        <v>170</v>
      </c>
      <c r="U1403" s="1">
        <v>853</v>
      </c>
      <c r="V1403" s="5">
        <v>43678</v>
      </c>
      <c r="W1403" s="5">
        <v>42263</v>
      </c>
      <c r="X1403" s="1">
        <v>7950000</v>
      </c>
      <c r="Y1403" s="1">
        <v>7950000</v>
      </c>
      <c r="AA1403" s="1">
        <v>8375737.5</v>
      </c>
      <c r="AB1403" s="1" t="s">
        <v>1111</v>
      </c>
      <c r="AC1403" s="5">
        <v>43116</v>
      </c>
      <c r="AF1403" s="1">
        <v>10024</v>
      </c>
      <c r="AI1403" s="1" t="s">
        <v>1014</v>
      </c>
      <c r="AJ1403" s="1">
        <v>2017</v>
      </c>
      <c r="AK1403" s="1" t="s">
        <v>77</v>
      </c>
      <c r="AL1403" s="1">
        <v>26</v>
      </c>
    </row>
    <row r="1404" spans="1:38" x14ac:dyDescent="0.2">
      <c r="A1404" s="2" t="str">
        <f>HYPERLINK("https://www.compass.com/listing/221-west-77th-street-unit-ph-manhattan-ny-10024/803340042377955105/","221 W 77th St, Unit PH")</f>
        <v>221 W 77th St, Unit PH</v>
      </c>
      <c r="B1404" s="2" t="str">
        <f t="shared" si="254"/>
        <v>221 West 77th Street</v>
      </c>
      <c r="C1404" s="1" t="s">
        <v>50</v>
      </c>
      <c r="D1404" s="1" t="s">
        <v>41</v>
      </c>
      <c r="E1404" s="3">
        <v>20850000</v>
      </c>
      <c r="F1404" s="1">
        <v>3472.10657785179</v>
      </c>
      <c r="G1404" s="1">
        <v>8</v>
      </c>
      <c r="H1404" s="1">
        <v>5</v>
      </c>
      <c r="I1404" s="1">
        <v>6</v>
      </c>
      <c r="J1404" s="1">
        <v>5.5</v>
      </c>
      <c r="M1404" s="4">
        <v>6005</v>
      </c>
      <c r="N1404" s="1">
        <v>6337</v>
      </c>
      <c r="O1404" s="1">
        <v>14513</v>
      </c>
      <c r="P1404" s="1">
        <v>8176</v>
      </c>
      <c r="Q1404" s="1" t="s">
        <v>42</v>
      </c>
      <c r="S1404" s="1" t="s">
        <v>42</v>
      </c>
      <c r="T1404" s="1" t="s">
        <v>170</v>
      </c>
      <c r="U1404" s="1">
        <v>143</v>
      </c>
      <c r="V1404" s="5">
        <v>43173</v>
      </c>
      <c r="W1404" s="5">
        <v>42286</v>
      </c>
      <c r="X1404" s="1">
        <v>22500000</v>
      </c>
      <c r="Y1404" s="1">
        <v>22500000</v>
      </c>
      <c r="Z1404" s="5">
        <v>42430</v>
      </c>
      <c r="AA1404" s="1">
        <v>20850000</v>
      </c>
      <c r="AB1404" s="1" t="s">
        <v>1107</v>
      </c>
      <c r="AC1404" s="5">
        <v>43243</v>
      </c>
      <c r="AF1404" s="1">
        <v>10024</v>
      </c>
      <c r="AI1404" s="1" t="s">
        <v>80</v>
      </c>
      <c r="AJ1404" s="1">
        <v>2017</v>
      </c>
      <c r="AK1404" s="1" t="s">
        <v>77</v>
      </c>
      <c r="AL1404" s="1">
        <v>26</v>
      </c>
    </row>
    <row r="1405" spans="1:38" x14ac:dyDescent="0.2">
      <c r="A1405" s="2" t="str">
        <f>HYPERLINK("https://www.compass.com/listing/221-west-77th-street-unit-5w-manhattan-ny-10024/8743033516346625/","221 W 77th St, Unit 5W")</f>
        <v>221 W 77th St, Unit 5W</v>
      </c>
      <c r="B1405" s="2" t="str">
        <f t="shared" si="254"/>
        <v>221 West 77th Street</v>
      </c>
      <c r="C1405" s="1" t="s">
        <v>50</v>
      </c>
      <c r="D1405" s="1" t="s">
        <v>41</v>
      </c>
      <c r="E1405" s="3">
        <v>6150000</v>
      </c>
      <c r="F1405" s="1">
        <v>2255.2255225522499</v>
      </c>
      <c r="G1405" s="1">
        <v>6</v>
      </c>
      <c r="H1405" s="1">
        <v>4</v>
      </c>
      <c r="I1405" s="1">
        <v>5</v>
      </c>
      <c r="J1405" s="1">
        <v>4.5</v>
      </c>
      <c r="M1405" s="4">
        <v>2727</v>
      </c>
      <c r="N1405" s="1">
        <v>2725</v>
      </c>
      <c r="O1405" s="1">
        <v>6241</v>
      </c>
      <c r="P1405" s="1">
        <v>3516</v>
      </c>
      <c r="Q1405" s="1" t="s">
        <v>42</v>
      </c>
      <c r="S1405" s="1" t="s">
        <v>42</v>
      </c>
      <c r="T1405" s="1" t="s">
        <v>170</v>
      </c>
      <c r="V1405" s="5">
        <v>43650</v>
      </c>
      <c r="W1405" s="5">
        <v>42587</v>
      </c>
      <c r="X1405" s="1">
        <v>6450000</v>
      </c>
      <c r="Y1405" s="1">
        <v>6450000</v>
      </c>
      <c r="Z1405" s="5">
        <v>42587</v>
      </c>
      <c r="AA1405" s="1">
        <v>6150000</v>
      </c>
      <c r="AB1405" s="1" t="s">
        <v>1095</v>
      </c>
      <c r="AC1405" s="5">
        <v>42913</v>
      </c>
      <c r="AF1405" s="1">
        <v>10024</v>
      </c>
      <c r="AI1405" s="1" t="s">
        <v>80</v>
      </c>
      <c r="AJ1405" s="1">
        <v>2017</v>
      </c>
      <c r="AK1405" s="1" t="s">
        <v>77</v>
      </c>
      <c r="AL1405" s="1">
        <v>26</v>
      </c>
    </row>
    <row r="1406" spans="1:38" x14ac:dyDescent="0.2">
      <c r="A1406" s="2" t="str">
        <f>HYPERLINK("https://www.compass.com/listing/221-west-77th-street-unit-8w-manhattan-ny-10024/8743033919042769/","221 W 77th St, Unit 8W")</f>
        <v>221 W 77th St, Unit 8W</v>
      </c>
      <c r="B1406" s="2" t="str">
        <f t="shared" si="254"/>
        <v>221 West 77th Street</v>
      </c>
      <c r="C1406" s="1" t="s">
        <v>50</v>
      </c>
      <c r="D1406" s="1" t="s">
        <v>41</v>
      </c>
      <c r="E1406" s="3">
        <v>7467525</v>
      </c>
      <c r="F1406" s="1">
        <v>2440.3676470588198</v>
      </c>
      <c r="G1406" s="1">
        <v>7</v>
      </c>
      <c r="H1406" s="1">
        <v>5</v>
      </c>
      <c r="I1406" s="1">
        <v>6</v>
      </c>
      <c r="J1406" s="1">
        <v>5.5</v>
      </c>
      <c r="M1406" s="4">
        <v>3060</v>
      </c>
      <c r="N1406" s="1">
        <v>3058</v>
      </c>
      <c r="O1406" s="1">
        <v>7004</v>
      </c>
      <c r="P1406" s="1">
        <v>3946</v>
      </c>
      <c r="Q1406" s="1" t="s">
        <v>42</v>
      </c>
      <c r="S1406" s="1" t="s">
        <v>42</v>
      </c>
      <c r="T1406" s="1" t="s">
        <v>170</v>
      </c>
      <c r="U1406" s="1">
        <v>161</v>
      </c>
      <c r="V1406" s="5">
        <v>43649</v>
      </c>
      <c r="W1406" s="5">
        <v>42608</v>
      </c>
      <c r="X1406" s="1">
        <v>8075000</v>
      </c>
      <c r="Y1406" s="1">
        <v>8075000</v>
      </c>
      <c r="Z1406" s="5">
        <v>43011</v>
      </c>
      <c r="AA1406" s="1">
        <v>7467525</v>
      </c>
      <c r="AB1406" s="1" t="s">
        <v>1096</v>
      </c>
      <c r="AC1406" s="5">
        <v>43045</v>
      </c>
      <c r="AF1406" s="1">
        <v>10024</v>
      </c>
      <c r="AI1406" s="1" t="s">
        <v>162</v>
      </c>
      <c r="AJ1406" s="1">
        <v>2017</v>
      </c>
      <c r="AK1406" s="1" t="s">
        <v>77</v>
      </c>
      <c r="AL1406" s="1">
        <v>26</v>
      </c>
    </row>
    <row r="1407" spans="1:38" x14ac:dyDescent="0.2">
      <c r="A1407" s="2" t="str">
        <f>HYPERLINK("https://www.compass.com/listing/221-west-77th-street-unit-11w-manhattan-ny-10024/8743034808192433/","221 W 77th St, Unit 11W")</f>
        <v>221 W 77th St, Unit 11W</v>
      </c>
      <c r="B1407" s="2" t="str">
        <f t="shared" si="254"/>
        <v>221 West 77th Street</v>
      </c>
      <c r="C1407" s="1" t="s">
        <v>50</v>
      </c>
      <c r="D1407" s="1" t="s">
        <v>41</v>
      </c>
      <c r="E1407" s="3">
        <v>7013418</v>
      </c>
      <c r="F1407" s="1">
        <v>2571.84378437843</v>
      </c>
      <c r="G1407" s="1">
        <v>6</v>
      </c>
      <c r="H1407" s="1">
        <v>4</v>
      </c>
      <c r="I1407" s="1">
        <v>5</v>
      </c>
      <c r="J1407" s="1">
        <v>4.5</v>
      </c>
      <c r="M1407" s="4">
        <v>2727</v>
      </c>
      <c r="N1407" s="1">
        <v>2725</v>
      </c>
      <c r="O1407" s="1">
        <v>6241</v>
      </c>
      <c r="P1407" s="1">
        <v>3516</v>
      </c>
      <c r="Q1407" s="1" t="s">
        <v>42</v>
      </c>
      <c r="S1407" s="1" t="s">
        <v>42</v>
      </c>
      <c r="T1407" s="1" t="s">
        <v>170</v>
      </c>
      <c r="U1407" s="1">
        <v>233</v>
      </c>
      <c r="V1407" s="5">
        <v>43649</v>
      </c>
      <c r="W1407" s="5">
        <v>42661</v>
      </c>
      <c r="X1407" s="1">
        <v>7150000</v>
      </c>
      <c r="Y1407" s="1">
        <v>6950000</v>
      </c>
      <c r="Z1407" s="5">
        <v>42894</v>
      </c>
      <c r="AA1407" s="1">
        <v>7013418</v>
      </c>
      <c r="AB1407" s="1" t="s">
        <v>1101</v>
      </c>
      <c r="AC1407" s="5">
        <v>42952</v>
      </c>
      <c r="AF1407" s="1">
        <v>10024</v>
      </c>
      <c r="AI1407" s="1" t="s">
        <v>162</v>
      </c>
      <c r="AJ1407" s="1">
        <v>2017</v>
      </c>
      <c r="AK1407" s="1" t="s">
        <v>77</v>
      </c>
      <c r="AL1407" s="1">
        <v>26</v>
      </c>
    </row>
    <row r="1408" spans="1:38" x14ac:dyDescent="0.2">
      <c r="A1408" s="2" t="str">
        <f>HYPERLINK("https://www.compass.com/listing/221-west-77th-street-unit-9w-manhattan-ny-10024/8743035546389889/","221 W 77th St, Unit 9W")</f>
        <v>221 W 77th St, Unit 9W</v>
      </c>
      <c r="B1408" s="2" t="str">
        <f t="shared" si="254"/>
        <v>221 West 77th Street</v>
      </c>
      <c r="C1408" s="1" t="s">
        <v>50</v>
      </c>
      <c r="D1408" s="1" t="s">
        <v>41</v>
      </c>
      <c r="E1408" s="3">
        <v>6761137</v>
      </c>
      <c r="F1408" s="1">
        <v>2460.384643377</v>
      </c>
      <c r="G1408" s="1">
        <v>7</v>
      </c>
      <c r="H1408" s="1">
        <v>4</v>
      </c>
      <c r="I1408" s="1">
        <v>5</v>
      </c>
      <c r="J1408" s="1">
        <v>4.5</v>
      </c>
      <c r="M1408" s="4">
        <v>2748</v>
      </c>
      <c r="N1408" s="1">
        <v>3058</v>
      </c>
      <c r="O1408" s="1">
        <v>7004</v>
      </c>
      <c r="P1408" s="1">
        <v>3946</v>
      </c>
      <c r="Q1408" s="1" t="s">
        <v>42</v>
      </c>
      <c r="S1408" s="1" t="s">
        <v>42</v>
      </c>
      <c r="T1408" s="1" t="s">
        <v>170</v>
      </c>
      <c r="U1408" s="1">
        <v>133</v>
      </c>
      <c r="V1408" s="5">
        <v>43651</v>
      </c>
      <c r="W1408" s="5">
        <v>42475</v>
      </c>
      <c r="X1408" s="1">
        <v>7695000</v>
      </c>
      <c r="Y1408" s="1">
        <v>8200000</v>
      </c>
      <c r="Z1408" s="5">
        <v>42670</v>
      </c>
      <c r="AA1408" s="1">
        <v>6761137</v>
      </c>
      <c r="AB1408" s="1" t="s">
        <v>1102</v>
      </c>
      <c r="AC1408" s="5">
        <v>42927</v>
      </c>
      <c r="AF1408" s="1">
        <v>10024</v>
      </c>
      <c r="AI1408" s="1" t="s">
        <v>1112</v>
      </c>
      <c r="AJ1408" s="1">
        <v>2017</v>
      </c>
      <c r="AK1408" s="1" t="s">
        <v>49</v>
      </c>
      <c r="AL1408" s="1">
        <v>26</v>
      </c>
    </row>
    <row r="1409" spans="1:38" x14ac:dyDescent="0.2">
      <c r="A1409" s="2" t="str">
        <f>HYPERLINK("https://www.compass.com/listing/221-west-77th-street-unit-15-manhattan-ny-10024/8743037056339681/","221 W 77th St, Unit 15")</f>
        <v>221 W 77th St, Unit 15</v>
      </c>
      <c r="B1409" s="2" t="str">
        <f t="shared" si="254"/>
        <v>221 West 77th Street</v>
      </c>
      <c r="C1409" s="1" t="s">
        <v>50</v>
      </c>
      <c r="D1409" s="1" t="s">
        <v>41</v>
      </c>
      <c r="E1409" s="3">
        <v>10450000</v>
      </c>
      <c r="F1409" s="1">
        <v>3077.1495877502898</v>
      </c>
      <c r="G1409" s="1">
        <v>7</v>
      </c>
      <c r="H1409" s="1">
        <v>5</v>
      </c>
      <c r="I1409" s="1">
        <v>5</v>
      </c>
      <c r="J1409" s="1">
        <v>4.5</v>
      </c>
      <c r="M1409" s="4">
        <v>3396</v>
      </c>
      <c r="N1409" s="1">
        <v>3422</v>
      </c>
      <c r="O1409" s="1">
        <v>7836</v>
      </c>
      <c r="P1409" s="1">
        <v>4414</v>
      </c>
      <c r="Q1409" s="1" t="s">
        <v>42</v>
      </c>
      <c r="S1409" s="1" t="s">
        <v>42</v>
      </c>
      <c r="T1409" s="1" t="s">
        <v>170</v>
      </c>
      <c r="U1409" s="1">
        <v>247</v>
      </c>
      <c r="V1409" s="5">
        <v>43649</v>
      </c>
      <c r="W1409" s="5">
        <v>42277</v>
      </c>
      <c r="X1409" s="1">
        <v>10450000</v>
      </c>
      <c r="Y1409" s="1">
        <v>10450000</v>
      </c>
      <c r="Z1409" s="5">
        <v>42524</v>
      </c>
      <c r="AA1409" s="1">
        <v>10450000</v>
      </c>
      <c r="AB1409" s="1" t="s">
        <v>181</v>
      </c>
      <c r="AC1409" s="5">
        <v>42980</v>
      </c>
      <c r="AF1409" s="1">
        <v>10024</v>
      </c>
      <c r="AI1409" s="1" t="s">
        <v>1113</v>
      </c>
      <c r="AJ1409" s="1">
        <v>2017</v>
      </c>
      <c r="AK1409" s="1" t="s">
        <v>49</v>
      </c>
      <c r="AL1409" s="1">
        <v>26</v>
      </c>
    </row>
    <row r="1410" spans="1:38" x14ac:dyDescent="0.2">
      <c r="A1410" s="2" t="str">
        <f>HYPERLINK("https://www.compass.com/listing/221-west-77th-street-unit-6w-manhattan-ny-10024/8743038230745073/","221 W 77th St, Unit 6W")</f>
        <v>221 W 77th St, Unit 6W</v>
      </c>
      <c r="B1410" s="2" t="str">
        <f t="shared" si="254"/>
        <v>221 West 77th Street</v>
      </c>
      <c r="C1410" s="1" t="s">
        <v>50</v>
      </c>
      <c r="D1410" s="1" t="s">
        <v>41</v>
      </c>
      <c r="E1410" s="3">
        <v>6200000</v>
      </c>
      <c r="F1410" s="1">
        <v>2273.5606894022699</v>
      </c>
      <c r="G1410" s="1">
        <v>6</v>
      </c>
      <c r="H1410" s="1">
        <v>4</v>
      </c>
      <c r="I1410" s="1">
        <v>5</v>
      </c>
      <c r="J1410" s="1">
        <v>4.5</v>
      </c>
      <c r="M1410" s="4">
        <v>2727</v>
      </c>
      <c r="N1410" s="1">
        <v>2725</v>
      </c>
      <c r="O1410" s="1">
        <v>6241</v>
      </c>
      <c r="P1410" s="1">
        <v>3516</v>
      </c>
      <c r="Q1410" s="1" t="s">
        <v>42</v>
      </c>
      <c r="S1410" s="1" t="s">
        <v>42</v>
      </c>
      <c r="T1410" s="1" t="s">
        <v>170</v>
      </c>
      <c r="U1410" s="1">
        <v>1</v>
      </c>
      <c r="V1410" s="5">
        <v>43662</v>
      </c>
      <c r="W1410" s="5">
        <v>42712</v>
      </c>
      <c r="X1410" s="1">
        <v>6550000</v>
      </c>
      <c r="Y1410" s="1">
        <v>6550000</v>
      </c>
      <c r="Z1410" s="5">
        <v>42713</v>
      </c>
      <c r="AA1410" s="1">
        <v>6200000</v>
      </c>
      <c r="AB1410" s="1" t="s">
        <v>1086</v>
      </c>
      <c r="AC1410" s="5">
        <v>42906</v>
      </c>
      <c r="AF1410" s="1">
        <v>10024</v>
      </c>
      <c r="AI1410" s="1" t="s">
        <v>80</v>
      </c>
      <c r="AJ1410" s="1">
        <v>2017</v>
      </c>
      <c r="AK1410" s="1" t="s">
        <v>49</v>
      </c>
      <c r="AL1410" s="1">
        <v>26</v>
      </c>
    </row>
    <row r="1411" spans="1:38" x14ac:dyDescent="0.2">
      <c r="A1411" s="2" t="str">
        <f>HYPERLINK("https://www.compass.com/listing/221-west-77th-street-unit-12w-manhattan-ny-10024/8743038859890705/","221 W 77th St, Unit 12W")</f>
        <v>221 W 77th St, Unit 12W</v>
      </c>
      <c r="B1411" s="2" t="str">
        <f t="shared" si="254"/>
        <v>221 West 77th Street</v>
      </c>
      <c r="C1411" s="1" t="s">
        <v>50</v>
      </c>
      <c r="D1411" s="1" t="s">
        <v>41</v>
      </c>
      <c r="E1411" s="3">
        <v>7125000</v>
      </c>
      <c r="F1411" s="1">
        <v>2612.76127612761</v>
      </c>
      <c r="G1411" s="1">
        <v>6</v>
      </c>
      <c r="H1411" s="1">
        <v>4</v>
      </c>
      <c r="I1411" s="1">
        <v>5</v>
      </c>
      <c r="J1411" s="1">
        <v>4.5</v>
      </c>
      <c r="M1411" s="4">
        <v>2727</v>
      </c>
      <c r="N1411" s="1">
        <v>2725</v>
      </c>
      <c r="O1411" s="1">
        <v>6241</v>
      </c>
      <c r="P1411" s="1">
        <v>3516</v>
      </c>
      <c r="Q1411" s="1" t="s">
        <v>42</v>
      </c>
      <c r="S1411" s="1" t="s">
        <v>42</v>
      </c>
      <c r="T1411" s="1" t="s">
        <v>170</v>
      </c>
      <c r="U1411" s="1">
        <v>96</v>
      </c>
      <c r="V1411" s="5">
        <v>43658</v>
      </c>
      <c r="W1411" s="5">
        <v>42895</v>
      </c>
      <c r="X1411" s="1">
        <v>7250000</v>
      </c>
      <c r="Y1411" s="1">
        <v>7250000</v>
      </c>
      <c r="Z1411" s="5">
        <v>42991</v>
      </c>
      <c r="AA1411" s="1">
        <v>7125000</v>
      </c>
      <c r="AB1411" s="1" t="s">
        <v>1103</v>
      </c>
      <c r="AC1411" s="5">
        <v>43056</v>
      </c>
      <c r="AF1411" s="1">
        <v>10024</v>
      </c>
      <c r="AI1411" s="1" t="s">
        <v>162</v>
      </c>
      <c r="AJ1411" s="1">
        <v>2017</v>
      </c>
      <c r="AK1411" s="1" t="s">
        <v>77</v>
      </c>
      <c r="AL1411" s="1">
        <v>26</v>
      </c>
    </row>
    <row r="1412" spans="1:38" x14ac:dyDescent="0.2">
      <c r="A1412" s="2" t="str">
        <f>HYPERLINK("https://www.compass.com/listing/221-west-77th-street-unit-10w-manhattan-ny-10024/8743039572965553/","221 W 77th St, Unit 10W")</f>
        <v>221 W 77th St, Unit 10W</v>
      </c>
      <c r="B1412" s="2" t="str">
        <f t="shared" si="254"/>
        <v>221 West 77th Street</v>
      </c>
      <c r="C1412" s="1" t="s">
        <v>50</v>
      </c>
      <c r="D1412" s="1" t="s">
        <v>41</v>
      </c>
      <c r="E1412" s="3">
        <v>6800000</v>
      </c>
      <c r="F1412" s="1">
        <v>2493.5826916024898</v>
      </c>
      <c r="G1412" s="1">
        <v>6</v>
      </c>
      <c r="H1412" s="1">
        <v>4</v>
      </c>
      <c r="I1412" s="1">
        <v>5</v>
      </c>
      <c r="J1412" s="1">
        <v>4.5</v>
      </c>
      <c r="M1412" s="4">
        <v>2727</v>
      </c>
      <c r="N1412" s="1">
        <v>2725</v>
      </c>
      <c r="O1412" s="1">
        <v>6241</v>
      </c>
      <c r="P1412" s="1">
        <v>3516</v>
      </c>
      <c r="Q1412" s="1" t="s">
        <v>42</v>
      </c>
      <c r="S1412" s="1" t="s">
        <v>42</v>
      </c>
      <c r="T1412" s="1" t="s">
        <v>170</v>
      </c>
      <c r="U1412" s="1">
        <v>361</v>
      </c>
      <c r="V1412" s="5">
        <v>43649</v>
      </c>
      <c r="W1412" s="5">
        <v>42265</v>
      </c>
      <c r="X1412" s="1">
        <v>7050000</v>
      </c>
      <c r="Y1412" s="1">
        <v>6750000</v>
      </c>
      <c r="Z1412" s="5">
        <v>42626</v>
      </c>
      <c r="AA1412" s="1">
        <v>6800000</v>
      </c>
      <c r="AB1412" s="1" t="s">
        <v>1104</v>
      </c>
      <c r="AC1412" s="5">
        <v>42906</v>
      </c>
      <c r="AF1412" s="1">
        <v>10024</v>
      </c>
      <c r="AI1412" s="1" t="s">
        <v>80</v>
      </c>
      <c r="AJ1412" s="1">
        <v>2017</v>
      </c>
      <c r="AK1412" s="1" t="s">
        <v>49</v>
      </c>
      <c r="AL1412" s="1">
        <v>26</v>
      </c>
    </row>
    <row r="1413" spans="1:38" x14ac:dyDescent="0.2">
      <c r="A1413" s="2" t="str">
        <f>HYPERLINK("https://www.compass.com/listing/221-west-77th-street-unit-14-manhattan-ny-10024/8743039975575697/","221 W 77th St, Unit 14")</f>
        <v>221 W 77th St, Unit 14</v>
      </c>
      <c r="B1413" s="2" t="str">
        <f t="shared" si="254"/>
        <v>221 West 77th Street</v>
      </c>
      <c r="C1413" s="1" t="s">
        <v>50</v>
      </c>
      <c r="D1413" s="1" t="s">
        <v>41</v>
      </c>
      <c r="E1413" s="3">
        <v>12750000</v>
      </c>
      <c r="F1413" s="1">
        <v>3650.1574577726801</v>
      </c>
      <c r="G1413" s="1">
        <v>7</v>
      </c>
      <c r="H1413" s="1">
        <v>5</v>
      </c>
      <c r="I1413" s="1">
        <v>5</v>
      </c>
      <c r="J1413" s="1">
        <v>4.5</v>
      </c>
      <c r="M1413" s="4">
        <v>3493</v>
      </c>
      <c r="N1413" s="1">
        <v>3817</v>
      </c>
      <c r="O1413" s="1">
        <v>8741</v>
      </c>
      <c r="P1413" s="1">
        <v>4924</v>
      </c>
      <c r="Q1413" s="1" t="s">
        <v>42</v>
      </c>
      <c r="S1413" s="1" t="s">
        <v>42</v>
      </c>
      <c r="T1413" s="1" t="s">
        <v>170</v>
      </c>
      <c r="U1413" s="1">
        <v>425</v>
      </c>
      <c r="V1413" s="5">
        <v>43637</v>
      </c>
      <c r="W1413" s="5">
        <v>42265</v>
      </c>
      <c r="X1413" s="1">
        <v>12750000</v>
      </c>
      <c r="Y1413" s="1">
        <v>12750000</v>
      </c>
      <c r="Z1413" s="5">
        <v>42690</v>
      </c>
      <c r="AA1413" s="1">
        <v>12750000</v>
      </c>
      <c r="AB1413" s="1" t="s">
        <v>181</v>
      </c>
      <c r="AC1413" s="5">
        <v>42980</v>
      </c>
      <c r="AF1413" s="1">
        <v>10024</v>
      </c>
      <c r="AI1413" s="1" t="s">
        <v>1113</v>
      </c>
      <c r="AJ1413" s="1">
        <v>2017</v>
      </c>
      <c r="AK1413" s="1" t="s">
        <v>49</v>
      </c>
      <c r="AL1413" s="1">
        <v>26</v>
      </c>
    </row>
    <row r="1414" spans="1:38" x14ac:dyDescent="0.2">
      <c r="A1414" s="2" t="str">
        <f>HYPERLINK("https://www.compass.com/listing/221-west-77th-street-unit-16-manhattan-ny-10024/8743034330041489/","221 W 77th St, Unit 16")</f>
        <v>221 W 77th St, Unit 16</v>
      </c>
      <c r="B1414" s="2" t="str">
        <f t="shared" si="254"/>
        <v>221 West 77th Street</v>
      </c>
      <c r="C1414" s="1" t="s">
        <v>50</v>
      </c>
      <c r="D1414" s="1" t="s">
        <v>41</v>
      </c>
      <c r="E1414" s="3">
        <v>10350000</v>
      </c>
      <c r="F1414" s="1">
        <v>3136.3636363636301</v>
      </c>
      <c r="G1414" s="1">
        <v>8</v>
      </c>
      <c r="H1414" s="1">
        <v>5</v>
      </c>
      <c r="I1414" s="1">
        <v>5</v>
      </c>
      <c r="J1414" s="1">
        <v>4.5</v>
      </c>
      <c r="M1414" s="4">
        <v>3300</v>
      </c>
      <c r="N1414" s="1">
        <v>3326</v>
      </c>
      <c r="O1414" s="1">
        <v>7617</v>
      </c>
      <c r="P1414" s="1">
        <v>4291</v>
      </c>
      <c r="Q1414" s="1" t="s">
        <v>42</v>
      </c>
      <c r="S1414" s="1" t="s">
        <v>42</v>
      </c>
      <c r="T1414" s="1" t="s">
        <v>170</v>
      </c>
      <c r="U1414" s="1">
        <v>147</v>
      </c>
      <c r="V1414" s="5">
        <v>43637</v>
      </c>
      <c r="W1414" s="5">
        <v>42524</v>
      </c>
      <c r="X1414" s="1">
        <v>10350000</v>
      </c>
      <c r="Y1414" s="1">
        <v>10350000</v>
      </c>
      <c r="Z1414" s="5">
        <v>42671</v>
      </c>
      <c r="AA1414" s="1">
        <v>10350000</v>
      </c>
      <c r="AB1414" s="1" t="s">
        <v>181</v>
      </c>
      <c r="AC1414" s="5">
        <v>42993</v>
      </c>
      <c r="AF1414" s="1">
        <v>10024</v>
      </c>
      <c r="AI1414" s="1" t="s">
        <v>162</v>
      </c>
      <c r="AJ1414" s="1">
        <v>2017</v>
      </c>
      <c r="AK1414" s="1" t="s">
        <v>49</v>
      </c>
      <c r="AL1414" s="1">
        <v>26</v>
      </c>
    </row>
    <row r="1415" spans="1:38" x14ac:dyDescent="0.2">
      <c r="A1415" s="2" t="str">
        <f>HYPERLINK("https://www.compass.com/listing/221-west-77th-street-unit-17-manhattan-ny-10024/803298741117147593/","221 W 77th St, Unit 17")</f>
        <v>221 W 77th St, Unit 17</v>
      </c>
      <c r="B1415" s="2" t="str">
        <f t="shared" si="254"/>
        <v>221 West 77th Street</v>
      </c>
      <c r="C1415" s="1" t="s">
        <v>50</v>
      </c>
      <c r="D1415" s="1" t="s">
        <v>41</v>
      </c>
      <c r="E1415" s="3">
        <v>8050000</v>
      </c>
      <c r="F1415" s="1">
        <v>2730.6648575305198</v>
      </c>
      <c r="G1415" s="1">
        <v>7</v>
      </c>
      <c r="H1415" s="1">
        <v>4</v>
      </c>
      <c r="I1415" s="1">
        <v>4</v>
      </c>
      <c r="J1415" s="1">
        <v>3.5</v>
      </c>
      <c r="K1415" s="1">
        <v>3</v>
      </c>
      <c r="L1415" s="1">
        <v>1</v>
      </c>
      <c r="M1415" s="4">
        <v>2948</v>
      </c>
      <c r="N1415" s="1">
        <v>3336</v>
      </c>
      <c r="O1415" s="1">
        <v>7781</v>
      </c>
      <c r="P1415" s="1">
        <v>4445</v>
      </c>
      <c r="Q1415" s="1" t="s">
        <v>111</v>
      </c>
      <c r="S1415" s="1" t="s">
        <v>42</v>
      </c>
      <c r="T1415" s="1" t="s">
        <v>170</v>
      </c>
      <c r="U1415" s="1">
        <v>49</v>
      </c>
      <c r="V1415" s="5">
        <v>44341</v>
      </c>
      <c r="W1415" s="5">
        <v>44075</v>
      </c>
      <c r="X1415" s="1">
        <v>8750000</v>
      </c>
      <c r="Y1415" s="1">
        <v>8750000</v>
      </c>
      <c r="Z1415" s="5">
        <v>44124</v>
      </c>
      <c r="AA1415" s="1">
        <v>8050000</v>
      </c>
      <c r="AB1415" s="1" t="s">
        <v>181</v>
      </c>
      <c r="AC1415" s="5">
        <v>44169</v>
      </c>
      <c r="AF1415" s="1">
        <v>10024</v>
      </c>
      <c r="AI1415" s="1" t="s">
        <v>781</v>
      </c>
      <c r="AJ1415" s="1">
        <v>2017</v>
      </c>
      <c r="AK1415" s="1" t="s">
        <v>77</v>
      </c>
      <c r="AL1415" s="1">
        <v>26</v>
      </c>
    </row>
    <row r="1416" spans="1:38" x14ac:dyDescent="0.2">
      <c r="A1416" s="2" t="str">
        <f>HYPERLINK("https://www.compass.com/listing/221-west-77th-street-unit-5e-manhattan-ny-10024/586900872649670409/","221 W 77th St, Unit 5E")</f>
        <v>221 W 77th St, Unit 5E</v>
      </c>
      <c r="B1416" s="2" t="str">
        <f t="shared" si="254"/>
        <v>221 West 77th Street</v>
      </c>
      <c r="C1416" s="1" t="s">
        <v>50</v>
      </c>
      <c r="D1416" s="1" t="s">
        <v>41</v>
      </c>
      <c r="E1416" s="3">
        <v>4075000</v>
      </c>
      <c r="F1416" s="1">
        <v>1989.74609375</v>
      </c>
      <c r="G1416" s="1">
        <v>5</v>
      </c>
      <c r="H1416" s="1">
        <v>3</v>
      </c>
      <c r="I1416" s="1">
        <v>4</v>
      </c>
      <c r="J1416" s="1">
        <v>3.5</v>
      </c>
      <c r="K1416" s="1">
        <v>3</v>
      </c>
      <c r="L1416" s="1">
        <v>1</v>
      </c>
      <c r="M1416" s="4">
        <v>2048</v>
      </c>
      <c r="N1416" s="1">
        <v>2245.66</v>
      </c>
      <c r="O1416" s="1">
        <v>5873.3099999999904</v>
      </c>
      <c r="P1416" s="1">
        <v>3627.6666666666601</v>
      </c>
      <c r="Q1416" s="1" t="s">
        <v>42</v>
      </c>
      <c r="S1416" s="1" t="s">
        <v>42</v>
      </c>
      <c r="T1416" s="1" t="s">
        <v>170</v>
      </c>
      <c r="U1416" s="1">
        <v>248</v>
      </c>
      <c r="V1416" s="5">
        <v>44426</v>
      </c>
      <c r="W1416" s="5">
        <v>44060</v>
      </c>
      <c r="X1416" s="1">
        <v>4495000</v>
      </c>
      <c r="Y1416" s="1">
        <v>4250000</v>
      </c>
      <c r="Z1416" s="5">
        <v>44309</v>
      </c>
      <c r="AA1416" s="1">
        <v>4075000</v>
      </c>
      <c r="AB1416" s="1" t="s">
        <v>1114</v>
      </c>
      <c r="AC1416" s="5">
        <v>44400</v>
      </c>
      <c r="AF1416" s="1">
        <v>10024</v>
      </c>
      <c r="AI1416" s="1" t="s">
        <v>160</v>
      </c>
      <c r="AJ1416" s="1">
        <v>2017</v>
      </c>
      <c r="AK1416" s="1" t="s">
        <v>77</v>
      </c>
      <c r="AL1416" s="1">
        <v>26</v>
      </c>
    </row>
    <row r="1417" spans="1:38" x14ac:dyDescent="0.2">
      <c r="A1417" s="2" t="str">
        <f>HYPERLINK("https://www.compass.com/listing/221-west-77th-street-manhattan-ny-10024/841499445778682073/","221 W 77th St")</f>
        <v>221 W 77th St</v>
      </c>
      <c r="B1417" s="2" t="str">
        <f t="shared" si="254"/>
        <v>221 West 77th Street</v>
      </c>
      <c r="C1417" s="1" t="s">
        <v>50</v>
      </c>
      <c r="D1417" s="1" t="s">
        <v>41</v>
      </c>
      <c r="E1417" s="3">
        <v>7300000</v>
      </c>
      <c r="F1417" s="1">
        <v>2294.8758252121902</v>
      </c>
      <c r="G1417" s="1">
        <v>6</v>
      </c>
      <c r="H1417" s="1">
        <v>4</v>
      </c>
      <c r="I1417" s="1">
        <v>5</v>
      </c>
      <c r="J1417" s="1">
        <v>4.5</v>
      </c>
      <c r="K1417" s="1">
        <v>4</v>
      </c>
      <c r="L1417" s="1">
        <v>1</v>
      </c>
      <c r="M1417" s="4">
        <v>3181</v>
      </c>
      <c r="N1417" s="1">
        <v>3565</v>
      </c>
      <c r="O1417" s="1">
        <v>8918</v>
      </c>
      <c r="P1417" s="1">
        <v>5353</v>
      </c>
      <c r="Q1417" s="1" t="s">
        <v>42</v>
      </c>
      <c r="S1417" s="1" t="s">
        <v>155</v>
      </c>
      <c r="T1417" s="1" t="s">
        <v>170</v>
      </c>
      <c r="V1417" s="5">
        <v>43636</v>
      </c>
      <c r="AA1417" s="1">
        <v>7300000</v>
      </c>
      <c r="AB1417" s="1" t="s">
        <v>1109</v>
      </c>
      <c r="AC1417" s="5">
        <v>43629</v>
      </c>
      <c r="AF1417" s="1">
        <v>10024</v>
      </c>
      <c r="AI1417" s="1" t="s">
        <v>80</v>
      </c>
      <c r="AJ1417" s="1">
        <v>2017</v>
      </c>
      <c r="AK1417" s="1" t="s">
        <v>77</v>
      </c>
      <c r="AL1417" s="1">
        <v>26</v>
      </c>
    </row>
    <row r="1418" spans="1:38" x14ac:dyDescent="0.2">
      <c r="A1418" s="2" t="str">
        <f>HYPERLINK("https://www.compass.com/listing/90-morton-street-unit-6c-manhattan-ny-10014/847546225485648993/","90 Morton St, Unit 6C")</f>
        <v>90 Morton St, Unit 6C</v>
      </c>
      <c r="B1418" s="2" t="str">
        <f>HYPERLINK("https://www.compass.com/building/90-morton-street-manhattan-ny/292834843018978005/","90 Morton Street")</f>
        <v>90 Morton Street</v>
      </c>
      <c r="C1418" s="1" t="s">
        <v>71</v>
      </c>
      <c r="D1418" s="1" t="s">
        <v>41</v>
      </c>
      <c r="E1418" s="3">
        <v>763688</v>
      </c>
      <c r="F1418" s="1">
        <v>1667.43995633187</v>
      </c>
      <c r="M1418" s="1">
        <v>458</v>
      </c>
      <c r="Q1418" s="1" t="s">
        <v>42</v>
      </c>
      <c r="S1418" s="1" t="s">
        <v>42</v>
      </c>
      <c r="T1418" s="1" t="s">
        <v>170</v>
      </c>
      <c r="AA1418" s="1">
        <v>763687.5</v>
      </c>
      <c r="AB1418" s="1" t="s">
        <v>1115</v>
      </c>
      <c r="AC1418" s="5">
        <v>44398</v>
      </c>
      <c r="AF1418" s="1">
        <v>10014</v>
      </c>
      <c r="AI1418" s="1" t="s">
        <v>786</v>
      </c>
      <c r="AJ1418" s="1">
        <v>2018</v>
      </c>
      <c r="AK1418" s="1" t="s">
        <v>46</v>
      </c>
      <c r="AL1418" s="1">
        <v>35</v>
      </c>
    </row>
    <row r="1419" spans="1:38" x14ac:dyDescent="0.2">
      <c r="A1419" s="2" t="str">
        <f>HYPERLINK("https://www.compass.com/listing/225-east-19th-street-unit-701-manhattan-ny-10003/61990310745592049/","225 E 19th St, Unit 701")</f>
        <v>225 E 19th St, Unit 701</v>
      </c>
      <c r="B1419" s="2" t="str">
        <f t="shared" ref="B1419:B1428" si="255">HYPERLINK("https://www.compass.com/building/the-prewar-at-gramercy-square-manhattan-ny/282059248584654437/","The Prewar at Gramercy Square")</f>
        <v>The Prewar at Gramercy Square</v>
      </c>
      <c r="C1419" s="1" t="s">
        <v>54</v>
      </c>
      <c r="D1419" s="1" t="s">
        <v>41</v>
      </c>
      <c r="E1419" s="3">
        <v>1700478</v>
      </c>
      <c r="F1419" s="1">
        <v>2078.82334963325</v>
      </c>
      <c r="H1419" s="1">
        <v>1</v>
      </c>
      <c r="J1419" s="1">
        <v>1</v>
      </c>
      <c r="K1419" s="1">
        <v>1</v>
      </c>
      <c r="M1419" s="1">
        <v>818</v>
      </c>
      <c r="N1419" s="1">
        <v>928</v>
      </c>
      <c r="O1419" s="1">
        <v>2104</v>
      </c>
      <c r="P1419" s="1">
        <v>1176</v>
      </c>
      <c r="Q1419" s="1" t="s">
        <v>42</v>
      </c>
      <c r="S1419" s="1" t="s">
        <v>42</v>
      </c>
      <c r="T1419" s="1" t="s">
        <v>170</v>
      </c>
      <c r="AA1419" s="1">
        <v>1700477.5</v>
      </c>
      <c r="AB1419" s="1" t="s">
        <v>1116</v>
      </c>
      <c r="AC1419" s="5">
        <v>43328</v>
      </c>
      <c r="AF1419" s="1">
        <v>10003</v>
      </c>
      <c r="AI1419" s="1" t="s">
        <v>76</v>
      </c>
      <c r="AJ1419" s="1">
        <v>1920</v>
      </c>
      <c r="AK1419" s="1" t="s">
        <v>46</v>
      </c>
      <c r="AL1419" s="1">
        <v>48</v>
      </c>
    </row>
    <row r="1420" spans="1:38" x14ac:dyDescent="0.2">
      <c r="A1420" s="2" t="str">
        <f>HYPERLINK("https://www.compass.com/listing/225-east-19th-street-unit-304-manhattan-ny-10003/276977410304439393/","225 E 19th St, Unit 304")</f>
        <v>225 E 19th St, Unit 304</v>
      </c>
      <c r="B1420" s="2" t="str">
        <f t="shared" si="255"/>
        <v>The Prewar at Gramercy Square</v>
      </c>
      <c r="C1420" s="1" t="s">
        <v>54</v>
      </c>
      <c r="D1420" s="1" t="s">
        <v>41</v>
      </c>
      <c r="E1420" s="3">
        <v>1540000</v>
      </c>
      <c r="F1420" s="1">
        <v>2212.64367816091</v>
      </c>
      <c r="H1420" s="1">
        <v>1</v>
      </c>
      <c r="J1420" s="1">
        <v>1</v>
      </c>
      <c r="M1420" s="1">
        <v>696</v>
      </c>
      <c r="N1420" s="1">
        <v>790</v>
      </c>
      <c r="O1420" s="1">
        <v>1791</v>
      </c>
      <c r="P1420" s="1">
        <v>1001</v>
      </c>
      <c r="Q1420" s="1" t="s">
        <v>42</v>
      </c>
      <c r="S1420" s="1" t="s">
        <v>42</v>
      </c>
      <c r="T1420" s="1" t="s">
        <v>170</v>
      </c>
      <c r="AA1420" s="1">
        <v>1540000</v>
      </c>
      <c r="AB1420" s="1" t="s">
        <v>1117</v>
      </c>
      <c r="AC1420" s="5">
        <v>43607</v>
      </c>
      <c r="AF1420" s="1">
        <v>10003</v>
      </c>
      <c r="AI1420" s="1" t="s">
        <v>76</v>
      </c>
      <c r="AJ1420" s="1">
        <v>1920</v>
      </c>
      <c r="AK1420" s="1" t="s">
        <v>46</v>
      </c>
      <c r="AL1420" s="1">
        <v>48</v>
      </c>
    </row>
    <row r="1421" spans="1:38" x14ac:dyDescent="0.2">
      <c r="A1421" s="2" t="str">
        <f>HYPERLINK("https://www.compass.com/listing/225-east-19th-street-unit-305-manhattan-ny-10003/339058189764465361/","225 E 19th St, Unit 305")</f>
        <v>225 E 19th St, Unit 305</v>
      </c>
      <c r="B1421" s="2" t="str">
        <f t="shared" si="255"/>
        <v>The Prewar at Gramercy Square</v>
      </c>
      <c r="C1421" s="1" t="s">
        <v>54</v>
      </c>
      <c r="D1421" s="1" t="s">
        <v>41</v>
      </c>
      <c r="E1421" s="3">
        <v>1619018</v>
      </c>
      <c r="F1421" s="1">
        <v>2336.2445887445801</v>
      </c>
      <c r="H1421" s="1">
        <v>1</v>
      </c>
      <c r="J1421" s="1">
        <v>1</v>
      </c>
      <c r="K1421" s="1">
        <v>1</v>
      </c>
      <c r="M1421" s="1">
        <v>693</v>
      </c>
      <c r="N1421" s="1">
        <v>787</v>
      </c>
      <c r="O1421" s="1">
        <v>1784</v>
      </c>
      <c r="P1421" s="1">
        <v>997</v>
      </c>
      <c r="Q1421" s="1" t="s">
        <v>42</v>
      </c>
      <c r="S1421" s="1" t="s">
        <v>42</v>
      </c>
      <c r="T1421" s="1" t="s">
        <v>170</v>
      </c>
      <c r="AA1421" s="1">
        <v>1619017.5</v>
      </c>
      <c r="AB1421" s="1" t="s">
        <v>1118</v>
      </c>
      <c r="AC1421" s="5">
        <v>43703</v>
      </c>
      <c r="AF1421" s="1">
        <v>10003</v>
      </c>
      <c r="AI1421" s="1" t="s">
        <v>76</v>
      </c>
      <c r="AJ1421" s="1">
        <v>1920</v>
      </c>
      <c r="AK1421" s="1" t="s">
        <v>46</v>
      </c>
      <c r="AL1421" s="1">
        <v>48</v>
      </c>
    </row>
    <row r="1422" spans="1:38" x14ac:dyDescent="0.2">
      <c r="A1422" s="2" t="str">
        <f>HYPERLINK("https://www.compass.com/listing/225-east-19th-street-unit-404-manhattan-ny-10003/41697760952543377/","225 E 19th St, Unit 404")</f>
        <v>225 E 19th St, Unit 404</v>
      </c>
      <c r="B1422" s="2" t="str">
        <f t="shared" si="255"/>
        <v>The Prewar at Gramercy Square</v>
      </c>
      <c r="C1422" s="1" t="s">
        <v>54</v>
      </c>
      <c r="D1422" s="1" t="s">
        <v>41</v>
      </c>
      <c r="E1422" s="3">
        <v>1523779</v>
      </c>
      <c r="F1422" s="1">
        <v>2189.33728448275</v>
      </c>
      <c r="H1422" s="1">
        <v>1</v>
      </c>
      <c r="J1422" s="1">
        <v>1</v>
      </c>
      <c r="K1422" s="1">
        <v>1</v>
      </c>
      <c r="M1422" s="1">
        <v>696</v>
      </c>
      <c r="N1422" s="1">
        <v>790.11</v>
      </c>
      <c r="O1422" s="1">
        <v>2018.73</v>
      </c>
      <c r="P1422" s="1">
        <v>1228.5833333333301</v>
      </c>
      <c r="Q1422" s="1" t="s">
        <v>42</v>
      </c>
      <c r="S1422" s="1" t="s">
        <v>42</v>
      </c>
      <c r="T1422" s="1" t="s">
        <v>170</v>
      </c>
      <c r="AA1422" s="1">
        <v>1523778.75</v>
      </c>
      <c r="AB1422" s="1" t="s">
        <v>1119</v>
      </c>
      <c r="AC1422" s="5">
        <v>43297</v>
      </c>
      <c r="AF1422" s="1">
        <v>10003</v>
      </c>
      <c r="AI1422" s="1" t="s">
        <v>76</v>
      </c>
      <c r="AJ1422" s="1">
        <v>1920</v>
      </c>
      <c r="AK1422" s="1" t="s">
        <v>46</v>
      </c>
      <c r="AL1422" s="1">
        <v>48</v>
      </c>
    </row>
    <row r="1423" spans="1:38" x14ac:dyDescent="0.2">
      <c r="A1423" s="2" t="str">
        <f>HYPERLINK("https://www.compass.com/listing/225-east-19th-street-unit-405-manhattan-ny-10003/441352807380074529/","225 E 19th St, Unit 405")</f>
        <v>225 E 19th St, Unit 405</v>
      </c>
      <c r="B1423" s="2" t="str">
        <f t="shared" si="255"/>
        <v>The Prewar at Gramercy Square</v>
      </c>
      <c r="C1423" s="1" t="s">
        <v>54</v>
      </c>
      <c r="D1423" s="1" t="s">
        <v>41</v>
      </c>
      <c r="E1423" s="3">
        <v>1626654</v>
      </c>
      <c r="F1423" s="1">
        <v>2340.5098992805702</v>
      </c>
      <c r="H1423" s="1">
        <v>1</v>
      </c>
      <c r="J1423" s="1">
        <v>1</v>
      </c>
      <c r="K1423" s="1">
        <v>1</v>
      </c>
      <c r="M1423" s="1">
        <v>695</v>
      </c>
      <c r="N1423" s="1">
        <v>790</v>
      </c>
      <c r="O1423" s="1">
        <v>1915</v>
      </c>
      <c r="P1423" s="1">
        <v>1125</v>
      </c>
      <c r="Q1423" s="1" t="s">
        <v>42</v>
      </c>
      <c r="S1423" s="1" t="s">
        <v>42</v>
      </c>
      <c r="T1423" s="1" t="s">
        <v>170</v>
      </c>
      <c r="AA1423" s="1">
        <v>1626654.38</v>
      </c>
      <c r="AB1423" s="1" t="s">
        <v>1120</v>
      </c>
      <c r="AC1423" s="5">
        <v>43825</v>
      </c>
      <c r="AF1423" s="1">
        <v>10003</v>
      </c>
      <c r="AI1423" s="1" t="s">
        <v>76</v>
      </c>
      <c r="AJ1423" s="1">
        <v>1920</v>
      </c>
      <c r="AK1423" s="1" t="s">
        <v>46</v>
      </c>
      <c r="AL1423" s="1">
        <v>48</v>
      </c>
    </row>
    <row r="1424" spans="1:38" x14ac:dyDescent="0.2">
      <c r="A1424" s="2" t="str">
        <f>HYPERLINK("https://www.compass.com/listing/225-east-19th-street-unit-401-manhattan-ny-10003/72145203980500465/","225 E 19th St, Unit 401")</f>
        <v>225 E 19th St, Unit 401</v>
      </c>
      <c r="B1424" s="2" t="str">
        <f t="shared" si="255"/>
        <v>The Prewar at Gramercy Square</v>
      </c>
      <c r="C1424" s="1" t="s">
        <v>54</v>
      </c>
      <c r="D1424" s="1" t="s">
        <v>41</v>
      </c>
      <c r="E1424" s="3">
        <v>1644474</v>
      </c>
      <c r="F1424" s="1">
        <v>2010.35910757946</v>
      </c>
      <c r="H1424" s="1">
        <v>1</v>
      </c>
      <c r="J1424" s="1">
        <v>1</v>
      </c>
      <c r="M1424" s="1">
        <v>818</v>
      </c>
      <c r="N1424" s="1">
        <v>929</v>
      </c>
      <c r="O1424" s="1">
        <v>2105</v>
      </c>
      <c r="P1424" s="1">
        <v>1176</v>
      </c>
      <c r="Q1424" s="1" t="s">
        <v>42</v>
      </c>
      <c r="S1424" s="1" t="s">
        <v>42</v>
      </c>
      <c r="T1424" s="1" t="s">
        <v>170</v>
      </c>
      <c r="AA1424" s="1">
        <v>1644473.75</v>
      </c>
      <c r="AB1424" s="1" t="s">
        <v>1121</v>
      </c>
      <c r="AC1424" s="5">
        <v>43342</v>
      </c>
      <c r="AF1424" s="1">
        <v>10003</v>
      </c>
      <c r="AI1424" s="1" t="s">
        <v>76</v>
      </c>
      <c r="AJ1424" s="1">
        <v>1920</v>
      </c>
      <c r="AK1424" s="1" t="s">
        <v>46</v>
      </c>
      <c r="AL1424" s="1">
        <v>48</v>
      </c>
    </row>
    <row r="1425" spans="1:38" x14ac:dyDescent="0.2">
      <c r="A1425" s="2" t="str">
        <f>HYPERLINK("https://www.compass.com/listing/225-east-19th-street-unit-704-manhattan-ny-10003/72145208199970513/","225 E 19th St, Unit 704")</f>
        <v>225 E 19th St, Unit 704</v>
      </c>
      <c r="B1425" s="2" t="str">
        <f t="shared" si="255"/>
        <v>The Prewar at Gramercy Square</v>
      </c>
      <c r="C1425" s="1" t="s">
        <v>54</v>
      </c>
      <c r="D1425" s="1" t="s">
        <v>41</v>
      </c>
      <c r="E1425" s="3">
        <v>1598653</v>
      </c>
      <c r="F1425" s="1">
        <v>2296.9145114942498</v>
      </c>
      <c r="H1425" s="1">
        <v>1</v>
      </c>
      <c r="J1425" s="1">
        <v>1</v>
      </c>
      <c r="K1425" s="1">
        <v>1</v>
      </c>
      <c r="M1425" s="1">
        <v>696</v>
      </c>
      <c r="N1425" s="1">
        <v>790</v>
      </c>
      <c r="O1425" s="1">
        <v>2018</v>
      </c>
      <c r="P1425" s="1">
        <v>1228</v>
      </c>
      <c r="Q1425" s="1" t="s">
        <v>42</v>
      </c>
      <c r="S1425" s="1" t="s">
        <v>42</v>
      </c>
      <c r="T1425" s="1" t="s">
        <v>170</v>
      </c>
      <c r="AA1425" s="1">
        <v>1598652.5</v>
      </c>
      <c r="AB1425" s="1" t="s">
        <v>1122</v>
      </c>
      <c r="AC1425" s="5">
        <v>43342</v>
      </c>
      <c r="AF1425" s="1">
        <v>10003</v>
      </c>
      <c r="AI1425" s="1" t="s">
        <v>76</v>
      </c>
      <c r="AJ1425" s="1">
        <v>1920</v>
      </c>
      <c r="AK1425" s="1" t="s">
        <v>46</v>
      </c>
      <c r="AL1425" s="1">
        <v>48</v>
      </c>
    </row>
    <row r="1426" spans="1:38" x14ac:dyDescent="0.2">
      <c r="A1426" s="2" t="str">
        <f>HYPERLINK("https://www.compass.com/listing/225-east-19th-street-unit-402-manhattan-ny-10003/80828910585002753/","225 E 19th St, Unit 402")</f>
        <v>225 E 19th St, Unit 402</v>
      </c>
      <c r="B1426" s="2" t="str">
        <f t="shared" si="255"/>
        <v>The Prewar at Gramercy Square</v>
      </c>
      <c r="C1426" s="1" t="s">
        <v>54</v>
      </c>
      <c r="D1426" s="1" t="s">
        <v>41</v>
      </c>
      <c r="E1426" s="3">
        <v>1634291</v>
      </c>
      <c r="F1426" s="1">
        <v>1995.4716117216101</v>
      </c>
      <c r="H1426" s="1">
        <v>1</v>
      </c>
      <c r="J1426" s="1">
        <v>1</v>
      </c>
      <c r="M1426" s="1">
        <v>819</v>
      </c>
      <c r="N1426" s="1">
        <v>930</v>
      </c>
      <c r="O1426" s="1">
        <v>2653</v>
      </c>
      <c r="P1426" s="1">
        <v>1723</v>
      </c>
      <c r="Q1426" s="1" t="s">
        <v>42</v>
      </c>
      <c r="S1426" s="1" t="s">
        <v>42</v>
      </c>
      <c r="T1426" s="1" t="s">
        <v>170</v>
      </c>
      <c r="AA1426" s="1">
        <v>1634291.25</v>
      </c>
      <c r="AB1426" s="1" t="s">
        <v>1123</v>
      </c>
      <c r="AC1426" s="5">
        <v>43355</v>
      </c>
      <c r="AF1426" s="1">
        <v>10003</v>
      </c>
      <c r="AI1426" s="1" t="s">
        <v>76</v>
      </c>
      <c r="AJ1426" s="1">
        <v>1920</v>
      </c>
      <c r="AK1426" s="1" t="s">
        <v>46</v>
      </c>
      <c r="AL1426" s="1">
        <v>48</v>
      </c>
    </row>
    <row r="1427" spans="1:38" x14ac:dyDescent="0.2">
      <c r="A1427" s="2" t="str">
        <f>HYPERLINK("https://www.compass.com/listing/225-east-19th-street-unit-306-manhattan-ny-10003/43875418851358929/","225 E 19th St, Unit 306")</f>
        <v>225 E 19th St, Unit 306</v>
      </c>
      <c r="B1427" s="2" t="str">
        <f t="shared" si="255"/>
        <v>The Prewar at Gramercy Square</v>
      </c>
      <c r="C1427" s="1" t="s">
        <v>54</v>
      </c>
      <c r="D1427" s="1" t="s">
        <v>41</v>
      </c>
      <c r="E1427" s="3">
        <v>2550000</v>
      </c>
      <c r="F1427" s="1">
        <v>2035.1157222665599</v>
      </c>
      <c r="H1427" s="1">
        <v>2</v>
      </c>
      <c r="J1427" s="1">
        <v>2</v>
      </c>
      <c r="M1427" s="4">
        <v>1253</v>
      </c>
      <c r="N1427" s="1">
        <v>1422</v>
      </c>
      <c r="O1427" s="1">
        <v>3224</v>
      </c>
      <c r="P1427" s="1">
        <v>1802</v>
      </c>
      <c r="Q1427" s="1" t="s">
        <v>42</v>
      </c>
      <c r="S1427" s="1" t="s">
        <v>42</v>
      </c>
      <c r="T1427" s="1" t="s">
        <v>170</v>
      </c>
      <c r="AA1427" s="1">
        <v>2550000</v>
      </c>
      <c r="AB1427" s="1" t="s">
        <v>1124</v>
      </c>
      <c r="AC1427" s="5">
        <v>43290</v>
      </c>
      <c r="AF1427" s="1">
        <v>10003</v>
      </c>
      <c r="AI1427" s="1" t="s">
        <v>76</v>
      </c>
      <c r="AJ1427" s="1">
        <v>1920</v>
      </c>
      <c r="AK1427" s="1" t="s">
        <v>46</v>
      </c>
      <c r="AL1427" s="1">
        <v>48</v>
      </c>
    </row>
    <row r="1428" spans="1:38" x14ac:dyDescent="0.2">
      <c r="A1428" s="2" t="str">
        <f>HYPERLINK("https://www.compass.com/listing/225-east-19th-street-unit-303-manhattan-ny-10003/43875418381484929/","225 E 19th St, Unit 303")</f>
        <v>225 E 19th St, Unit 303</v>
      </c>
      <c r="B1428" s="2" t="str">
        <f t="shared" si="255"/>
        <v>The Prewar at Gramercy Square</v>
      </c>
      <c r="C1428" s="1" t="s">
        <v>54</v>
      </c>
      <c r="D1428" s="1" t="s">
        <v>41</v>
      </c>
      <c r="E1428" s="3">
        <v>2627085</v>
      </c>
      <c r="F1428" s="1">
        <v>2115.20531400966</v>
      </c>
      <c r="H1428" s="1">
        <v>2</v>
      </c>
      <c r="J1428" s="1">
        <v>2</v>
      </c>
      <c r="M1428" s="4">
        <v>1242</v>
      </c>
      <c r="N1428" s="1">
        <v>1410</v>
      </c>
      <c r="O1428" s="1">
        <v>3196</v>
      </c>
      <c r="P1428" s="1">
        <v>1786</v>
      </c>
      <c r="Q1428" s="1" t="s">
        <v>42</v>
      </c>
      <c r="S1428" s="1" t="s">
        <v>42</v>
      </c>
      <c r="T1428" s="1" t="s">
        <v>170</v>
      </c>
      <c r="AA1428" s="1">
        <v>2627085</v>
      </c>
      <c r="AB1428" s="1" t="s">
        <v>1125</v>
      </c>
      <c r="AC1428" s="5">
        <v>43298</v>
      </c>
      <c r="AF1428" s="1">
        <v>10003</v>
      </c>
      <c r="AI1428" s="1" t="s">
        <v>76</v>
      </c>
      <c r="AJ1428" s="1">
        <v>1920</v>
      </c>
      <c r="AK1428" s="1" t="s">
        <v>46</v>
      </c>
      <c r="AL1428" s="1">
        <v>48</v>
      </c>
    </row>
    <row r="1429" spans="1:38" x14ac:dyDescent="0.2">
      <c r="A1429" s="2" t="str">
        <f>HYPERLINK("https://www.compass.com/listing/25-mercer-street-manhattan-ny-10013/29495115550606385/","25 Mercer St")</f>
        <v>25 Mercer St</v>
      </c>
      <c r="B1429" s="2" t="str">
        <f>HYPERLINK("https://www.compass.com/building/25-mercer-st-manhattan-ny-10013/281918357685436949/","25 Mercer St")</f>
        <v>25 Mercer St</v>
      </c>
      <c r="C1429" s="1" t="s">
        <v>104</v>
      </c>
      <c r="D1429" s="1" t="s">
        <v>41</v>
      </c>
      <c r="E1429" s="3">
        <v>1272277</v>
      </c>
      <c r="F1429" s="1">
        <v>264.78195629552499</v>
      </c>
      <c r="H1429" s="1">
        <v>5</v>
      </c>
      <c r="J1429" s="1">
        <v>5</v>
      </c>
      <c r="M1429" s="4">
        <v>4805</v>
      </c>
      <c r="N1429" s="1">
        <v>3091</v>
      </c>
      <c r="O1429" s="1">
        <v>9070</v>
      </c>
      <c r="P1429" s="1">
        <v>5979</v>
      </c>
      <c r="Q1429" s="1" t="s">
        <v>42</v>
      </c>
      <c r="S1429" s="1" t="s">
        <v>42</v>
      </c>
      <c r="T1429" s="1" t="s">
        <v>170</v>
      </c>
      <c r="AA1429" s="1">
        <v>1272277.3</v>
      </c>
      <c r="AB1429" s="1" t="s">
        <v>1126</v>
      </c>
      <c r="AC1429" s="5">
        <v>42247</v>
      </c>
      <c r="AF1429" s="1">
        <v>10013</v>
      </c>
      <c r="AI1429" s="1" t="s">
        <v>84</v>
      </c>
      <c r="AJ1429" s="1">
        <v>2016</v>
      </c>
      <c r="AL1429" s="1">
        <v>5</v>
      </c>
    </row>
    <row r="1430" spans="1:38" x14ac:dyDescent="0.2">
      <c r="A1430" s="2" t="str">
        <f>HYPERLINK("https://www.compass.com/listing/215-east-19th-street-unit-15a-manhattan-ny-10003/817122492868882369/","215 E 19th St, Unit 15A")</f>
        <v>215 E 19th St, Unit 15A</v>
      </c>
      <c r="B1430" s="2" t="str">
        <f t="shared" ref="B1430:B1434" si="256">HYPERLINK("https://www.compass.com/building/the-tower-at-gramercy-square-manhattan-ny/281890815108713781/","The Tower at Gramercy Square")</f>
        <v>The Tower at Gramercy Square</v>
      </c>
      <c r="C1430" s="1" t="s">
        <v>54</v>
      </c>
      <c r="D1430" s="1" t="s">
        <v>41</v>
      </c>
      <c r="E1430" s="3">
        <v>2999000</v>
      </c>
      <c r="F1430" s="1">
        <v>1623.7141310232801</v>
      </c>
      <c r="H1430" s="1">
        <v>2</v>
      </c>
      <c r="J1430" s="1">
        <v>3</v>
      </c>
      <c r="M1430" s="4">
        <v>1847</v>
      </c>
      <c r="N1430" s="1">
        <v>2097</v>
      </c>
      <c r="O1430" s="1">
        <v>4753</v>
      </c>
      <c r="P1430" s="1">
        <v>2656</v>
      </c>
      <c r="Q1430" s="1" t="s">
        <v>42</v>
      </c>
      <c r="S1430" s="1" t="s">
        <v>42</v>
      </c>
      <c r="T1430" s="1" t="s">
        <v>170</v>
      </c>
      <c r="AA1430" s="1">
        <v>2999000</v>
      </c>
      <c r="AB1430" s="1" t="s">
        <v>1127</v>
      </c>
      <c r="AC1430" s="5">
        <v>44358</v>
      </c>
      <c r="AF1430" s="1">
        <v>10003</v>
      </c>
      <c r="AI1430" s="1" t="s">
        <v>76</v>
      </c>
      <c r="AJ1430" s="1">
        <v>1920</v>
      </c>
      <c r="AK1430" s="1" t="s">
        <v>46</v>
      </c>
      <c r="AL1430" s="1">
        <v>130</v>
      </c>
    </row>
    <row r="1431" spans="1:38" x14ac:dyDescent="0.2">
      <c r="A1431" s="2" t="str">
        <f>HYPERLINK("https://www.compass.com/listing/215-east-19th-street-unit-14a-manhattan-ny-10003/817122497649742289/","215 E 19th St, Unit 14A")</f>
        <v>215 E 19th St, Unit 14A</v>
      </c>
      <c r="B1431" s="2" t="str">
        <f t="shared" si="256"/>
        <v>The Tower at Gramercy Square</v>
      </c>
      <c r="C1431" s="1" t="s">
        <v>54</v>
      </c>
      <c r="D1431" s="1" t="s">
        <v>41</v>
      </c>
      <c r="E1431" s="3">
        <v>2999000</v>
      </c>
      <c r="F1431" s="1">
        <v>1623.7141310232801</v>
      </c>
      <c r="H1431" s="1">
        <v>2</v>
      </c>
      <c r="J1431" s="1">
        <v>3</v>
      </c>
      <c r="M1431" s="4">
        <v>1847</v>
      </c>
      <c r="N1431" s="1">
        <v>2097</v>
      </c>
      <c r="O1431" s="1">
        <v>4753</v>
      </c>
      <c r="P1431" s="1">
        <v>2656</v>
      </c>
      <c r="Q1431" s="1" t="s">
        <v>42</v>
      </c>
      <c r="S1431" s="1" t="s">
        <v>42</v>
      </c>
      <c r="T1431" s="1" t="s">
        <v>170</v>
      </c>
      <c r="AA1431" s="1">
        <v>2999000</v>
      </c>
      <c r="AB1431" s="1" t="s">
        <v>1128</v>
      </c>
      <c r="AC1431" s="5">
        <v>44358</v>
      </c>
      <c r="AF1431" s="1">
        <v>10003</v>
      </c>
      <c r="AI1431" s="1" t="s">
        <v>76</v>
      </c>
      <c r="AJ1431" s="1">
        <v>1920</v>
      </c>
      <c r="AK1431" s="1" t="s">
        <v>46</v>
      </c>
      <c r="AL1431" s="1">
        <v>130</v>
      </c>
    </row>
    <row r="1432" spans="1:38" x14ac:dyDescent="0.2">
      <c r="A1432" s="2" t="str">
        <f>HYPERLINK("https://www.compass.com/listing/215-east-19th-street-unit-12d-manhattan-ny-10003/817122498371002393/","215 E 19th St, Unit 12D")</f>
        <v>215 E 19th St, Unit 12D</v>
      </c>
      <c r="B1432" s="2" t="str">
        <f t="shared" si="256"/>
        <v>The Tower at Gramercy Square</v>
      </c>
      <c r="C1432" s="1" t="s">
        <v>54</v>
      </c>
      <c r="D1432" s="1" t="s">
        <v>41</v>
      </c>
      <c r="E1432" s="3">
        <v>2999000</v>
      </c>
      <c r="F1432" s="1">
        <v>1635.2235550708799</v>
      </c>
      <c r="H1432" s="1">
        <v>2</v>
      </c>
      <c r="J1432" s="1">
        <v>2.5</v>
      </c>
      <c r="M1432" s="4">
        <v>1834</v>
      </c>
      <c r="N1432" s="1">
        <v>2082</v>
      </c>
      <c r="O1432" s="1">
        <v>5665</v>
      </c>
      <c r="P1432" s="1">
        <v>3583</v>
      </c>
      <c r="Q1432" s="1" t="s">
        <v>42</v>
      </c>
      <c r="S1432" s="1" t="s">
        <v>42</v>
      </c>
      <c r="T1432" s="1" t="s">
        <v>170</v>
      </c>
      <c r="AA1432" s="1">
        <v>2999000</v>
      </c>
      <c r="AB1432" s="1" t="s">
        <v>1129</v>
      </c>
      <c r="AC1432" s="5">
        <v>44358</v>
      </c>
      <c r="AF1432" s="1">
        <v>10003</v>
      </c>
      <c r="AI1432" s="1" t="s">
        <v>76</v>
      </c>
      <c r="AJ1432" s="1">
        <v>1920</v>
      </c>
      <c r="AK1432" s="1" t="s">
        <v>46</v>
      </c>
      <c r="AL1432" s="1">
        <v>130</v>
      </c>
    </row>
    <row r="1433" spans="1:38" x14ac:dyDescent="0.2">
      <c r="A1433" s="2" t="str">
        <f>HYPERLINK("https://www.compass.com/listing/215-east-19th-street-unit-14g-manhattan-ny-10003/817122526800256169/","215 E 19th St, Unit 14G")</f>
        <v>215 E 19th St, Unit 14G</v>
      </c>
      <c r="B1433" s="2" t="str">
        <f t="shared" si="256"/>
        <v>The Tower at Gramercy Square</v>
      </c>
      <c r="C1433" s="1" t="s">
        <v>54</v>
      </c>
      <c r="D1433" s="1" t="s">
        <v>41</v>
      </c>
      <c r="E1433" s="3">
        <v>3900000</v>
      </c>
      <c r="F1433" s="1">
        <v>1898.7341772151899</v>
      </c>
      <c r="H1433" s="1">
        <v>3</v>
      </c>
      <c r="J1433" s="1">
        <v>3.5</v>
      </c>
      <c r="K1433" s="1">
        <v>3</v>
      </c>
      <c r="L1433" s="1">
        <v>1</v>
      </c>
      <c r="M1433" s="4">
        <v>2054</v>
      </c>
      <c r="N1433" s="1">
        <v>2332</v>
      </c>
      <c r="O1433" s="1">
        <v>6345</v>
      </c>
      <c r="P1433" s="1">
        <v>4013</v>
      </c>
      <c r="Q1433" s="1" t="s">
        <v>42</v>
      </c>
      <c r="S1433" s="1" t="s">
        <v>42</v>
      </c>
      <c r="T1433" s="1" t="s">
        <v>170</v>
      </c>
      <c r="AA1433" s="1">
        <v>3900000</v>
      </c>
      <c r="AB1433" s="1" t="s">
        <v>1130</v>
      </c>
      <c r="AC1433" s="5">
        <v>44358</v>
      </c>
      <c r="AF1433" s="1">
        <v>10003</v>
      </c>
      <c r="AI1433" s="1" t="s">
        <v>76</v>
      </c>
      <c r="AJ1433" s="1">
        <v>1920</v>
      </c>
      <c r="AK1433" s="1" t="s">
        <v>46</v>
      </c>
      <c r="AL1433" s="1">
        <v>130</v>
      </c>
    </row>
    <row r="1434" spans="1:38" x14ac:dyDescent="0.2">
      <c r="A1434" s="2" t="str">
        <f>HYPERLINK("https://www.compass.com/listing/215-east-19th-street-unit-8e-manhattan-ny-10003/324892861228846737/","215 E 19th St, Unit 8E")</f>
        <v>215 E 19th St, Unit 8E</v>
      </c>
      <c r="B1434" s="2" t="str">
        <f t="shared" si="256"/>
        <v>The Tower at Gramercy Square</v>
      </c>
      <c r="C1434" s="1" t="s">
        <v>54</v>
      </c>
      <c r="D1434" s="1" t="s">
        <v>41</v>
      </c>
      <c r="E1434" s="3">
        <v>5325000</v>
      </c>
      <c r="F1434" s="1">
        <v>2113.9341008336601</v>
      </c>
      <c r="H1434" s="1">
        <v>3</v>
      </c>
      <c r="J1434" s="1">
        <v>3.5</v>
      </c>
      <c r="M1434" s="4">
        <v>2519</v>
      </c>
      <c r="N1434" s="1">
        <v>2859</v>
      </c>
      <c r="O1434" s="1">
        <v>6452</v>
      </c>
      <c r="P1434" s="1">
        <v>3593</v>
      </c>
      <c r="Q1434" s="1" t="s">
        <v>42</v>
      </c>
      <c r="S1434" s="1" t="s">
        <v>42</v>
      </c>
      <c r="T1434" s="1" t="s">
        <v>170</v>
      </c>
      <c r="AA1434" s="1">
        <v>5325000</v>
      </c>
      <c r="AB1434" s="1" t="s">
        <v>1131</v>
      </c>
      <c r="AC1434" s="5">
        <v>43599</v>
      </c>
      <c r="AF1434" s="1">
        <v>10003</v>
      </c>
      <c r="AI1434" s="1" t="s">
        <v>76</v>
      </c>
      <c r="AJ1434" s="1">
        <v>1920</v>
      </c>
      <c r="AK1434" s="1" t="s">
        <v>46</v>
      </c>
      <c r="AL1434" s="1">
        <v>130</v>
      </c>
    </row>
    <row r="1435" spans="1:38" x14ac:dyDescent="0.2">
      <c r="A1435" s="2" t="str">
        <f>HYPERLINK("https://www.compass.com/listing/67-69-franklin-street-unit-2a-manhattan-ny-10013/89719784484138705/","67-69 Franklin St, Unit 2A")</f>
        <v>67-69 Franklin St, Unit 2A</v>
      </c>
      <c r="B1435" s="2" t="str">
        <f t="shared" ref="B1435:B1438" si="257">HYPERLINK("https://www.compass.com/building/cast-iron-house-manhattan-ny/567514773896133269/","Cast Iron House")</f>
        <v>Cast Iron House</v>
      </c>
      <c r="D1435" s="1" t="s">
        <v>41</v>
      </c>
      <c r="E1435" s="3">
        <v>5170000</v>
      </c>
      <c r="F1435" s="1">
        <v>1611.59600997506</v>
      </c>
      <c r="G1435" s="1">
        <v>6</v>
      </c>
      <c r="H1435" s="1">
        <v>4</v>
      </c>
      <c r="I1435" s="1">
        <v>3</v>
      </c>
      <c r="J1435" s="1">
        <v>3</v>
      </c>
      <c r="K1435" s="1">
        <v>3</v>
      </c>
      <c r="M1435" s="4">
        <v>3208</v>
      </c>
      <c r="N1435" s="1">
        <v>3036</v>
      </c>
      <c r="O1435" s="1">
        <v>6812</v>
      </c>
      <c r="P1435" s="1">
        <v>3776</v>
      </c>
      <c r="Q1435" s="1" t="s">
        <v>42</v>
      </c>
      <c r="S1435" s="1" t="s">
        <v>42</v>
      </c>
      <c r="T1435" s="1" t="s">
        <v>170</v>
      </c>
      <c r="U1435" s="1">
        <v>196</v>
      </c>
      <c r="V1435" s="5">
        <v>43610</v>
      </c>
      <c r="W1435" s="5">
        <v>43374</v>
      </c>
      <c r="X1435" s="1">
        <v>5250000</v>
      </c>
      <c r="Y1435" s="1">
        <v>5250000</v>
      </c>
      <c r="Z1435" s="5">
        <v>43570</v>
      </c>
      <c r="AA1435" s="1">
        <v>5170000</v>
      </c>
      <c r="AB1435" s="1" t="s">
        <v>1132</v>
      </c>
      <c r="AC1435" s="5">
        <v>43606</v>
      </c>
      <c r="AF1435" s="1">
        <v>10013</v>
      </c>
      <c r="AI1435" s="1" t="s">
        <v>84</v>
      </c>
      <c r="AJ1435" s="1">
        <v>1881</v>
      </c>
      <c r="AK1435" s="1" t="s">
        <v>46</v>
      </c>
      <c r="AL1435" s="1">
        <v>13</v>
      </c>
    </row>
    <row r="1436" spans="1:38" x14ac:dyDescent="0.2">
      <c r="A1436" s="2" t="str">
        <f>HYPERLINK("https://www.compass.com/listing/67-69-franklin-street-unit-45c-manhattan-ny-10013/4852285108238947297/","67-69 Franklin St, Unit 45C")</f>
        <v>67-69 Franklin St, Unit 45C</v>
      </c>
      <c r="B1436" s="2" t="str">
        <f t="shared" si="257"/>
        <v>Cast Iron House</v>
      </c>
      <c r="C1436" s="1" t="s">
        <v>40</v>
      </c>
      <c r="D1436" s="1" t="s">
        <v>41</v>
      </c>
      <c r="E1436" s="3">
        <v>5950000</v>
      </c>
      <c r="F1436" s="1">
        <v>2087.7192982456099</v>
      </c>
      <c r="G1436" s="1">
        <v>6</v>
      </c>
      <c r="H1436" s="1">
        <v>3</v>
      </c>
      <c r="I1436" s="1">
        <v>3</v>
      </c>
      <c r="J1436" s="1">
        <v>3</v>
      </c>
      <c r="K1436" s="1">
        <v>3</v>
      </c>
      <c r="M1436" s="4">
        <v>2850</v>
      </c>
      <c r="N1436" s="1">
        <v>2887</v>
      </c>
      <c r="O1436" s="1">
        <v>5440</v>
      </c>
      <c r="P1436" s="1">
        <v>2553</v>
      </c>
      <c r="Q1436" s="1" t="s">
        <v>42</v>
      </c>
      <c r="S1436" s="1" t="s">
        <v>42</v>
      </c>
      <c r="T1436" s="1" t="s">
        <v>170</v>
      </c>
      <c r="U1436" s="1">
        <v>106</v>
      </c>
      <c r="V1436" s="5">
        <v>43649</v>
      </c>
      <c r="W1436" s="5">
        <v>42829</v>
      </c>
      <c r="X1436" s="1">
        <v>5950000</v>
      </c>
      <c r="Y1436" s="1">
        <v>5950000</v>
      </c>
      <c r="Z1436" s="5">
        <v>42935</v>
      </c>
      <c r="AA1436" s="1">
        <v>5950000</v>
      </c>
      <c r="AB1436" s="1" t="s">
        <v>181</v>
      </c>
      <c r="AC1436" s="5">
        <v>43062</v>
      </c>
      <c r="AF1436" s="1">
        <v>10013</v>
      </c>
      <c r="AI1436" s="1" t="s">
        <v>84</v>
      </c>
      <c r="AJ1436" s="1">
        <v>1881</v>
      </c>
      <c r="AK1436" s="1" t="s">
        <v>73</v>
      </c>
      <c r="AL1436" s="1">
        <v>13</v>
      </c>
    </row>
    <row r="1437" spans="1:38" x14ac:dyDescent="0.2">
      <c r="A1437" s="2" t="str">
        <f>HYPERLINK("https://www.compass.com/listing/67-69-franklin-street-unit-2b-manhattan-ny-10013/89719784878425905/","67-69 Franklin St, Unit 2B")</f>
        <v>67-69 Franklin St, Unit 2B</v>
      </c>
      <c r="B1437" s="2" t="str">
        <f t="shared" si="257"/>
        <v>Cast Iron House</v>
      </c>
      <c r="C1437" s="1" t="s">
        <v>40</v>
      </c>
      <c r="D1437" s="1" t="s">
        <v>41</v>
      </c>
      <c r="E1437" s="3">
        <v>4475000</v>
      </c>
      <c r="F1437" s="1">
        <v>1496.65551839464</v>
      </c>
      <c r="G1437" s="1">
        <v>5.5</v>
      </c>
      <c r="H1437" s="1">
        <v>3</v>
      </c>
      <c r="I1437" s="1">
        <v>3</v>
      </c>
      <c r="J1437" s="1">
        <v>3</v>
      </c>
      <c r="K1437" s="1">
        <v>3</v>
      </c>
      <c r="M1437" s="4">
        <v>2990</v>
      </c>
      <c r="N1437" s="1">
        <v>2690</v>
      </c>
      <c r="O1437" s="1">
        <v>6040</v>
      </c>
      <c r="P1437" s="1">
        <v>3350</v>
      </c>
      <c r="Q1437" s="1" t="s">
        <v>42</v>
      </c>
      <c r="S1437" s="1" t="s">
        <v>42</v>
      </c>
      <c r="T1437" s="1" t="s">
        <v>170</v>
      </c>
      <c r="U1437" s="1">
        <v>165</v>
      </c>
      <c r="V1437" s="5">
        <v>44225</v>
      </c>
      <c r="W1437" s="5">
        <v>43375</v>
      </c>
      <c r="X1437" s="1">
        <v>4650000</v>
      </c>
      <c r="Y1437" s="1">
        <v>4650000</v>
      </c>
      <c r="Z1437" s="5">
        <v>43540</v>
      </c>
      <c r="AA1437" s="1">
        <v>4475000</v>
      </c>
      <c r="AB1437" s="1" t="s">
        <v>1133</v>
      </c>
      <c r="AC1437" s="5">
        <v>43584</v>
      </c>
      <c r="AF1437" s="1">
        <v>10013</v>
      </c>
      <c r="AI1437" s="1" t="s">
        <v>84</v>
      </c>
      <c r="AJ1437" s="1">
        <v>1881</v>
      </c>
      <c r="AK1437" s="1" t="s">
        <v>46</v>
      </c>
      <c r="AL1437" s="1">
        <v>13</v>
      </c>
    </row>
    <row r="1438" spans="1:38" x14ac:dyDescent="0.2">
      <c r="A1438" s="2" t="str">
        <f>HYPERLINK("https://www.compass.com/listing/67-69-franklin-street-unit-23c-manhattan-ny-10013/29514161918598961/","67-69 Franklin St, Unit 23C")</f>
        <v>67-69 Franklin St, Unit 23C</v>
      </c>
      <c r="B1438" s="2" t="str">
        <f t="shared" si="257"/>
        <v>Cast Iron House</v>
      </c>
      <c r="C1438" s="1" t="s">
        <v>40</v>
      </c>
      <c r="D1438" s="1" t="s">
        <v>41</v>
      </c>
      <c r="E1438" s="3">
        <v>4775000</v>
      </c>
      <c r="F1438" s="1">
        <v>1670.1643931444501</v>
      </c>
      <c r="G1438" s="1">
        <v>5</v>
      </c>
      <c r="H1438" s="1">
        <v>3</v>
      </c>
      <c r="I1438" s="1">
        <v>3</v>
      </c>
      <c r="J1438" s="1">
        <v>3</v>
      </c>
      <c r="K1438" s="1">
        <v>3</v>
      </c>
      <c r="M1438" s="4">
        <v>2859</v>
      </c>
      <c r="N1438" s="1">
        <v>2615</v>
      </c>
      <c r="O1438" s="1">
        <v>4929</v>
      </c>
      <c r="P1438" s="1">
        <v>2314</v>
      </c>
      <c r="Q1438" s="1" t="s">
        <v>42</v>
      </c>
      <c r="S1438" s="1" t="s">
        <v>42</v>
      </c>
      <c r="T1438" s="1" t="s">
        <v>170</v>
      </c>
      <c r="U1438" s="1">
        <v>84</v>
      </c>
      <c r="V1438" s="5">
        <v>43650</v>
      </c>
      <c r="W1438" s="5">
        <v>42993</v>
      </c>
      <c r="X1438" s="1">
        <v>4775000</v>
      </c>
      <c r="Y1438" s="1">
        <v>4775000</v>
      </c>
      <c r="Z1438" s="5">
        <v>43077</v>
      </c>
      <c r="AA1438" s="1">
        <v>4775000</v>
      </c>
      <c r="AB1438" s="1" t="s">
        <v>181</v>
      </c>
      <c r="AC1438" s="5">
        <v>43091</v>
      </c>
      <c r="AF1438" s="1">
        <v>10013</v>
      </c>
      <c r="AI1438" s="1" t="s">
        <v>84</v>
      </c>
      <c r="AJ1438" s="1">
        <v>1881</v>
      </c>
      <c r="AK1438" s="1" t="s">
        <v>73</v>
      </c>
      <c r="AL1438" s="1">
        <v>13</v>
      </c>
    </row>
    <row r="1439" spans="1:38" x14ac:dyDescent="0.2">
      <c r="A1439" s="2" t="str">
        <f>HYPERLINK("https://www.compass.com/listing/555-west-end-avenue-unit-5e-manhattan-ny-10024/404257077186089489/","555 W End Ave, Unit 5E")</f>
        <v>555 W End Ave, Unit 5E</v>
      </c>
      <c r="B1439" s="2" t="str">
        <f t="shared" ref="B1439:B1440" si="258">HYPERLINK("https://www.compass.com/building/555-west-end-avenue-manhattan-ny/292874438096018885/","555 West End Avenue")</f>
        <v>555 West End Avenue</v>
      </c>
      <c r="C1439" s="1" t="s">
        <v>50</v>
      </c>
      <c r="D1439" s="1" t="s">
        <v>41</v>
      </c>
      <c r="E1439" s="3">
        <v>9999999</v>
      </c>
      <c r="F1439" s="1">
        <v>2878.5259067357501</v>
      </c>
      <c r="G1439" s="1">
        <v>7.5</v>
      </c>
      <c r="H1439" s="1">
        <v>5</v>
      </c>
      <c r="I1439" s="1">
        <v>5</v>
      </c>
      <c r="J1439" s="1">
        <v>4.5</v>
      </c>
      <c r="K1439" s="1">
        <v>4</v>
      </c>
      <c r="L1439" s="1">
        <v>1</v>
      </c>
      <c r="M1439" s="4">
        <v>3474</v>
      </c>
      <c r="N1439" s="1">
        <v>4778</v>
      </c>
      <c r="O1439" s="1">
        <v>9080</v>
      </c>
      <c r="P1439" s="1">
        <v>4302</v>
      </c>
      <c r="Q1439" s="1" t="s">
        <v>42</v>
      </c>
      <c r="S1439" s="1" t="s">
        <v>42</v>
      </c>
      <c r="T1439" s="1" t="s">
        <v>170</v>
      </c>
      <c r="V1439" s="5">
        <v>44343</v>
      </c>
      <c r="W1439" s="5">
        <v>43810</v>
      </c>
      <c r="X1439" s="1">
        <v>10600000</v>
      </c>
      <c r="Y1439" s="1">
        <v>10600000</v>
      </c>
      <c r="Z1439" s="5">
        <v>43810</v>
      </c>
      <c r="AA1439" s="1">
        <v>9999999</v>
      </c>
      <c r="AB1439" s="1" t="s">
        <v>225</v>
      </c>
      <c r="AC1439" s="5">
        <v>43879</v>
      </c>
      <c r="AF1439" s="1">
        <v>10024</v>
      </c>
      <c r="AJ1439" s="1">
        <v>2019</v>
      </c>
      <c r="AK1439" s="1" t="s">
        <v>77</v>
      </c>
      <c r="AL1439" s="1">
        <v>13</v>
      </c>
    </row>
    <row r="1440" spans="1:38" x14ac:dyDescent="0.2">
      <c r="A1440" s="2" t="str">
        <f>HYPERLINK("https://www.compass.com/listing/555-west-end-avenue-unit-4e-manhattan-ny-10024/89802427104010529/","555 W End Ave, Unit 4E")</f>
        <v>555 W End Ave, Unit 4E</v>
      </c>
      <c r="B1440" s="2" t="str">
        <f t="shared" si="258"/>
        <v>555 West End Avenue</v>
      </c>
      <c r="C1440" s="1" t="s">
        <v>50</v>
      </c>
      <c r="D1440" s="1" t="s">
        <v>41</v>
      </c>
      <c r="E1440" s="3">
        <v>9900000</v>
      </c>
      <c r="F1440" s="1">
        <v>2849.7409326424799</v>
      </c>
      <c r="G1440" s="1">
        <v>7</v>
      </c>
      <c r="H1440" s="1">
        <v>5</v>
      </c>
      <c r="I1440" s="1">
        <v>5</v>
      </c>
      <c r="J1440" s="1">
        <v>4.5</v>
      </c>
      <c r="K1440" s="1">
        <v>4</v>
      </c>
      <c r="L1440" s="1">
        <v>1</v>
      </c>
      <c r="M1440" s="4">
        <v>3474</v>
      </c>
      <c r="N1440" s="1">
        <v>4668</v>
      </c>
      <c r="O1440" s="1">
        <v>10026</v>
      </c>
      <c r="P1440" s="1">
        <v>5358</v>
      </c>
      <c r="Q1440" s="1" t="s">
        <v>111</v>
      </c>
      <c r="S1440" s="1" t="s">
        <v>42</v>
      </c>
      <c r="T1440" s="1" t="s">
        <v>170</v>
      </c>
      <c r="U1440" s="1">
        <v>403</v>
      </c>
      <c r="V1440" s="5">
        <v>44344</v>
      </c>
      <c r="W1440" s="5">
        <v>43376</v>
      </c>
      <c r="X1440" s="1">
        <v>10300000</v>
      </c>
      <c r="Y1440" s="1">
        <v>10300000</v>
      </c>
      <c r="Z1440" s="5">
        <v>43779</v>
      </c>
      <c r="AA1440" s="1">
        <v>9900000</v>
      </c>
      <c r="AB1440" s="1" t="s">
        <v>224</v>
      </c>
      <c r="AC1440" s="5">
        <v>43815</v>
      </c>
      <c r="AF1440" s="1">
        <v>10024</v>
      </c>
      <c r="AJ1440" s="1">
        <v>2019</v>
      </c>
      <c r="AK1440" s="1" t="s">
        <v>77</v>
      </c>
      <c r="AL1440" s="1">
        <v>13</v>
      </c>
    </row>
    <row r="1441" spans="1:38" x14ac:dyDescent="0.2">
      <c r="A1441" s="2" t="str">
        <f>HYPERLINK("https://www.compass.com/listing/67-69-franklin-street-unit-4d-manhattan-ny-10013/89749521352949265/","67-69 Franklin St, Unit 4D")</f>
        <v>67-69 Franklin St, Unit 4D</v>
      </c>
      <c r="B1441" s="2" t="str">
        <f>HYPERLINK("https://www.compass.com/building/cast-iron-house-manhattan-ny/567514773896133269/","Cast Iron House")</f>
        <v>Cast Iron House</v>
      </c>
      <c r="C1441" s="1" t="s">
        <v>40</v>
      </c>
      <c r="D1441" s="1" t="s">
        <v>41</v>
      </c>
      <c r="E1441" s="3">
        <v>7079588</v>
      </c>
      <c r="F1441" s="1">
        <v>1880.8682252922399</v>
      </c>
      <c r="G1441" s="1">
        <v>6</v>
      </c>
      <c r="H1441" s="1">
        <v>4</v>
      </c>
      <c r="I1441" s="1">
        <v>3</v>
      </c>
      <c r="J1441" s="1">
        <v>3</v>
      </c>
      <c r="K1441" s="1">
        <v>3</v>
      </c>
      <c r="M1441" s="4">
        <v>3764</v>
      </c>
      <c r="N1441" s="1">
        <v>3738</v>
      </c>
      <c r="O1441" s="1">
        <v>8389</v>
      </c>
      <c r="P1441" s="1">
        <v>4651</v>
      </c>
      <c r="Q1441" s="1" t="s">
        <v>42</v>
      </c>
      <c r="S1441" s="1" t="s">
        <v>42</v>
      </c>
      <c r="T1441" s="1" t="s">
        <v>170</v>
      </c>
      <c r="U1441" s="1">
        <v>144</v>
      </c>
      <c r="V1441" s="5">
        <v>43638</v>
      </c>
      <c r="W1441" s="5">
        <v>43375</v>
      </c>
      <c r="X1441" s="1">
        <v>7350000</v>
      </c>
      <c r="Y1441" s="1">
        <v>7350000</v>
      </c>
      <c r="Z1441" s="5">
        <v>43519</v>
      </c>
      <c r="AA1441" s="1">
        <v>7079588</v>
      </c>
      <c r="AB1441" s="1" t="s">
        <v>1134</v>
      </c>
      <c r="AC1441" s="5">
        <v>43581</v>
      </c>
      <c r="AF1441" s="1">
        <v>10013</v>
      </c>
      <c r="AI1441" s="1" t="s">
        <v>138</v>
      </c>
      <c r="AJ1441" s="1">
        <v>1881</v>
      </c>
      <c r="AK1441" s="1" t="s">
        <v>46</v>
      </c>
      <c r="AL1441" s="1">
        <v>13</v>
      </c>
    </row>
    <row r="1442" spans="1:38" x14ac:dyDescent="0.2">
      <c r="A1442" s="2" t="str">
        <f>HYPERLINK("https://www.compass.com/listing/555-west-end-avenue-unit-6e-manhattan-ny-10024/455112222608697577/","555 W End Ave, Unit 6E")</f>
        <v>555 W End Ave, Unit 6E</v>
      </c>
      <c r="B1442" s="2" t="str">
        <f>HYPERLINK("https://www.compass.com/building/555-west-end-avenue-manhattan-ny/292874438096018885/","555 West End Avenue")</f>
        <v>555 West End Avenue</v>
      </c>
      <c r="C1442" s="1" t="s">
        <v>50</v>
      </c>
      <c r="D1442" s="1" t="s">
        <v>41</v>
      </c>
      <c r="E1442" s="3">
        <v>10750000</v>
      </c>
      <c r="F1442" s="1">
        <v>3081.1120664946902</v>
      </c>
      <c r="G1442" s="1">
        <v>7</v>
      </c>
      <c r="H1442" s="1">
        <v>5</v>
      </c>
      <c r="I1442" s="1">
        <v>5</v>
      </c>
      <c r="J1442" s="1">
        <v>4.5</v>
      </c>
      <c r="K1442" s="1">
        <v>4</v>
      </c>
      <c r="L1442" s="1">
        <v>1</v>
      </c>
      <c r="M1442" s="4">
        <v>3489</v>
      </c>
      <c r="N1442" s="1">
        <v>4800</v>
      </c>
      <c r="O1442" s="1">
        <v>9122</v>
      </c>
      <c r="P1442" s="1">
        <v>4322</v>
      </c>
      <c r="Q1442" s="1" t="s">
        <v>42</v>
      </c>
      <c r="S1442" s="1" t="s">
        <v>42</v>
      </c>
      <c r="T1442" s="1" t="s">
        <v>170</v>
      </c>
      <c r="V1442" s="5">
        <v>44343</v>
      </c>
      <c r="W1442" s="5">
        <v>43880</v>
      </c>
      <c r="X1442" s="1">
        <v>10900000</v>
      </c>
      <c r="Y1442" s="1">
        <v>10900000</v>
      </c>
      <c r="Z1442" s="5">
        <v>43880</v>
      </c>
      <c r="AA1442" s="1">
        <v>10750000</v>
      </c>
      <c r="AB1442" s="1" t="s">
        <v>226</v>
      </c>
      <c r="AC1442" s="5">
        <v>43901</v>
      </c>
      <c r="AF1442" s="1">
        <v>10024</v>
      </c>
      <c r="AJ1442" s="1">
        <v>2019</v>
      </c>
      <c r="AK1442" s="1" t="s">
        <v>77</v>
      </c>
      <c r="AL1442" s="1">
        <v>13</v>
      </c>
    </row>
    <row r="1443" spans="1:38" x14ac:dyDescent="0.2">
      <c r="A1443" s="2" t="str">
        <f>HYPERLINK("https://www.compass.com/listing/67-69-franklin-street-unit-4c-manhattan-ny-10013/50852272132908033/","67-69 Franklin St, Unit 4C")</f>
        <v>67-69 Franklin St, Unit 4C</v>
      </c>
      <c r="B1443" s="2" t="str">
        <f>HYPERLINK("https://www.compass.com/building/cast-iron-house-manhattan-ny/567514773896133269/","Cast Iron House")</f>
        <v>Cast Iron House</v>
      </c>
      <c r="C1443" s="1" t="s">
        <v>40</v>
      </c>
      <c r="D1443" s="1" t="s">
        <v>41</v>
      </c>
      <c r="E1443" s="3">
        <v>5704950</v>
      </c>
      <c r="F1443" s="1">
        <v>2001.7368421052599</v>
      </c>
      <c r="G1443" s="1">
        <v>5</v>
      </c>
      <c r="H1443" s="1">
        <v>3</v>
      </c>
      <c r="I1443" s="1">
        <v>3</v>
      </c>
      <c r="J1443" s="1">
        <v>3</v>
      </c>
      <c r="K1443" s="1">
        <v>3</v>
      </c>
      <c r="M1443" s="4">
        <v>2850</v>
      </c>
      <c r="N1443" s="1">
        <v>2803</v>
      </c>
      <c r="O1443" s="1">
        <v>6162</v>
      </c>
      <c r="P1443" s="1">
        <v>3359</v>
      </c>
      <c r="Q1443" s="1" t="s">
        <v>42</v>
      </c>
      <c r="S1443" s="1" t="s">
        <v>42</v>
      </c>
      <c r="T1443" s="1" t="s">
        <v>170</v>
      </c>
      <c r="U1443" s="1">
        <v>921</v>
      </c>
      <c r="V1443" s="5">
        <v>43169</v>
      </c>
      <c r="W1443" s="5">
        <v>41893</v>
      </c>
      <c r="X1443" s="1">
        <v>5950000</v>
      </c>
      <c r="Y1443" s="1">
        <v>5950000</v>
      </c>
      <c r="AA1443" s="1">
        <v>5704950</v>
      </c>
      <c r="AB1443" s="1" t="s">
        <v>1135</v>
      </c>
      <c r="AC1443" s="5">
        <v>43059</v>
      </c>
      <c r="AF1443" s="1">
        <v>10013</v>
      </c>
      <c r="AI1443" s="1" t="s">
        <v>84</v>
      </c>
      <c r="AJ1443" s="1">
        <v>1881</v>
      </c>
      <c r="AK1443" s="1" t="s">
        <v>73</v>
      </c>
      <c r="AL1443" s="1">
        <v>13</v>
      </c>
    </row>
    <row r="1444" spans="1:38" x14ac:dyDescent="0.2">
      <c r="A1444" s="2" t="str">
        <f>HYPERLINK("https://www.compass.com/listing/555-west-end-avenue-unit-5w-manhattan-ny-10024/125241880815369873/","555 W End Ave, Unit 5W")</f>
        <v>555 W End Ave, Unit 5W</v>
      </c>
      <c r="B1444" s="2" t="str">
        <f t="shared" ref="B1444:B1445" si="259">HYPERLINK("https://www.compass.com/building/555-west-end-avenue-manhattan-ny/292874438096018885/","555 West End Avenue")</f>
        <v>555 West End Avenue</v>
      </c>
      <c r="C1444" s="1" t="s">
        <v>50</v>
      </c>
      <c r="D1444" s="1" t="s">
        <v>41</v>
      </c>
      <c r="E1444" s="3">
        <v>8300000</v>
      </c>
      <c r="F1444" s="1">
        <v>3055.9646539027899</v>
      </c>
      <c r="G1444" s="1">
        <v>6</v>
      </c>
      <c r="H1444" s="1">
        <v>4</v>
      </c>
      <c r="I1444" s="1">
        <v>5</v>
      </c>
      <c r="J1444" s="1">
        <v>4.5</v>
      </c>
      <c r="K1444" s="1">
        <v>4</v>
      </c>
      <c r="L1444" s="1">
        <v>1</v>
      </c>
      <c r="M1444" s="4">
        <v>2716</v>
      </c>
      <c r="N1444" s="1">
        <v>3735</v>
      </c>
      <c r="O1444" s="1">
        <v>7098</v>
      </c>
      <c r="P1444" s="1">
        <v>3363</v>
      </c>
      <c r="Q1444" s="1" t="s">
        <v>42</v>
      </c>
      <c r="S1444" s="1" t="s">
        <v>42</v>
      </c>
      <c r="T1444" s="1" t="s">
        <v>170</v>
      </c>
      <c r="V1444" s="5">
        <v>44344</v>
      </c>
      <c r="W1444" s="5">
        <v>43425</v>
      </c>
      <c r="X1444" s="1">
        <v>8600000</v>
      </c>
      <c r="Y1444" s="1">
        <v>8600000</v>
      </c>
      <c r="Z1444" s="5">
        <v>43425</v>
      </c>
      <c r="AA1444" s="1">
        <v>8300000</v>
      </c>
      <c r="AB1444" s="1" t="s">
        <v>228</v>
      </c>
      <c r="AC1444" s="5">
        <v>43867</v>
      </c>
      <c r="AF1444" s="1">
        <v>10024</v>
      </c>
      <c r="AJ1444" s="1">
        <v>2019</v>
      </c>
      <c r="AK1444" s="1" t="s">
        <v>77</v>
      </c>
      <c r="AL1444" s="1">
        <v>13</v>
      </c>
    </row>
    <row r="1445" spans="1:38" x14ac:dyDescent="0.2">
      <c r="A1445" s="2" t="str">
        <f>HYPERLINK("https://www.compass.com/listing/555-west-end-avenue-unit-4e-manhattan-ny-10024/803339613586289689/","555 W End Ave, Unit 4E")</f>
        <v>555 W End Ave, Unit 4E</v>
      </c>
      <c r="B1445" s="2" t="str">
        <f t="shared" si="259"/>
        <v>555 West End Avenue</v>
      </c>
      <c r="C1445" s="1" t="s">
        <v>50</v>
      </c>
      <c r="D1445" s="1" t="s">
        <v>41</v>
      </c>
      <c r="E1445" s="3">
        <v>9900000</v>
      </c>
      <c r="F1445" s="1">
        <v>2849.7409326424799</v>
      </c>
      <c r="G1445" s="1">
        <v>7</v>
      </c>
      <c r="H1445" s="1">
        <v>5</v>
      </c>
      <c r="I1445" s="1">
        <v>5</v>
      </c>
      <c r="J1445" s="1">
        <v>4.5</v>
      </c>
      <c r="K1445" s="1">
        <v>4</v>
      </c>
      <c r="L1445" s="1">
        <v>1</v>
      </c>
      <c r="M1445" s="4">
        <v>3474</v>
      </c>
      <c r="N1445" s="1">
        <v>4668</v>
      </c>
      <c r="O1445" s="1">
        <v>10026</v>
      </c>
      <c r="P1445" s="1">
        <v>5358</v>
      </c>
      <c r="Q1445" s="1" t="s">
        <v>42</v>
      </c>
      <c r="S1445" s="1" t="s">
        <v>42</v>
      </c>
      <c r="T1445" s="1" t="s">
        <v>170</v>
      </c>
      <c r="U1445" s="1">
        <v>440</v>
      </c>
      <c r="V1445" s="5">
        <v>43678</v>
      </c>
      <c r="W1445" s="5">
        <v>43375</v>
      </c>
      <c r="X1445" s="1">
        <v>10300000</v>
      </c>
      <c r="Y1445" s="1">
        <v>10300000</v>
      </c>
      <c r="AA1445" s="1">
        <v>9900000</v>
      </c>
      <c r="AB1445" s="1" t="s">
        <v>224</v>
      </c>
      <c r="AC1445" s="5">
        <v>43815</v>
      </c>
      <c r="AF1445" s="1">
        <v>10024</v>
      </c>
      <c r="AJ1445" s="1">
        <v>2019</v>
      </c>
      <c r="AK1445" s="1" t="s">
        <v>77</v>
      </c>
      <c r="AL1445" s="1">
        <v>13</v>
      </c>
    </row>
    <row r="1446" spans="1:38" x14ac:dyDescent="0.2">
      <c r="A1446" s="2" t="str">
        <f>HYPERLINK("https://www.compass.com/listing/67-69-franklin-street-unit-2d-manhattan-ny-10013/803339975739502057/","67-69 Franklin St, Unit 2D")</f>
        <v>67-69 Franklin St, Unit 2D</v>
      </c>
      <c r="B1446" s="2" t="str">
        <f>HYPERLINK("https://www.compass.com/building/cast-iron-house-manhattan-ny/567514773896133269/","Cast Iron House")</f>
        <v>Cast Iron House</v>
      </c>
      <c r="C1446" s="1" t="s">
        <v>40</v>
      </c>
      <c r="D1446" s="1" t="s">
        <v>41</v>
      </c>
      <c r="E1446" s="3">
        <v>5575000</v>
      </c>
      <c r="F1446" s="1">
        <v>1477.99575821845</v>
      </c>
      <c r="G1446" s="1">
        <v>7</v>
      </c>
      <c r="H1446" s="1">
        <v>4</v>
      </c>
      <c r="I1446" s="1">
        <v>3</v>
      </c>
      <c r="J1446" s="1">
        <v>3</v>
      </c>
      <c r="K1446" s="1">
        <v>3</v>
      </c>
      <c r="M1446" s="4">
        <v>3772</v>
      </c>
      <c r="N1446" s="1">
        <v>3402</v>
      </c>
      <c r="O1446" s="1">
        <v>7633</v>
      </c>
      <c r="P1446" s="1">
        <v>4231</v>
      </c>
      <c r="Q1446" s="1" t="s">
        <v>42</v>
      </c>
      <c r="S1446" s="1" t="s">
        <v>42</v>
      </c>
      <c r="T1446" s="1" t="s">
        <v>170</v>
      </c>
      <c r="U1446" s="1">
        <v>1746</v>
      </c>
      <c r="V1446" s="5">
        <v>43644</v>
      </c>
      <c r="W1446" s="5">
        <v>41849</v>
      </c>
      <c r="X1446" s="1">
        <v>5850000</v>
      </c>
      <c r="Y1446" s="1">
        <v>5850000</v>
      </c>
      <c r="Z1446" s="5">
        <v>43595</v>
      </c>
      <c r="AA1446" s="1">
        <v>5575000</v>
      </c>
      <c r="AB1446" s="1" t="s">
        <v>1136</v>
      </c>
      <c r="AC1446" s="5">
        <v>43640</v>
      </c>
      <c r="AF1446" s="1">
        <v>10013</v>
      </c>
      <c r="AI1446" s="1" t="s">
        <v>110</v>
      </c>
      <c r="AJ1446" s="1">
        <v>1881</v>
      </c>
      <c r="AK1446" s="1" t="s">
        <v>46</v>
      </c>
      <c r="AL1446" s="1">
        <v>13</v>
      </c>
    </row>
    <row r="1447" spans="1:38" x14ac:dyDescent="0.2">
      <c r="A1447" s="2" t="str">
        <f>HYPERLINK("https://www.compass.com/listing/555-west-end-avenue-unit-3e-manhattan-ny-10024/384011928515969265/","555 W End Ave, Unit 3E")</f>
        <v>555 W End Ave, Unit 3E</v>
      </c>
      <c r="B1447" s="2" t="str">
        <f>HYPERLINK("https://www.compass.com/building/555-west-end-avenue-manhattan-ny/292874438096018885/","555 West End Avenue")</f>
        <v>555 West End Avenue</v>
      </c>
      <c r="C1447" s="1" t="s">
        <v>50</v>
      </c>
      <c r="D1447" s="1" t="s">
        <v>41</v>
      </c>
      <c r="E1447" s="3">
        <v>9750000</v>
      </c>
      <c r="F1447" s="1">
        <v>2806.56303972366</v>
      </c>
      <c r="G1447" s="1">
        <v>7</v>
      </c>
      <c r="H1447" s="1">
        <v>5</v>
      </c>
      <c r="I1447" s="1">
        <v>5</v>
      </c>
      <c r="J1447" s="1">
        <v>4.5</v>
      </c>
      <c r="K1447" s="1">
        <v>4</v>
      </c>
      <c r="L1447" s="1">
        <v>1</v>
      </c>
      <c r="M1447" s="4">
        <v>3474</v>
      </c>
      <c r="N1447" s="1">
        <v>4779</v>
      </c>
      <c r="O1447" s="1">
        <v>9082</v>
      </c>
      <c r="P1447" s="1">
        <v>4303</v>
      </c>
      <c r="Q1447" s="1" t="s">
        <v>42</v>
      </c>
      <c r="S1447" s="1" t="s">
        <v>42</v>
      </c>
      <c r="T1447" s="1" t="s">
        <v>170</v>
      </c>
      <c r="U1447" s="1">
        <v>30</v>
      </c>
      <c r="V1447" s="5">
        <v>44343</v>
      </c>
      <c r="W1447" s="5">
        <v>43782</v>
      </c>
      <c r="X1447" s="1">
        <v>9900000</v>
      </c>
      <c r="Y1447" s="1">
        <v>9900000</v>
      </c>
      <c r="Z1447" s="5">
        <v>43812</v>
      </c>
      <c r="AA1447" s="1">
        <v>9750000</v>
      </c>
      <c r="AB1447" s="1" t="s">
        <v>227</v>
      </c>
      <c r="AC1447" s="5">
        <v>43825</v>
      </c>
      <c r="AF1447" s="1">
        <v>10024</v>
      </c>
      <c r="AJ1447" s="1">
        <v>2019</v>
      </c>
      <c r="AK1447" s="1" t="s">
        <v>77</v>
      </c>
      <c r="AL1447" s="1">
        <v>13</v>
      </c>
    </row>
    <row r="1448" spans="1:38" x14ac:dyDescent="0.2">
      <c r="A1448" s="2" t="str">
        <f>HYPERLINK("https://www.compass.com/listing/67-69-franklin-street-unit-4b-manhattan-ny-10013/29358598597380433/","67-69 Franklin St, Unit 4B")</f>
        <v>67-69 Franklin St, Unit 4B</v>
      </c>
      <c r="B1448" s="2" t="str">
        <f t="shared" ref="B1448:B1449" si="260">HYPERLINK("https://www.compass.com/building/cast-iron-house-manhattan-ny/567514773896133269/","Cast Iron House")</f>
        <v>Cast Iron House</v>
      </c>
      <c r="C1448" s="1" t="s">
        <v>40</v>
      </c>
      <c r="D1448" s="1" t="s">
        <v>41</v>
      </c>
      <c r="E1448" s="3">
        <v>6264987</v>
      </c>
      <c r="F1448" s="1">
        <v>2189.7892345333798</v>
      </c>
      <c r="G1448" s="1">
        <v>5</v>
      </c>
      <c r="H1448" s="1">
        <v>3</v>
      </c>
      <c r="I1448" s="1">
        <v>3</v>
      </c>
      <c r="J1448" s="1">
        <v>3</v>
      </c>
      <c r="M1448" s="4">
        <v>2861</v>
      </c>
      <c r="N1448" s="1">
        <v>7402</v>
      </c>
      <c r="O1448" s="1">
        <v>11895</v>
      </c>
      <c r="P1448" s="1">
        <v>4493</v>
      </c>
      <c r="Q1448" s="1" t="s">
        <v>42</v>
      </c>
      <c r="S1448" s="1" t="s">
        <v>42</v>
      </c>
      <c r="T1448" s="1" t="s">
        <v>170</v>
      </c>
      <c r="V1448" s="5">
        <v>43665</v>
      </c>
      <c r="W1448" s="5">
        <v>41963</v>
      </c>
      <c r="X1448" s="1">
        <v>6150000</v>
      </c>
      <c r="Y1448" s="1">
        <v>6150000</v>
      </c>
      <c r="Z1448" s="5">
        <v>41963</v>
      </c>
      <c r="AA1448" s="1">
        <v>6264987</v>
      </c>
      <c r="AB1448" s="1" t="s">
        <v>1137</v>
      </c>
      <c r="AC1448" s="5">
        <v>43050</v>
      </c>
      <c r="AF1448" s="1">
        <v>10013</v>
      </c>
      <c r="AI1448" s="1" t="s">
        <v>84</v>
      </c>
      <c r="AJ1448" s="1">
        <v>1881</v>
      </c>
      <c r="AK1448" s="1" t="s">
        <v>73</v>
      </c>
      <c r="AL1448" s="1">
        <v>13</v>
      </c>
    </row>
    <row r="1449" spans="1:38" x14ac:dyDescent="0.2">
      <c r="A1449" s="2" t="str">
        <f>HYPERLINK("https://www.compass.com/listing/67-69-franklin-street-unit-6c-manhattan-ny-10013/29358599251724545/","67-69 Franklin St, Unit 6C")</f>
        <v>67-69 Franklin St, Unit 6C</v>
      </c>
      <c r="B1449" s="2" t="str">
        <f t="shared" si="260"/>
        <v>Cast Iron House</v>
      </c>
      <c r="C1449" s="1" t="s">
        <v>40</v>
      </c>
      <c r="D1449" s="1" t="s">
        <v>41</v>
      </c>
      <c r="E1449" s="3">
        <v>11458063</v>
      </c>
      <c r="F1449" s="1">
        <v>2339.8127424954</v>
      </c>
      <c r="G1449" s="1">
        <v>7</v>
      </c>
      <c r="H1449" s="1">
        <v>5</v>
      </c>
      <c r="I1449" s="1">
        <v>5</v>
      </c>
      <c r="J1449" s="1">
        <v>5</v>
      </c>
      <c r="K1449" s="1">
        <v>5</v>
      </c>
      <c r="M1449" s="4">
        <v>4897</v>
      </c>
      <c r="N1449" s="1">
        <v>4843</v>
      </c>
      <c r="O1449" s="1">
        <v>10647</v>
      </c>
      <c r="P1449" s="1">
        <v>5804</v>
      </c>
      <c r="Q1449" s="1" t="s">
        <v>42</v>
      </c>
      <c r="S1449" s="1" t="s">
        <v>42</v>
      </c>
      <c r="T1449" s="1" t="s">
        <v>170</v>
      </c>
      <c r="U1449" s="1">
        <v>435</v>
      </c>
      <c r="V1449" s="5">
        <v>43638</v>
      </c>
      <c r="W1449" s="5">
        <v>41894</v>
      </c>
      <c r="X1449" s="1">
        <v>11250000</v>
      </c>
      <c r="Y1449" s="1">
        <v>11250000</v>
      </c>
      <c r="Z1449" s="5">
        <v>42329</v>
      </c>
      <c r="AA1449" s="1">
        <v>11458063</v>
      </c>
      <c r="AB1449" s="1" t="s">
        <v>1138</v>
      </c>
      <c r="AC1449" s="5">
        <v>43259</v>
      </c>
      <c r="AF1449" s="1">
        <v>10013</v>
      </c>
      <c r="AI1449" s="1" t="s">
        <v>138</v>
      </c>
      <c r="AJ1449" s="1">
        <v>1881</v>
      </c>
      <c r="AK1449" s="1" t="s">
        <v>73</v>
      </c>
      <c r="AL1449" s="1">
        <v>13</v>
      </c>
    </row>
    <row r="1450" spans="1:38" x14ac:dyDescent="0.2">
      <c r="A1450" s="2" t="str">
        <f>HYPERLINK("https://www.compass.com/listing/555-west-end-avenue-unit-townhouse-south-manhattan-ny-10024/312291159115992353/","555 W End Ave, Unit Townhouse South")</f>
        <v>555 W End Ave, Unit Townhouse South</v>
      </c>
      <c r="B1450" s="2" t="str">
        <f>HYPERLINK("https://www.compass.com/building/555-west-end-avenue-manhattan-ny/292874438096018885/","555 West End Avenue")</f>
        <v>555 West End Avenue</v>
      </c>
      <c r="C1450" s="1" t="s">
        <v>50</v>
      </c>
      <c r="D1450" s="1" t="s">
        <v>41</v>
      </c>
      <c r="E1450" s="3">
        <v>12000000</v>
      </c>
      <c r="F1450" s="1">
        <v>2447.4811339995899</v>
      </c>
      <c r="G1450" s="1">
        <v>7.5</v>
      </c>
      <c r="H1450" s="1">
        <v>5</v>
      </c>
      <c r="I1450" s="1">
        <v>6</v>
      </c>
      <c r="J1450" s="1">
        <v>5.5</v>
      </c>
      <c r="K1450" s="1">
        <v>5</v>
      </c>
      <c r="L1450" s="1">
        <v>1</v>
      </c>
      <c r="M1450" s="4">
        <v>4903</v>
      </c>
      <c r="N1450" s="1">
        <v>5271</v>
      </c>
      <c r="O1450" s="1">
        <v>11322</v>
      </c>
      <c r="P1450" s="1">
        <v>6051</v>
      </c>
      <c r="Q1450" s="1" t="s">
        <v>111</v>
      </c>
      <c r="S1450" s="1" t="s">
        <v>42</v>
      </c>
      <c r="T1450" s="1" t="s">
        <v>170</v>
      </c>
      <c r="U1450" s="1">
        <v>39</v>
      </c>
      <c r="V1450" s="5">
        <v>44344</v>
      </c>
      <c r="W1450" s="5">
        <v>43683</v>
      </c>
      <c r="X1450" s="1">
        <v>12800000</v>
      </c>
      <c r="Y1450" s="1">
        <v>12800000</v>
      </c>
      <c r="Z1450" s="5">
        <v>43722</v>
      </c>
      <c r="AA1450" s="1">
        <v>12000000</v>
      </c>
      <c r="AB1450" s="1" t="s">
        <v>181</v>
      </c>
      <c r="AC1450" s="5">
        <v>43827</v>
      </c>
      <c r="AF1450" s="1">
        <v>10024</v>
      </c>
      <c r="AI1450" s="1" t="s">
        <v>110</v>
      </c>
      <c r="AJ1450" s="1">
        <v>2019</v>
      </c>
      <c r="AK1450" s="1" t="s">
        <v>77</v>
      </c>
      <c r="AL1450" s="1">
        <v>13</v>
      </c>
    </row>
    <row r="1451" spans="1:38" x14ac:dyDescent="0.2">
      <c r="A1451" s="2" t="str">
        <f>HYPERLINK("https://www.compass.com/listing/67-69-franklin-street-unit-4a-manhattan-ny-10013/238633812232330401/","67-69 Franklin St, Unit 4A")</f>
        <v>67-69 Franklin St, Unit 4A</v>
      </c>
      <c r="B1451" s="2" t="str">
        <f t="shared" ref="B1451:B1452" si="261">HYPERLINK("https://www.compass.com/building/cast-iron-house-manhattan-ny/567514773896133269/","Cast Iron House")</f>
        <v>Cast Iron House</v>
      </c>
      <c r="C1451" s="1" t="s">
        <v>40</v>
      </c>
      <c r="D1451" s="1" t="s">
        <v>41</v>
      </c>
      <c r="E1451" s="3">
        <v>5625000</v>
      </c>
      <c r="F1451" s="1">
        <v>1759.4619956208901</v>
      </c>
      <c r="G1451" s="1">
        <v>5</v>
      </c>
      <c r="H1451" s="1">
        <v>4</v>
      </c>
      <c r="I1451" s="1">
        <v>3</v>
      </c>
      <c r="J1451" s="1">
        <v>3</v>
      </c>
      <c r="K1451" s="1">
        <v>3</v>
      </c>
      <c r="M1451" s="4">
        <v>3197</v>
      </c>
      <c r="N1451" s="1">
        <v>3332</v>
      </c>
      <c r="O1451" s="1">
        <v>7831</v>
      </c>
      <c r="P1451" s="1">
        <v>4499</v>
      </c>
      <c r="Q1451" s="1" t="s">
        <v>42</v>
      </c>
      <c r="S1451" s="1" t="s">
        <v>42</v>
      </c>
      <c r="T1451" s="1" t="s">
        <v>170</v>
      </c>
      <c r="U1451" s="1">
        <v>513</v>
      </c>
      <c r="V1451" s="5">
        <v>44267</v>
      </c>
      <c r="W1451" s="5">
        <v>43579</v>
      </c>
      <c r="X1451" s="1">
        <v>7100000</v>
      </c>
      <c r="Y1451" s="1">
        <v>6400000</v>
      </c>
      <c r="Z1451" s="5">
        <v>44187</v>
      </c>
      <c r="AA1451" s="1">
        <v>5625000</v>
      </c>
      <c r="AB1451" s="1" t="s">
        <v>1139</v>
      </c>
      <c r="AC1451" s="5">
        <v>44218</v>
      </c>
      <c r="AF1451" s="1">
        <v>10013</v>
      </c>
      <c r="AI1451" s="1" t="s">
        <v>84</v>
      </c>
      <c r="AJ1451" s="1">
        <v>1881</v>
      </c>
      <c r="AK1451" s="1" t="s">
        <v>46</v>
      </c>
      <c r="AL1451" s="1">
        <v>13</v>
      </c>
    </row>
    <row r="1452" spans="1:38" x14ac:dyDescent="0.2">
      <c r="A1452" s="2" t="str">
        <f>HYPERLINK("https://www.compass.com/listing/67-69-franklin-street-unit-2-3c-manhattan-ny-10013/263229917309824081/","67-69 Franklin St, Unit 2/3C")</f>
        <v>67-69 Franklin St, Unit 2/3C</v>
      </c>
      <c r="B1452" s="2" t="str">
        <f t="shared" si="261"/>
        <v>Cast Iron House</v>
      </c>
      <c r="C1452" s="1" t="s">
        <v>40</v>
      </c>
      <c r="D1452" s="1" t="s">
        <v>41</v>
      </c>
      <c r="E1452" s="3">
        <v>4300000</v>
      </c>
      <c r="F1452" s="1">
        <v>1504.02238544945</v>
      </c>
      <c r="G1452" s="1">
        <v>5</v>
      </c>
      <c r="H1452" s="1">
        <v>3</v>
      </c>
      <c r="I1452" s="1">
        <v>3</v>
      </c>
      <c r="J1452" s="1">
        <v>3</v>
      </c>
      <c r="K1452" s="1">
        <v>3</v>
      </c>
      <c r="M1452" s="4">
        <v>2859</v>
      </c>
      <c r="N1452" s="1">
        <v>2615</v>
      </c>
      <c r="O1452" s="1">
        <v>5902</v>
      </c>
      <c r="P1452" s="1">
        <v>3287</v>
      </c>
      <c r="Q1452" s="1" t="s">
        <v>42</v>
      </c>
      <c r="S1452" s="1" t="s">
        <v>42</v>
      </c>
      <c r="T1452" s="1" t="s">
        <v>170</v>
      </c>
      <c r="U1452" s="1">
        <v>391</v>
      </c>
      <c r="V1452" s="5">
        <v>43697</v>
      </c>
      <c r="W1452" s="5">
        <v>43225</v>
      </c>
      <c r="X1452" s="1">
        <v>4825000</v>
      </c>
      <c r="Y1452" s="1">
        <v>4525000</v>
      </c>
      <c r="Z1452" s="5">
        <v>43616</v>
      </c>
      <c r="AA1452" s="1">
        <v>4300000</v>
      </c>
      <c r="AB1452" s="1" t="s">
        <v>1140</v>
      </c>
      <c r="AC1452" s="5">
        <v>43643</v>
      </c>
      <c r="AF1452" s="1">
        <v>10013</v>
      </c>
      <c r="AI1452" s="1" t="s">
        <v>84</v>
      </c>
      <c r="AJ1452" s="1">
        <v>1881</v>
      </c>
      <c r="AK1452" s="1" t="s">
        <v>73</v>
      </c>
      <c r="AL1452" s="1">
        <v>13</v>
      </c>
    </row>
    <row r="1453" spans="1:38" x14ac:dyDescent="0.2">
      <c r="A1453" s="2" t="str">
        <f>HYPERLINK("https://www.compass.com/listing/10-madison-square-west-unit-4g-manhattan-ny-10010/29374718473793121/","10 Madison Sq W, Unit 4G")</f>
        <v>10 Madison Sq W, Unit 4G</v>
      </c>
      <c r="B1453" s="2" t="str">
        <f>HYPERLINK("https://www.compass.com/building/10-madison-square-west-manhattan-ny/294838725091521285/","10 Madison Square West")</f>
        <v>10 Madison Square West</v>
      </c>
      <c r="C1453" s="1" t="s">
        <v>81</v>
      </c>
      <c r="D1453" s="1" t="s">
        <v>41</v>
      </c>
      <c r="E1453" s="3">
        <v>5950000</v>
      </c>
      <c r="F1453" s="1">
        <v>2527.61257434154</v>
      </c>
      <c r="G1453" s="1">
        <v>4</v>
      </c>
      <c r="H1453" s="1">
        <v>3</v>
      </c>
      <c r="I1453" s="1">
        <v>4</v>
      </c>
      <c r="J1453" s="1">
        <v>3.5</v>
      </c>
      <c r="K1453" s="1">
        <v>3</v>
      </c>
      <c r="L1453" s="1">
        <v>1</v>
      </c>
      <c r="M1453" s="4">
        <v>2354</v>
      </c>
      <c r="N1453" s="1">
        <v>2957</v>
      </c>
      <c r="O1453" s="1">
        <v>7541</v>
      </c>
      <c r="P1453" s="1">
        <v>4584</v>
      </c>
      <c r="Q1453" s="1" t="s">
        <v>42</v>
      </c>
      <c r="S1453" s="1" t="s">
        <v>42</v>
      </c>
      <c r="T1453" s="1" t="s">
        <v>170</v>
      </c>
      <c r="U1453" s="1">
        <v>147</v>
      </c>
      <c r="V1453" s="5">
        <v>44180</v>
      </c>
      <c r="W1453" s="5">
        <v>42927</v>
      </c>
      <c r="X1453" s="1">
        <v>5999000</v>
      </c>
      <c r="Y1453" s="1">
        <v>5995000</v>
      </c>
      <c r="Z1453" s="5">
        <v>43074</v>
      </c>
      <c r="AA1453" s="1">
        <v>5950000</v>
      </c>
      <c r="AB1453" s="1" t="s">
        <v>1141</v>
      </c>
      <c r="AC1453" s="5">
        <v>43146</v>
      </c>
      <c r="AF1453" s="1">
        <v>10010</v>
      </c>
      <c r="AI1453" s="1" t="s">
        <v>256</v>
      </c>
      <c r="AJ1453" s="1">
        <v>1915</v>
      </c>
      <c r="AK1453" s="1" t="s">
        <v>1142</v>
      </c>
      <c r="AL1453" s="1">
        <v>125</v>
      </c>
    </row>
    <row r="1454" spans="1:38" x14ac:dyDescent="0.2">
      <c r="A1454" s="2" t="str">
        <f>HYPERLINK("https://www.compass.com/listing/15-west-61st-street-unit-26c-manhattan-ny-10023/408666596158881777/","15 W 61st St, Unit 26C")</f>
        <v>15 W 61st St, Unit 26C</v>
      </c>
      <c r="B1454" s="2" t="str">
        <f>HYPERLINK("https://www.compass.com/building/the-park-loggia-manhattan-ny/292861833130357557/","The Park Loggia")</f>
        <v>The Park Loggia</v>
      </c>
      <c r="C1454" s="1" t="s">
        <v>50</v>
      </c>
      <c r="D1454" s="1" t="s">
        <v>41</v>
      </c>
      <c r="E1454" s="3">
        <v>1900000</v>
      </c>
      <c r="F1454" s="1">
        <v>2272.7272727272698</v>
      </c>
      <c r="G1454" s="1">
        <v>3</v>
      </c>
      <c r="H1454" s="1">
        <v>1</v>
      </c>
      <c r="I1454" s="1">
        <v>1</v>
      </c>
      <c r="J1454" s="1">
        <v>1</v>
      </c>
      <c r="K1454" s="1">
        <v>1</v>
      </c>
      <c r="M1454" s="1">
        <v>836</v>
      </c>
      <c r="N1454" s="1">
        <v>860</v>
      </c>
      <c r="O1454" s="1">
        <v>1687</v>
      </c>
      <c r="P1454" s="1">
        <v>827</v>
      </c>
      <c r="Q1454" s="1" t="s">
        <v>42</v>
      </c>
      <c r="S1454" s="1" t="s">
        <v>42</v>
      </c>
      <c r="T1454" s="1" t="s">
        <v>170</v>
      </c>
      <c r="U1454" s="1">
        <v>98</v>
      </c>
      <c r="V1454" s="5">
        <v>44062</v>
      </c>
      <c r="W1454" s="5">
        <v>43811</v>
      </c>
      <c r="X1454" s="1">
        <v>2075000</v>
      </c>
      <c r="Y1454" s="1">
        <v>2075000</v>
      </c>
      <c r="Z1454" s="5">
        <v>43987</v>
      </c>
      <c r="AA1454" s="1">
        <v>1900000</v>
      </c>
      <c r="AB1454" s="1" t="s">
        <v>1143</v>
      </c>
      <c r="AC1454" s="5">
        <v>44061</v>
      </c>
      <c r="AF1454" s="1">
        <v>10023</v>
      </c>
      <c r="AI1454" s="1" t="s">
        <v>76</v>
      </c>
      <c r="AJ1454" s="1">
        <v>2019</v>
      </c>
      <c r="AK1454" s="1" t="s">
        <v>77</v>
      </c>
      <c r="AL1454" s="1">
        <v>172</v>
      </c>
    </row>
    <row r="1455" spans="1:38" x14ac:dyDescent="0.2">
      <c r="A1455" s="2" t="str">
        <f>HYPERLINK("https://www.compass.com/listing/221-west-77th-street-unit-3s-manhattan-ny-10024/29514357599666801/","221 W 77th St, Unit 3S")</f>
        <v>221 W 77th St, Unit 3S</v>
      </c>
      <c r="B1455" s="2" t="str">
        <f>HYPERLINK("https://www.compass.com/building/221-west-77th-street-manhattan-ny/292869344491294229/","221 West 77th Street")</f>
        <v>221 West 77th Street</v>
      </c>
      <c r="C1455" s="1" t="s">
        <v>50</v>
      </c>
      <c r="D1455" s="1" t="s">
        <v>41</v>
      </c>
      <c r="E1455" s="3">
        <v>5903381</v>
      </c>
      <c r="F1455" s="1">
        <v>2592.61352657004</v>
      </c>
      <c r="G1455" s="1">
        <v>5</v>
      </c>
      <c r="H1455" s="1">
        <v>3</v>
      </c>
      <c r="I1455" s="1">
        <v>4</v>
      </c>
      <c r="J1455" s="1">
        <v>0.5</v>
      </c>
      <c r="L1455" s="1">
        <v>1</v>
      </c>
      <c r="M1455" s="4">
        <v>2277</v>
      </c>
      <c r="N1455" s="1">
        <v>2276</v>
      </c>
      <c r="O1455" s="1">
        <v>5212</v>
      </c>
      <c r="P1455" s="1">
        <v>2936</v>
      </c>
      <c r="Q1455" s="1" t="s">
        <v>42</v>
      </c>
      <c r="S1455" s="1" t="s">
        <v>42</v>
      </c>
      <c r="T1455" s="1" t="s">
        <v>170</v>
      </c>
      <c r="V1455" s="5">
        <v>43657</v>
      </c>
      <c r="W1455" s="5">
        <v>42320</v>
      </c>
      <c r="X1455" s="1">
        <v>5850000</v>
      </c>
      <c r="Y1455" s="1">
        <v>5850000</v>
      </c>
      <c r="Z1455" s="5">
        <v>42320</v>
      </c>
      <c r="AA1455" s="1">
        <v>5903381</v>
      </c>
      <c r="AB1455" s="1" t="s">
        <v>1144</v>
      </c>
      <c r="AC1455" s="5">
        <v>42997</v>
      </c>
      <c r="AF1455" s="1">
        <v>10024</v>
      </c>
      <c r="AI1455" s="1" t="s">
        <v>281</v>
      </c>
      <c r="AJ1455" s="1">
        <v>2017</v>
      </c>
      <c r="AK1455" s="1" t="s">
        <v>77</v>
      </c>
      <c r="AL1455" s="1">
        <v>26</v>
      </c>
    </row>
    <row r="1456" spans="1:38" x14ac:dyDescent="0.2">
      <c r="A1456" s="2" t="str">
        <f>HYPERLINK("https://www.compass.com/listing/570-broome-street-unit-4a-manhattan-ny-10013/803357102869028681/","570 Broome St, Unit 4A")</f>
        <v>570 Broome St, Unit 4A</v>
      </c>
      <c r="B1456" s="2" t="str">
        <f>HYPERLINK("https://www.compass.com/building/570-broome-manhattan-ny/292818583757562981/","570 Broome")</f>
        <v>570 Broome</v>
      </c>
      <c r="C1456" s="1" t="s">
        <v>47</v>
      </c>
      <c r="D1456" s="1" t="s">
        <v>41</v>
      </c>
      <c r="E1456" s="3">
        <v>1950000</v>
      </c>
      <c r="F1456" s="1">
        <v>1713.53251318101</v>
      </c>
      <c r="G1456" s="1">
        <v>4</v>
      </c>
      <c r="H1456" s="1">
        <v>2</v>
      </c>
      <c r="I1456" s="1">
        <v>2</v>
      </c>
      <c r="J1456" s="1">
        <v>2</v>
      </c>
      <c r="K1456" s="1">
        <v>2</v>
      </c>
      <c r="M1456" s="4">
        <v>1138</v>
      </c>
      <c r="N1456" s="1">
        <v>1213</v>
      </c>
      <c r="O1456" s="1">
        <v>3080</v>
      </c>
      <c r="P1456" s="1">
        <v>1867</v>
      </c>
      <c r="Q1456" s="1" t="s">
        <v>42</v>
      </c>
      <c r="S1456" s="1" t="s">
        <v>42</v>
      </c>
      <c r="T1456" s="1" t="s">
        <v>170</v>
      </c>
      <c r="U1456" s="1">
        <v>254</v>
      </c>
      <c r="V1456" s="5">
        <v>43678</v>
      </c>
      <c r="W1456" s="5">
        <v>43290</v>
      </c>
      <c r="X1456" s="1">
        <v>1995000</v>
      </c>
      <c r="Y1456" s="1">
        <v>1995000</v>
      </c>
      <c r="Z1456" s="5">
        <v>43544</v>
      </c>
      <c r="AA1456" s="1">
        <v>1950000</v>
      </c>
      <c r="AB1456" s="1" t="s">
        <v>190</v>
      </c>
      <c r="AC1456" s="5">
        <v>43804</v>
      </c>
      <c r="AF1456" s="1">
        <v>10013</v>
      </c>
      <c r="AI1456" s="1" t="s">
        <v>256</v>
      </c>
      <c r="AJ1456" s="1">
        <v>2019</v>
      </c>
      <c r="AK1456" s="1" t="s">
        <v>77</v>
      </c>
      <c r="AL1456" s="1">
        <v>54</v>
      </c>
    </row>
    <row r="1457" spans="1:38" x14ac:dyDescent="0.2">
      <c r="A1457" s="2" t="str">
        <f>HYPERLINK("https://www.compass.com/listing/221-west-77th-street-unit-12e-manhattan-ny-10024/8743039254155441/","221 W 77th St, Unit 12E")</f>
        <v>221 W 77th St, Unit 12E</v>
      </c>
      <c r="B1457" s="2" t="str">
        <f>HYPERLINK("https://www.compass.com/building/221-west-77th-street-manhattan-ny/292869344491294229/","221 West 77th Street")</f>
        <v>221 West 77th Street</v>
      </c>
      <c r="C1457" s="1" t="s">
        <v>50</v>
      </c>
      <c r="D1457" s="1" t="s">
        <v>41</v>
      </c>
      <c r="E1457" s="3">
        <v>5498550</v>
      </c>
      <c r="F1457" s="1">
        <v>2660.1596516690802</v>
      </c>
      <c r="G1457" s="1">
        <v>5</v>
      </c>
      <c r="H1457" s="1">
        <v>3</v>
      </c>
      <c r="I1457" s="1">
        <v>4</v>
      </c>
      <c r="J1457" s="1">
        <v>0.5</v>
      </c>
      <c r="L1457" s="1">
        <v>1</v>
      </c>
      <c r="M1457" s="4">
        <v>2067</v>
      </c>
      <c r="N1457" s="1">
        <v>2066</v>
      </c>
      <c r="O1457" s="1">
        <v>4731</v>
      </c>
      <c r="P1457" s="1">
        <v>2665</v>
      </c>
      <c r="Q1457" s="1" t="s">
        <v>42</v>
      </c>
      <c r="S1457" s="1" t="s">
        <v>42</v>
      </c>
      <c r="T1457" s="1" t="s">
        <v>170</v>
      </c>
      <c r="V1457" s="5">
        <v>43661</v>
      </c>
      <c r="W1457" s="5">
        <v>42333</v>
      </c>
      <c r="X1457" s="1">
        <v>5400000</v>
      </c>
      <c r="Y1457" s="1">
        <v>5400000</v>
      </c>
      <c r="Z1457" s="5">
        <v>42333</v>
      </c>
      <c r="AA1457" s="1">
        <v>5498550</v>
      </c>
      <c r="AB1457" s="1" t="s">
        <v>1145</v>
      </c>
      <c r="AC1457" s="5">
        <v>42927</v>
      </c>
      <c r="AF1457" s="1">
        <v>10024</v>
      </c>
      <c r="AI1457" s="1" t="s">
        <v>281</v>
      </c>
      <c r="AJ1457" s="1">
        <v>2017</v>
      </c>
      <c r="AK1457" s="1" t="s">
        <v>77</v>
      </c>
      <c r="AL1457" s="1">
        <v>26</v>
      </c>
    </row>
    <row r="1458" spans="1:38" x14ac:dyDescent="0.2">
      <c r="A1458" s="2" t="str">
        <f>HYPERLINK("https://www.compass.com/listing/570-broome-street-unit-19a-manhattan-ny-10013/803318539054295345/","570 Broome St, Unit 19A")</f>
        <v>570 Broome St, Unit 19A</v>
      </c>
      <c r="B1458" s="2" t="str">
        <f>HYPERLINK("https://www.compass.com/building/570-broome-manhattan-ny/292818583757562981/","570 Broome")</f>
        <v>570 Broome</v>
      </c>
      <c r="C1458" s="1" t="s">
        <v>47</v>
      </c>
      <c r="D1458" s="1" t="s">
        <v>41</v>
      </c>
      <c r="E1458" s="3">
        <v>3227853</v>
      </c>
      <c r="F1458" s="1">
        <v>2586.4206730769201</v>
      </c>
      <c r="G1458" s="1">
        <v>4</v>
      </c>
      <c r="H1458" s="1">
        <v>2</v>
      </c>
      <c r="I1458" s="1">
        <v>3</v>
      </c>
      <c r="J1458" s="1">
        <v>2.5</v>
      </c>
      <c r="K1458" s="1">
        <v>2</v>
      </c>
      <c r="L1458" s="1">
        <v>1</v>
      </c>
      <c r="M1458" s="4">
        <v>1248</v>
      </c>
      <c r="N1458" s="1">
        <v>1326</v>
      </c>
      <c r="O1458" s="1">
        <v>3368</v>
      </c>
      <c r="P1458" s="1">
        <v>2042</v>
      </c>
      <c r="Q1458" s="1" t="s">
        <v>42</v>
      </c>
      <c r="S1458" s="1" t="s">
        <v>42</v>
      </c>
      <c r="T1458" s="1" t="s">
        <v>170</v>
      </c>
      <c r="V1458" s="5">
        <v>43678</v>
      </c>
      <c r="W1458" s="5">
        <v>43483</v>
      </c>
      <c r="X1458" s="1">
        <v>3345000</v>
      </c>
      <c r="Y1458" s="1">
        <v>3345000</v>
      </c>
      <c r="Z1458" s="5">
        <v>43483</v>
      </c>
      <c r="AA1458" s="1">
        <v>3227853</v>
      </c>
      <c r="AB1458" s="1" t="s">
        <v>197</v>
      </c>
      <c r="AC1458" s="5">
        <v>43817</v>
      </c>
      <c r="AF1458" s="1">
        <v>10013</v>
      </c>
      <c r="AI1458" s="1" t="s">
        <v>1146</v>
      </c>
      <c r="AJ1458" s="1">
        <v>2019</v>
      </c>
      <c r="AK1458" s="1" t="s">
        <v>77</v>
      </c>
      <c r="AL1458" s="1">
        <v>54</v>
      </c>
    </row>
    <row r="1459" spans="1:38" x14ac:dyDescent="0.2">
      <c r="A1459" s="2" t="str">
        <f>HYPERLINK("https://www.compass.com/listing/221-west-77th-street-unit-12e-manhattan-ny-10024/8743039254155457/","221 W 77th St, Unit 12E")</f>
        <v>221 W 77th St, Unit 12E</v>
      </c>
      <c r="B1459" s="2" t="str">
        <f t="shared" ref="B1459:B1460" si="262">HYPERLINK("https://www.compass.com/building/221-west-77th-street-manhattan-ny/292869344491294229/","221 West 77th Street")</f>
        <v>221 West 77th Street</v>
      </c>
      <c r="C1459" s="1" t="s">
        <v>50</v>
      </c>
      <c r="D1459" s="1" t="s">
        <v>41</v>
      </c>
      <c r="E1459" s="3">
        <v>5498550</v>
      </c>
      <c r="F1459" s="1">
        <v>2660.1596516690802</v>
      </c>
      <c r="G1459" s="1">
        <v>5</v>
      </c>
      <c r="H1459" s="1">
        <v>3</v>
      </c>
      <c r="I1459" s="1">
        <v>4</v>
      </c>
      <c r="J1459" s="1">
        <v>3.5</v>
      </c>
      <c r="M1459" s="4">
        <v>2067</v>
      </c>
      <c r="N1459" s="1">
        <v>2066</v>
      </c>
      <c r="O1459" s="1">
        <v>4731</v>
      </c>
      <c r="P1459" s="1">
        <v>2665</v>
      </c>
      <c r="Q1459" s="1" t="s">
        <v>42</v>
      </c>
      <c r="S1459" s="1" t="s">
        <v>42</v>
      </c>
      <c r="T1459" s="1" t="s">
        <v>170</v>
      </c>
      <c r="V1459" s="5">
        <v>43664</v>
      </c>
      <c r="W1459" s="5">
        <v>42333</v>
      </c>
      <c r="X1459" s="1">
        <v>5400000</v>
      </c>
      <c r="Y1459" s="1">
        <v>5400000</v>
      </c>
      <c r="Z1459" s="5">
        <v>42333</v>
      </c>
      <c r="AA1459" s="1">
        <v>5498550</v>
      </c>
      <c r="AB1459" s="1" t="s">
        <v>1145</v>
      </c>
      <c r="AC1459" s="5">
        <v>42927</v>
      </c>
      <c r="AF1459" s="1">
        <v>10024</v>
      </c>
      <c r="AI1459" s="1" t="s">
        <v>162</v>
      </c>
      <c r="AJ1459" s="1">
        <v>2017</v>
      </c>
      <c r="AK1459" s="1" t="s">
        <v>49</v>
      </c>
      <c r="AL1459" s="1">
        <v>26</v>
      </c>
    </row>
    <row r="1460" spans="1:38" x14ac:dyDescent="0.2">
      <c r="A1460" s="2" t="str">
        <f>HYPERLINK("https://www.compass.com/listing/221-west-77th-street-unit-17-manhattan-ny-10024/8743035185722849/","221 W 77th St, Unit 17")</f>
        <v>221 W 77th St, Unit 17</v>
      </c>
      <c r="B1460" s="2" t="str">
        <f t="shared" si="262"/>
        <v>221 West 77th Street</v>
      </c>
      <c r="C1460" s="1" t="s">
        <v>50</v>
      </c>
      <c r="D1460" s="1" t="s">
        <v>41</v>
      </c>
      <c r="E1460" s="3">
        <v>10500000</v>
      </c>
      <c r="F1460" s="1">
        <v>3561.7367706919899</v>
      </c>
      <c r="G1460" s="1">
        <v>6</v>
      </c>
      <c r="H1460" s="1">
        <v>4</v>
      </c>
      <c r="I1460" s="1">
        <v>5</v>
      </c>
      <c r="J1460" s="1">
        <v>0.5</v>
      </c>
      <c r="L1460" s="1">
        <v>1</v>
      </c>
      <c r="M1460" s="4">
        <v>2948</v>
      </c>
      <c r="N1460" s="1">
        <v>3041</v>
      </c>
      <c r="O1460" s="1">
        <v>6964</v>
      </c>
      <c r="P1460" s="1">
        <v>3923</v>
      </c>
      <c r="Q1460" s="1" t="s">
        <v>42</v>
      </c>
      <c r="S1460" s="1" t="s">
        <v>42</v>
      </c>
      <c r="T1460" s="1" t="s">
        <v>170</v>
      </c>
      <c r="V1460" s="5">
        <v>43657</v>
      </c>
      <c r="W1460" s="5">
        <v>42328</v>
      </c>
      <c r="X1460" s="1">
        <v>10500000</v>
      </c>
      <c r="Y1460" s="1">
        <v>10500000</v>
      </c>
      <c r="Z1460" s="5">
        <v>42328</v>
      </c>
      <c r="AA1460" s="1">
        <v>10500000</v>
      </c>
      <c r="AB1460" s="1" t="s">
        <v>181</v>
      </c>
      <c r="AC1460" s="5">
        <v>42993</v>
      </c>
      <c r="AF1460" s="1">
        <v>10024</v>
      </c>
      <c r="AI1460" s="1" t="s">
        <v>281</v>
      </c>
      <c r="AJ1460" s="1">
        <v>2017</v>
      </c>
      <c r="AK1460" s="1" t="s">
        <v>77</v>
      </c>
      <c r="AL1460" s="1">
        <v>26</v>
      </c>
    </row>
    <row r="1461" spans="1:38" x14ac:dyDescent="0.2">
      <c r="A1461" s="2" t="str">
        <f>HYPERLINK("https://www.compass.com/listing/570-broome-street-unit-pha-manhattan-ny-10013/803388195983139105/","570 Broome St, Unit PHA")</f>
        <v>570 Broome St, Unit PHA</v>
      </c>
      <c r="B1461" s="2" t="str">
        <f>HYPERLINK("https://www.compass.com/building/570-broome-manhattan-ny/292818583757562981/","570 Broome")</f>
        <v>570 Broome</v>
      </c>
      <c r="C1461" s="1" t="s">
        <v>47</v>
      </c>
      <c r="D1461" s="1" t="s">
        <v>41</v>
      </c>
      <c r="E1461" s="3">
        <v>5815000</v>
      </c>
      <c r="F1461" s="1">
        <v>2992.7946474523901</v>
      </c>
      <c r="G1461" s="1">
        <v>6</v>
      </c>
      <c r="H1461" s="1">
        <v>3</v>
      </c>
      <c r="I1461" s="1">
        <v>3</v>
      </c>
      <c r="J1461" s="1">
        <v>3</v>
      </c>
      <c r="K1461" s="1">
        <v>3</v>
      </c>
      <c r="M1461" s="4">
        <v>1943</v>
      </c>
      <c r="N1461" s="1">
        <v>2278</v>
      </c>
      <c r="O1461" s="1">
        <v>5784</v>
      </c>
      <c r="P1461" s="1">
        <v>3506</v>
      </c>
      <c r="Q1461" s="1" t="s">
        <v>42</v>
      </c>
      <c r="S1461" s="1" t="s">
        <v>42</v>
      </c>
      <c r="T1461" s="1" t="s">
        <v>170</v>
      </c>
      <c r="V1461" s="5">
        <v>43678</v>
      </c>
      <c r="W1461" s="5">
        <v>43364</v>
      </c>
      <c r="X1461" s="1">
        <v>6250000</v>
      </c>
      <c r="Y1461" s="1">
        <v>6250000</v>
      </c>
      <c r="Z1461" s="5">
        <v>43364</v>
      </c>
      <c r="AA1461" s="1">
        <v>5815000</v>
      </c>
      <c r="AB1461" s="1" t="s">
        <v>211</v>
      </c>
      <c r="AC1461" s="5">
        <v>43818</v>
      </c>
      <c r="AF1461" s="1">
        <v>10013</v>
      </c>
      <c r="AI1461" s="1" t="s">
        <v>256</v>
      </c>
      <c r="AJ1461" s="1">
        <v>2019</v>
      </c>
      <c r="AK1461" s="1" t="s">
        <v>77</v>
      </c>
      <c r="AL1461" s="1">
        <v>54</v>
      </c>
    </row>
    <row r="1462" spans="1:38" x14ac:dyDescent="0.2">
      <c r="A1462" s="2" t="str">
        <f>HYPERLINK("https://www.compass.com/listing/221-west-77th-street-unit-3s-manhattan-ny-10024/70926394586081617/","221 W 77th St, Unit 3S")</f>
        <v>221 W 77th St, Unit 3S</v>
      </c>
      <c r="B1462" s="2" t="str">
        <f t="shared" ref="B1462:B1463" si="263">HYPERLINK("https://www.compass.com/building/221-west-77th-street-manhattan-ny/292869344491294229/","221 West 77th Street")</f>
        <v>221 West 77th Street</v>
      </c>
      <c r="C1462" s="1" t="s">
        <v>50</v>
      </c>
      <c r="D1462" s="1" t="s">
        <v>41</v>
      </c>
      <c r="E1462" s="3">
        <v>5903381</v>
      </c>
      <c r="F1462" s="1">
        <v>2592.61352657004</v>
      </c>
      <c r="G1462" s="1">
        <v>5</v>
      </c>
      <c r="H1462" s="1">
        <v>3</v>
      </c>
      <c r="I1462" s="1">
        <v>4</v>
      </c>
      <c r="J1462" s="1">
        <v>3.5</v>
      </c>
      <c r="M1462" s="4">
        <v>2277</v>
      </c>
      <c r="N1462" s="1">
        <v>2276</v>
      </c>
      <c r="O1462" s="1">
        <v>5212</v>
      </c>
      <c r="P1462" s="1">
        <v>2936</v>
      </c>
      <c r="Q1462" s="1" t="s">
        <v>42</v>
      </c>
      <c r="S1462" s="1" t="s">
        <v>42</v>
      </c>
      <c r="T1462" s="1" t="s">
        <v>170</v>
      </c>
      <c r="V1462" s="5">
        <v>43650</v>
      </c>
      <c r="W1462" s="5">
        <v>42320</v>
      </c>
      <c r="X1462" s="1">
        <v>5850000</v>
      </c>
      <c r="Y1462" s="1">
        <v>5850000</v>
      </c>
      <c r="Z1462" s="5">
        <v>42320</v>
      </c>
      <c r="AA1462" s="1">
        <v>5903381</v>
      </c>
      <c r="AB1462" s="1" t="s">
        <v>1144</v>
      </c>
      <c r="AC1462" s="5">
        <v>42997</v>
      </c>
      <c r="AF1462" s="1">
        <v>10024</v>
      </c>
      <c r="AI1462" s="1" t="s">
        <v>53</v>
      </c>
      <c r="AJ1462" s="1">
        <v>2017</v>
      </c>
      <c r="AK1462" s="1" t="s">
        <v>49</v>
      </c>
      <c r="AL1462" s="1">
        <v>26</v>
      </c>
    </row>
    <row r="1463" spans="1:38" x14ac:dyDescent="0.2">
      <c r="A1463" s="2" t="str">
        <f>HYPERLINK("https://www.compass.com/listing/221-west-77th-street-unit-17-manhattan-ny-10024/8743035185722865/","221 W 77th St, Unit 17")</f>
        <v>221 W 77th St, Unit 17</v>
      </c>
      <c r="B1463" s="2" t="str">
        <f t="shared" si="263"/>
        <v>221 West 77th Street</v>
      </c>
      <c r="C1463" s="1" t="s">
        <v>50</v>
      </c>
      <c r="D1463" s="1" t="s">
        <v>41</v>
      </c>
      <c r="E1463" s="3">
        <v>10500000</v>
      </c>
      <c r="F1463" s="1">
        <v>3561.7367706919899</v>
      </c>
      <c r="G1463" s="1">
        <v>6</v>
      </c>
      <c r="H1463" s="1">
        <v>4</v>
      </c>
      <c r="I1463" s="1">
        <v>5</v>
      </c>
      <c r="J1463" s="1">
        <v>4.5</v>
      </c>
      <c r="M1463" s="4">
        <v>2948</v>
      </c>
      <c r="N1463" s="1">
        <v>3041</v>
      </c>
      <c r="O1463" s="1">
        <v>6964</v>
      </c>
      <c r="P1463" s="1">
        <v>3923</v>
      </c>
      <c r="Q1463" s="1" t="s">
        <v>42</v>
      </c>
      <c r="S1463" s="1" t="s">
        <v>42</v>
      </c>
      <c r="T1463" s="1" t="s">
        <v>170</v>
      </c>
      <c r="V1463" s="5">
        <v>43650</v>
      </c>
      <c r="W1463" s="5">
        <v>42328</v>
      </c>
      <c r="X1463" s="1">
        <v>10500000</v>
      </c>
      <c r="Y1463" s="1">
        <v>10500000</v>
      </c>
      <c r="Z1463" s="5">
        <v>42328</v>
      </c>
      <c r="AA1463" s="1">
        <v>10500000</v>
      </c>
      <c r="AB1463" s="1" t="s">
        <v>181</v>
      </c>
      <c r="AC1463" s="5">
        <v>42993</v>
      </c>
      <c r="AF1463" s="1">
        <v>10024</v>
      </c>
      <c r="AI1463" s="1" t="s">
        <v>1113</v>
      </c>
      <c r="AJ1463" s="1">
        <v>2017</v>
      </c>
      <c r="AK1463" s="1" t="s">
        <v>46</v>
      </c>
      <c r="AL1463" s="1">
        <v>26</v>
      </c>
    </row>
    <row r="1464" spans="1:38" x14ac:dyDescent="0.2">
      <c r="A1464" s="2" t="str">
        <f>HYPERLINK("https://www.compass.com/listing/67-69-franklin-street-unit-2c-manhattan-ny-10013/785348356603366849/","67-69 Franklin St, Unit 2C")</f>
        <v>67-69 Franklin St, Unit 2C</v>
      </c>
      <c r="B1464" s="2" t="str">
        <f>HYPERLINK("https://www.compass.com/building/cast-iron-house-manhattan-ny/567514773896133269/","Cast Iron House")</f>
        <v>Cast Iron House</v>
      </c>
      <c r="C1464" s="1" t="s">
        <v>40</v>
      </c>
      <c r="D1464" s="1" t="s">
        <v>41</v>
      </c>
      <c r="E1464" s="3">
        <v>4686700</v>
      </c>
      <c r="F1464" s="1">
        <v>1639.27946834557</v>
      </c>
      <c r="H1464" s="1">
        <v>3</v>
      </c>
      <c r="J1464" s="1">
        <v>3</v>
      </c>
      <c r="M1464" s="4">
        <v>2859</v>
      </c>
      <c r="N1464" s="1">
        <v>2604</v>
      </c>
      <c r="O1464" s="1">
        <v>6626</v>
      </c>
      <c r="P1464" s="1">
        <v>4022</v>
      </c>
      <c r="Q1464" s="1" t="s">
        <v>42</v>
      </c>
      <c r="S1464" s="1" t="s">
        <v>42</v>
      </c>
      <c r="T1464" s="1" t="s">
        <v>170</v>
      </c>
      <c r="AA1464" s="1">
        <v>4686700</v>
      </c>
      <c r="AB1464" s="1" t="s">
        <v>1147</v>
      </c>
      <c r="AC1464" s="5">
        <v>43089</v>
      </c>
      <c r="AF1464" s="1">
        <v>10013</v>
      </c>
      <c r="AI1464" s="1" t="s">
        <v>84</v>
      </c>
      <c r="AJ1464" s="1">
        <v>1881</v>
      </c>
      <c r="AK1464" s="1" t="s">
        <v>46</v>
      </c>
      <c r="AL1464" s="1">
        <v>13</v>
      </c>
    </row>
    <row r="1465" spans="1:38" x14ac:dyDescent="0.2">
      <c r="A1465" s="2" t="str">
        <f>HYPERLINK("https://www.compass.com/listing/570-broome-street-unit-20a-manhattan-ny-10013/803430635334954489/","570 Broome St, Unit 20A")</f>
        <v>570 Broome St, Unit 20A</v>
      </c>
      <c r="B1465" s="2" t="str">
        <f>HYPERLINK("https://www.compass.com/building/570-broome-manhattan-ny/292818583757562981/","570 Broome")</f>
        <v>570 Broome</v>
      </c>
      <c r="C1465" s="1" t="s">
        <v>47</v>
      </c>
      <c r="D1465" s="1" t="s">
        <v>41</v>
      </c>
      <c r="E1465" s="3">
        <v>3035000</v>
      </c>
      <c r="F1465" s="1">
        <v>2431.89102564102</v>
      </c>
      <c r="G1465" s="1">
        <v>4</v>
      </c>
      <c r="H1465" s="1">
        <v>2</v>
      </c>
      <c r="I1465" s="1">
        <v>3</v>
      </c>
      <c r="J1465" s="1">
        <v>2.5</v>
      </c>
      <c r="K1465" s="1">
        <v>2</v>
      </c>
      <c r="L1465" s="1">
        <v>1</v>
      </c>
      <c r="M1465" s="4">
        <v>1248</v>
      </c>
      <c r="N1465" s="1">
        <v>1327</v>
      </c>
      <c r="O1465" s="1">
        <v>3369</v>
      </c>
      <c r="P1465" s="1">
        <v>2042</v>
      </c>
      <c r="Q1465" s="1" t="s">
        <v>42</v>
      </c>
      <c r="S1465" s="1" t="s">
        <v>42</v>
      </c>
      <c r="T1465" s="1" t="s">
        <v>170</v>
      </c>
      <c r="V1465" s="5">
        <v>43678</v>
      </c>
      <c r="W1465" s="5">
        <v>43403</v>
      </c>
      <c r="X1465" s="1">
        <v>3385000</v>
      </c>
      <c r="Y1465" s="1">
        <v>3385000</v>
      </c>
      <c r="Z1465" s="5">
        <v>43403</v>
      </c>
      <c r="AA1465" s="1">
        <v>3035000</v>
      </c>
      <c r="AB1465" s="1" t="s">
        <v>208</v>
      </c>
      <c r="AC1465" s="5">
        <v>43795</v>
      </c>
      <c r="AF1465" s="1">
        <v>10013</v>
      </c>
      <c r="AI1465" s="1" t="s">
        <v>256</v>
      </c>
      <c r="AJ1465" s="1">
        <v>2019</v>
      </c>
      <c r="AK1465" s="1" t="s">
        <v>77</v>
      </c>
      <c r="AL1465" s="1">
        <v>54</v>
      </c>
    </row>
    <row r="1466" spans="1:38" x14ac:dyDescent="0.2">
      <c r="A1466" s="2" t="str">
        <f>HYPERLINK("https://www.compass.com/listing/412-greenwich-street-unit-2f-manhattan-ny-10013/187368214542443537/","412 Greenwich St, Unit 2F")</f>
        <v>412 Greenwich St, Unit 2F</v>
      </c>
      <c r="B1466" s="2" t="str">
        <f>HYPERLINK("https://www.compass.com/building/412-greenwich-st-manhattan-ny-10013/307448573918203765/","412 Greenwich St")</f>
        <v>412 Greenwich St</v>
      </c>
      <c r="C1466" s="1" t="s">
        <v>40</v>
      </c>
      <c r="D1466" s="1" t="s">
        <v>41</v>
      </c>
      <c r="E1466" s="3">
        <v>5350000</v>
      </c>
      <c r="F1466" s="1">
        <v>2220.8385222083798</v>
      </c>
      <c r="M1466" s="4">
        <v>2409</v>
      </c>
      <c r="Q1466" s="1" t="s">
        <v>42</v>
      </c>
      <c r="S1466" s="1" t="s">
        <v>42</v>
      </c>
      <c r="T1466" s="1" t="s">
        <v>170</v>
      </c>
      <c r="AA1466" s="1">
        <v>5350000</v>
      </c>
      <c r="AB1466" s="1" t="s">
        <v>1148</v>
      </c>
      <c r="AC1466" s="5">
        <v>43496</v>
      </c>
      <c r="AF1466" s="1">
        <v>10013</v>
      </c>
    </row>
    <row r="1467" spans="1:38" x14ac:dyDescent="0.2">
      <c r="A1467" s="2" t="str">
        <f>HYPERLINK("https://www.compass.com/listing/570-broome-street-unit-12a-manhattan-ny-10013/803304830743171097/","570 Broome St, Unit 12A")</f>
        <v>570 Broome St, Unit 12A</v>
      </c>
      <c r="B1467" s="2" t="str">
        <f>HYPERLINK("https://www.compass.com/building/570-broome-manhattan-ny/292818583757562981/","570 Broome")</f>
        <v>570 Broome</v>
      </c>
      <c r="C1467" s="1" t="s">
        <v>47</v>
      </c>
      <c r="D1467" s="1" t="s">
        <v>41</v>
      </c>
      <c r="E1467" s="3">
        <v>1690284</v>
      </c>
      <c r="F1467" s="1">
        <v>2107.58650872817</v>
      </c>
      <c r="G1467" s="1">
        <v>3</v>
      </c>
      <c r="H1467" s="1">
        <v>1</v>
      </c>
      <c r="I1467" s="1">
        <v>1</v>
      </c>
      <c r="J1467" s="1">
        <v>1</v>
      </c>
      <c r="K1467" s="1">
        <v>1</v>
      </c>
      <c r="M1467" s="1">
        <v>802</v>
      </c>
      <c r="N1467" s="1">
        <v>858</v>
      </c>
      <c r="O1467" s="1">
        <v>2178</v>
      </c>
      <c r="P1467" s="1">
        <v>1320</v>
      </c>
      <c r="Q1467" s="1" t="s">
        <v>42</v>
      </c>
      <c r="S1467" s="1" t="s">
        <v>42</v>
      </c>
      <c r="T1467" s="1" t="s">
        <v>170</v>
      </c>
      <c r="U1467" s="1">
        <v>143</v>
      </c>
      <c r="V1467" s="5">
        <v>43678</v>
      </c>
      <c r="W1467" s="5">
        <v>43447</v>
      </c>
      <c r="X1467" s="1">
        <v>1850000</v>
      </c>
      <c r="Y1467" s="1">
        <v>1850000</v>
      </c>
      <c r="Z1467" s="5">
        <v>43591</v>
      </c>
      <c r="AA1467" s="1">
        <v>1690284.38</v>
      </c>
      <c r="AB1467" s="1" t="s">
        <v>218</v>
      </c>
      <c r="AC1467" s="5">
        <v>43837</v>
      </c>
      <c r="AF1467" s="1">
        <v>10013</v>
      </c>
      <c r="AI1467" s="1" t="s">
        <v>256</v>
      </c>
      <c r="AJ1467" s="1">
        <v>2019</v>
      </c>
      <c r="AK1467" s="1" t="s">
        <v>77</v>
      </c>
      <c r="AL1467" s="1">
        <v>54</v>
      </c>
    </row>
    <row r="1468" spans="1:38" x14ac:dyDescent="0.2">
      <c r="A1468" s="2" t="str">
        <f>HYPERLINK("https://www.compass.com/listing/67-69-franklin-street-unit-2d-manhattan-ny-10013/293466224577224337/","67-69 Franklin St, Unit 2D")</f>
        <v>67-69 Franklin St, Unit 2D</v>
      </c>
      <c r="B1468" s="2" t="str">
        <f>HYPERLINK("https://www.compass.com/building/cast-iron-house-manhattan-ny/567514773896133269/","Cast Iron House")</f>
        <v>Cast Iron House</v>
      </c>
      <c r="C1468" s="1" t="s">
        <v>40</v>
      </c>
      <c r="D1468" s="1" t="s">
        <v>41</v>
      </c>
      <c r="E1468" s="3">
        <v>5575000</v>
      </c>
      <c r="F1468" s="1">
        <v>1477.99575821845</v>
      </c>
      <c r="G1468" s="1">
        <v>7</v>
      </c>
      <c r="H1468" s="1">
        <v>4</v>
      </c>
      <c r="I1468" s="1">
        <v>3</v>
      </c>
      <c r="J1468" s="1">
        <v>3</v>
      </c>
      <c r="K1468" s="1">
        <v>3</v>
      </c>
      <c r="M1468" s="4">
        <v>3772</v>
      </c>
      <c r="N1468" s="1">
        <v>3302</v>
      </c>
      <c r="O1468" s="1">
        <v>7259</v>
      </c>
      <c r="P1468" s="1">
        <v>3957</v>
      </c>
      <c r="Q1468" s="1" t="s">
        <v>42</v>
      </c>
      <c r="S1468" s="1" t="s">
        <v>42</v>
      </c>
      <c r="T1468" s="1" t="s">
        <v>170</v>
      </c>
      <c r="U1468" s="1">
        <v>1134</v>
      </c>
      <c r="V1468" s="5">
        <v>43657</v>
      </c>
      <c r="W1468" s="5">
        <v>42506</v>
      </c>
      <c r="X1468" s="1">
        <v>5995000</v>
      </c>
      <c r="Y1468" s="1">
        <v>5995000</v>
      </c>
      <c r="AA1468" s="1">
        <v>5575000</v>
      </c>
      <c r="AB1468" s="1" t="s">
        <v>1136</v>
      </c>
      <c r="AC1468" s="5">
        <v>43640</v>
      </c>
      <c r="AF1468" s="1">
        <v>10013</v>
      </c>
      <c r="AI1468" s="1" t="s">
        <v>138</v>
      </c>
      <c r="AJ1468" s="1">
        <v>1881</v>
      </c>
      <c r="AK1468" s="1" t="s">
        <v>73</v>
      </c>
      <c r="AL1468" s="1">
        <v>13</v>
      </c>
    </row>
    <row r="1469" spans="1:38" x14ac:dyDescent="0.2">
      <c r="A1469" s="2" t="str">
        <f>HYPERLINK("https://www.compass.com/listing/15-west-61st-street-unit-19d-manhattan-ny-10023/337474965657489697/","15 W 61st St, Unit 19D")</f>
        <v>15 W 61st St, Unit 19D</v>
      </c>
      <c r="B1469" s="2" t="str">
        <f>HYPERLINK("https://www.compass.com/building/the-park-loggia-manhattan-ny/292861833130357557/","The Park Loggia")</f>
        <v>The Park Loggia</v>
      </c>
      <c r="C1469" s="1" t="s">
        <v>50</v>
      </c>
      <c r="D1469" s="1" t="s">
        <v>41</v>
      </c>
      <c r="E1469" s="3">
        <v>3275000</v>
      </c>
      <c r="F1469" s="1">
        <v>2444.0298507462599</v>
      </c>
      <c r="G1469" s="1">
        <v>4</v>
      </c>
      <c r="H1469" s="1">
        <v>2</v>
      </c>
      <c r="I1469" s="1">
        <v>2</v>
      </c>
      <c r="J1469" s="1">
        <v>2</v>
      </c>
      <c r="K1469" s="1">
        <v>2</v>
      </c>
      <c r="M1469" s="4">
        <v>1340</v>
      </c>
      <c r="N1469" s="1">
        <v>1415</v>
      </c>
      <c r="O1469" s="1">
        <v>2776</v>
      </c>
      <c r="P1469" s="1">
        <v>1361</v>
      </c>
      <c r="Q1469" s="1" t="s">
        <v>42</v>
      </c>
      <c r="S1469" s="1" t="s">
        <v>42</v>
      </c>
      <c r="T1469" s="1" t="s">
        <v>170</v>
      </c>
      <c r="U1469" s="1">
        <v>296</v>
      </c>
      <c r="V1469" s="5">
        <v>44205</v>
      </c>
      <c r="W1469" s="5">
        <v>43717</v>
      </c>
      <c r="X1469" s="1">
        <v>3525000</v>
      </c>
      <c r="Y1469" s="1">
        <v>3525000</v>
      </c>
      <c r="AA1469" s="1">
        <v>3275000</v>
      </c>
      <c r="AB1469" s="1" t="s">
        <v>1149</v>
      </c>
      <c r="AC1469" s="5">
        <v>44319</v>
      </c>
      <c r="AF1469" s="1">
        <v>10023</v>
      </c>
      <c r="AI1469" s="1" t="s">
        <v>102</v>
      </c>
      <c r="AJ1469" s="1">
        <v>2019</v>
      </c>
      <c r="AK1469" s="1" t="s">
        <v>77</v>
      </c>
      <c r="AL1469" s="1">
        <v>172</v>
      </c>
    </row>
    <row r="1470" spans="1:38" x14ac:dyDescent="0.2">
      <c r="A1470" s="2" t="str">
        <f>HYPERLINK("https://www.compass.com/listing/49-51-chambers-street-unit-7a-manhattan-ny-10007/783734789377808633/","49-51 Chambers St, Unit 7A")</f>
        <v>49-51 Chambers St, Unit 7A</v>
      </c>
      <c r="B1470" s="2" t="str">
        <f>HYPERLINK("https://www.compass.com/building/49-51-chambers-st-manhattan-ny-10007/441163040348878029/","49-51 Chambers St")</f>
        <v>49-51 Chambers St</v>
      </c>
      <c r="C1470" s="1" t="s">
        <v>956</v>
      </c>
      <c r="D1470" s="1" t="s">
        <v>41</v>
      </c>
      <c r="E1470" s="3">
        <v>3200000</v>
      </c>
      <c r="F1470" s="1">
        <v>1754.3859649122801</v>
      </c>
      <c r="H1470" s="1">
        <v>2</v>
      </c>
      <c r="J1470" s="1">
        <v>2</v>
      </c>
      <c r="K1470" s="1">
        <v>2</v>
      </c>
      <c r="M1470" s="4">
        <v>1824</v>
      </c>
      <c r="N1470" s="1">
        <v>1307</v>
      </c>
      <c r="O1470" s="1">
        <v>4192</v>
      </c>
      <c r="P1470" s="1">
        <v>2885</v>
      </c>
      <c r="Q1470" s="1" t="s">
        <v>42</v>
      </c>
      <c r="S1470" s="1" t="s">
        <v>42</v>
      </c>
      <c r="T1470" s="1" t="s">
        <v>170</v>
      </c>
      <c r="AA1470" s="1">
        <v>3200000</v>
      </c>
      <c r="AB1470" s="1" t="s">
        <v>1150</v>
      </c>
      <c r="AC1470" s="5">
        <v>43587</v>
      </c>
      <c r="AF1470" s="1">
        <v>10007</v>
      </c>
    </row>
    <row r="1471" spans="1:38" x14ac:dyDescent="0.2">
      <c r="A1471" s="2" t="str">
        <f>HYPERLINK("https://www.compass.com/listing/15-west-61st-street-unit-11d-manhattan-ny-10023/620293733961037137/","15 W 61st St, Unit 11D")</f>
        <v>15 W 61st St, Unit 11D</v>
      </c>
      <c r="B1471" s="2" t="str">
        <f t="shared" ref="B1471:B1512" si="264">HYPERLINK("https://www.compass.com/building/the-park-loggia-manhattan-ny/292861833130357557/","The Park Loggia")</f>
        <v>The Park Loggia</v>
      </c>
      <c r="C1471" s="1" t="s">
        <v>50</v>
      </c>
      <c r="D1471" s="1" t="s">
        <v>41</v>
      </c>
      <c r="E1471" s="3">
        <v>1500000</v>
      </c>
      <c r="F1471" s="1">
        <v>2245.5089820359199</v>
      </c>
      <c r="G1471" s="1">
        <v>3</v>
      </c>
      <c r="H1471" s="1">
        <v>1</v>
      </c>
      <c r="I1471" s="1">
        <v>1</v>
      </c>
      <c r="J1471" s="1">
        <v>1</v>
      </c>
      <c r="K1471" s="1">
        <v>1</v>
      </c>
      <c r="M1471" s="1">
        <v>668</v>
      </c>
      <c r="N1471" s="1">
        <v>679</v>
      </c>
      <c r="O1471" s="1">
        <v>1362</v>
      </c>
      <c r="P1471" s="1">
        <v>683</v>
      </c>
      <c r="Q1471" s="1" t="s">
        <v>42</v>
      </c>
      <c r="S1471" s="1" t="s">
        <v>42</v>
      </c>
      <c r="T1471" s="1" t="s">
        <v>170</v>
      </c>
      <c r="U1471" s="1">
        <v>224</v>
      </c>
      <c r="V1471" s="5">
        <v>44365</v>
      </c>
      <c r="W1471" s="5">
        <v>44107</v>
      </c>
      <c r="X1471" s="1">
        <v>1555000</v>
      </c>
      <c r="Y1471" s="1">
        <v>1555000</v>
      </c>
      <c r="Z1471" s="5">
        <v>44331</v>
      </c>
      <c r="AA1471" s="1">
        <v>1500000</v>
      </c>
      <c r="AB1471" s="1" t="s">
        <v>1151</v>
      </c>
      <c r="AC1471" s="5">
        <v>44364</v>
      </c>
      <c r="AF1471" s="1">
        <v>10023</v>
      </c>
      <c r="AI1471" s="1" t="s">
        <v>76</v>
      </c>
      <c r="AJ1471" s="1">
        <v>2019</v>
      </c>
      <c r="AK1471" s="1" t="s">
        <v>77</v>
      </c>
      <c r="AL1471" s="1">
        <v>172</v>
      </c>
    </row>
    <row r="1472" spans="1:38" x14ac:dyDescent="0.2">
      <c r="A1472" s="2" t="str">
        <f>HYPERLINK("https://www.compass.com/listing/15-west-61st-street-unit-16b-manhattan-ny-10023/620320900157712761/","15 W 61st St, Unit 16B")</f>
        <v>15 W 61st St, Unit 16B</v>
      </c>
      <c r="B1472" s="2" t="str">
        <f t="shared" si="264"/>
        <v>The Park Loggia</v>
      </c>
      <c r="C1472" s="1" t="s">
        <v>50</v>
      </c>
      <c r="D1472" s="1" t="s">
        <v>41</v>
      </c>
      <c r="E1472" s="3">
        <v>2020000</v>
      </c>
      <c r="F1472" s="1">
        <v>2560.20278833967</v>
      </c>
      <c r="G1472" s="1">
        <v>3</v>
      </c>
      <c r="H1472" s="1">
        <v>1</v>
      </c>
      <c r="I1472" s="1">
        <v>1</v>
      </c>
      <c r="J1472" s="1">
        <v>1</v>
      </c>
      <c r="K1472" s="1">
        <v>1</v>
      </c>
      <c r="M1472" s="1">
        <v>789</v>
      </c>
      <c r="N1472" s="1">
        <v>841</v>
      </c>
      <c r="O1472" s="1">
        <v>1687</v>
      </c>
      <c r="P1472" s="1">
        <v>846</v>
      </c>
      <c r="Q1472" s="1" t="s">
        <v>42</v>
      </c>
      <c r="S1472" s="1" t="s">
        <v>42</v>
      </c>
      <c r="T1472" s="1" t="s">
        <v>170</v>
      </c>
      <c r="V1472" s="5">
        <v>44296</v>
      </c>
      <c r="W1472" s="5">
        <v>44107</v>
      </c>
      <c r="X1472" s="1">
        <v>2195000</v>
      </c>
      <c r="Y1472" s="1">
        <v>2195000</v>
      </c>
      <c r="Z1472" s="5">
        <v>44107</v>
      </c>
      <c r="AA1472" s="1">
        <v>2020000</v>
      </c>
      <c r="AB1472" s="1" t="s">
        <v>1152</v>
      </c>
      <c r="AC1472" s="5">
        <v>44295</v>
      </c>
      <c r="AF1472" s="1">
        <v>10023</v>
      </c>
      <c r="AI1472" s="1" t="s">
        <v>102</v>
      </c>
      <c r="AJ1472" s="1">
        <v>2019</v>
      </c>
      <c r="AK1472" s="1" t="s">
        <v>77</v>
      </c>
      <c r="AL1472" s="1">
        <v>172</v>
      </c>
    </row>
    <row r="1473" spans="1:38" x14ac:dyDescent="0.2">
      <c r="A1473" s="2" t="str">
        <f>HYPERLINK("https://www.compass.com/listing/15-west-61st-street-unit-27c-manhattan-ny-10023/252534491535379713/","15 W 61st St, Unit 27C")</f>
        <v>15 W 61st St, Unit 27C</v>
      </c>
      <c r="B1473" s="2" t="str">
        <f t="shared" si="264"/>
        <v>The Park Loggia</v>
      </c>
      <c r="C1473" s="1" t="s">
        <v>50</v>
      </c>
      <c r="D1473" s="1" t="s">
        <v>41</v>
      </c>
      <c r="E1473" s="3">
        <v>2062900</v>
      </c>
      <c r="F1473" s="1">
        <v>2467.5837320574101</v>
      </c>
      <c r="G1473" s="1">
        <v>3</v>
      </c>
      <c r="H1473" s="1">
        <v>1</v>
      </c>
      <c r="I1473" s="1">
        <v>1</v>
      </c>
      <c r="J1473" s="1">
        <v>1</v>
      </c>
      <c r="K1473" s="1">
        <v>1</v>
      </c>
      <c r="M1473" s="1">
        <v>836</v>
      </c>
      <c r="N1473" s="1">
        <v>836</v>
      </c>
      <c r="O1473" s="1">
        <v>1663</v>
      </c>
      <c r="P1473" s="1">
        <v>827</v>
      </c>
      <c r="Q1473" s="1" t="s">
        <v>42</v>
      </c>
      <c r="S1473" s="1" t="s">
        <v>42</v>
      </c>
      <c r="T1473" s="1" t="s">
        <v>170</v>
      </c>
      <c r="U1473" s="1">
        <v>61</v>
      </c>
      <c r="V1473" s="5">
        <v>44253</v>
      </c>
      <c r="W1473" s="5">
        <v>43597</v>
      </c>
      <c r="X1473" s="1">
        <v>2105000</v>
      </c>
      <c r="AB1473" s="1" t="s">
        <v>181</v>
      </c>
      <c r="AF1473" s="1">
        <v>10023</v>
      </c>
      <c r="AI1473" s="1" t="s">
        <v>76</v>
      </c>
      <c r="AJ1473" s="1">
        <v>2019</v>
      </c>
      <c r="AK1473" s="1" t="s">
        <v>77</v>
      </c>
      <c r="AL1473" s="1">
        <v>172</v>
      </c>
    </row>
    <row r="1474" spans="1:38" x14ac:dyDescent="0.2">
      <c r="A1474" s="2" t="str">
        <f>HYPERLINK("https://www.compass.com/listing/15-west-61st-street-unit-9g-manhattan-ny-10023/252541091549549809/","15 W 61st St, Unit 9G")</f>
        <v>15 W 61st St, Unit 9G</v>
      </c>
      <c r="B1474" s="2" t="str">
        <f t="shared" si="264"/>
        <v>The Park Loggia</v>
      </c>
      <c r="C1474" s="1" t="s">
        <v>50</v>
      </c>
      <c r="D1474" s="1" t="s">
        <v>41</v>
      </c>
      <c r="E1474" s="3">
        <v>1510000</v>
      </c>
      <c r="F1474" s="1">
        <v>2312.4042879019898</v>
      </c>
      <c r="G1474" s="1">
        <v>3</v>
      </c>
      <c r="H1474" s="1">
        <v>1</v>
      </c>
      <c r="I1474" s="1">
        <v>1</v>
      </c>
      <c r="J1474" s="1">
        <v>1</v>
      </c>
      <c r="K1474" s="1">
        <v>1</v>
      </c>
      <c r="M1474" s="1">
        <v>653</v>
      </c>
      <c r="N1474" s="1">
        <v>653</v>
      </c>
      <c r="O1474" s="1">
        <v>1299</v>
      </c>
      <c r="P1474" s="1">
        <v>646</v>
      </c>
      <c r="Q1474" s="1" t="s">
        <v>42</v>
      </c>
      <c r="S1474" s="1" t="s">
        <v>42</v>
      </c>
      <c r="T1474" s="1" t="s">
        <v>170</v>
      </c>
      <c r="U1474" s="1">
        <v>61</v>
      </c>
      <c r="V1474" s="5">
        <v>44119</v>
      </c>
      <c r="W1474" s="5">
        <v>43597</v>
      </c>
      <c r="X1474" s="1">
        <v>1595000</v>
      </c>
      <c r="Y1474" s="1">
        <v>1595000</v>
      </c>
      <c r="AA1474" s="1">
        <v>1510000</v>
      </c>
      <c r="AB1474" s="1" t="s">
        <v>1153</v>
      </c>
      <c r="AC1474" s="5">
        <v>44118</v>
      </c>
      <c r="AF1474" s="1">
        <v>10023</v>
      </c>
      <c r="AI1474" s="1" t="s">
        <v>76</v>
      </c>
      <c r="AJ1474" s="1">
        <v>2019</v>
      </c>
      <c r="AK1474" s="1" t="s">
        <v>77</v>
      </c>
      <c r="AL1474" s="1">
        <v>172</v>
      </c>
    </row>
    <row r="1475" spans="1:38" x14ac:dyDescent="0.2">
      <c r="A1475" s="2" t="str">
        <f>HYPERLINK("https://www.compass.com/listing/15-west-61st-street-unit-10g-manhattan-ny-10023/294847087719993729/","15 W 61st St, Unit 10G")</f>
        <v>15 W 61st St, Unit 10G</v>
      </c>
      <c r="B1475" s="2" t="str">
        <f t="shared" si="264"/>
        <v>The Park Loggia</v>
      </c>
      <c r="C1475" s="1" t="s">
        <v>50</v>
      </c>
      <c r="D1475" s="1" t="s">
        <v>41</v>
      </c>
      <c r="E1475" s="3">
        <v>1628030</v>
      </c>
      <c r="F1475" s="1">
        <v>2493.1540735068902</v>
      </c>
      <c r="G1475" s="1">
        <v>3.5</v>
      </c>
      <c r="H1475" s="1">
        <v>1</v>
      </c>
      <c r="I1475" s="1">
        <v>1</v>
      </c>
      <c r="J1475" s="1">
        <v>1</v>
      </c>
      <c r="K1475" s="1">
        <v>1</v>
      </c>
      <c r="M1475" s="1">
        <v>653</v>
      </c>
      <c r="N1475" s="1">
        <v>672</v>
      </c>
      <c r="O1475" s="1">
        <v>1318</v>
      </c>
      <c r="P1475" s="1">
        <v>646</v>
      </c>
      <c r="Q1475" s="1" t="s">
        <v>42</v>
      </c>
      <c r="S1475" s="1" t="s">
        <v>42</v>
      </c>
      <c r="T1475" s="1" t="s">
        <v>170</v>
      </c>
      <c r="U1475" s="1">
        <v>59</v>
      </c>
      <c r="V1475" s="5">
        <v>43911</v>
      </c>
      <c r="W1475" s="5">
        <v>43658</v>
      </c>
      <c r="X1475" s="1">
        <v>1615000</v>
      </c>
      <c r="AB1475" s="1" t="s">
        <v>181</v>
      </c>
      <c r="AF1475" s="1">
        <v>10023</v>
      </c>
      <c r="AI1475" s="1" t="s">
        <v>76</v>
      </c>
      <c r="AJ1475" s="1">
        <v>2019</v>
      </c>
      <c r="AK1475" s="1" t="s">
        <v>77</v>
      </c>
      <c r="AL1475" s="1">
        <v>172</v>
      </c>
    </row>
    <row r="1476" spans="1:38" x14ac:dyDescent="0.2">
      <c r="A1476" s="2" t="str">
        <f>HYPERLINK("https://www.compass.com/listing/15-west-61st-street-unit-5h-manhattan-ny-10023/348215779205079521/","15 W 61st St, Unit 5H")</f>
        <v>15 W 61st St, Unit 5H</v>
      </c>
      <c r="B1476" s="2" t="str">
        <f t="shared" si="264"/>
        <v>The Park Loggia</v>
      </c>
      <c r="C1476" s="1" t="s">
        <v>50</v>
      </c>
      <c r="D1476" s="1" t="s">
        <v>41</v>
      </c>
      <c r="E1476" s="3">
        <v>1735000</v>
      </c>
      <c r="F1476" s="1">
        <v>2304.1168658698498</v>
      </c>
      <c r="G1476" s="1">
        <v>3</v>
      </c>
      <c r="H1476" s="1">
        <v>1</v>
      </c>
      <c r="I1476" s="1">
        <v>1</v>
      </c>
      <c r="J1476" s="1">
        <v>1</v>
      </c>
      <c r="K1476" s="1">
        <v>1</v>
      </c>
      <c r="M1476" s="1">
        <v>753</v>
      </c>
      <c r="N1476" s="1">
        <v>774</v>
      </c>
      <c r="O1476" s="1">
        <v>1519</v>
      </c>
      <c r="P1476" s="1">
        <v>745</v>
      </c>
      <c r="Q1476" s="1" t="s">
        <v>42</v>
      </c>
      <c r="S1476" s="1" t="s">
        <v>42</v>
      </c>
      <c r="T1476" s="1" t="s">
        <v>170</v>
      </c>
      <c r="U1476" s="1">
        <v>174</v>
      </c>
      <c r="V1476" s="5">
        <v>44072</v>
      </c>
      <c r="W1476" s="5">
        <v>43717</v>
      </c>
      <c r="X1476" s="1">
        <v>1735000</v>
      </c>
      <c r="Y1476" s="1">
        <v>1735000</v>
      </c>
      <c r="Z1476" s="5">
        <v>43936</v>
      </c>
      <c r="AA1476" s="1">
        <v>1735000</v>
      </c>
      <c r="AB1476" s="1" t="s">
        <v>1154</v>
      </c>
      <c r="AC1476" s="5">
        <v>43973</v>
      </c>
      <c r="AF1476" s="1">
        <v>10023</v>
      </c>
      <c r="AI1476" s="1" t="s">
        <v>76</v>
      </c>
      <c r="AJ1476" s="1">
        <v>2019</v>
      </c>
      <c r="AK1476" s="1" t="s">
        <v>77</v>
      </c>
      <c r="AL1476" s="1">
        <v>172</v>
      </c>
    </row>
    <row r="1477" spans="1:38" x14ac:dyDescent="0.2">
      <c r="A1477" s="2" t="str">
        <f>HYPERLINK("https://www.compass.com/listing/15-west-61st-street-unit-8d-manhattan-ny-10023/348215779874428865/","15 W 61st St, Unit 8D")</f>
        <v>15 W 61st St, Unit 8D</v>
      </c>
      <c r="B1477" s="2" t="str">
        <f t="shared" si="264"/>
        <v>The Park Loggia</v>
      </c>
      <c r="C1477" s="1" t="s">
        <v>50</v>
      </c>
      <c r="D1477" s="1" t="s">
        <v>41</v>
      </c>
      <c r="E1477" s="3">
        <v>1390000</v>
      </c>
      <c r="F1477" s="1">
        <v>2080.83832335329</v>
      </c>
      <c r="G1477" s="1">
        <v>3</v>
      </c>
      <c r="H1477" s="1">
        <v>1</v>
      </c>
      <c r="I1477" s="1">
        <v>1</v>
      </c>
      <c r="J1477" s="1">
        <v>1</v>
      </c>
      <c r="K1477" s="1">
        <v>1</v>
      </c>
      <c r="M1477" s="1">
        <v>668</v>
      </c>
      <c r="N1477" s="1">
        <v>687</v>
      </c>
      <c r="O1477" s="1">
        <v>1348</v>
      </c>
      <c r="P1477" s="1">
        <v>661</v>
      </c>
      <c r="Q1477" s="1" t="s">
        <v>42</v>
      </c>
      <c r="S1477" s="1" t="s">
        <v>42</v>
      </c>
      <c r="T1477" s="1" t="s">
        <v>170</v>
      </c>
      <c r="V1477" s="5">
        <v>44421</v>
      </c>
      <c r="W1477" s="5">
        <v>43717</v>
      </c>
      <c r="X1477" s="1">
        <v>1495000</v>
      </c>
      <c r="Y1477" s="1">
        <v>1495000</v>
      </c>
      <c r="Z1477" s="5">
        <v>43717</v>
      </c>
      <c r="AA1477" s="1">
        <v>1390000</v>
      </c>
      <c r="AB1477" s="1" t="s">
        <v>1155</v>
      </c>
      <c r="AC1477" s="5">
        <v>44340</v>
      </c>
      <c r="AF1477" s="1">
        <v>10023</v>
      </c>
      <c r="AI1477" s="1" t="s">
        <v>76</v>
      </c>
      <c r="AJ1477" s="1">
        <v>2019</v>
      </c>
      <c r="AK1477" s="1" t="s">
        <v>77</v>
      </c>
      <c r="AL1477" s="1">
        <v>172</v>
      </c>
    </row>
    <row r="1478" spans="1:38" x14ac:dyDescent="0.2">
      <c r="A1478" s="2" t="str">
        <f>HYPERLINK("https://www.compass.com/listing/15-west-61st-street-unit-14c-manhattan-ny-10023/348215780212078081/","15 W 61st St, Unit 14C")</f>
        <v>15 W 61st St, Unit 14C</v>
      </c>
      <c r="B1478" s="2" t="str">
        <f t="shared" si="264"/>
        <v>The Park Loggia</v>
      </c>
      <c r="C1478" s="1" t="s">
        <v>50</v>
      </c>
      <c r="D1478" s="1" t="s">
        <v>41</v>
      </c>
      <c r="E1478" s="3">
        <v>1856725</v>
      </c>
      <c r="F1478" s="1">
        <v>2478.9385847796998</v>
      </c>
      <c r="G1478" s="1">
        <v>3</v>
      </c>
      <c r="H1478" s="1">
        <v>1</v>
      </c>
      <c r="I1478" s="1">
        <v>1</v>
      </c>
      <c r="J1478" s="1">
        <v>1</v>
      </c>
      <c r="K1478" s="1">
        <v>1</v>
      </c>
      <c r="M1478" s="1">
        <v>749</v>
      </c>
      <c r="N1478" s="1">
        <v>761</v>
      </c>
      <c r="O1478" s="1">
        <v>1527</v>
      </c>
      <c r="P1478" s="1">
        <v>766</v>
      </c>
      <c r="Q1478" s="1" t="s">
        <v>42</v>
      </c>
      <c r="S1478" s="1" t="s">
        <v>42</v>
      </c>
      <c r="T1478" s="1" t="s">
        <v>170</v>
      </c>
      <c r="U1478" s="1">
        <v>193</v>
      </c>
      <c r="V1478" s="5">
        <v>44237</v>
      </c>
      <c r="W1478" s="5">
        <v>43717</v>
      </c>
      <c r="X1478" s="1">
        <v>1885000</v>
      </c>
      <c r="Y1478" s="1">
        <v>1885000</v>
      </c>
      <c r="Z1478" s="5">
        <v>43922</v>
      </c>
      <c r="AA1478" s="1">
        <v>1856725</v>
      </c>
      <c r="AB1478" s="1" t="s">
        <v>1156</v>
      </c>
      <c r="AC1478" s="5">
        <v>44235</v>
      </c>
      <c r="AF1478" s="1">
        <v>10023</v>
      </c>
      <c r="AI1478" s="1" t="s">
        <v>76</v>
      </c>
      <c r="AJ1478" s="1">
        <v>2019</v>
      </c>
      <c r="AK1478" s="1" t="s">
        <v>77</v>
      </c>
      <c r="AL1478" s="1">
        <v>172</v>
      </c>
    </row>
    <row r="1479" spans="1:38" x14ac:dyDescent="0.2">
      <c r="A1479" s="2" t="str">
        <f>HYPERLINK("https://www.compass.com/listing/15-west-61st-street-unit-12c-manhattan-ny-10023/494823272025054193/","15 W 61st St, Unit 12C")</f>
        <v>15 W 61st St, Unit 12C</v>
      </c>
      <c r="B1479" s="2" t="str">
        <f t="shared" si="264"/>
        <v>The Park Loggia</v>
      </c>
      <c r="C1479" s="1" t="s">
        <v>50</v>
      </c>
      <c r="D1479" s="1" t="s">
        <v>41</v>
      </c>
      <c r="E1479" s="3">
        <v>1780000</v>
      </c>
      <c r="F1479" s="1">
        <v>2376.50200267022</v>
      </c>
      <c r="G1479" s="1">
        <v>3</v>
      </c>
      <c r="H1479" s="1">
        <v>1</v>
      </c>
      <c r="I1479" s="1">
        <v>1</v>
      </c>
      <c r="J1479" s="1">
        <v>1</v>
      </c>
      <c r="K1479" s="1">
        <v>1</v>
      </c>
      <c r="M1479" s="1">
        <v>749</v>
      </c>
      <c r="N1479" s="1">
        <v>761</v>
      </c>
      <c r="O1479" s="1">
        <v>1527</v>
      </c>
      <c r="P1479" s="1">
        <v>766</v>
      </c>
      <c r="Q1479" s="1" t="s">
        <v>42</v>
      </c>
      <c r="S1479" s="1" t="s">
        <v>42</v>
      </c>
      <c r="T1479" s="1" t="s">
        <v>170</v>
      </c>
      <c r="U1479" s="1">
        <v>66</v>
      </c>
      <c r="V1479" s="5">
        <v>44131</v>
      </c>
      <c r="W1479" s="5">
        <v>43934</v>
      </c>
      <c r="X1479" s="1">
        <v>1865000</v>
      </c>
      <c r="Y1479" s="1">
        <v>1865000</v>
      </c>
      <c r="Z1479" s="5">
        <v>44071</v>
      </c>
      <c r="AA1479" s="1">
        <v>1780000</v>
      </c>
      <c r="AB1479" s="1" t="s">
        <v>1157</v>
      </c>
      <c r="AC1479" s="5">
        <v>44130</v>
      </c>
      <c r="AF1479" s="1">
        <v>10023</v>
      </c>
      <c r="AI1479" s="1" t="s">
        <v>76</v>
      </c>
      <c r="AJ1479" s="1">
        <v>2019</v>
      </c>
      <c r="AK1479" s="1" t="s">
        <v>77</v>
      </c>
      <c r="AL1479" s="1">
        <v>172</v>
      </c>
    </row>
    <row r="1480" spans="1:38" x14ac:dyDescent="0.2">
      <c r="A1480" s="2" t="str">
        <f>HYPERLINK("https://www.compass.com/listing/15-west-61st-street-unit-11g-manhattan-ny-10023/494853760921943673/","15 W 61st St, Unit 11G")</f>
        <v>15 W 61st St, Unit 11G</v>
      </c>
      <c r="B1480" s="2" t="str">
        <f t="shared" si="264"/>
        <v>The Park Loggia</v>
      </c>
      <c r="C1480" s="1" t="s">
        <v>50</v>
      </c>
      <c r="D1480" s="1" t="s">
        <v>41</v>
      </c>
      <c r="E1480" s="3">
        <v>1570000</v>
      </c>
      <c r="F1480" s="1">
        <v>2404.28790199081</v>
      </c>
      <c r="G1480" s="1">
        <v>3</v>
      </c>
      <c r="H1480" s="1">
        <v>1</v>
      </c>
      <c r="I1480" s="1">
        <v>1</v>
      </c>
      <c r="J1480" s="1">
        <v>1</v>
      </c>
      <c r="K1480" s="1">
        <v>1</v>
      </c>
      <c r="M1480" s="1">
        <v>653</v>
      </c>
      <c r="N1480" s="1">
        <v>664</v>
      </c>
      <c r="O1480" s="1">
        <v>1331</v>
      </c>
      <c r="P1480" s="1">
        <v>667</v>
      </c>
      <c r="Q1480" s="1" t="s">
        <v>42</v>
      </c>
      <c r="S1480" s="1" t="s">
        <v>42</v>
      </c>
      <c r="T1480" s="1" t="s">
        <v>170</v>
      </c>
      <c r="U1480" s="1">
        <v>3</v>
      </c>
      <c r="V1480" s="5">
        <v>44153</v>
      </c>
      <c r="W1480" s="5">
        <v>43934</v>
      </c>
      <c r="X1480" s="1">
        <v>1635000</v>
      </c>
      <c r="Y1480" s="1">
        <v>1635000</v>
      </c>
      <c r="Z1480" s="5">
        <v>44008</v>
      </c>
      <c r="AA1480" s="1">
        <v>1570000</v>
      </c>
      <c r="AB1480" s="1" t="s">
        <v>1158</v>
      </c>
      <c r="AC1480" s="5">
        <v>44152</v>
      </c>
      <c r="AF1480" s="1">
        <v>10023</v>
      </c>
      <c r="AI1480" s="1" t="s">
        <v>76</v>
      </c>
      <c r="AJ1480" s="1">
        <v>2019</v>
      </c>
      <c r="AK1480" s="1" t="s">
        <v>77</v>
      </c>
      <c r="AL1480" s="1">
        <v>172</v>
      </c>
    </row>
    <row r="1481" spans="1:38" x14ac:dyDescent="0.2">
      <c r="A1481" s="2" t="str">
        <f>HYPERLINK("https://www.compass.com/listing/15-west-61st-street-unit-22a-manhattan-ny-10023/252535250050092465/","15 W 61st St, Unit 22A")</f>
        <v>15 W 61st St, Unit 22A</v>
      </c>
      <c r="B1481" s="2" t="str">
        <f t="shared" si="264"/>
        <v>The Park Loggia</v>
      </c>
      <c r="C1481" s="1" t="s">
        <v>50</v>
      </c>
      <c r="D1481" s="1" t="s">
        <v>41</v>
      </c>
      <c r="E1481" s="3">
        <v>6405206</v>
      </c>
      <c r="F1481" s="1">
        <v>3343.0095250521899</v>
      </c>
      <c r="G1481" s="1">
        <v>5</v>
      </c>
      <c r="H1481" s="1">
        <v>3</v>
      </c>
      <c r="I1481" s="1">
        <v>3</v>
      </c>
      <c r="J1481" s="1">
        <v>2.5</v>
      </c>
      <c r="K1481" s="1">
        <v>2</v>
      </c>
      <c r="L1481" s="1">
        <v>1</v>
      </c>
      <c r="M1481" s="4">
        <v>1916</v>
      </c>
      <c r="N1481" s="1">
        <v>2038</v>
      </c>
      <c r="O1481" s="1">
        <v>4087</v>
      </c>
      <c r="P1481" s="1">
        <v>2049</v>
      </c>
      <c r="Q1481" s="1" t="s">
        <v>42</v>
      </c>
      <c r="S1481" s="1" t="s">
        <v>42</v>
      </c>
      <c r="T1481" s="1" t="s">
        <v>170</v>
      </c>
      <c r="U1481" s="1">
        <v>61</v>
      </c>
      <c r="V1481" s="5">
        <v>44128</v>
      </c>
      <c r="W1481" s="5">
        <v>43597</v>
      </c>
      <c r="X1481" s="1">
        <v>6825000</v>
      </c>
      <c r="Y1481" s="1">
        <v>6825000</v>
      </c>
      <c r="AA1481" s="1">
        <v>6405206.25</v>
      </c>
      <c r="AB1481" s="1" t="s">
        <v>1159</v>
      </c>
      <c r="AC1481" s="5">
        <v>44127</v>
      </c>
      <c r="AF1481" s="1">
        <v>10023</v>
      </c>
      <c r="AI1481" s="1" t="s">
        <v>102</v>
      </c>
      <c r="AJ1481" s="1">
        <v>2019</v>
      </c>
      <c r="AK1481" s="1" t="s">
        <v>77</v>
      </c>
      <c r="AL1481" s="1">
        <v>172</v>
      </c>
    </row>
    <row r="1482" spans="1:38" x14ac:dyDescent="0.2">
      <c r="A1482" s="2" t="str">
        <f>HYPERLINK("https://www.compass.com/listing/15-west-61st-street-unit-3e-manhattan-ny-10023/620293784097543433/","15 W 61st St, Unit 3E")</f>
        <v>15 W 61st St, Unit 3E</v>
      </c>
      <c r="B1482" s="2" t="str">
        <f t="shared" si="264"/>
        <v>The Park Loggia</v>
      </c>
      <c r="C1482" s="1" t="s">
        <v>50</v>
      </c>
      <c r="D1482" s="1" t="s">
        <v>41</v>
      </c>
      <c r="E1482" s="3">
        <v>1560000</v>
      </c>
      <c r="F1482" s="1">
        <v>1994.88491048593</v>
      </c>
      <c r="G1482" s="1">
        <v>3</v>
      </c>
      <c r="H1482" s="1">
        <v>1</v>
      </c>
      <c r="I1482" s="1">
        <v>1</v>
      </c>
      <c r="J1482" s="1">
        <v>1</v>
      </c>
      <c r="K1482" s="1">
        <v>1</v>
      </c>
      <c r="M1482" s="1">
        <v>782</v>
      </c>
      <c r="N1482" s="1">
        <v>870</v>
      </c>
      <c r="O1482" s="1">
        <v>1745</v>
      </c>
      <c r="P1482" s="1">
        <v>875</v>
      </c>
      <c r="Q1482" s="1" t="s">
        <v>42</v>
      </c>
      <c r="S1482" s="1" t="s">
        <v>42</v>
      </c>
      <c r="T1482" s="1" t="s">
        <v>170</v>
      </c>
      <c r="U1482" s="1">
        <v>24</v>
      </c>
      <c r="V1482" s="5">
        <v>44141</v>
      </c>
      <c r="W1482" s="5">
        <v>44107</v>
      </c>
      <c r="X1482" s="1">
        <v>1640000</v>
      </c>
      <c r="Y1482" s="1">
        <v>1640000</v>
      </c>
      <c r="Z1482" s="5">
        <v>44132</v>
      </c>
      <c r="AA1482" s="1">
        <v>1560000</v>
      </c>
      <c r="AB1482" s="1" t="s">
        <v>1160</v>
      </c>
      <c r="AC1482" s="5">
        <v>44140</v>
      </c>
      <c r="AF1482" s="1">
        <v>10023</v>
      </c>
      <c r="AI1482" s="1" t="s">
        <v>103</v>
      </c>
      <c r="AJ1482" s="1">
        <v>2019</v>
      </c>
      <c r="AK1482" s="1" t="s">
        <v>77</v>
      </c>
      <c r="AL1482" s="1">
        <v>172</v>
      </c>
    </row>
    <row r="1483" spans="1:38" x14ac:dyDescent="0.2">
      <c r="A1483" s="2" t="str">
        <f>HYPERLINK("https://www.compass.com/listing/15-west-61st-street-unit-6n-manhattan-ny-10023/451873102918539121/","15 W 61st St, Unit 6N")</f>
        <v>15 W 61st St, Unit 6N</v>
      </c>
      <c r="B1483" s="2" t="str">
        <f t="shared" si="264"/>
        <v>The Park Loggia</v>
      </c>
      <c r="C1483" s="1" t="s">
        <v>50</v>
      </c>
      <c r="D1483" s="1" t="s">
        <v>41</v>
      </c>
      <c r="E1483" s="3">
        <v>2260000</v>
      </c>
      <c r="F1483" s="1">
        <v>2246.5208747514898</v>
      </c>
      <c r="G1483" s="1">
        <v>3</v>
      </c>
      <c r="H1483" s="1">
        <v>1</v>
      </c>
      <c r="I1483" s="1">
        <v>2</v>
      </c>
      <c r="J1483" s="1">
        <v>1.5</v>
      </c>
      <c r="K1483" s="1">
        <v>1</v>
      </c>
      <c r="L1483" s="1">
        <v>1</v>
      </c>
      <c r="M1483" s="4">
        <v>1006</v>
      </c>
      <c r="N1483" s="1">
        <v>1034</v>
      </c>
      <c r="O1483" s="1">
        <v>2029</v>
      </c>
      <c r="P1483" s="1">
        <v>995</v>
      </c>
      <c r="Q1483" s="1" t="s">
        <v>42</v>
      </c>
      <c r="S1483" s="1" t="s">
        <v>42</v>
      </c>
      <c r="T1483" s="1" t="s">
        <v>170</v>
      </c>
      <c r="U1483" s="1">
        <v>266</v>
      </c>
      <c r="V1483" s="5">
        <v>43911</v>
      </c>
      <c r="W1483" s="5">
        <v>43605</v>
      </c>
      <c r="X1483" s="1">
        <v>2260000</v>
      </c>
      <c r="Y1483" s="1">
        <v>2260000</v>
      </c>
      <c r="AA1483" s="1">
        <v>2260000</v>
      </c>
      <c r="AB1483" s="1" t="s">
        <v>1161</v>
      </c>
      <c r="AC1483" s="5">
        <v>43871</v>
      </c>
      <c r="AF1483" s="1">
        <v>10023</v>
      </c>
      <c r="AI1483" s="1" t="s">
        <v>76</v>
      </c>
      <c r="AJ1483" s="1">
        <v>2019</v>
      </c>
      <c r="AK1483" s="1" t="s">
        <v>77</v>
      </c>
      <c r="AL1483" s="1">
        <v>172</v>
      </c>
    </row>
    <row r="1484" spans="1:38" x14ac:dyDescent="0.2">
      <c r="A1484" s="2" t="str">
        <f>HYPERLINK("https://www.compass.com/listing/15-west-61st-street-unit-6h-manhattan-ny-10023/477455362535581617/","15 W 61st St, Unit 6H")</f>
        <v>15 W 61st St, Unit 6H</v>
      </c>
      <c r="B1484" s="2" t="str">
        <f t="shared" si="264"/>
        <v>The Park Loggia</v>
      </c>
      <c r="C1484" s="1" t="s">
        <v>50</v>
      </c>
      <c r="D1484" s="1" t="s">
        <v>41</v>
      </c>
      <c r="E1484" s="3">
        <v>1769479</v>
      </c>
      <c r="F1484" s="1">
        <v>2242.6853612167301</v>
      </c>
      <c r="G1484" s="1">
        <v>3</v>
      </c>
      <c r="H1484" s="1">
        <v>1</v>
      </c>
      <c r="I1484" s="1">
        <v>2</v>
      </c>
      <c r="J1484" s="1">
        <v>1.5</v>
      </c>
      <c r="K1484" s="1">
        <v>1</v>
      </c>
      <c r="L1484" s="1">
        <v>1</v>
      </c>
      <c r="M1484" s="1">
        <v>789</v>
      </c>
      <c r="N1484" s="1">
        <v>811</v>
      </c>
      <c r="O1484" s="1">
        <v>1591</v>
      </c>
      <c r="P1484" s="1">
        <v>780</v>
      </c>
      <c r="Q1484" s="1" t="s">
        <v>42</v>
      </c>
      <c r="S1484" s="1" t="s">
        <v>42</v>
      </c>
      <c r="T1484" s="1" t="s">
        <v>170</v>
      </c>
      <c r="U1484" s="1">
        <v>303</v>
      </c>
      <c r="V1484" s="5">
        <v>43911</v>
      </c>
      <c r="W1484" s="5">
        <v>43599</v>
      </c>
      <c r="X1484" s="1">
        <v>1755000</v>
      </c>
      <c r="Y1484" s="1">
        <v>1755000</v>
      </c>
      <c r="AA1484" s="1">
        <v>1769478.75</v>
      </c>
      <c r="AB1484" s="1" t="s">
        <v>1162</v>
      </c>
      <c r="AC1484" s="5">
        <v>43902</v>
      </c>
      <c r="AF1484" s="1">
        <v>10023</v>
      </c>
      <c r="AI1484" s="1" t="s">
        <v>76</v>
      </c>
      <c r="AJ1484" s="1">
        <v>2019</v>
      </c>
      <c r="AK1484" s="1" t="s">
        <v>77</v>
      </c>
      <c r="AL1484" s="1">
        <v>172</v>
      </c>
    </row>
    <row r="1485" spans="1:38" x14ac:dyDescent="0.2">
      <c r="A1485" s="2" t="str">
        <f>HYPERLINK("https://www.compass.com/listing/15-west-61st-street-unit-5g-manhattan-ny-10023/481700974248020625/","15 W 61st St, Unit 5G")</f>
        <v>15 W 61st St, Unit 5G</v>
      </c>
      <c r="B1485" s="2" t="str">
        <f t="shared" si="264"/>
        <v>The Park Loggia</v>
      </c>
      <c r="C1485" s="1" t="s">
        <v>50</v>
      </c>
      <c r="D1485" s="1" t="s">
        <v>41</v>
      </c>
      <c r="E1485" s="3">
        <v>1731330</v>
      </c>
      <c r="F1485" s="1">
        <v>2194.3352091254701</v>
      </c>
      <c r="G1485" s="1">
        <v>3.5</v>
      </c>
      <c r="H1485" s="1">
        <v>1</v>
      </c>
      <c r="I1485" s="1">
        <v>2</v>
      </c>
      <c r="J1485" s="1">
        <v>1.5</v>
      </c>
      <c r="K1485" s="1">
        <v>1</v>
      </c>
      <c r="L1485" s="1">
        <v>1</v>
      </c>
      <c r="M1485" s="1">
        <v>789</v>
      </c>
      <c r="N1485" s="1">
        <v>811</v>
      </c>
      <c r="O1485" s="1">
        <v>1591</v>
      </c>
      <c r="P1485" s="1">
        <v>780</v>
      </c>
      <c r="Q1485" s="1" t="s">
        <v>42</v>
      </c>
      <c r="S1485" s="1" t="s">
        <v>42</v>
      </c>
      <c r="T1485" s="1" t="s">
        <v>170</v>
      </c>
      <c r="U1485" s="1">
        <v>149</v>
      </c>
      <c r="V1485" s="5">
        <v>44091</v>
      </c>
      <c r="W1485" s="5">
        <v>43761</v>
      </c>
      <c r="X1485" s="1">
        <v>1700300</v>
      </c>
      <c r="Y1485" s="1">
        <v>1735000</v>
      </c>
      <c r="Z1485" s="5">
        <v>43916</v>
      </c>
      <c r="AA1485" s="1">
        <v>1731330.48</v>
      </c>
      <c r="AB1485" s="1" t="s">
        <v>1163</v>
      </c>
      <c r="AC1485" s="5">
        <v>44090</v>
      </c>
      <c r="AF1485" s="1">
        <v>10023</v>
      </c>
      <c r="AI1485" s="1" t="s">
        <v>76</v>
      </c>
      <c r="AJ1485" s="1">
        <v>2019</v>
      </c>
      <c r="AK1485" s="1" t="s">
        <v>77</v>
      </c>
      <c r="AL1485" s="1">
        <v>172</v>
      </c>
    </row>
    <row r="1486" spans="1:38" x14ac:dyDescent="0.2">
      <c r="A1486" s="2" t="str">
        <f>HYPERLINK("https://www.compass.com/listing/15-west-61st-street-unit-6o-manhattan-ny-10023/481700992854312209/","15 W 61st St, Unit 6O")</f>
        <v>15 W 61st St, Unit 6O</v>
      </c>
      <c r="B1486" s="2" t="str">
        <f t="shared" si="264"/>
        <v>The Park Loggia</v>
      </c>
      <c r="C1486" s="1" t="s">
        <v>50</v>
      </c>
      <c r="D1486" s="1" t="s">
        <v>41</v>
      </c>
      <c r="E1486" s="3">
        <v>2260000</v>
      </c>
      <c r="F1486" s="1">
        <v>2308.4780388151098</v>
      </c>
      <c r="G1486" s="1">
        <v>3.5</v>
      </c>
      <c r="H1486" s="1">
        <v>1</v>
      </c>
      <c r="I1486" s="1">
        <v>2</v>
      </c>
      <c r="J1486" s="1">
        <v>1.5</v>
      </c>
      <c r="K1486" s="1">
        <v>1</v>
      </c>
      <c r="L1486" s="1">
        <v>1</v>
      </c>
      <c r="M1486" s="1">
        <v>979</v>
      </c>
      <c r="N1486" s="1">
        <v>1007</v>
      </c>
      <c r="O1486" s="1">
        <v>1975</v>
      </c>
      <c r="P1486" s="1">
        <v>968</v>
      </c>
      <c r="Q1486" s="1" t="s">
        <v>42</v>
      </c>
      <c r="S1486" s="1" t="s">
        <v>42</v>
      </c>
      <c r="T1486" s="1" t="s">
        <v>170</v>
      </c>
      <c r="U1486" s="1">
        <v>101</v>
      </c>
      <c r="V1486" s="5">
        <v>43928</v>
      </c>
      <c r="W1486" s="5">
        <v>43808</v>
      </c>
      <c r="X1486" s="1">
        <v>2260000</v>
      </c>
      <c r="Y1486" s="1">
        <v>2260000</v>
      </c>
      <c r="Z1486" s="5">
        <v>43916</v>
      </c>
      <c r="AA1486" s="1">
        <v>2260000</v>
      </c>
      <c r="AB1486" s="1" t="s">
        <v>1164</v>
      </c>
      <c r="AC1486" s="5">
        <v>43924</v>
      </c>
      <c r="AF1486" s="1">
        <v>10023</v>
      </c>
      <c r="AI1486" s="1" t="s">
        <v>76</v>
      </c>
      <c r="AJ1486" s="1">
        <v>2019</v>
      </c>
      <c r="AK1486" s="1" t="s">
        <v>77</v>
      </c>
      <c r="AL1486" s="1">
        <v>172</v>
      </c>
    </row>
    <row r="1487" spans="1:38" x14ac:dyDescent="0.2">
      <c r="A1487" s="2" t="str">
        <f>HYPERLINK("https://www.compass.com/listing/15-west-61st-street-unit-18c-manhattan-ny-10023/710871109925789121/","15 W 61st St, Unit 18C")</f>
        <v>15 W 61st St, Unit 18C</v>
      </c>
      <c r="B1487" s="2" t="str">
        <f t="shared" si="264"/>
        <v>The Park Loggia</v>
      </c>
      <c r="C1487" s="1" t="s">
        <v>50</v>
      </c>
      <c r="D1487" s="1" t="s">
        <v>41</v>
      </c>
      <c r="E1487" s="3">
        <v>1770000</v>
      </c>
      <c r="F1487" s="1">
        <v>2137.68115942029</v>
      </c>
      <c r="G1487" s="1">
        <v>3</v>
      </c>
      <c r="H1487" s="1">
        <v>1</v>
      </c>
      <c r="I1487" s="1">
        <v>1</v>
      </c>
      <c r="J1487" s="1">
        <v>1</v>
      </c>
      <c r="K1487" s="1">
        <v>1</v>
      </c>
      <c r="M1487" s="1">
        <v>828</v>
      </c>
      <c r="N1487" s="1">
        <v>842</v>
      </c>
      <c r="O1487" s="1">
        <v>1688</v>
      </c>
      <c r="P1487" s="1">
        <v>846</v>
      </c>
      <c r="Q1487" s="1" t="s">
        <v>42</v>
      </c>
      <c r="S1487" s="1" t="s">
        <v>42</v>
      </c>
      <c r="T1487" s="1" t="s">
        <v>170</v>
      </c>
      <c r="V1487" s="5">
        <v>44308</v>
      </c>
      <c r="W1487" s="5">
        <v>44232</v>
      </c>
      <c r="X1487" s="1">
        <v>1770000</v>
      </c>
      <c r="Y1487" s="1">
        <v>1820000</v>
      </c>
      <c r="Z1487" s="5">
        <v>44233</v>
      </c>
      <c r="AA1487" s="1">
        <v>1770000</v>
      </c>
      <c r="AB1487" s="1" t="s">
        <v>1165</v>
      </c>
      <c r="AC1487" s="5">
        <v>44306</v>
      </c>
      <c r="AF1487" s="1">
        <v>10023</v>
      </c>
      <c r="AI1487" s="1" t="s">
        <v>76</v>
      </c>
      <c r="AJ1487" s="1">
        <v>2019</v>
      </c>
      <c r="AK1487" s="1" t="s">
        <v>77</v>
      </c>
      <c r="AL1487" s="1">
        <v>172</v>
      </c>
    </row>
    <row r="1488" spans="1:38" x14ac:dyDescent="0.2">
      <c r="A1488" s="2" t="str">
        <f>HYPERLINK("https://www.compass.com/listing/15-west-61st-street-unit-6i-manhattan-ny-10023/256439320209001265/","15 W 61st St, Unit 6I")</f>
        <v>15 W 61st St, Unit 6I</v>
      </c>
      <c r="B1488" s="2" t="str">
        <f t="shared" si="264"/>
        <v>The Park Loggia</v>
      </c>
      <c r="C1488" s="1" t="s">
        <v>50</v>
      </c>
      <c r="D1488" s="1" t="s">
        <v>41</v>
      </c>
      <c r="E1488" s="3">
        <v>1756661</v>
      </c>
      <c r="F1488" s="1">
        <v>2332.8827888446199</v>
      </c>
      <c r="G1488" s="1">
        <v>3</v>
      </c>
      <c r="H1488" s="1">
        <v>1</v>
      </c>
      <c r="I1488" s="1">
        <v>1</v>
      </c>
      <c r="J1488" s="1">
        <v>1</v>
      </c>
      <c r="K1488" s="1">
        <v>1</v>
      </c>
      <c r="M1488" s="1">
        <v>753</v>
      </c>
      <c r="N1488" s="1">
        <v>774</v>
      </c>
      <c r="O1488" s="1">
        <v>1519</v>
      </c>
      <c r="P1488" s="1">
        <v>745</v>
      </c>
      <c r="Q1488" s="1" t="s">
        <v>42</v>
      </c>
      <c r="S1488" s="1" t="s">
        <v>42</v>
      </c>
      <c r="T1488" s="1" t="s">
        <v>170</v>
      </c>
      <c r="U1488" s="1">
        <v>107</v>
      </c>
      <c r="V1488" s="5">
        <v>43925</v>
      </c>
      <c r="W1488" s="5">
        <v>43598</v>
      </c>
      <c r="X1488" s="1">
        <v>1755000</v>
      </c>
      <c r="AB1488" s="1" t="s">
        <v>181</v>
      </c>
      <c r="AF1488" s="1">
        <v>10023</v>
      </c>
      <c r="AI1488" s="1" t="s">
        <v>76</v>
      </c>
      <c r="AJ1488" s="1">
        <v>2019</v>
      </c>
      <c r="AK1488" s="1" t="s">
        <v>77</v>
      </c>
      <c r="AL1488" s="1">
        <v>172</v>
      </c>
    </row>
    <row r="1489" spans="1:38" x14ac:dyDescent="0.2">
      <c r="A1489" s="2" t="str">
        <f>HYPERLINK("https://www.compass.com/listing/15-west-61st-street-unit-6l-manhattan-ny-10023/456223868844231273/","15 W 61st St, Unit 6L")</f>
        <v>15 W 61st St, Unit 6L</v>
      </c>
      <c r="B1489" s="2" t="str">
        <f t="shared" si="264"/>
        <v>The Park Loggia</v>
      </c>
      <c r="C1489" s="1" t="s">
        <v>50</v>
      </c>
      <c r="D1489" s="1" t="s">
        <v>41</v>
      </c>
      <c r="E1489" s="3">
        <v>1858721</v>
      </c>
      <c r="F1489" s="1">
        <v>2398.34967741935</v>
      </c>
      <c r="G1489" s="1">
        <v>3</v>
      </c>
      <c r="H1489" s="1">
        <v>1</v>
      </c>
      <c r="I1489" s="1">
        <v>1</v>
      </c>
      <c r="J1489" s="1">
        <v>1</v>
      </c>
      <c r="K1489" s="1">
        <v>1</v>
      </c>
      <c r="M1489" s="1">
        <v>775</v>
      </c>
      <c r="N1489" s="1">
        <v>797</v>
      </c>
      <c r="O1489" s="1">
        <v>1564</v>
      </c>
      <c r="P1489" s="1">
        <v>767</v>
      </c>
      <c r="Q1489" s="1" t="s">
        <v>42</v>
      </c>
      <c r="S1489" s="1" t="s">
        <v>42</v>
      </c>
      <c r="T1489" s="1" t="s">
        <v>170</v>
      </c>
      <c r="U1489" s="1">
        <v>233</v>
      </c>
      <c r="V1489" s="5">
        <v>43911</v>
      </c>
      <c r="W1489" s="5">
        <v>43640</v>
      </c>
      <c r="X1489" s="1">
        <v>1845000</v>
      </c>
      <c r="Y1489" s="1">
        <v>1845000</v>
      </c>
      <c r="AA1489" s="1">
        <v>1858721</v>
      </c>
      <c r="AB1489" s="1" t="s">
        <v>1166</v>
      </c>
      <c r="AC1489" s="5">
        <v>43873</v>
      </c>
      <c r="AF1489" s="1">
        <v>10023</v>
      </c>
      <c r="AI1489" s="1" t="s">
        <v>76</v>
      </c>
      <c r="AJ1489" s="1">
        <v>2019</v>
      </c>
      <c r="AK1489" s="1" t="s">
        <v>77</v>
      </c>
      <c r="AL1489" s="1">
        <v>172</v>
      </c>
    </row>
    <row r="1490" spans="1:38" x14ac:dyDescent="0.2">
      <c r="A1490" s="2" t="str">
        <f>HYPERLINK("https://www.compass.com/listing/15-west-61st-street-unit-5k-manhattan-ny-10023/466629924192009281/","15 W 61st St, Unit 5K")</f>
        <v>15 W 61st St, Unit 5K</v>
      </c>
      <c r="B1490" s="2" t="str">
        <f t="shared" si="264"/>
        <v>The Park Loggia</v>
      </c>
      <c r="C1490" s="1" t="s">
        <v>50</v>
      </c>
      <c r="D1490" s="1" t="s">
        <v>41</v>
      </c>
      <c r="E1490" s="3">
        <v>1765391</v>
      </c>
      <c r="F1490" s="1">
        <v>2277.9237935483802</v>
      </c>
      <c r="G1490" s="1">
        <v>3</v>
      </c>
      <c r="H1490" s="1">
        <v>1</v>
      </c>
      <c r="I1490" s="1">
        <v>1</v>
      </c>
      <c r="J1490" s="1">
        <v>1</v>
      </c>
      <c r="K1490" s="1">
        <v>1</v>
      </c>
      <c r="M1490" s="1">
        <v>775</v>
      </c>
      <c r="N1490" s="1">
        <v>797</v>
      </c>
      <c r="O1490" s="1">
        <v>1564</v>
      </c>
      <c r="P1490" s="1">
        <v>767</v>
      </c>
      <c r="Q1490" s="1" t="s">
        <v>42</v>
      </c>
      <c r="S1490" s="1" t="s">
        <v>42</v>
      </c>
      <c r="T1490" s="1" t="s">
        <v>170</v>
      </c>
      <c r="U1490" s="1">
        <v>237</v>
      </c>
      <c r="V1490" s="5">
        <v>43911</v>
      </c>
      <c r="W1490" s="5">
        <v>43649</v>
      </c>
      <c r="X1490" s="1">
        <v>1733750</v>
      </c>
      <c r="Y1490" s="1">
        <v>1733750</v>
      </c>
      <c r="AA1490" s="1">
        <v>1765390.94</v>
      </c>
      <c r="AB1490" s="1" t="s">
        <v>1167</v>
      </c>
      <c r="AC1490" s="5">
        <v>43886</v>
      </c>
      <c r="AF1490" s="1">
        <v>10023</v>
      </c>
      <c r="AI1490" s="1" t="s">
        <v>76</v>
      </c>
      <c r="AJ1490" s="1">
        <v>2019</v>
      </c>
      <c r="AK1490" s="1" t="s">
        <v>77</v>
      </c>
      <c r="AL1490" s="1">
        <v>172</v>
      </c>
    </row>
    <row r="1491" spans="1:38" x14ac:dyDescent="0.2">
      <c r="A1491" s="2" t="str">
        <f>HYPERLINK("https://www.compass.com/listing/15-west-61st-street-unit-3h-manhattan-ny-10023/476518143645403129/","15 W 61st St, Unit 3H")</f>
        <v>15 W 61st St, Unit 3H</v>
      </c>
      <c r="B1491" s="2" t="str">
        <f t="shared" si="264"/>
        <v>The Park Loggia</v>
      </c>
      <c r="C1491" s="1" t="s">
        <v>50</v>
      </c>
      <c r="D1491" s="1" t="s">
        <v>41</v>
      </c>
      <c r="E1491" s="3">
        <v>1866790</v>
      </c>
      <c r="F1491" s="1">
        <v>2603.6129009762899</v>
      </c>
      <c r="G1491" s="1">
        <v>3</v>
      </c>
      <c r="H1491" s="1">
        <v>1</v>
      </c>
      <c r="I1491" s="1">
        <v>1</v>
      </c>
      <c r="J1491" s="1">
        <v>1</v>
      </c>
      <c r="K1491" s="1">
        <v>1</v>
      </c>
      <c r="M1491" s="1">
        <v>717</v>
      </c>
      <c r="N1491" s="1">
        <v>795</v>
      </c>
      <c r="O1491" s="1">
        <v>1560</v>
      </c>
      <c r="P1491" s="1">
        <v>765</v>
      </c>
      <c r="Q1491" s="1" t="s">
        <v>42</v>
      </c>
      <c r="S1491" s="1" t="s">
        <v>42</v>
      </c>
      <c r="T1491" s="1" t="s">
        <v>170</v>
      </c>
      <c r="U1491" s="1">
        <v>303</v>
      </c>
      <c r="V1491" s="5">
        <v>43911</v>
      </c>
      <c r="W1491" s="5">
        <v>43586</v>
      </c>
      <c r="X1491" s="1">
        <v>1847850</v>
      </c>
      <c r="Y1491" s="1">
        <v>1847850</v>
      </c>
      <c r="AA1491" s="1">
        <v>1866790.45</v>
      </c>
      <c r="AB1491" s="1" t="s">
        <v>1168</v>
      </c>
      <c r="AC1491" s="5">
        <v>43889</v>
      </c>
      <c r="AF1491" s="1">
        <v>10023</v>
      </c>
      <c r="AI1491" s="1" t="s">
        <v>76</v>
      </c>
      <c r="AJ1491" s="1">
        <v>2019</v>
      </c>
      <c r="AK1491" s="1" t="s">
        <v>77</v>
      </c>
      <c r="AL1491" s="1">
        <v>172</v>
      </c>
    </row>
    <row r="1492" spans="1:38" x14ac:dyDescent="0.2">
      <c r="A1492" s="2" t="str">
        <f>HYPERLINK("https://www.compass.com/listing/15-west-61st-street-unit-4k-manhattan-ny-10023/476518145046706929/","15 W 61st St, Unit 4K")</f>
        <v>15 W 61st St, Unit 4K</v>
      </c>
      <c r="B1492" s="2" t="str">
        <f t="shared" si="264"/>
        <v>The Park Loggia</v>
      </c>
      <c r="C1492" s="1" t="s">
        <v>50</v>
      </c>
      <c r="D1492" s="1" t="s">
        <v>41</v>
      </c>
      <c r="E1492" s="3">
        <v>1783495</v>
      </c>
      <c r="F1492" s="1">
        <v>2218.2777985074599</v>
      </c>
      <c r="G1492" s="1">
        <v>3</v>
      </c>
      <c r="H1492" s="1">
        <v>1</v>
      </c>
      <c r="I1492" s="1">
        <v>1</v>
      </c>
      <c r="J1492" s="1">
        <v>1</v>
      </c>
      <c r="K1492" s="1">
        <v>1</v>
      </c>
      <c r="M1492" s="1">
        <v>804</v>
      </c>
      <c r="N1492" s="1">
        <v>827</v>
      </c>
      <c r="O1492" s="1">
        <v>1622</v>
      </c>
      <c r="P1492" s="1">
        <v>795</v>
      </c>
      <c r="Q1492" s="1" t="s">
        <v>42</v>
      </c>
      <c r="S1492" s="1" t="s">
        <v>42</v>
      </c>
      <c r="T1492" s="1" t="s">
        <v>170</v>
      </c>
      <c r="U1492" s="1">
        <v>303</v>
      </c>
      <c r="V1492" s="5">
        <v>43911</v>
      </c>
      <c r="W1492" s="5">
        <v>43586</v>
      </c>
      <c r="X1492" s="1">
        <v>1765400</v>
      </c>
      <c r="Y1492" s="1">
        <v>1765400</v>
      </c>
      <c r="AA1492" s="1">
        <v>1783495.35</v>
      </c>
      <c r="AB1492" s="1" t="s">
        <v>1169</v>
      </c>
      <c r="AC1492" s="5">
        <v>43889</v>
      </c>
      <c r="AF1492" s="1">
        <v>10023</v>
      </c>
      <c r="AI1492" s="1" t="s">
        <v>76</v>
      </c>
      <c r="AJ1492" s="1">
        <v>2019</v>
      </c>
      <c r="AK1492" s="1" t="s">
        <v>77</v>
      </c>
      <c r="AL1492" s="1">
        <v>172</v>
      </c>
    </row>
    <row r="1493" spans="1:38" x14ac:dyDescent="0.2">
      <c r="A1493" s="2" t="str">
        <f>HYPERLINK("https://www.compass.com/listing/15-west-61st-street-unit-6k-manhattan-ny-10023/531320260979256089/","15 W 61st St, Unit 6K")</f>
        <v>15 W 61st St, Unit 6K</v>
      </c>
      <c r="B1493" s="2" t="str">
        <f t="shared" si="264"/>
        <v>The Park Loggia</v>
      </c>
      <c r="C1493" s="1" t="s">
        <v>50</v>
      </c>
      <c r="D1493" s="1" t="s">
        <v>41</v>
      </c>
      <c r="E1493" s="3">
        <v>1858778</v>
      </c>
      <c r="F1493" s="1">
        <v>2311.9132462686498</v>
      </c>
      <c r="G1493" s="1">
        <v>3</v>
      </c>
      <c r="H1493" s="1">
        <v>1</v>
      </c>
      <c r="I1493" s="1">
        <v>1</v>
      </c>
      <c r="J1493" s="1">
        <v>1</v>
      </c>
      <c r="K1493" s="1">
        <v>1</v>
      </c>
      <c r="M1493" s="1">
        <v>804</v>
      </c>
      <c r="N1493" s="1">
        <v>827</v>
      </c>
      <c r="O1493" s="1">
        <v>1622</v>
      </c>
      <c r="P1493" s="1">
        <v>795</v>
      </c>
      <c r="Q1493" s="1" t="s">
        <v>42</v>
      </c>
      <c r="S1493" s="1" t="s">
        <v>42</v>
      </c>
      <c r="T1493" s="1" t="s">
        <v>170</v>
      </c>
      <c r="U1493" s="1">
        <v>209</v>
      </c>
      <c r="V1493" s="5">
        <v>43988</v>
      </c>
      <c r="W1493" s="5">
        <v>43700</v>
      </c>
      <c r="X1493" s="1">
        <v>1804200</v>
      </c>
      <c r="Y1493" s="1">
        <v>1804200</v>
      </c>
      <c r="AA1493" s="1">
        <v>1858778.25</v>
      </c>
      <c r="AB1493" s="1" t="s">
        <v>1170</v>
      </c>
      <c r="AC1493" s="5">
        <v>43984</v>
      </c>
      <c r="AF1493" s="1">
        <v>10023</v>
      </c>
      <c r="AI1493" s="1" t="s">
        <v>76</v>
      </c>
      <c r="AJ1493" s="1">
        <v>2019</v>
      </c>
      <c r="AK1493" s="1" t="s">
        <v>77</v>
      </c>
      <c r="AL1493" s="1">
        <v>172</v>
      </c>
    </row>
    <row r="1494" spans="1:38" x14ac:dyDescent="0.2">
      <c r="A1494" s="2" t="str">
        <f>HYPERLINK("https://www.compass.com/listing/15-west-61st-street-unit-4l-manhattan-ny-10023/531320266088029441/","15 W 61st St, Unit 4L")</f>
        <v>15 W 61st St, Unit 4L</v>
      </c>
      <c r="B1494" s="2" t="str">
        <f t="shared" si="264"/>
        <v>The Park Loggia</v>
      </c>
      <c r="C1494" s="1" t="s">
        <v>50</v>
      </c>
      <c r="D1494" s="1" t="s">
        <v>41</v>
      </c>
      <c r="E1494" s="3">
        <v>1803814</v>
      </c>
      <c r="F1494" s="1">
        <v>2327.5016903225801</v>
      </c>
      <c r="G1494" s="1">
        <v>3</v>
      </c>
      <c r="H1494" s="1">
        <v>1</v>
      </c>
      <c r="I1494" s="1">
        <v>1</v>
      </c>
      <c r="J1494" s="1">
        <v>1</v>
      </c>
      <c r="K1494" s="1">
        <v>1</v>
      </c>
      <c r="M1494" s="1">
        <v>775</v>
      </c>
      <c r="N1494" s="1">
        <v>797</v>
      </c>
      <c r="O1494" s="1">
        <v>1564</v>
      </c>
      <c r="P1494" s="1">
        <v>767</v>
      </c>
      <c r="Q1494" s="1" t="s">
        <v>42</v>
      </c>
      <c r="S1494" s="1" t="s">
        <v>42</v>
      </c>
      <c r="T1494" s="1" t="s">
        <v>170</v>
      </c>
      <c r="U1494" s="1">
        <v>209</v>
      </c>
      <c r="V1494" s="5">
        <v>43988</v>
      </c>
      <c r="W1494" s="5">
        <v>43700</v>
      </c>
      <c r="X1494" s="1">
        <v>1750850</v>
      </c>
      <c r="Y1494" s="1">
        <v>1750850</v>
      </c>
      <c r="AA1494" s="1">
        <v>1803813.81</v>
      </c>
      <c r="AB1494" s="1" t="s">
        <v>1171</v>
      </c>
      <c r="AC1494" s="5">
        <v>43984</v>
      </c>
      <c r="AF1494" s="1">
        <v>10023</v>
      </c>
      <c r="AI1494" s="1" t="s">
        <v>76</v>
      </c>
      <c r="AJ1494" s="1">
        <v>2019</v>
      </c>
      <c r="AK1494" s="1" t="s">
        <v>77</v>
      </c>
      <c r="AL1494" s="1">
        <v>172</v>
      </c>
    </row>
    <row r="1495" spans="1:38" x14ac:dyDescent="0.2">
      <c r="A1495" s="2" t="str">
        <f>HYPERLINK("https://www.compass.com/listing/15-west-61st-street-unit-25c-manhattan-ny-10023/548492588771182201/","15 W 61st St, Unit 25C")</f>
        <v>15 W 61st St, Unit 25C</v>
      </c>
      <c r="B1495" s="2" t="str">
        <f t="shared" si="264"/>
        <v>The Park Loggia</v>
      </c>
      <c r="C1495" s="1" t="s">
        <v>50</v>
      </c>
      <c r="D1495" s="1" t="s">
        <v>41</v>
      </c>
      <c r="E1495" s="3">
        <v>1950000</v>
      </c>
      <c r="F1495" s="1">
        <v>2332.53588516746</v>
      </c>
      <c r="G1495" s="1">
        <v>3</v>
      </c>
      <c r="H1495" s="1">
        <v>1</v>
      </c>
      <c r="I1495" s="1">
        <v>1</v>
      </c>
      <c r="J1495" s="1">
        <v>1</v>
      </c>
      <c r="K1495" s="1">
        <v>1</v>
      </c>
      <c r="M1495" s="1">
        <v>836</v>
      </c>
      <c r="N1495" s="1">
        <v>860</v>
      </c>
      <c r="O1495" s="1">
        <v>1687</v>
      </c>
      <c r="P1495" s="1">
        <v>827</v>
      </c>
      <c r="Q1495" s="1" t="s">
        <v>42</v>
      </c>
      <c r="S1495" s="1" t="s">
        <v>42</v>
      </c>
      <c r="T1495" s="1" t="s">
        <v>170</v>
      </c>
      <c r="U1495" s="1">
        <v>3</v>
      </c>
      <c r="V1495" s="5">
        <v>44009</v>
      </c>
      <c r="W1495" s="5">
        <v>43995</v>
      </c>
      <c r="X1495" s="1">
        <v>1950000</v>
      </c>
      <c r="Y1495" s="1">
        <v>1950000</v>
      </c>
      <c r="AA1495" s="1">
        <v>1950000</v>
      </c>
      <c r="AB1495" s="1" t="s">
        <v>1172</v>
      </c>
      <c r="AC1495" s="5">
        <v>44007</v>
      </c>
      <c r="AF1495" s="1">
        <v>10023</v>
      </c>
      <c r="AI1495" s="1" t="s">
        <v>76</v>
      </c>
      <c r="AJ1495" s="1">
        <v>2019</v>
      </c>
      <c r="AK1495" s="1" t="s">
        <v>77</v>
      </c>
      <c r="AL1495" s="1">
        <v>172</v>
      </c>
    </row>
    <row r="1496" spans="1:38" x14ac:dyDescent="0.2">
      <c r="A1496" s="2" t="str">
        <f>HYPERLINK("https://www.compass.com/listing/15-west-61st-street-unit-12g-manhattan-ny-10023/587272366902971505/","15 W 61st St, Unit 12G")</f>
        <v>15 W 61st St, Unit 12G</v>
      </c>
      <c r="B1496" s="2" t="str">
        <f t="shared" si="264"/>
        <v>The Park Loggia</v>
      </c>
      <c r="C1496" s="1" t="s">
        <v>50</v>
      </c>
      <c r="D1496" s="1" t="s">
        <v>41</v>
      </c>
      <c r="E1496" s="3">
        <v>1605000</v>
      </c>
      <c r="F1496" s="1">
        <v>2457.8866768759499</v>
      </c>
      <c r="G1496" s="1">
        <v>3</v>
      </c>
      <c r="H1496" s="1">
        <v>1</v>
      </c>
      <c r="I1496" s="1">
        <v>1</v>
      </c>
      <c r="J1496" s="1">
        <v>1</v>
      </c>
      <c r="K1496" s="1">
        <v>1</v>
      </c>
      <c r="M1496" s="1">
        <v>653</v>
      </c>
      <c r="N1496" s="1">
        <v>672</v>
      </c>
      <c r="O1496" s="1">
        <v>1318</v>
      </c>
      <c r="P1496" s="1">
        <v>646</v>
      </c>
      <c r="Q1496" s="1" t="s">
        <v>42</v>
      </c>
      <c r="S1496" s="1" t="s">
        <v>42</v>
      </c>
      <c r="T1496" s="1" t="s">
        <v>170</v>
      </c>
      <c r="U1496" s="1">
        <v>111</v>
      </c>
      <c r="V1496" s="5">
        <v>44068</v>
      </c>
      <c r="W1496" s="5">
        <v>43837</v>
      </c>
      <c r="X1496" s="1">
        <v>1655000</v>
      </c>
      <c r="Y1496" s="1">
        <v>1655000</v>
      </c>
      <c r="AA1496" s="1">
        <v>1605000</v>
      </c>
      <c r="AB1496" s="1" t="s">
        <v>1173</v>
      </c>
      <c r="AC1496" s="5">
        <v>44043</v>
      </c>
      <c r="AF1496" s="1">
        <v>10023</v>
      </c>
      <c r="AI1496" s="1" t="s">
        <v>76</v>
      </c>
      <c r="AJ1496" s="1">
        <v>2019</v>
      </c>
      <c r="AK1496" s="1" t="s">
        <v>77</v>
      </c>
      <c r="AL1496" s="1">
        <v>172</v>
      </c>
    </row>
    <row r="1497" spans="1:38" x14ac:dyDescent="0.2">
      <c r="A1497" s="2" t="str">
        <f>HYPERLINK("https://www.compass.com/listing/15-west-61st-street-unit-10e-manhattan-ny-10023/819768045738165137/","15 W 61st St, Unit 10E")</f>
        <v>15 W 61st St, Unit 10E</v>
      </c>
      <c r="B1497" s="2" t="str">
        <f t="shared" si="264"/>
        <v>The Park Loggia</v>
      </c>
      <c r="C1497" s="1" t="s">
        <v>50</v>
      </c>
      <c r="D1497" s="1" t="s">
        <v>41</v>
      </c>
      <c r="E1497" s="3">
        <v>1847192</v>
      </c>
      <c r="F1497" s="1">
        <v>2377.3379794079701</v>
      </c>
      <c r="G1497" s="1">
        <v>3</v>
      </c>
      <c r="H1497" s="1">
        <v>1</v>
      </c>
      <c r="I1497" s="1">
        <v>1</v>
      </c>
      <c r="J1497" s="1">
        <v>1</v>
      </c>
      <c r="K1497" s="1">
        <v>1</v>
      </c>
      <c r="M1497" s="1">
        <v>777</v>
      </c>
      <c r="N1497" s="1">
        <v>799</v>
      </c>
      <c r="O1497" s="1">
        <v>1568</v>
      </c>
      <c r="P1497" s="1">
        <v>769</v>
      </c>
      <c r="Q1497" s="1" t="s">
        <v>42</v>
      </c>
      <c r="S1497" s="1" t="s">
        <v>42</v>
      </c>
      <c r="T1497" s="1" t="s">
        <v>170</v>
      </c>
      <c r="U1497" s="1">
        <v>303</v>
      </c>
      <c r="V1497" s="5">
        <v>43917</v>
      </c>
      <c r="W1497" s="5">
        <v>43586</v>
      </c>
      <c r="X1497" s="1">
        <v>1828450</v>
      </c>
      <c r="Y1497" s="1">
        <v>1828450</v>
      </c>
      <c r="AA1497" s="1">
        <v>1847191.61</v>
      </c>
      <c r="AB1497" s="1" t="s">
        <v>1174</v>
      </c>
      <c r="AC1497" s="5">
        <v>43889</v>
      </c>
      <c r="AF1497" s="1">
        <v>10023</v>
      </c>
      <c r="AI1497" s="1" t="s">
        <v>76</v>
      </c>
      <c r="AJ1497" s="1">
        <v>2019</v>
      </c>
      <c r="AK1497" s="1" t="s">
        <v>77</v>
      </c>
      <c r="AL1497" s="1">
        <v>172</v>
      </c>
    </row>
    <row r="1498" spans="1:38" x14ac:dyDescent="0.2">
      <c r="A1498" s="2" t="str">
        <f>HYPERLINK("https://www.compass.com/listing/15-west-61st-street-unit-23b-manhattan-ny-10023/620404531953595673/","15 W 61st St, Unit 23B")</f>
        <v>15 W 61st St, Unit 23B</v>
      </c>
      <c r="B1498" s="2" t="str">
        <f t="shared" si="264"/>
        <v>The Park Loggia</v>
      </c>
      <c r="C1498" s="1" t="s">
        <v>50</v>
      </c>
      <c r="D1498" s="1" t="s">
        <v>41</v>
      </c>
      <c r="E1498" s="3">
        <v>3205125</v>
      </c>
      <c r="F1498" s="1">
        <v>2796.7931937172698</v>
      </c>
      <c r="G1498" s="1">
        <v>4</v>
      </c>
      <c r="H1498" s="1">
        <v>2</v>
      </c>
      <c r="I1498" s="1">
        <v>2</v>
      </c>
      <c r="J1498" s="1">
        <v>2</v>
      </c>
      <c r="K1498" s="1">
        <v>2</v>
      </c>
      <c r="M1498" s="4">
        <v>1146</v>
      </c>
      <c r="N1498" s="1">
        <v>1204</v>
      </c>
      <c r="O1498" s="1">
        <v>2415</v>
      </c>
      <c r="P1498" s="1">
        <v>1211</v>
      </c>
      <c r="Q1498" s="1" t="s">
        <v>42</v>
      </c>
      <c r="S1498" s="1" t="s">
        <v>42</v>
      </c>
      <c r="T1498" s="1" t="s">
        <v>170</v>
      </c>
      <c r="U1498" s="1">
        <v>212</v>
      </c>
      <c r="V1498" s="5">
        <v>44352</v>
      </c>
      <c r="W1498" s="5">
        <v>44107</v>
      </c>
      <c r="X1498" s="1">
        <v>3465000</v>
      </c>
      <c r="Y1498" s="1">
        <v>3465000</v>
      </c>
      <c r="Z1498" s="5">
        <v>44319</v>
      </c>
      <c r="AA1498" s="1">
        <v>3205125</v>
      </c>
      <c r="AB1498" s="1" t="s">
        <v>1175</v>
      </c>
      <c r="AC1498" s="5">
        <v>44349</v>
      </c>
      <c r="AF1498" s="1">
        <v>10023</v>
      </c>
      <c r="AI1498" s="1" t="s">
        <v>102</v>
      </c>
      <c r="AJ1498" s="1">
        <v>2019</v>
      </c>
      <c r="AK1498" s="1" t="s">
        <v>77</v>
      </c>
      <c r="AL1498" s="1">
        <v>172</v>
      </c>
    </row>
    <row r="1499" spans="1:38" x14ac:dyDescent="0.2">
      <c r="A1499" s="2" t="str">
        <f>HYPERLINK("https://www.compass.com/listing/15-west-61st-street-unit-27b-manhattan-ny-10023/494819262947821881/","15 W 61st St, Unit 27B")</f>
        <v>15 W 61st St, Unit 27B</v>
      </c>
      <c r="B1499" s="2" t="str">
        <f t="shared" si="264"/>
        <v>The Park Loggia</v>
      </c>
      <c r="C1499" s="1" t="s">
        <v>50</v>
      </c>
      <c r="D1499" s="1" t="s">
        <v>41</v>
      </c>
      <c r="E1499" s="3">
        <v>3290000</v>
      </c>
      <c r="F1499" s="1">
        <v>2848.4848484848399</v>
      </c>
      <c r="G1499" s="1">
        <v>4</v>
      </c>
      <c r="H1499" s="1">
        <v>2</v>
      </c>
      <c r="I1499" s="1">
        <v>2</v>
      </c>
      <c r="J1499" s="1">
        <v>2</v>
      </c>
      <c r="K1499" s="1">
        <v>2</v>
      </c>
      <c r="M1499" s="4">
        <v>1155</v>
      </c>
      <c r="N1499" s="1">
        <v>1213</v>
      </c>
      <c r="O1499" s="1">
        <v>2433</v>
      </c>
      <c r="P1499" s="1">
        <v>1220</v>
      </c>
      <c r="Q1499" s="1" t="s">
        <v>42</v>
      </c>
      <c r="S1499" s="1" t="s">
        <v>42</v>
      </c>
      <c r="T1499" s="1" t="s">
        <v>170</v>
      </c>
      <c r="U1499" s="1">
        <v>103</v>
      </c>
      <c r="V1499" s="5">
        <v>44145</v>
      </c>
      <c r="W1499" s="5">
        <v>43934</v>
      </c>
      <c r="X1499" s="1">
        <v>3700000</v>
      </c>
      <c r="Y1499" s="1">
        <v>3700000</v>
      </c>
      <c r="AA1499" s="1">
        <v>3290000</v>
      </c>
      <c r="AB1499" s="1" t="s">
        <v>1176</v>
      </c>
      <c r="AC1499" s="5">
        <v>44144</v>
      </c>
      <c r="AF1499" s="1">
        <v>10023</v>
      </c>
      <c r="AI1499" s="1" t="s">
        <v>102</v>
      </c>
      <c r="AJ1499" s="1">
        <v>2019</v>
      </c>
      <c r="AK1499" s="1" t="s">
        <v>77</v>
      </c>
      <c r="AL1499" s="1">
        <v>172</v>
      </c>
    </row>
    <row r="1500" spans="1:38" x14ac:dyDescent="0.2">
      <c r="A1500" s="2" t="str">
        <f>HYPERLINK("https://www.compass.com/listing/15-west-61st-street-unit-25b-manhattan-ny-10023/294957851671676833/","15 W 61st St, Unit 25B")</f>
        <v>15 W 61st St, Unit 25B</v>
      </c>
      <c r="B1500" s="2" t="str">
        <f t="shared" si="264"/>
        <v>The Park Loggia</v>
      </c>
      <c r="C1500" s="1" t="s">
        <v>50</v>
      </c>
      <c r="D1500" s="1" t="s">
        <v>41</v>
      </c>
      <c r="E1500" s="3">
        <v>3200000</v>
      </c>
      <c r="F1500" s="1">
        <v>2770.5627705627699</v>
      </c>
      <c r="G1500" s="1">
        <v>4</v>
      </c>
      <c r="H1500" s="1">
        <v>2</v>
      </c>
      <c r="I1500" s="1">
        <v>2</v>
      </c>
      <c r="J1500" s="1">
        <v>2</v>
      </c>
      <c r="K1500" s="1">
        <v>2</v>
      </c>
      <c r="M1500" s="4">
        <v>1155</v>
      </c>
      <c r="N1500" s="1">
        <v>1227</v>
      </c>
      <c r="O1500" s="1">
        <v>2407</v>
      </c>
      <c r="P1500" s="1">
        <v>1180</v>
      </c>
      <c r="Q1500" s="1" t="s">
        <v>42</v>
      </c>
      <c r="S1500" s="1" t="s">
        <v>42</v>
      </c>
      <c r="T1500" s="1" t="s">
        <v>170</v>
      </c>
      <c r="U1500" s="1">
        <v>252</v>
      </c>
      <c r="V1500" s="5">
        <v>44058</v>
      </c>
      <c r="W1500" s="5">
        <v>43658</v>
      </c>
      <c r="X1500" s="1">
        <v>3600000</v>
      </c>
      <c r="Y1500" s="1">
        <v>3600000</v>
      </c>
      <c r="Z1500" s="5">
        <v>43924</v>
      </c>
      <c r="AA1500" s="1">
        <v>3200000</v>
      </c>
      <c r="AB1500" s="1" t="s">
        <v>1177</v>
      </c>
      <c r="AC1500" s="5">
        <v>44008</v>
      </c>
      <c r="AF1500" s="1">
        <v>10023</v>
      </c>
      <c r="AI1500" s="1" t="s">
        <v>102</v>
      </c>
      <c r="AJ1500" s="1">
        <v>2019</v>
      </c>
      <c r="AK1500" s="1" t="s">
        <v>77</v>
      </c>
      <c r="AL1500" s="1">
        <v>172</v>
      </c>
    </row>
    <row r="1501" spans="1:38" x14ac:dyDescent="0.2">
      <c r="A1501" s="2" t="str">
        <f>HYPERLINK("https://www.compass.com/listing/15-west-61st-street-unit-8b-manhattan-ny-10023/354172843848762273/","15 W 61st St, Unit 8B")</f>
        <v>15 W 61st St, Unit 8B</v>
      </c>
      <c r="B1501" s="2" t="str">
        <f t="shared" si="264"/>
        <v>The Park Loggia</v>
      </c>
      <c r="C1501" s="1" t="s">
        <v>50</v>
      </c>
      <c r="D1501" s="1" t="s">
        <v>41</v>
      </c>
      <c r="E1501" s="3">
        <v>3150000</v>
      </c>
      <c r="F1501" s="1">
        <v>2528.0898876404399</v>
      </c>
      <c r="G1501" s="1">
        <v>4</v>
      </c>
      <c r="H1501" s="1">
        <v>2</v>
      </c>
      <c r="I1501" s="1">
        <v>2</v>
      </c>
      <c r="J1501" s="1">
        <v>2</v>
      </c>
      <c r="K1501" s="1">
        <v>2</v>
      </c>
      <c r="M1501" s="4">
        <v>1246</v>
      </c>
      <c r="N1501" s="1">
        <v>1320</v>
      </c>
      <c r="O1501" s="1">
        <v>2590</v>
      </c>
      <c r="P1501" s="1">
        <v>1270</v>
      </c>
      <c r="Q1501" s="1" t="s">
        <v>42</v>
      </c>
      <c r="S1501" s="1" t="s">
        <v>42</v>
      </c>
      <c r="T1501" s="1" t="s">
        <v>170</v>
      </c>
      <c r="U1501" s="1">
        <v>70</v>
      </c>
      <c r="V1501" s="5">
        <v>43911</v>
      </c>
      <c r="W1501" s="5">
        <v>43740</v>
      </c>
      <c r="X1501" s="1">
        <v>3200000</v>
      </c>
      <c r="Y1501" s="1">
        <v>3200000</v>
      </c>
      <c r="AA1501" s="1">
        <v>3150000</v>
      </c>
      <c r="AB1501" s="1" t="s">
        <v>1178</v>
      </c>
      <c r="AC1501" s="5">
        <v>43896</v>
      </c>
      <c r="AF1501" s="1">
        <v>10023</v>
      </c>
      <c r="AI1501" s="1" t="s">
        <v>102</v>
      </c>
      <c r="AJ1501" s="1">
        <v>2019</v>
      </c>
      <c r="AK1501" s="1" t="s">
        <v>77</v>
      </c>
      <c r="AL1501" s="1">
        <v>172</v>
      </c>
    </row>
    <row r="1502" spans="1:38" x14ac:dyDescent="0.2">
      <c r="A1502" s="2" t="str">
        <f>HYPERLINK("https://www.compass.com/listing/15-west-61st-street-unit-3f-manhattan-ny-10023/749978057202118329/","15 W 61st St, Unit 3F")</f>
        <v>15 W 61st St, Unit 3F</v>
      </c>
      <c r="B1502" s="2" t="str">
        <f t="shared" si="264"/>
        <v>The Park Loggia</v>
      </c>
      <c r="C1502" s="1" t="s">
        <v>50</v>
      </c>
      <c r="D1502" s="1" t="s">
        <v>41</v>
      </c>
      <c r="E1502" s="3">
        <v>1077152</v>
      </c>
      <c r="F1502" s="1">
        <v>2176.0638181818099</v>
      </c>
      <c r="G1502" s="1">
        <v>2</v>
      </c>
      <c r="H1502" s="1" t="s">
        <v>79</v>
      </c>
      <c r="I1502" s="1">
        <v>1</v>
      </c>
      <c r="J1502" s="1">
        <v>1</v>
      </c>
      <c r="K1502" s="1">
        <v>1</v>
      </c>
      <c r="M1502" s="1">
        <v>495</v>
      </c>
      <c r="N1502" s="1">
        <v>561</v>
      </c>
      <c r="O1502" s="1">
        <v>1125</v>
      </c>
      <c r="P1502" s="1">
        <v>564</v>
      </c>
      <c r="Q1502" s="1" t="s">
        <v>42</v>
      </c>
      <c r="S1502" s="1" t="s">
        <v>42</v>
      </c>
      <c r="T1502" s="1" t="s">
        <v>170</v>
      </c>
      <c r="V1502" s="5">
        <v>44287</v>
      </c>
      <c r="W1502" s="5">
        <v>44277</v>
      </c>
      <c r="X1502" s="1">
        <v>1175000</v>
      </c>
      <c r="Y1502" s="1">
        <v>1175000</v>
      </c>
      <c r="AA1502" s="1">
        <v>1077151.5900000001</v>
      </c>
      <c r="AB1502" s="1" t="s">
        <v>1179</v>
      </c>
      <c r="AC1502" s="5">
        <v>44277</v>
      </c>
      <c r="AF1502" s="1">
        <v>10023</v>
      </c>
      <c r="AI1502" s="1" t="s">
        <v>103</v>
      </c>
      <c r="AJ1502" s="1">
        <v>2019</v>
      </c>
      <c r="AK1502" s="1" t="s">
        <v>77</v>
      </c>
      <c r="AL1502" s="1">
        <v>172</v>
      </c>
    </row>
    <row r="1503" spans="1:38" x14ac:dyDescent="0.2">
      <c r="A1503" s="2" t="str">
        <f>HYPERLINK("https://www.compass.com/listing/15-west-61st-street-unit-14f-manhattan-ny-10023/620404864050139857/","15 W 61st St, Unit 14F")</f>
        <v>15 W 61st St, Unit 14F</v>
      </c>
      <c r="B1503" s="2" t="str">
        <f t="shared" si="264"/>
        <v>The Park Loggia</v>
      </c>
      <c r="C1503" s="1" t="s">
        <v>50</v>
      </c>
      <c r="D1503" s="1" t="s">
        <v>41</v>
      </c>
      <c r="E1503" s="3">
        <v>3255000</v>
      </c>
      <c r="F1503" s="1">
        <v>2717.02838063439</v>
      </c>
      <c r="G1503" s="1">
        <v>4</v>
      </c>
      <c r="H1503" s="1">
        <v>2</v>
      </c>
      <c r="I1503" s="1">
        <v>2</v>
      </c>
      <c r="J1503" s="1">
        <v>2</v>
      </c>
      <c r="K1503" s="1">
        <v>2</v>
      </c>
      <c r="M1503" s="4">
        <v>1198</v>
      </c>
      <c r="N1503" s="1">
        <v>1217</v>
      </c>
      <c r="O1503" s="1">
        <v>2441</v>
      </c>
      <c r="P1503" s="1">
        <v>1224</v>
      </c>
      <c r="Q1503" s="1" t="s">
        <v>42</v>
      </c>
      <c r="S1503" s="1" t="s">
        <v>42</v>
      </c>
      <c r="T1503" s="1" t="s">
        <v>170</v>
      </c>
      <c r="V1503" s="5">
        <v>44351</v>
      </c>
      <c r="W1503" s="5">
        <v>44107</v>
      </c>
      <c r="X1503" s="1">
        <v>3425000</v>
      </c>
      <c r="Y1503" s="1">
        <v>3425000</v>
      </c>
      <c r="Z1503" s="5">
        <v>44107</v>
      </c>
      <c r="AA1503" s="1">
        <v>3255000</v>
      </c>
      <c r="AB1503" s="1" t="s">
        <v>181</v>
      </c>
      <c r="AC1503" s="5">
        <v>44350</v>
      </c>
      <c r="AF1503" s="1">
        <v>10023</v>
      </c>
      <c r="AI1503" s="1" t="s">
        <v>76</v>
      </c>
      <c r="AJ1503" s="1">
        <v>2019</v>
      </c>
      <c r="AK1503" s="1" t="s">
        <v>77</v>
      </c>
      <c r="AL1503" s="1">
        <v>172</v>
      </c>
    </row>
    <row r="1504" spans="1:38" x14ac:dyDescent="0.2">
      <c r="A1504" s="2" t="str">
        <f>HYPERLINK("https://www.compass.com/listing/15-west-61st-street-unit-10f-manhattan-ny-10023/252523446708211105/","15 W 61st St, Unit 10F")</f>
        <v>15 W 61st St, Unit 10F</v>
      </c>
      <c r="B1504" s="2" t="str">
        <f t="shared" si="264"/>
        <v>The Park Loggia</v>
      </c>
      <c r="C1504" s="1" t="s">
        <v>50</v>
      </c>
      <c r="D1504" s="1" t="s">
        <v>41</v>
      </c>
      <c r="E1504" s="3">
        <v>3283000</v>
      </c>
      <c r="F1504" s="1">
        <v>2740.4006677796301</v>
      </c>
      <c r="G1504" s="1">
        <v>4</v>
      </c>
      <c r="H1504" s="1">
        <v>2</v>
      </c>
      <c r="I1504" s="1">
        <v>2</v>
      </c>
      <c r="J1504" s="1">
        <v>2</v>
      </c>
      <c r="K1504" s="1">
        <v>2</v>
      </c>
      <c r="M1504" s="4">
        <v>1198</v>
      </c>
      <c r="N1504" s="1">
        <v>1232</v>
      </c>
      <c r="O1504" s="1">
        <v>2417</v>
      </c>
      <c r="P1504" s="1">
        <v>1185</v>
      </c>
      <c r="Q1504" s="1" t="s">
        <v>42</v>
      </c>
      <c r="S1504" s="1" t="s">
        <v>42</v>
      </c>
      <c r="T1504" s="1" t="s">
        <v>170</v>
      </c>
      <c r="U1504" s="1">
        <v>120</v>
      </c>
      <c r="V1504" s="5">
        <v>43911</v>
      </c>
      <c r="W1504" s="5">
        <v>43597</v>
      </c>
      <c r="X1504" s="1">
        <v>3350000</v>
      </c>
      <c r="AB1504" s="1" t="s">
        <v>181</v>
      </c>
      <c r="AF1504" s="1">
        <v>10023</v>
      </c>
      <c r="AI1504" s="1" t="s">
        <v>76</v>
      </c>
      <c r="AJ1504" s="1">
        <v>2019</v>
      </c>
      <c r="AK1504" s="1" t="s">
        <v>77</v>
      </c>
      <c r="AL1504" s="1">
        <v>172</v>
      </c>
    </row>
    <row r="1505" spans="1:38" x14ac:dyDescent="0.2">
      <c r="A1505" s="2" t="str">
        <f>HYPERLINK("https://www.compass.com/listing/15-west-61st-street-unit-9b-manhattan-ny-10023/252538880085986817/","15 W 61st St, Unit 9B")</f>
        <v>15 W 61st St, Unit 9B</v>
      </c>
      <c r="B1505" s="2" t="str">
        <f t="shared" si="264"/>
        <v>The Park Loggia</v>
      </c>
      <c r="C1505" s="1" t="s">
        <v>50</v>
      </c>
      <c r="D1505" s="1" t="s">
        <v>41</v>
      </c>
      <c r="E1505" s="3">
        <v>3291919</v>
      </c>
      <c r="F1505" s="1">
        <v>2641.9893659711001</v>
      </c>
      <c r="G1505" s="1">
        <v>4</v>
      </c>
      <c r="H1505" s="1">
        <v>2</v>
      </c>
      <c r="I1505" s="1">
        <v>2</v>
      </c>
      <c r="J1505" s="1">
        <v>2</v>
      </c>
      <c r="K1505" s="1">
        <v>2</v>
      </c>
      <c r="M1505" s="4">
        <v>1246</v>
      </c>
      <c r="N1505" s="1">
        <v>1284</v>
      </c>
      <c r="O1505" s="1">
        <v>2554</v>
      </c>
      <c r="P1505" s="1">
        <v>1270</v>
      </c>
      <c r="Q1505" s="1" t="s">
        <v>42</v>
      </c>
      <c r="S1505" s="1" t="s">
        <v>42</v>
      </c>
      <c r="T1505" s="1" t="s">
        <v>170</v>
      </c>
      <c r="U1505" s="1">
        <v>61</v>
      </c>
      <c r="V1505" s="5">
        <v>43911</v>
      </c>
      <c r="W1505" s="5">
        <v>43597</v>
      </c>
      <c r="X1505" s="1">
        <v>3225000</v>
      </c>
      <c r="AB1505" s="1" t="s">
        <v>181</v>
      </c>
      <c r="AF1505" s="1">
        <v>10023</v>
      </c>
      <c r="AI1505" s="1" t="s">
        <v>76</v>
      </c>
      <c r="AJ1505" s="1">
        <v>2019</v>
      </c>
      <c r="AK1505" s="1" t="s">
        <v>77</v>
      </c>
      <c r="AL1505" s="1">
        <v>172</v>
      </c>
    </row>
    <row r="1506" spans="1:38" x14ac:dyDescent="0.2">
      <c r="A1506" s="2" t="str">
        <f>HYPERLINK("https://www.compass.com/listing/15-west-61st-street-unit-10b-manhattan-ny-10023/294957851311108113/","15 W 61st St, Unit 10B")</f>
        <v>15 W 61st St, Unit 10B</v>
      </c>
      <c r="B1506" s="2" t="str">
        <f t="shared" si="264"/>
        <v>The Park Loggia</v>
      </c>
      <c r="C1506" s="1" t="s">
        <v>50</v>
      </c>
      <c r="D1506" s="1" t="s">
        <v>41</v>
      </c>
      <c r="E1506" s="3">
        <v>3268688</v>
      </c>
      <c r="F1506" s="1">
        <v>2623.34470304975</v>
      </c>
      <c r="G1506" s="1">
        <v>4</v>
      </c>
      <c r="H1506" s="1">
        <v>2</v>
      </c>
      <c r="I1506" s="1">
        <v>2</v>
      </c>
      <c r="J1506" s="1">
        <v>2</v>
      </c>
      <c r="K1506" s="1">
        <v>2</v>
      </c>
      <c r="M1506" s="4">
        <v>1246</v>
      </c>
      <c r="N1506" s="1">
        <v>1284</v>
      </c>
      <c r="O1506" s="1">
        <v>2554</v>
      </c>
      <c r="P1506" s="1">
        <v>1270</v>
      </c>
      <c r="Q1506" s="1" t="s">
        <v>42</v>
      </c>
      <c r="S1506" s="1" t="s">
        <v>42</v>
      </c>
      <c r="T1506" s="1" t="s">
        <v>170</v>
      </c>
      <c r="U1506" s="1">
        <v>59</v>
      </c>
      <c r="V1506" s="5">
        <v>43911</v>
      </c>
      <c r="W1506" s="5">
        <v>43658</v>
      </c>
      <c r="X1506" s="1">
        <v>3250000</v>
      </c>
      <c r="AB1506" s="1" t="s">
        <v>181</v>
      </c>
      <c r="AF1506" s="1">
        <v>10023</v>
      </c>
      <c r="AI1506" s="1" t="s">
        <v>102</v>
      </c>
      <c r="AJ1506" s="1">
        <v>2019</v>
      </c>
      <c r="AK1506" s="1" t="s">
        <v>77</v>
      </c>
      <c r="AL1506" s="1">
        <v>172</v>
      </c>
    </row>
    <row r="1507" spans="1:38" x14ac:dyDescent="0.2">
      <c r="A1507" s="2" t="str">
        <f>HYPERLINK("https://www.compass.com/listing/15-west-61st-street-unit-14b-manhattan-ny-10023/337474965992950961/","15 W 61st St, Unit 14B")</f>
        <v>15 W 61st St, Unit 14B</v>
      </c>
      <c r="B1507" s="2" t="str">
        <f t="shared" si="264"/>
        <v>The Park Loggia</v>
      </c>
      <c r="C1507" s="1" t="s">
        <v>50</v>
      </c>
      <c r="D1507" s="1" t="s">
        <v>41</v>
      </c>
      <c r="E1507" s="3">
        <v>3361354</v>
      </c>
      <c r="F1507" s="1">
        <v>2697.7157704654801</v>
      </c>
      <c r="G1507" s="1">
        <v>3.5</v>
      </c>
      <c r="H1507" s="1">
        <v>2</v>
      </c>
      <c r="I1507" s="1">
        <v>2</v>
      </c>
      <c r="J1507" s="1">
        <v>2</v>
      </c>
      <c r="K1507" s="1">
        <v>2</v>
      </c>
      <c r="M1507" s="4">
        <v>1246</v>
      </c>
      <c r="N1507" s="1">
        <v>1320</v>
      </c>
      <c r="O1507" s="1">
        <v>2590</v>
      </c>
      <c r="P1507" s="1">
        <v>1270</v>
      </c>
      <c r="Q1507" s="1" t="s">
        <v>42</v>
      </c>
      <c r="S1507" s="1" t="s">
        <v>42</v>
      </c>
      <c r="T1507" s="1" t="s">
        <v>170</v>
      </c>
      <c r="U1507" s="1">
        <v>22</v>
      </c>
      <c r="V1507" s="5">
        <v>43911</v>
      </c>
      <c r="W1507" s="5">
        <v>43717</v>
      </c>
      <c r="X1507" s="1">
        <v>3325000</v>
      </c>
      <c r="AB1507" s="1" t="s">
        <v>181</v>
      </c>
      <c r="AF1507" s="1">
        <v>10023</v>
      </c>
      <c r="AI1507" s="1" t="s">
        <v>102</v>
      </c>
      <c r="AJ1507" s="1">
        <v>2019</v>
      </c>
      <c r="AK1507" s="1" t="s">
        <v>77</v>
      </c>
      <c r="AL1507" s="1">
        <v>172</v>
      </c>
    </row>
    <row r="1508" spans="1:38" x14ac:dyDescent="0.2">
      <c r="A1508" s="2" t="str">
        <f>HYPERLINK("https://www.compass.com/listing/15-west-61st-street-unit-4b-manhattan-ny-10023/620996306370037953/","15 W 61st St, Unit 4B")</f>
        <v>15 W 61st St, Unit 4B</v>
      </c>
      <c r="B1508" s="2" t="str">
        <f t="shared" si="264"/>
        <v>The Park Loggia</v>
      </c>
      <c r="C1508" s="1" t="s">
        <v>50</v>
      </c>
      <c r="D1508" s="1" t="s">
        <v>41</v>
      </c>
      <c r="E1508" s="3">
        <v>2890000</v>
      </c>
      <c r="F1508" s="1">
        <v>2159.94020926756</v>
      </c>
      <c r="G1508" s="1">
        <v>4.5</v>
      </c>
      <c r="H1508" s="1">
        <v>2</v>
      </c>
      <c r="I1508" s="1">
        <v>3</v>
      </c>
      <c r="J1508" s="1">
        <v>2.5</v>
      </c>
      <c r="K1508" s="1">
        <v>2</v>
      </c>
      <c r="L1508" s="1">
        <v>1</v>
      </c>
      <c r="M1508" s="4">
        <v>1338</v>
      </c>
      <c r="N1508" s="1">
        <v>1360</v>
      </c>
      <c r="O1508" s="1">
        <v>2727</v>
      </c>
      <c r="P1508" s="1">
        <v>1367</v>
      </c>
      <c r="Q1508" s="1" t="s">
        <v>42</v>
      </c>
      <c r="S1508" s="1" t="s">
        <v>42</v>
      </c>
      <c r="T1508" s="1" t="s">
        <v>170</v>
      </c>
      <c r="U1508" s="1">
        <v>214</v>
      </c>
      <c r="V1508" s="5">
        <v>44352</v>
      </c>
      <c r="W1508" s="5">
        <v>44107</v>
      </c>
      <c r="X1508" s="1">
        <v>3075000</v>
      </c>
      <c r="Y1508" s="1">
        <v>3075000</v>
      </c>
      <c r="Z1508" s="5">
        <v>44321</v>
      </c>
      <c r="AA1508" s="1">
        <v>2890000</v>
      </c>
      <c r="AB1508" s="1" t="s">
        <v>1180</v>
      </c>
      <c r="AC1508" s="5">
        <v>44351</v>
      </c>
      <c r="AF1508" s="1">
        <v>10023</v>
      </c>
      <c r="AI1508" s="1" t="s">
        <v>76</v>
      </c>
      <c r="AJ1508" s="1">
        <v>2019</v>
      </c>
      <c r="AK1508" s="1" t="s">
        <v>77</v>
      </c>
      <c r="AL1508" s="1">
        <v>172</v>
      </c>
    </row>
    <row r="1509" spans="1:38" x14ac:dyDescent="0.2">
      <c r="A1509" s="2" t="str">
        <f>HYPERLINK("https://www.compass.com/listing/15-west-61st-street-unit-5b-manhattan-ny-10023/252536045759894737/","15 W 61st St, Unit 5B")</f>
        <v>15 W 61st St, Unit 5B</v>
      </c>
      <c r="B1509" s="2" t="str">
        <f t="shared" si="264"/>
        <v>The Park Loggia</v>
      </c>
      <c r="C1509" s="1" t="s">
        <v>50</v>
      </c>
      <c r="D1509" s="1" t="s">
        <v>41</v>
      </c>
      <c r="E1509" s="3">
        <v>2900000</v>
      </c>
      <c r="F1509" s="1">
        <v>2167.4140508221199</v>
      </c>
      <c r="G1509" s="1">
        <v>4</v>
      </c>
      <c r="H1509" s="1">
        <v>2</v>
      </c>
      <c r="I1509" s="1">
        <v>3</v>
      </c>
      <c r="J1509" s="1">
        <v>2.5</v>
      </c>
      <c r="K1509" s="1">
        <v>2</v>
      </c>
      <c r="L1509" s="1">
        <v>1</v>
      </c>
      <c r="M1509" s="4">
        <v>1338</v>
      </c>
      <c r="N1509" s="1">
        <v>1360</v>
      </c>
      <c r="O1509" s="1">
        <v>2727</v>
      </c>
      <c r="P1509" s="1">
        <v>1367</v>
      </c>
      <c r="Q1509" s="1" t="s">
        <v>42</v>
      </c>
      <c r="S1509" s="1" t="s">
        <v>42</v>
      </c>
      <c r="T1509" s="1" t="s">
        <v>170</v>
      </c>
      <c r="U1509" s="1">
        <v>395</v>
      </c>
      <c r="V1509" s="5">
        <v>44147</v>
      </c>
      <c r="W1509" s="5">
        <v>43597</v>
      </c>
      <c r="X1509" s="1">
        <v>3100000</v>
      </c>
      <c r="Y1509" s="1">
        <v>3100000</v>
      </c>
      <c r="Z1509" s="5">
        <v>44087</v>
      </c>
      <c r="AA1509" s="1">
        <v>2900000</v>
      </c>
      <c r="AB1509" s="1" t="s">
        <v>1181</v>
      </c>
      <c r="AC1509" s="5">
        <v>44145</v>
      </c>
      <c r="AF1509" s="1">
        <v>10023</v>
      </c>
      <c r="AI1509" s="1" t="s">
        <v>76</v>
      </c>
      <c r="AJ1509" s="1">
        <v>2019</v>
      </c>
      <c r="AK1509" s="1" t="s">
        <v>77</v>
      </c>
      <c r="AL1509" s="1">
        <v>172</v>
      </c>
    </row>
    <row r="1510" spans="1:38" x14ac:dyDescent="0.2">
      <c r="A1510" s="2" t="str">
        <f>HYPERLINK("https://www.compass.com/listing/15-west-61st-street-unit-20d-manhattan-ny-10023/252522227012996289/","15 W 61st St, Unit 20D")</f>
        <v>15 W 61st St, Unit 20D</v>
      </c>
      <c r="B1510" s="2" t="str">
        <f t="shared" si="264"/>
        <v>The Park Loggia</v>
      </c>
      <c r="C1510" s="1" t="s">
        <v>50</v>
      </c>
      <c r="D1510" s="1" t="s">
        <v>41</v>
      </c>
      <c r="E1510" s="3">
        <v>3588163</v>
      </c>
      <c r="F1510" s="1">
        <v>2677.7332089552201</v>
      </c>
      <c r="G1510" s="1">
        <v>4</v>
      </c>
      <c r="H1510" s="1">
        <v>2</v>
      </c>
      <c r="I1510" s="1">
        <v>2</v>
      </c>
      <c r="J1510" s="1">
        <v>2</v>
      </c>
      <c r="K1510" s="1">
        <v>2</v>
      </c>
      <c r="M1510" s="4">
        <v>1340</v>
      </c>
      <c r="N1510" s="1">
        <v>1415</v>
      </c>
      <c r="O1510" s="1">
        <v>2776</v>
      </c>
      <c r="P1510" s="1">
        <v>1361</v>
      </c>
      <c r="Q1510" s="1" t="s">
        <v>42</v>
      </c>
      <c r="S1510" s="1" t="s">
        <v>42</v>
      </c>
      <c r="T1510" s="1" t="s">
        <v>170</v>
      </c>
      <c r="U1510" s="1">
        <v>24</v>
      </c>
      <c r="V1510" s="5">
        <v>43911</v>
      </c>
      <c r="W1510" s="5">
        <v>43597</v>
      </c>
      <c r="X1510" s="1">
        <v>3550000</v>
      </c>
      <c r="AB1510" s="1" t="s">
        <v>181</v>
      </c>
      <c r="AF1510" s="1">
        <v>10023</v>
      </c>
      <c r="AI1510" s="1" t="s">
        <v>102</v>
      </c>
      <c r="AJ1510" s="1">
        <v>2019</v>
      </c>
      <c r="AK1510" s="1" t="s">
        <v>77</v>
      </c>
      <c r="AL1510" s="1">
        <v>172</v>
      </c>
    </row>
    <row r="1511" spans="1:38" x14ac:dyDescent="0.2">
      <c r="A1511" s="2" t="str">
        <f>HYPERLINK("https://www.compass.com/listing/15-west-61st-street-unit-22d-manhattan-ny-10023/487522242696378009/","15 W 61st St, Unit 22D")</f>
        <v>15 W 61st St, Unit 22D</v>
      </c>
      <c r="B1511" s="2" t="str">
        <f t="shared" si="264"/>
        <v>The Park Loggia</v>
      </c>
      <c r="C1511" s="1" t="s">
        <v>50</v>
      </c>
      <c r="D1511" s="1" t="s">
        <v>41</v>
      </c>
      <c r="E1511" s="3">
        <v>3454866</v>
      </c>
      <c r="F1511" s="1">
        <v>2578.2579477611898</v>
      </c>
      <c r="G1511" s="1">
        <v>4</v>
      </c>
      <c r="H1511" s="1">
        <v>2</v>
      </c>
      <c r="I1511" s="1">
        <v>2</v>
      </c>
      <c r="J1511" s="1">
        <v>2</v>
      </c>
      <c r="K1511" s="1">
        <v>2</v>
      </c>
      <c r="M1511" s="4">
        <v>1340</v>
      </c>
      <c r="N1511" s="1">
        <v>1415</v>
      </c>
      <c r="O1511" s="1">
        <v>2776</v>
      </c>
      <c r="P1511" s="1">
        <v>1361</v>
      </c>
      <c r="Q1511" s="1" t="s">
        <v>42</v>
      </c>
      <c r="S1511" s="1" t="s">
        <v>42</v>
      </c>
      <c r="T1511" s="1" t="s">
        <v>170</v>
      </c>
      <c r="U1511" s="1">
        <v>256</v>
      </c>
      <c r="V1511" s="5">
        <v>43925</v>
      </c>
      <c r="W1511" s="5">
        <v>43654</v>
      </c>
      <c r="X1511" s="1">
        <v>3427200</v>
      </c>
      <c r="Y1511" s="1">
        <v>3427200</v>
      </c>
      <c r="AA1511" s="1">
        <v>3454865.65</v>
      </c>
      <c r="AB1511" s="1" t="s">
        <v>1182</v>
      </c>
      <c r="AC1511" s="5">
        <v>43917</v>
      </c>
      <c r="AF1511" s="1">
        <v>10023</v>
      </c>
      <c r="AI1511" s="1" t="s">
        <v>103</v>
      </c>
      <c r="AJ1511" s="1">
        <v>2019</v>
      </c>
      <c r="AK1511" s="1" t="s">
        <v>77</v>
      </c>
      <c r="AL1511" s="1">
        <v>172</v>
      </c>
    </row>
    <row r="1512" spans="1:38" x14ac:dyDescent="0.2">
      <c r="A1512" s="2" t="str">
        <f>HYPERLINK("https://www.compass.com/listing/15-west-61st-street-unit-12b-manhattan-ny-10023/531328631786882361/","15 W 61st St, Unit 12B")</f>
        <v>15 W 61st St, Unit 12B</v>
      </c>
      <c r="B1512" s="2" t="str">
        <f t="shared" si="264"/>
        <v>The Park Loggia</v>
      </c>
      <c r="C1512" s="1" t="s">
        <v>50</v>
      </c>
      <c r="D1512" s="1" t="s">
        <v>41</v>
      </c>
      <c r="E1512" s="3">
        <v>3195072</v>
      </c>
      <c r="F1512" s="1">
        <v>2564.2631942214998</v>
      </c>
      <c r="G1512" s="1">
        <v>4</v>
      </c>
      <c r="H1512" s="1">
        <v>2</v>
      </c>
      <c r="I1512" s="1">
        <v>2</v>
      </c>
      <c r="J1512" s="1">
        <v>2</v>
      </c>
      <c r="K1512" s="1">
        <v>2</v>
      </c>
      <c r="M1512" s="4">
        <v>1246</v>
      </c>
      <c r="N1512" s="1">
        <v>1320</v>
      </c>
      <c r="O1512" s="1">
        <v>2590</v>
      </c>
      <c r="P1512" s="1">
        <v>1270</v>
      </c>
      <c r="Q1512" s="1" t="s">
        <v>42</v>
      </c>
      <c r="S1512" s="1" t="s">
        <v>42</v>
      </c>
      <c r="T1512" s="1" t="s">
        <v>170</v>
      </c>
      <c r="U1512" s="1">
        <v>209</v>
      </c>
      <c r="V1512" s="5">
        <v>43988</v>
      </c>
      <c r="W1512" s="5">
        <v>43700</v>
      </c>
      <c r="X1512" s="1">
        <v>3093750</v>
      </c>
      <c r="Y1512" s="1">
        <v>3093750</v>
      </c>
      <c r="AA1512" s="1">
        <v>3195071.94</v>
      </c>
      <c r="AB1512" s="1" t="s">
        <v>1183</v>
      </c>
      <c r="AC1512" s="5">
        <v>43984</v>
      </c>
      <c r="AF1512" s="1">
        <v>10023</v>
      </c>
      <c r="AI1512" s="1" t="s">
        <v>103</v>
      </c>
      <c r="AJ1512" s="1">
        <v>2019</v>
      </c>
      <c r="AK1512" s="1" t="s">
        <v>77</v>
      </c>
      <c r="AL1512" s="1">
        <v>172</v>
      </c>
    </row>
    <row r="1513" spans="1:38" x14ac:dyDescent="0.2">
      <c r="A1513" s="2" t="str">
        <f>HYPERLINK("https://www.compass.com/listing/200-east-95th-street-unit-6g-manhattan-ny-10128/157063848560442721/","200 E 95th St, Unit 6G")</f>
        <v>200 E 95th St, Unit 6G</v>
      </c>
      <c r="B1513" s="2" t="str">
        <f t="shared" ref="B1513:B1516" si="265">HYPERLINK("https://www.compass.com/building/the-kent-manhattan-ny/282049801384650021/","The Kent")</f>
        <v>The Kent</v>
      </c>
      <c r="C1513" s="1" t="s">
        <v>115</v>
      </c>
      <c r="D1513" s="1" t="s">
        <v>41</v>
      </c>
      <c r="E1513" s="3">
        <v>3497530</v>
      </c>
      <c r="F1513" s="1">
        <v>1869.3373971138401</v>
      </c>
      <c r="G1513" s="1">
        <v>5</v>
      </c>
      <c r="H1513" s="1">
        <v>3</v>
      </c>
      <c r="I1513" s="1">
        <v>3</v>
      </c>
      <c r="J1513" s="1">
        <v>3</v>
      </c>
      <c r="K1513" s="1">
        <v>3</v>
      </c>
      <c r="M1513" s="4">
        <v>1871</v>
      </c>
      <c r="N1513" s="1">
        <v>2205</v>
      </c>
      <c r="O1513" s="1">
        <v>2429</v>
      </c>
      <c r="P1513" s="1">
        <v>224</v>
      </c>
      <c r="Q1513" s="1" t="s">
        <v>42</v>
      </c>
      <c r="S1513" s="1" t="s">
        <v>42</v>
      </c>
      <c r="T1513" s="1" t="s">
        <v>170</v>
      </c>
      <c r="U1513" s="1">
        <v>112</v>
      </c>
      <c r="V1513" s="5">
        <v>43696</v>
      </c>
      <c r="W1513" s="5">
        <v>43469</v>
      </c>
      <c r="X1513" s="1">
        <v>3761000</v>
      </c>
      <c r="Y1513" s="1">
        <v>3761000</v>
      </c>
      <c r="Z1513" s="5">
        <v>43581</v>
      </c>
      <c r="AA1513" s="1">
        <v>3497530.27</v>
      </c>
      <c r="AB1513" s="1" t="s">
        <v>1184</v>
      </c>
      <c r="AC1513" s="5">
        <v>43682</v>
      </c>
      <c r="AF1513" s="1">
        <v>10128</v>
      </c>
      <c r="AJ1513" s="1">
        <v>2017</v>
      </c>
      <c r="AK1513" s="1" t="s">
        <v>73</v>
      </c>
      <c r="AL1513" s="1">
        <v>83</v>
      </c>
    </row>
    <row r="1514" spans="1:38" x14ac:dyDescent="0.2">
      <c r="A1514" s="2" t="str">
        <f>HYPERLINK("https://www.compass.com/listing/200-east-95th-street-unit-5g-manhattan-ny-10128/241854048712585697/","200 E 95th St, Unit 5G")</f>
        <v>200 E 95th St, Unit 5G</v>
      </c>
      <c r="B1514" s="2" t="str">
        <f t="shared" si="265"/>
        <v>The Kent</v>
      </c>
      <c r="C1514" s="1" t="s">
        <v>115</v>
      </c>
      <c r="D1514" s="1" t="s">
        <v>41</v>
      </c>
      <c r="E1514" s="3">
        <v>3479880</v>
      </c>
      <c r="F1514" s="1">
        <v>1859.9038695884501</v>
      </c>
      <c r="G1514" s="1">
        <v>5</v>
      </c>
      <c r="H1514" s="1">
        <v>3</v>
      </c>
      <c r="I1514" s="1">
        <v>3</v>
      </c>
      <c r="J1514" s="1">
        <v>3</v>
      </c>
      <c r="K1514" s="1">
        <v>3</v>
      </c>
      <c r="M1514" s="4">
        <v>1871</v>
      </c>
      <c r="N1514" s="1">
        <v>2194</v>
      </c>
      <c r="O1514" s="1">
        <v>2417</v>
      </c>
      <c r="P1514" s="1">
        <v>223</v>
      </c>
      <c r="Q1514" s="1" t="s">
        <v>42</v>
      </c>
      <c r="S1514" s="1" t="s">
        <v>42</v>
      </c>
      <c r="T1514" s="1" t="s">
        <v>170</v>
      </c>
      <c r="U1514" s="1">
        <v>52</v>
      </c>
      <c r="V1514" s="5">
        <v>43683</v>
      </c>
      <c r="W1514" s="5">
        <v>43586</v>
      </c>
      <c r="X1514" s="1">
        <v>3742000</v>
      </c>
      <c r="Y1514" s="1">
        <v>3742000</v>
      </c>
      <c r="Z1514" s="5">
        <v>43638</v>
      </c>
      <c r="AA1514" s="1">
        <v>3479880.14</v>
      </c>
      <c r="AB1514" s="1" t="s">
        <v>1185</v>
      </c>
      <c r="AC1514" s="5">
        <v>43677</v>
      </c>
      <c r="AF1514" s="1">
        <v>10128</v>
      </c>
      <c r="AJ1514" s="1">
        <v>2017</v>
      </c>
      <c r="AK1514" s="1" t="s">
        <v>73</v>
      </c>
      <c r="AL1514" s="1">
        <v>83</v>
      </c>
    </row>
    <row r="1515" spans="1:38" x14ac:dyDescent="0.2">
      <c r="A1515" s="2" t="str">
        <f>HYPERLINK("https://www.compass.com/listing/200-east-95th-street-unit-6b-manhattan-ny-10128/29423545289343937/","200 E 95th St, Unit 6B")</f>
        <v>200 E 95th St, Unit 6B</v>
      </c>
      <c r="B1515" s="2" t="str">
        <f t="shared" si="265"/>
        <v>The Kent</v>
      </c>
      <c r="C1515" s="1" t="s">
        <v>115</v>
      </c>
      <c r="D1515" s="1" t="s">
        <v>41</v>
      </c>
      <c r="E1515" s="3">
        <v>2660614</v>
      </c>
      <c r="F1515" s="1">
        <v>2057.7061098221102</v>
      </c>
      <c r="G1515" s="1">
        <v>4</v>
      </c>
      <c r="H1515" s="1">
        <v>2</v>
      </c>
      <c r="I1515" s="1">
        <v>2</v>
      </c>
      <c r="J1515" s="1">
        <v>2</v>
      </c>
      <c r="M1515" s="4">
        <v>1293</v>
      </c>
      <c r="N1515" s="1">
        <v>1485</v>
      </c>
      <c r="O1515" s="1">
        <v>1644</v>
      </c>
      <c r="P1515" s="1">
        <v>159</v>
      </c>
      <c r="Q1515" s="1" t="s">
        <v>42</v>
      </c>
      <c r="S1515" s="1" t="s">
        <v>42</v>
      </c>
      <c r="T1515" s="1" t="s">
        <v>170</v>
      </c>
      <c r="U1515" s="1">
        <v>1</v>
      </c>
      <c r="V1515" s="5">
        <v>43637</v>
      </c>
      <c r="W1515" s="5">
        <v>42887</v>
      </c>
      <c r="X1515" s="1">
        <v>2609000</v>
      </c>
      <c r="Y1515" s="1">
        <v>2609000</v>
      </c>
      <c r="Z1515" s="5">
        <v>42888</v>
      </c>
      <c r="AA1515" s="1">
        <v>2660614</v>
      </c>
      <c r="AB1515" s="1" t="s">
        <v>1186</v>
      </c>
      <c r="AC1515" s="5">
        <v>43245</v>
      </c>
      <c r="AF1515" s="1">
        <v>10128</v>
      </c>
      <c r="AJ1515" s="1">
        <v>2017</v>
      </c>
      <c r="AK1515" s="1" t="s">
        <v>73</v>
      </c>
      <c r="AL1515" s="1">
        <v>83</v>
      </c>
    </row>
    <row r="1516" spans="1:38" x14ac:dyDescent="0.2">
      <c r="A1516" s="2" t="str">
        <f>HYPERLINK("https://www.compass.com/listing/200-east-95th-street-unit-6d-manhattan-ny-10128/29423546195258305/","200 E 95th St, Unit 6D")</f>
        <v>200 E 95th St, Unit 6D</v>
      </c>
      <c r="B1516" s="2" t="str">
        <f t="shared" si="265"/>
        <v>The Kent</v>
      </c>
      <c r="C1516" s="1" t="s">
        <v>115</v>
      </c>
      <c r="D1516" s="1" t="s">
        <v>41</v>
      </c>
      <c r="E1516" s="3">
        <v>2716618</v>
      </c>
      <c r="F1516" s="1">
        <v>2000.45508100147</v>
      </c>
      <c r="G1516" s="1">
        <v>4</v>
      </c>
      <c r="H1516" s="1">
        <v>2</v>
      </c>
      <c r="I1516" s="1">
        <v>2</v>
      </c>
      <c r="J1516" s="1">
        <v>2</v>
      </c>
      <c r="M1516" s="4">
        <v>1358</v>
      </c>
      <c r="N1516" s="1">
        <v>1551</v>
      </c>
      <c r="O1516" s="1">
        <v>1717</v>
      </c>
      <c r="P1516" s="1">
        <v>166</v>
      </c>
      <c r="Q1516" s="1" t="s">
        <v>42</v>
      </c>
      <c r="S1516" s="1" t="s">
        <v>42</v>
      </c>
      <c r="T1516" s="1" t="s">
        <v>170</v>
      </c>
      <c r="U1516" s="1">
        <v>1</v>
      </c>
      <c r="V1516" s="5">
        <v>43649</v>
      </c>
      <c r="W1516" s="5">
        <v>42942</v>
      </c>
      <c r="X1516" s="1">
        <v>2747000</v>
      </c>
      <c r="Y1516" s="1">
        <v>2747000</v>
      </c>
      <c r="Z1516" s="5">
        <v>42943</v>
      </c>
      <c r="AA1516" s="1">
        <v>2716618</v>
      </c>
      <c r="AB1516" s="1" t="s">
        <v>1187</v>
      </c>
      <c r="AC1516" s="5">
        <v>43229</v>
      </c>
      <c r="AF1516" s="1">
        <v>10128</v>
      </c>
      <c r="AJ1516" s="1">
        <v>2017</v>
      </c>
      <c r="AK1516" s="1" t="s">
        <v>73</v>
      </c>
      <c r="AL1516" s="1">
        <v>83</v>
      </c>
    </row>
    <row r="1517" spans="1:38" x14ac:dyDescent="0.2">
      <c r="A1517" s="2" t="str">
        <f>HYPERLINK("https://www.compass.com/listing/15-west-61st-street-unit-27d-manhattan-ny-10023/477244539971821793/","15 W 61st St, Unit 27D")</f>
        <v>15 W 61st St, Unit 27D</v>
      </c>
      <c r="B1517" s="2" t="str">
        <f>HYPERLINK("https://www.compass.com/building/the-park-loggia-manhattan-ny/292861833130357557/","The Park Loggia")</f>
        <v>The Park Loggia</v>
      </c>
      <c r="C1517" s="1" t="s">
        <v>50</v>
      </c>
      <c r="D1517" s="1" t="s">
        <v>41</v>
      </c>
      <c r="E1517" s="3">
        <v>3675210</v>
      </c>
      <c r="F1517" s="1">
        <v>2698.3923494860401</v>
      </c>
      <c r="G1517" s="1">
        <v>4</v>
      </c>
      <c r="H1517" s="1">
        <v>2</v>
      </c>
      <c r="I1517" s="1">
        <v>2</v>
      </c>
      <c r="J1517" s="1">
        <v>2</v>
      </c>
      <c r="K1517" s="1">
        <v>2</v>
      </c>
      <c r="M1517" s="4">
        <v>1362</v>
      </c>
      <c r="N1517" s="1">
        <v>1437</v>
      </c>
      <c r="O1517" s="1">
        <v>2820</v>
      </c>
      <c r="P1517" s="1">
        <v>1383</v>
      </c>
      <c r="Q1517" s="1" t="s">
        <v>42</v>
      </c>
      <c r="S1517" s="1" t="s">
        <v>42</v>
      </c>
      <c r="T1517" s="1" t="s">
        <v>170</v>
      </c>
      <c r="U1517" s="1">
        <v>125</v>
      </c>
      <c r="V1517" s="5">
        <v>43911</v>
      </c>
      <c r="W1517" s="5">
        <v>43777</v>
      </c>
      <c r="X1517" s="1">
        <v>3600500</v>
      </c>
      <c r="Y1517" s="1">
        <v>3600500</v>
      </c>
      <c r="AA1517" s="1">
        <v>3675210.38</v>
      </c>
      <c r="AB1517" s="1" t="s">
        <v>1188</v>
      </c>
      <c r="AC1517" s="5">
        <v>43903</v>
      </c>
      <c r="AF1517" s="1">
        <v>10023</v>
      </c>
      <c r="AI1517" s="1" t="s">
        <v>103</v>
      </c>
      <c r="AJ1517" s="1">
        <v>2019</v>
      </c>
      <c r="AK1517" s="1" t="s">
        <v>77</v>
      </c>
      <c r="AL1517" s="1">
        <v>172</v>
      </c>
    </row>
    <row r="1518" spans="1:38" x14ac:dyDescent="0.2">
      <c r="A1518" s="2" t="str">
        <f>HYPERLINK("https://www.compass.com/listing/200-east-95th-street-unit-6c-manhattan-ny-10128/29423545759115041/","200 E 95th St, Unit 6C")</f>
        <v>200 E 95th St, Unit 6C</v>
      </c>
      <c r="B1518" s="2" t="str">
        <f t="shared" ref="B1518:B1520" si="266">HYPERLINK("https://www.compass.com/building/the-kent-manhattan-ny/282049801384650021/","The Kent")</f>
        <v>The Kent</v>
      </c>
      <c r="C1518" s="1" t="s">
        <v>115</v>
      </c>
      <c r="D1518" s="1" t="s">
        <v>41</v>
      </c>
      <c r="E1518" s="3">
        <v>2703393</v>
      </c>
      <c r="F1518" s="1">
        <v>2001.0310880828999</v>
      </c>
      <c r="G1518" s="1">
        <v>4</v>
      </c>
      <c r="H1518" s="1">
        <v>2</v>
      </c>
      <c r="I1518" s="1">
        <v>2</v>
      </c>
      <c r="J1518" s="1">
        <v>2</v>
      </c>
      <c r="M1518" s="4">
        <v>1351</v>
      </c>
      <c r="N1518" s="1">
        <v>1565</v>
      </c>
      <c r="O1518" s="1">
        <v>1731</v>
      </c>
      <c r="P1518" s="1">
        <v>166</v>
      </c>
      <c r="Q1518" s="1" t="s">
        <v>42</v>
      </c>
      <c r="S1518" s="1" t="s">
        <v>42</v>
      </c>
      <c r="T1518" s="1" t="s">
        <v>170</v>
      </c>
      <c r="U1518" s="1">
        <v>197</v>
      </c>
      <c r="V1518" s="5">
        <v>43637</v>
      </c>
      <c r="W1518" s="5">
        <v>42837</v>
      </c>
      <c r="X1518" s="1">
        <v>2733000</v>
      </c>
      <c r="Y1518" s="1">
        <v>2733000</v>
      </c>
      <c r="Z1518" s="5">
        <v>43034</v>
      </c>
      <c r="AA1518" s="1">
        <v>2703393</v>
      </c>
      <c r="AB1518" s="1" t="s">
        <v>1189</v>
      </c>
      <c r="AC1518" s="5">
        <v>43235</v>
      </c>
      <c r="AF1518" s="1">
        <v>10128</v>
      </c>
      <c r="AJ1518" s="1">
        <v>2017</v>
      </c>
      <c r="AK1518" s="1" t="s">
        <v>73</v>
      </c>
      <c r="AL1518" s="1">
        <v>83</v>
      </c>
    </row>
    <row r="1519" spans="1:38" x14ac:dyDescent="0.2">
      <c r="A1519" s="2" t="str">
        <f>HYPERLINK("https://www.compass.com/listing/200-east-95th-street-unit-5b-manhattan-ny-10128/29512937626505873/","200 E 95th St, Unit 5B")</f>
        <v>200 E 95th St, Unit 5B</v>
      </c>
      <c r="B1519" s="2" t="str">
        <f t="shared" si="266"/>
        <v>The Kent</v>
      </c>
      <c r="C1519" s="1" t="s">
        <v>115</v>
      </c>
      <c r="D1519" s="1" t="s">
        <v>41</v>
      </c>
      <c r="E1519" s="3">
        <v>2457000</v>
      </c>
      <c r="F1519" s="1">
        <v>1900.2320185614799</v>
      </c>
      <c r="G1519" s="1">
        <v>4</v>
      </c>
      <c r="H1519" s="1">
        <v>2</v>
      </c>
      <c r="I1519" s="1">
        <v>2</v>
      </c>
      <c r="J1519" s="1">
        <v>2</v>
      </c>
      <c r="M1519" s="4">
        <v>1293</v>
      </c>
      <c r="N1519" s="1">
        <v>1478</v>
      </c>
      <c r="O1519" s="1">
        <v>1636</v>
      </c>
      <c r="P1519" s="1">
        <v>158</v>
      </c>
      <c r="Q1519" s="1" t="s">
        <v>42</v>
      </c>
      <c r="S1519" s="1" t="s">
        <v>42</v>
      </c>
      <c r="T1519" s="1" t="s">
        <v>170</v>
      </c>
      <c r="V1519" s="5">
        <v>43641</v>
      </c>
      <c r="W1519" s="5">
        <v>42847</v>
      </c>
      <c r="X1519" s="1">
        <v>2457000</v>
      </c>
      <c r="Y1519" s="1">
        <v>2457000</v>
      </c>
      <c r="Z1519" s="5">
        <v>42847</v>
      </c>
      <c r="AA1519" s="1">
        <v>2457000</v>
      </c>
      <c r="AB1519" s="1" t="s">
        <v>1190</v>
      </c>
      <c r="AC1519" s="5">
        <v>43291</v>
      </c>
      <c r="AF1519" s="1">
        <v>10128</v>
      </c>
      <c r="AJ1519" s="1">
        <v>2017</v>
      </c>
      <c r="AK1519" s="1" t="s">
        <v>73</v>
      </c>
      <c r="AL1519" s="1">
        <v>83</v>
      </c>
    </row>
    <row r="1520" spans="1:38" x14ac:dyDescent="0.2">
      <c r="A1520" s="2" t="str">
        <f>HYPERLINK("https://www.compass.com/listing/200-east-95th-street-unit-15c-manhattan-ny-10128/220878891328209041/","200 E 95th St, Unit 15C")</f>
        <v>200 E 95th St, Unit 15C</v>
      </c>
      <c r="B1520" s="2" t="str">
        <f t="shared" si="266"/>
        <v>The Kent</v>
      </c>
      <c r="C1520" s="1" t="s">
        <v>115</v>
      </c>
      <c r="D1520" s="1" t="s">
        <v>41</v>
      </c>
      <c r="E1520" s="3">
        <v>3934300</v>
      </c>
      <c r="F1520" s="1">
        <v>2008.32057172026</v>
      </c>
      <c r="G1520" s="1">
        <v>5</v>
      </c>
      <c r="H1520" s="1">
        <v>3</v>
      </c>
      <c r="I1520" s="1">
        <v>3</v>
      </c>
      <c r="J1520" s="1">
        <v>3</v>
      </c>
      <c r="K1520" s="1">
        <v>3</v>
      </c>
      <c r="M1520" s="4">
        <v>1959</v>
      </c>
      <c r="N1520" s="1">
        <v>2410</v>
      </c>
      <c r="O1520" s="1">
        <v>2655</v>
      </c>
      <c r="P1520" s="1">
        <v>245</v>
      </c>
      <c r="Q1520" s="1" t="s">
        <v>42</v>
      </c>
      <c r="S1520" s="1" t="s">
        <v>42</v>
      </c>
      <c r="T1520" s="1" t="s">
        <v>170</v>
      </c>
      <c r="U1520" s="1">
        <v>163</v>
      </c>
      <c r="V1520" s="5">
        <v>43747</v>
      </c>
      <c r="W1520" s="5">
        <v>43557</v>
      </c>
      <c r="X1520" s="1">
        <v>4367000</v>
      </c>
      <c r="Y1520" s="1">
        <v>4367000</v>
      </c>
      <c r="Z1520" s="5">
        <v>43720</v>
      </c>
      <c r="AA1520" s="1">
        <v>3934300</v>
      </c>
      <c r="AB1520" s="1" t="s">
        <v>1191</v>
      </c>
      <c r="AC1520" s="5">
        <v>43735</v>
      </c>
      <c r="AF1520" s="1">
        <v>10128</v>
      </c>
      <c r="AJ1520" s="1">
        <v>2017</v>
      </c>
      <c r="AK1520" s="1" t="s">
        <v>73</v>
      </c>
      <c r="AL1520" s="1">
        <v>83</v>
      </c>
    </row>
    <row r="1521" spans="1:38" x14ac:dyDescent="0.2">
      <c r="A1521" s="2" t="str">
        <f>HYPERLINK("https://www.compass.com/listing/15-west-61st-street-unit-28d-manhattan-ny-10023/508079165420121809/","15 W 61st St, Unit 28D")</f>
        <v>15 W 61st St, Unit 28D</v>
      </c>
      <c r="B1521" s="2" t="str">
        <f>HYPERLINK("https://www.compass.com/building/the-park-loggia-manhattan-ny/292861833130357557/","The Park Loggia")</f>
        <v>The Park Loggia</v>
      </c>
      <c r="C1521" s="1" t="s">
        <v>50</v>
      </c>
      <c r="D1521" s="1" t="s">
        <v>41</v>
      </c>
      <c r="E1521" s="3">
        <v>3750000</v>
      </c>
      <c r="F1521" s="1">
        <v>2753.3039647577002</v>
      </c>
      <c r="G1521" s="1">
        <v>4</v>
      </c>
      <c r="H1521" s="1">
        <v>2</v>
      </c>
      <c r="I1521" s="1">
        <v>2</v>
      </c>
      <c r="J1521" s="1">
        <v>2</v>
      </c>
      <c r="K1521" s="1">
        <v>2</v>
      </c>
      <c r="M1521" s="4">
        <v>1362</v>
      </c>
      <c r="N1521" s="1">
        <v>1437</v>
      </c>
      <c r="O1521" s="1">
        <v>2820</v>
      </c>
      <c r="P1521" s="1">
        <v>1383</v>
      </c>
      <c r="Q1521" s="1" t="s">
        <v>42</v>
      </c>
      <c r="S1521" s="1" t="s">
        <v>42</v>
      </c>
      <c r="T1521" s="1" t="s">
        <v>170</v>
      </c>
      <c r="U1521" s="1">
        <v>248</v>
      </c>
      <c r="V1521" s="5">
        <v>43981</v>
      </c>
      <c r="W1521" s="5">
        <v>43661</v>
      </c>
      <c r="X1521" s="1">
        <v>3750000</v>
      </c>
      <c r="Y1521" s="1">
        <v>3750000</v>
      </c>
      <c r="AA1521" s="1">
        <v>3750000</v>
      </c>
      <c r="AB1521" s="1" t="s">
        <v>1192</v>
      </c>
      <c r="AC1521" s="5">
        <v>43952</v>
      </c>
      <c r="AF1521" s="1">
        <v>10023</v>
      </c>
      <c r="AI1521" s="1" t="s">
        <v>103</v>
      </c>
      <c r="AJ1521" s="1">
        <v>2019</v>
      </c>
      <c r="AK1521" s="1" t="s">
        <v>77</v>
      </c>
      <c r="AL1521" s="1">
        <v>172</v>
      </c>
    </row>
    <row r="1522" spans="1:38" x14ac:dyDescent="0.2">
      <c r="A1522" s="2" t="str">
        <f>HYPERLINK("https://www.compass.com/listing/200-east-95th-street-unit-6a-manhattan-ny-10128/29512940101053777/","200 E 95th St, Unit 6A")</f>
        <v>200 E 95th St, Unit 6A</v>
      </c>
      <c r="B1522" s="2" t="str">
        <f t="shared" ref="B1522:B1523" si="267">HYPERLINK("https://www.compass.com/building/the-kent-manhattan-ny/282049801384650021/","The Kent")</f>
        <v>The Kent</v>
      </c>
      <c r="C1522" s="1" t="s">
        <v>115</v>
      </c>
      <c r="D1522" s="1" t="s">
        <v>41</v>
      </c>
      <c r="E1522" s="3">
        <v>2906013</v>
      </c>
      <c r="F1522" s="1">
        <v>1962.19648885887</v>
      </c>
      <c r="G1522" s="1">
        <v>4</v>
      </c>
      <c r="H1522" s="1">
        <v>2</v>
      </c>
      <c r="I1522" s="1">
        <v>2</v>
      </c>
      <c r="J1522" s="1">
        <v>2</v>
      </c>
      <c r="K1522" s="1">
        <v>2</v>
      </c>
      <c r="M1522" s="4">
        <v>1481</v>
      </c>
      <c r="N1522" s="1">
        <v>1738</v>
      </c>
      <c r="O1522" s="1">
        <v>1914</v>
      </c>
      <c r="P1522" s="1">
        <v>176</v>
      </c>
      <c r="Q1522" s="1" t="s">
        <v>42</v>
      </c>
      <c r="S1522" s="1" t="s">
        <v>42</v>
      </c>
      <c r="T1522" s="1" t="s">
        <v>170</v>
      </c>
      <c r="U1522" s="1">
        <v>125</v>
      </c>
      <c r="V1522" s="5">
        <v>43637</v>
      </c>
      <c r="W1522" s="5">
        <v>43439</v>
      </c>
      <c r="X1522" s="1">
        <v>2993000</v>
      </c>
      <c r="Y1522" s="1">
        <v>2993000</v>
      </c>
      <c r="Z1522" s="5">
        <v>43564</v>
      </c>
      <c r="AA1522" s="1">
        <v>2906013</v>
      </c>
      <c r="AB1522" s="1" t="s">
        <v>1193</v>
      </c>
      <c r="AC1522" s="5">
        <v>43589</v>
      </c>
      <c r="AF1522" s="1">
        <v>10128</v>
      </c>
      <c r="AJ1522" s="1">
        <v>2017</v>
      </c>
      <c r="AK1522" s="1" t="s">
        <v>73</v>
      </c>
      <c r="AL1522" s="1">
        <v>83</v>
      </c>
    </row>
    <row r="1523" spans="1:38" x14ac:dyDescent="0.2">
      <c r="A1523" s="2" t="str">
        <f>HYPERLINK("https://www.compass.com/listing/200-east-95th-street-unit-5d-manhattan-ny-10128/803339506706755777/","200 E 95th St, Unit 5D")</f>
        <v>200 E 95th St, Unit 5D</v>
      </c>
      <c r="B1523" s="2" t="str">
        <f t="shared" si="267"/>
        <v>The Kent</v>
      </c>
      <c r="C1523" s="1" t="s">
        <v>115</v>
      </c>
      <c r="D1523" s="1" t="s">
        <v>41</v>
      </c>
      <c r="E1523" s="3">
        <v>2661365</v>
      </c>
      <c r="F1523" s="1">
        <v>1959.7678497790801</v>
      </c>
      <c r="G1523" s="1">
        <v>4</v>
      </c>
      <c r="H1523" s="1">
        <v>2</v>
      </c>
      <c r="I1523" s="1">
        <v>2</v>
      </c>
      <c r="J1523" s="1">
        <v>2</v>
      </c>
      <c r="M1523" s="4">
        <v>1358</v>
      </c>
      <c r="N1523" s="1">
        <v>1544</v>
      </c>
      <c r="O1523" s="1">
        <v>1709</v>
      </c>
      <c r="P1523" s="1">
        <v>165</v>
      </c>
      <c r="Q1523" s="1" t="s">
        <v>42</v>
      </c>
      <c r="S1523" s="1" t="s">
        <v>42</v>
      </c>
      <c r="T1523" s="1" t="s">
        <v>170</v>
      </c>
      <c r="U1523" s="1">
        <v>373</v>
      </c>
      <c r="V1523" s="5">
        <v>43333</v>
      </c>
      <c r="W1523" s="5">
        <v>42843</v>
      </c>
      <c r="Y1523" s="1">
        <v>2587000</v>
      </c>
      <c r="Z1523" s="5">
        <v>43217</v>
      </c>
      <c r="AA1523" s="1">
        <v>2661364.7400000002</v>
      </c>
      <c r="AB1523" s="1" t="s">
        <v>1194</v>
      </c>
      <c r="AC1523" s="5">
        <v>43250</v>
      </c>
      <c r="AF1523" s="1">
        <v>10128</v>
      </c>
      <c r="AJ1523" s="1">
        <v>2017</v>
      </c>
      <c r="AK1523" s="1" t="s">
        <v>73</v>
      </c>
      <c r="AL1523" s="1">
        <v>83</v>
      </c>
    </row>
    <row r="1524" spans="1:38" x14ac:dyDescent="0.2">
      <c r="A1524" s="2" t="str">
        <f>HYPERLINK("https://www.compass.com/listing/277-5th-avenue-unit-40c-manhattan-ny-10016/801526493460387705/","277 5th Ave, Unit 40C")</f>
        <v>277 5th Ave, Unit 40C</v>
      </c>
      <c r="B1524" s="2" t="str">
        <f>HYPERLINK("https://www.compass.com/building/277-fifth-avenue-manhattan-ny/281939285475645317/","277 FIFTH AVENUE")</f>
        <v>277 FIFTH AVENUE</v>
      </c>
      <c r="C1524" s="1" t="s">
        <v>81</v>
      </c>
      <c r="D1524" s="1" t="s">
        <v>41</v>
      </c>
      <c r="E1524" s="3">
        <v>3800000</v>
      </c>
      <c r="F1524" s="1">
        <v>2720.1145311381501</v>
      </c>
      <c r="G1524" s="1">
        <v>4</v>
      </c>
      <c r="H1524" s="1">
        <v>2</v>
      </c>
      <c r="I1524" s="1">
        <v>2</v>
      </c>
      <c r="J1524" s="1">
        <v>2</v>
      </c>
      <c r="K1524" s="1">
        <v>2</v>
      </c>
      <c r="M1524" s="4">
        <v>1397</v>
      </c>
      <c r="N1524" s="1">
        <v>2011</v>
      </c>
      <c r="O1524" s="1">
        <v>3795</v>
      </c>
      <c r="P1524" s="1">
        <v>1784</v>
      </c>
      <c r="Q1524" s="1" t="s">
        <v>42</v>
      </c>
      <c r="S1524" s="1" t="s">
        <v>42</v>
      </c>
      <c r="T1524" s="1" t="s">
        <v>170</v>
      </c>
      <c r="V1524" s="5">
        <v>44419</v>
      </c>
      <c r="W1524" s="5">
        <v>44357</v>
      </c>
      <c r="X1524" s="1">
        <v>4475000</v>
      </c>
      <c r="Y1524" s="1">
        <v>4475000</v>
      </c>
      <c r="Z1524" s="5">
        <v>44358</v>
      </c>
      <c r="AA1524" s="1">
        <v>3800000</v>
      </c>
      <c r="AB1524" s="1" t="s">
        <v>1195</v>
      </c>
      <c r="AC1524" s="5">
        <v>44361</v>
      </c>
      <c r="AF1524" s="1">
        <v>10016</v>
      </c>
      <c r="AI1524" s="1" t="s">
        <v>82</v>
      </c>
      <c r="AJ1524" s="1">
        <v>2019</v>
      </c>
      <c r="AK1524" s="1" t="s">
        <v>46</v>
      </c>
      <c r="AL1524" s="1">
        <v>130</v>
      </c>
    </row>
    <row r="1525" spans="1:38" x14ac:dyDescent="0.2">
      <c r="A1525" s="2" t="str">
        <f>HYPERLINK("https://www.compass.com/listing/200-east-95th-street-unit-7c-manhattan-ny-10128/29423547772316625/","200 E 95th St, Unit 7C")</f>
        <v>200 E 95th St, Unit 7C</v>
      </c>
      <c r="B1525" s="2" t="str">
        <f t="shared" ref="B1525:B1539" si="268">HYPERLINK("https://www.compass.com/building/the-kent-manhattan-ny/282049801384650021/","The Kent")</f>
        <v>The Kent</v>
      </c>
      <c r="C1525" s="1" t="s">
        <v>115</v>
      </c>
      <c r="D1525" s="1" t="s">
        <v>41</v>
      </c>
      <c r="E1525" s="3">
        <v>2884000</v>
      </c>
      <c r="F1525" s="1">
        <v>2048.29545454545</v>
      </c>
      <c r="G1525" s="1">
        <v>4</v>
      </c>
      <c r="H1525" s="1">
        <v>2</v>
      </c>
      <c r="I1525" s="1">
        <v>2</v>
      </c>
      <c r="J1525" s="1">
        <v>2</v>
      </c>
      <c r="M1525" s="4">
        <v>1408</v>
      </c>
      <c r="N1525" s="1">
        <v>1616</v>
      </c>
      <c r="O1525" s="1">
        <v>1789</v>
      </c>
      <c r="P1525" s="1">
        <v>173</v>
      </c>
      <c r="Q1525" s="1" t="s">
        <v>42</v>
      </c>
      <c r="S1525" s="1" t="s">
        <v>42</v>
      </c>
      <c r="T1525" s="1" t="s">
        <v>170</v>
      </c>
      <c r="U1525" s="1">
        <v>36</v>
      </c>
      <c r="V1525" s="5">
        <v>43637</v>
      </c>
      <c r="W1525" s="5">
        <v>43054</v>
      </c>
      <c r="X1525" s="1">
        <v>2880000</v>
      </c>
      <c r="Y1525" s="1">
        <v>2880000</v>
      </c>
      <c r="Z1525" s="5">
        <v>43090</v>
      </c>
      <c r="AA1525" s="1">
        <v>2884000</v>
      </c>
      <c r="AB1525" s="1" t="s">
        <v>1196</v>
      </c>
      <c r="AC1525" s="5">
        <v>43249</v>
      </c>
      <c r="AF1525" s="1">
        <v>10128</v>
      </c>
      <c r="AJ1525" s="1">
        <v>2017</v>
      </c>
      <c r="AK1525" s="1" t="s">
        <v>73</v>
      </c>
      <c r="AL1525" s="1">
        <v>83</v>
      </c>
    </row>
    <row r="1526" spans="1:38" x14ac:dyDescent="0.2">
      <c r="A1526" s="2" t="str">
        <f>HYPERLINK("https://www.compass.com/listing/200-east-95th-street-unit-7d-manhattan-ny-10128/29423548200190945/","200 E 95th St, Unit 7D")</f>
        <v>200 E 95th St, Unit 7D</v>
      </c>
      <c r="B1526" s="2" t="str">
        <f t="shared" si="268"/>
        <v>The Kent</v>
      </c>
      <c r="C1526" s="1" t="s">
        <v>115</v>
      </c>
      <c r="D1526" s="1" t="s">
        <v>41</v>
      </c>
      <c r="E1526" s="3">
        <v>2727819</v>
      </c>
      <c r="F1526" s="1">
        <v>2127.7839313572499</v>
      </c>
      <c r="G1526" s="1">
        <v>4</v>
      </c>
      <c r="H1526" s="1">
        <v>2</v>
      </c>
      <c r="I1526" s="1">
        <v>2</v>
      </c>
      <c r="J1526" s="1">
        <v>2</v>
      </c>
      <c r="M1526" s="4">
        <v>1282</v>
      </c>
      <c r="N1526" s="1">
        <v>1492</v>
      </c>
      <c r="O1526" s="1">
        <v>1650</v>
      </c>
      <c r="P1526" s="1">
        <v>158</v>
      </c>
      <c r="Q1526" s="1" t="s">
        <v>42</v>
      </c>
      <c r="S1526" s="1" t="s">
        <v>42</v>
      </c>
      <c r="T1526" s="1" t="s">
        <v>170</v>
      </c>
      <c r="U1526" s="1">
        <v>64</v>
      </c>
      <c r="V1526" s="5">
        <v>43649</v>
      </c>
      <c r="W1526" s="5">
        <v>43035</v>
      </c>
      <c r="X1526" s="1">
        <v>2739000</v>
      </c>
      <c r="Y1526" s="1">
        <v>2739000</v>
      </c>
      <c r="Z1526" s="5">
        <v>43099</v>
      </c>
      <c r="AA1526" s="1">
        <v>2727819</v>
      </c>
      <c r="AB1526" s="1" t="s">
        <v>1197</v>
      </c>
      <c r="AC1526" s="5">
        <v>43215</v>
      </c>
      <c r="AF1526" s="1">
        <v>10128</v>
      </c>
      <c r="AJ1526" s="1">
        <v>2017</v>
      </c>
      <c r="AK1526" s="1" t="s">
        <v>73</v>
      </c>
      <c r="AL1526" s="1">
        <v>83</v>
      </c>
    </row>
    <row r="1527" spans="1:38" x14ac:dyDescent="0.2">
      <c r="A1527" s="2" t="str">
        <f>HYPERLINK("https://www.compass.com/listing/200-east-95th-street-unit-17c-manhattan-ny-10128/79482520739048433/","200 E 95th St, Unit 17C")</f>
        <v>200 E 95th St, Unit 17C</v>
      </c>
      <c r="B1527" s="2" t="str">
        <f t="shared" si="268"/>
        <v>The Kent</v>
      </c>
      <c r="C1527" s="1" t="s">
        <v>115</v>
      </c>
      <c r="D1527" s="1" t="s">
        <v>41</v>
      </c>
      <c r="E1527" s="3">
        <v>4073000</v>
      </c>
      <c r="F1527" s="1">
        <v>2079.1220010209199</v>
      </c>
      <c r="G1527" s="1">
        <v>5</v>
      </c>
      <c r="H1527" s="1">
        <v>3</v>
      </c>
      <c r="I1527" s="1">
        <v>3</v>
      </c>
      <c r="J1527" s="1">
        <v>3</v>
      </c>
      <c r="M1527" s="4">
        <v>1959</v>
      </c>
      <c r="N1527" s="1">
        <v>2374</v>
      </c>
      <c r="O1527" s="1">
        <v>2626</v>
      </c>
      <c r="P1527" s="1">
        <v>252</v>
      </c>
      <c r="Q1527" s="1" t="s">
        <v>42</v>
      </c>
      <c r="S1527" s="1" t="s">
        <v>42</v>
      </c>
      <c r="T1527" s="1" t="s">
        <v>170</v>
      </c>
      <c r="U1527" s="1">
        <v>2</v>
      </c>
      <c r="V1527" s="5">
        <v>43673</v>
      </c>
      <c r="W1527" s="5">
        <v>43362</v>
      </c>
      <c r="X1527" s="1">
        <v>4872000</v>
      </c>
      <c r="Y1527" s="1">
        <v>4455000</v>
      </c>
      <c r="Z1527" s="5">
        <v>43364</v>
      </c>
      <c r="AA1527" s="1">
        <v>4073000</v>
      </c>
      <c r="AB1527" s="1" t="s">
        <v>1198</v>
      </c>
      <c r="AC1527" s="5">
        <v>43371</v>
      </c>
      <c r="AF1527" s="1">
        <v>10128</v>
      </c>
      <c r="AJ1527" s="1">
        <v>2017</v>
      </c>
      <c r="AK1527" s="1" t="s">
        <v>73</v>
      </c>
      <c r="AL1527" s="1">
        <v>83</v>
      </c>
    </row>
    <row r="1528" spans="1:38" x14ac:dyDescent="0.2">
      <c r="A1528" s="2" t="str">
        <f>HYPERLINK("https://www.compass.com/listing/200-east-95th-street-unit-7e-manhattan-ny-10128/29423548611241793/","200 E 95th St, Unit 7E")</f>
        <v>200 E 95th St, Unit 7E</v>
      </c>
      <c r="B1528" s="2" t="str">
        <f t="shared" si="268"/>
        <v>The Kent</v>
      </c>
      <c r="C1528" s="1" t="s">
        <v>115</v>
      </c>
      <c r="D1528" s="1" t="s">
        <v>41</v>
      </c>
      <c r="E1528" s="3">
        <v>3578058</v>
      </c>
      <c r="F1528" s="1">
        <v>1995.57055214723</v>
      </c>
      <c r="G1528" s="1">
        <v>5</v>
      </c>
      <c r="H1528" s="1">
        <v>3</v>
      </c>
      <c r="I1528" s="1">
        <v>3</v>
      </c>
      <c r="J1528" s="1">
        <v>2.5</v>
      </c>
      <c r="M1528" s="4">
        <v>1793</v>
      </c>
      <c r="N1528" s="1">
        <v>2062</v>
      </c>
      <c r="O1528" s="1">
        <v>2283</v>
      </c>
      <c r="P1528" s="1">
        <v>221</v>
      </c>
      <c r="Q1528" s="1" t="s">
        <v>42</v>
      </c>
      <c r="S1528" s="1" t="s">
        <v>42</v>
      </c>
      <c r="T1528" s="1" t="s">
        <v>170</v>
      </c>
      <c r="V1528" s="5">
        <v>43648</v>
      </c>
      <c r="W1528" s="5">
        <v>42847</v>
      </c>
      <c r="X1528" s="1">
        <v>3694000</v>
      </c>
      <c r="Y1528" s="1">
        <v>3694000</v>
      </c>
      <c r="Z1528" s="5">
        <v>42847</v>
      </c>
      <c r="AA1528" s="1">
        <v>3578058</v>
      </c>
      <c r="AB1528" s="1" t="s">
        <v>1199</v>
      </c>
      <c r="AC1528" s="5">
        <v>43232</v>
      </c>
      <c r="AF1528" s="1">
        <v>10128</v>
      </c>
      <c r="AJ1528" s="1">
        <v>2017</v>
      </c>
      <c r="AK1528" s="1" t="s">
        <v>73</v>
      </c>
      <c r="AL1528" s="1">
        <v>83</v>
      </c>
    </row>
    <row r="1529" spans="1:38" x14ac:dyDescent="0.2">
      <c r="A1529" s="2" t="str">
        <f>HYPERLINK("https://www.compass.com/listing/200-east-95th-street-unit-6f-manhattan-ny-10128/29423547336173361/","200 E 95th St, Unit 6F")</f>
        <v>200 E 95th St, Unit 6F</v>
      </c>
      <c r="B1529" s="2" t="str">
        <f t="shared" si="268"/>
        <v>The Kent</v>
      </c>
      <c r="C1529" s="1" t="s">
        <v>115</v>
      </c>
      <c r="D1529" s="1" t="s">
        <v>41</v>
      </c>
      <c r="E1529" s="3">
        <v>3664000</v>
      </c>
      <c r="F1529" s="1">
        <v>2155.2941176470499</v>
      </c>
      <c r="G1529" s="1">
        <v>5</v>
      </c>
      <c r="H1529" s="1">
        <v>3</v>
      </c>
      <c r="I1529" s="1">
        <v>3</v>
      </c>
      <c r="J1529" s="1">
        <v>3</v>
      </c>
      <c r="M1529" s="4">
        <v>1700</v>
      </c>
      <c r="N1529" s="1">
        <v>1952</v>
      </c>
      <c r="O1529" s="1">
        <v>2159</v>
      </c>
      <c r="P1529" s="1">
        <v>207</v>
      </c>
      <c r="Q1529" s="1" t="s">
        <v>42</v>
      </c>
      <c r="S1529" s="1" t="s">
        <v>42</v>
      </c>
      <c r="T1529" s="1" t="s">
        <v>170</v>
      </c>
      <c r="U1529" s="1">
        <v>63</v>
      </c>
      <c r="V1529" s="5">
        <v>43637</v>
      </c>
      <c r="W1529" s="5">
        <v>42875</v>
      </c>
      <c r="X1529" s="1">
        <v>3660000</v>
      </c>
      <c r="Y1529" s="1">
        <v>3660000</v>
      </c>
      <c r="Z1529" s="5">
        <v>42938</v>
      </c>
      <c r="AA1529" s="1">
        <v>3664000</v>
      </c>
      <c r="AB1529" s="1" t="s">
        <v>1200</v>
      </c>
      <c r="AC1529" s="5">
        <v>43234</v>
      </c>
      <c r="AF1529" s="1">
        <v>10128</v>
      </c>
      <c r="AJ1529" s="1">
        <v>2017</v>
      </c>
      <c r="AK1529" s="1" t="s">
        <v>73</v>
      </c>
      <c r="AL1529" s="1">
        <v>83</v>
      </c>
    </row>
    <row r="1530" spans="1:38" x14ac:dyDescent="0.2">
      <c r="A1530" s="2" t="str">
        <f>HYPERLINK("https://www.compass.com/listing/200-east-95th-street-unit-7a-manhattan-ny-10128/15258522140815441/","200 E 95th St, Unit 7A")</f>
        <v>200 E 95th St, Unit 7A</v>
      </c>
      <c r="B1530" s="2" t="str">
        <f t="shared" si="268"/>
        <v>The Kent</v>
      </c>
      <c r="C1530" s="1" t="s">
        <v>115</v>
      </c>
      <c r="D1530" s="1" t="s">
        <v>41</v>
      </c>
      <c r="E1530" s="3">
        <v>3052714</v>
      </c>
      <c r="F1530" s="1">
        <v>2175.84746970776</v>
      </c>
      <c r="G1530" s="1">
        <v>4</v>
      </c>
      <c r="H1530" s="1">
        <v>2</v>
      </c>
      <c r="I1530" s="1">
        <v>2</v>
      </c>
      <c r="J1530" s="1">
        <v>2</v>
      </c>
      <c r="M1530" s="4">
        <v>1403</v>
      </c>
      <c r="N1530" s="1">
        <v>1638</v>
      </c>
      <c r="O1530" s="1">
        <v>1812</v>
      </c>
      <c r="P1530" s="1">
        <v>174</v>
      </c>
      <c r="Q1530" s="1" t="s">
        <v>42</v>
      </c>
      <c r="S1530" s="1" t="s">
        <v>42</v>
      </c>
      <c r="T1530" s="1" t="s">
        <v>170</v>
      </c>
      <c r="U1530" s="1">
        <v>1</v>
      </c>
      <c r="V1530" s="5">
        <v>43637</v>
      </c>
      <c r="W1530" s="5">
        <v>43182</v>
      </c>
      <c r="X1530" s="1">
        <v>2998000</v>
      </c>
      <c r="Y1530" s="1">
        <v>2998000</v>
      </c>
      <c r="Z1530" s="5">
        <v>43183</v>
      </c>
      <c r="AA1530" s="1">
        <v>3052714</v>
      </c>
      <c r="AB1530" s="1" t="s">
        <v>1201</v>
      </c>
      <c r="AC1530" s="5">
        <v>43365</v>
      </c>
      <c r="AF1530" s="1">
        <v>10128</v>
      </c>
      <c r="AJ1530" s="1">
        <v>2017</v>
      </c>
      <c r="AK1530" s="1" t="s">
        <v>73</v>
      </c>
      <c r="AL1530" s="1">
        <v>83</v>
      </c>
    </row>
    <row r="1531" spans="1:38" x14ac:dyDescent="0.2">
      <c r="A1531" s="2" t="str">
        <f>HYPERLINK("https://www.compass.com/listing/200-east-95th-street-unit-5f-manhattan-ny-10128/29423544853081009/","200 E 95th St, Unit 5F")</f>
        <v>200 E 95th St, Unit 5F</v>
      </c>
      <c r="B1531" s="2" t="str">
        <f t="shared" si="268"/>
        <v>The Kent</v>
      </c>
      <c r="C1531" s="1" t="s">
        <v>115</v>
      </c>
      <c r="D1531" s="1" t="s">
        <v>41</v>
      </c>
      <c r="E1531" s="3">
        <v>3198000</v>
      </c>
      <c r="F1531" s="1">
        <v>1977.7365491651201</v>
      </c>
      <c r="G1531" s="1">
        <v>4</v>
      </c>
      <c r="H1531" s="1">
        <v>2</v>
      </c>
      <c r="I1531" s="1">
        <v>3</v>
      </c>
      <c r="J1531" s="1">
        <v>3</v>
      </c>
      <c r="M1531" s="4">
        <v>1617</v>
      </c>
      <c r="N1531" s="1">
        <v>1846</v>
      </c>
      <c r="O1531" s="1">
        <v>2042</v>
      </c>
      <c r="P1531" s="1">
        <v>196</v>
      </c>
      <c r="Q1531" s="1" t="s">
        <v>42</v>
      </c>
      <c r="S1531" s="1" t="s">
        <v>42</v>
      </c>
      <c r="T1531" s="1" t="s">
        <v>170</v>
      </c>
      <c r="U1531" s="1">
        <v>280</v>
      </c>
      <c r="V1531" s="5">
        <v>43700</v>
      </c>
      <c r="W1531" s="5">
        <v>42770</v>
      </c>
      <c r="X1531" s="1">
        <v>3194000</v>
      </c>
      <c r="Y1531" s="1">
        <v>3194000</v>
      </c>
      <c r="Z1531" s="5">
        <v>43050</v>
      </c>
      <c r="AA1531" s="1">
        <v>3198000</v>
      </c>
      <c r="AB1531" s="1" t="s">
        <v>1202</v>
      </c>
      <c r="AC1531" s="5">
        <v>43245</v>
      </c>
      <c r="AF1531" s="1">
        <v>10128</v>
      </c>
      <c r="AJ1531" s="1">
        <v>2017</v>
      </c>
      <c r="AK1531" s="1" t="s">
        <v>73</v>
      </c>
      <c r="AL1531" s="1">
        <v>83</v>
      </c>
    </row>
    <row r="1532" spans="1:38" x14ac:dyDescent="0.2">
      <c r="A1532" s="2" t="str">
        <f>HYPERLINK("https://www.compass.com/listing/200-east-95th-street-unit-5e-manhattan-ny-10128/29423544442103569/","200 E 95th St, Unit 5E")</f>
        <v>200 E 95th St, Unit 5E</v>
      </c>
      <c r="B1532" s="2" t="str">
        <f t="shared" si="268"/>
        <v>The Kent</v>
      </c>
      <c r="C1532" s="1" t="s">
        <v>115</v>
      </c>
      <c r="D1532" s="1" t="s">
        <v>41</v>
      </c>
      <c r="E1532" s="3">
        <v>3586204</v>
      </c>
      <c r="F1532" s="1">
        <v>2046.9200913242</v>
      </c>
      <c r="G1532" s="1">
        <v>5</v>
      </c>
      <c r="H1532" s="1">
        <v>3</v>
      </c>
      <c r="I1532" s="1">
        <v>3</v>
      </c>
      <c r="J1532" s="1">
        <v>2.5</v>
      </c>
      <c r="M1532" s="4">
        <v>1752</v>
      </c>
      <c r="N1532" s="1">
        <v>2007</v>
      </c>
      <c r="O1532" s="1">
        <v>2222</v>
      </c>
      <c r="P1532" s="1">
        <v>215</v>
      </c>
      <c r="Q1532" s="1" t="s">
        <v>42</v>
      </c>
      <c r="S1532" s="1" t="s">
        <v>42</v>
      </c>
      <c r="T1532" s="1" t="s">
        <v>170</v>
      </c>
      <c r="U1532" s="1">
        <v>10</v>
      </c>
      <c r="V1532" s="5">
        <v>43670</v>
      </c>
      <c r="W1532" s="5">
        <v>42770</v>
      </c>
      <c r="X1532" s="1">
        <v>3548000</v>
      </c>
      <c r="Y1532" s="1">
        <v>3548000</v>
      </c>
      <c r="Z1532" s="5">
        <v>42871</v>
      </c>
      <c r="AA1532" s="1">
        <v>3586204</v>
      </c>
      <c r="AB1532" s="1" t="s">
        <v>1203</v>
      </c>
      <c r="AC1532" s="5">
        <v>43222</v>
      </c>
      <c r="AF1532" s="1">
        <v>10128</v>
      </c>
      <c r="AJ1532" s="1">
        <v>2017</v>
      </c>
      <c r="AK1532" s="1" t="s">
        <v>73</v>
      </c>
      <c r="AL1532" s="1">
        <v>83</v>
      </c>
    </row>
    <row r="1533" spans="1:38" x14ac:dyDescent="0.2">
      <c r="A1533" s="2" t="str">
        <f>HYPERLINK("https://www.compass.com/listing/200-east-95th-street-unit-9a-manhattan-ny-10128/29512939681714961/","200 E 95th St, Unit 9A")</f>
        <v>200 E 95th St, Unit 9A</v>
      </c>
      <c r="B1533" s="2" t="str">
        <f t="shared" si="268"/>
        <v>The Kent</v>
      </c>
      <c r="C1533" s="1" t="s">
        <v>115</v>
      </c>
      <c r="D1533" s="1" t="s">
        <v>41</v>
      </c>
      <c r="E1533" s="3">
        <v>8279000</v>
      </c>
      <c r="F1533" s="1">
        <v>2322.9517396184001</v>
      </c>
      <c r="G1533" s="1">
        <v>8</v>
      </c>
      <c r="H1533" s="1">
        <v>5</v>
      </c>
      <c r="I1533" s="1">
        <v>5</v>
      </c>
      <c r="J1533" s="1">
        <v>4.5</v>
      </c>
      <c r="M1533" s="4">
        <v>3564</v>
      </c>
      <c r="N1533" s="1">
        <v>4128</v>
      </c>
      <c r="O1533" s="1">
        <v>4566</v>
      </c>
      <c r="P1533" s="1">
        <v>438</v>
      </c>
      <c r="Q1533" s="1" t="s">
        <v>42</v>
      </c>
      <c r="S1533" s="1" t="s">
        <v>42</v>
      </c>
      <c r="T1533" s="1" t="s">
        <v>170</v>
      </c>
      <c r="U1533" s="1">
        <v>41</v>
      </c>
      <c r="V1533" s="5">
        <v>43670</v>
      </c>
      <c r="W1533" s="5">
        <v>43287</v>
      </c>
      <c r="X1533" s="1">
        <v>8279000</v>
      </c>
      <c r="Y1533" s="1">
        <v>8279000</v>
      </c>
      <c r="AA1533" s="1">
        <v>8279000</v>
      </c>
      <c r="AB1533" s="1" t="s">
        <v>181</v>
      </c>
      <c r="AC1533" s="5">
        <v>43328</v>
      </c>
      <c r="AF1533" s="1">
        <v>10128</v>
      </c>
      <c r="AJ1533" s="1">
        <v>2017</v>
      </c>
      <c r="AK1533" s="1" t="s">
        <v>73</v>
      </c>
      <c r="AL1533" s="1">
        <v>83</v>
      </c>
    </row>
    <row r="1534" spans="1:38" x14ac:dyDescent="0.2">
      <c r="A1534" s="2" t="str">
        <f>HYPERLINK("https://www.compass.com/listing/200-east-95th-street-unit-16c-manhattan-ny-10128/663013719808892921/","200 E 95th St, Unit 16C")</f>
        <v>200 E 95th St, Unit 16C</v>
      </c>
      <c r="B1534" s="2" t="str">
        <f t="shared" si="268"/>
        <v>The Kent</v>
      </c>
      <c r="C1534" s="1" t="s">
        <v>115</v>
      </c>
      <c r="D1534" s="1" t="s">
        <v>41</v>
      </c>
      <c r="E1534" s="3">
        <v>3831813</v>
      </c>
      <c r="F1534" s="1">
        <v>1956.0043389484399</v>
      </c>
      <c r="G1534" s="1">
        <v>6</v>
      </c>
      <c r="H1534" s="1">
        <v>3</v>
      </c>
      <c r="I1534" s="1">
        <v>3</v>
      </c>
      <c r="J1534" s="1">
        <v>3</v>
      </c>
      <c r="K1534" s="1">
        <v>3</v>
      </c>
      <c r="M1534" s="4">
        <v>1959</v>
      </c>
      <c r="N1534" s="1">
        <v>2422</v>
      </c>
      <c r="O1534" s="1">
        <v>2668</v>
      </c>
      <c r="P1534" s="1">
        <v>246</v>
      </c>
      <c r="Q1534" s="1" t="s">
        <v>42</v>
      </c>
      <c r="S1534" s="1" t="s">
        <v>42</v>
      </c>
      <c r="T1534" s="1" t="s">
        <v>170</v>
      </c>
      <c r="U1534" s="1">
        <v>134</v>
      </c>
      <c r="V1534" s="5">
        <v>44301</v>
      </c>
      <c r="W1534" s="5">
        <v>44167</v>
      </c>
      <c r="X1534" s="1">
        <v>4100000</v>
      </c>
      <c r="Y1534" s="1">
        <v>4100000</v>
      </c>
      <c r="Z1534" s="5">
        <v>44301</v>
      </c>
      <c r="AA1534" s="1">
        <v>3831812.5</v>
      </c>
      <c r="AB1534" s="1" t="s">
        <v>1204</v>
      </c>
      <c r="AC1534" s="5">
        <v>44378</v>
      </c>
      <c r="AF1534" s="1">
        <v>10128</v>
      </c>
      <c r="AJ1534" s="1">
        <v>2017</v>
      </c>
      <c r="AK1534" s="1" t="s">
        <v>73</v>
      </c>
      <c r="AL1534" s="1">
        <v>83</v>
      </c>
    </row>
    <row r="1535" spans="1:38" x14ac:dyDescent="0.2">
      <c r="A1535" s="2" t="str">
        <f>HYPERLINK("https://www.compass.com/listing/200-east-95th-street-unit-12c-manhattan-ny-10128/185420197723666689/","200 E 95th St, Unit 12C")</f>
        <v>200 E 95th St, Unit 12C</v>
      </c>
      <c r="B1535" s="2" t="str">
        <f t="shared" si="268"/>
        <v>The Kent</v>
      </c>
      <c r="C1535" s="1" t="s">
        <v>115</v>
      </c>
      <c r="D1535" s="1" t="s">
        <v>41</v>
      </c>
      <c r="E1535" s="3">
        <v>4189008</v>
      </c>
      <c r="F1535" s="1">
        <v>2138.3399693721199</v>
      </c>
      <c r="G1535" s="1">
        <v>6</v>
      </c>
      <c r="H1535" s="1">
        <v>3</v>
      </c>
      <c r="I1535" s="1">
        <v>3</v>
      </c>
      <c r="J1535" s="1">
        <v>3</v>
      </c>
      <c r="K1535" s="1">
        <v>3</v>
      </c>
      <c r="M1535" s="4">
        <v>1959</v>
      </c>
      <c r="N1535" s="1">
        <v>2387.38</v>
      </c>
      <c r="O1535" s="1">
        <v>2629.79</v>
      </c>
      <c r="P1535" s="1">
        <v>242.416666666666</v>
      </c>
      <c r="Q1535" s="1" t="s">
        <v>42</v>
      </c>
      <c r="S1535" s="1" t="s">
        <v>42</v>
      </c>
      <c r="T1535" s="1" t="s">
        <v>170</v>
      </c>
      <c r="V1535" s="5">
        <v>43641</v>
      </c>
      <c r="W1535" s="5">
        <v>43508</v>
      </c>
      <c r="X1535" s="1">
        <v>4281000</v>
      </c>
      <c r="Y1535" s="1">
        <v>4281000</v>
      </c>
      <c r="Z1535" s="5">
        <v>43508</v>
      </c>
      <c r="AA1535" s="1">
        <v>4189008</v>
      </c>
      <c r="AB1535" s="1" t="s">
        <v>1205</v>
      </c>
      <c r="AC1535" s="5">
        <v>43543</v>
      </c>
      <c r="AF1535" s="1">
        <v>10128</v>
      </c>
      <c r="AJ1535" s="1">
        <v>2017</v>
      </c>
      <c r="AK1535" s="1" t="s">
        <v>73</v>
      </c>
      <c r="AL1535" s="1">
        <v>83</v>
      </c>
    </row>
    <row r="1536" spans="1:38" x14ac:dyDescent="0.2">
      <c r="A1536" s="2" t="str">
        <f>HYPERLINK("https://www.compass.com/listing/200-east-95th-street-unit-10c-manhattan-ny-10128/202695574942748321/","200 E 95th St, Unit 10C")</f>
        <v>200 E 95th St, Unit 10C</v>
      </c>
      <c r="B1536" s="2" t="str">
        <f t="shared" si="268"/>
        <v>The Kent</v>
      </c>
      <c r="C1536" s="1" t="s">
        <v>115</v>
      </c>
      <c r="D1536" s="1" t="s">
        <v>41</v>
      </c>
      <c r="E1536" s="3">
        <v>3849930</v>
      </c>
      <c r="F1536" s="1">
        <v>1965.2528075548701</v>
      </c>
      <c r="G1536" s="1">
        <v>5</v>
      </c>
      <c r="H1536" s="1">
        <v>3</v>
      </c>
      <c r="I1536" s="1">
        <v>3</v>
      </c>
      <c r="J1536" s="1">
        <v>3</v>
      </c>
      <c r="K1536" s="1">
        <v>3</v>
      </c>
      <c r="M1536" s="4">
        <v>1959</v>
      </c>
      <c r="N1536" s="1">
        <v>2365</v>
      </c>
      <c r="O1536" s="1">
        <v>2605</v>
      </c>
      <c r="P1536" s="1">
        <v>240</v>
      </c>
      <c r="Q1536" s="1" t="s">
        <v>42</v>
      </c>
      <c r="S1536" s="1" t="s">
        <v>42</v>
      </c>
      <c r="T1536" s="1" t="s">
        <v>170</v>
      </c>
      <c r="V1536" s="5">
        <v>43696</v>
      </c>
      <c r="W1536" s="5">
        <v>43532</v>
      </c>
      <c r="X1536" s="1">
        <v>4197000</v>
      </c>
      <c r="Y1536" s="1">
        <v>4197000</v>
      </c>
      <c r="Z1536" s="5">
        <v>43532</v>
      </c>
      <c r="AA1536" s="1">
        <v>3849930.25</v>
      </c>
      <c r="AB1536" s="1" t="s">
        <v>1206</v>
      </c>
      <c r="AC1536" s="5">
        <v>43685</v>
      </c>
      <c r="AF1536" s="1">
        <v>10128</v>
      </c>
      <c r="AJ1536" s="1">
        <v>2017</v>
      </c>
      <c r="AK1536" s="1" t="s">
        <v>73</v>
      </c>
      <c r="AL1536" s="1">
        <v>83</v>
      </c>
    </row>
    <row r="1537" spans="1:38" x14ac:dyDescent="0.2">
      <c r="A1537" s="2" t="str">
        <f>HYPERLINK("https://www.compass.com/listing/200-east-95th-street-unit-22c-manhattan-ny-10128/272288061520380737/","200 E 95th St, Unit 22C")</f>
        <v>200 E 95th St, Unit 22C</v>
      </c>
      <c r="B1537" s="2" t="str">
        <f t="shared" si="268"/>
        <v>The Kent</v>
      </c>
      <c r="C1537" s="1" t="s">
        <v>115</v>
      </c>
      <c r="D1537" s="1" t="s">
        <v>41</v>
      </c>
      <c r="E1537" s="3">
        <v>4311197</v>
      </c>
      <c r="F1537" s="1">
        <v>2200.7131189382299</v>
      </c>
      <c r="G1537" s="1">
        <v>5</v>
      </c>
      <c r="H1537" s="1">
        <v>3</v>
      </c>
      <c r="I1537" s="1">
        <v>3</v>
      </c>
      <c r="J1537" s="1">
        <v>3</v>
      </c>
      <c r="K1537" s="1">
        <v>3</v>
      </c>
      <c r="M1537" s="4">
        <v>1959</v>
      </c>
      <c r="N1537" s="1">
        <v>2490</v>
      </c>
      <c r="O1537" s="1">
        <v>2743</v>
      </c>
      <c r="P1537" s="1">
        <v>253</v>
      </c>
      <c r="Q1537" s="1" t="s">
        <v>42</v>
      </c>
      <c r="S1537" s="1" t="s">
        <v>42</v>
      </c>
      <c r="T1537" s="1" t="s">
        <v>170</v>
      </c>
      <c r="V1537" s="5">
        <v>43694</v>
      </c>
      <c r="W1537" s="5">
        <v>43628</v>
      </c>
      <c r="X1537" s="1">
        <v>4682000</v>
      </c>
      <c r="Y1537" s="1">
        <v>4682000</v>
      </c>
      <c r="Z1537" s="5">
        <v>43628</v>
      </c>
      <c r="AA1537" s="1">
        <v>4311197</v>
      </c>
      <c r="AB1537" s="1" t="s">
        <v>1207</v>
      </c>
      <c r="AC1537" s="5">
        <v>43643</v>
      </c>
      <c r="AF1537" s="1">
        <v>10128</v>
      </c>
      <c r="AJ1537" s="1">
        <v>2017</v>
      </c>
      <c r="AK1537" s="1" t="s">
        <v>73</v>
      </c>
      <c r="AL1537" s="1">
        <v>83</v>
      </c>
    </row>
    <row r="1538" spans="1:38" x14ac:dyDescent="0.2">
      <c r="A1538" s="2" t="str">
        <f>HYPERLINK("https://www.compass.com/listing/200-east-95th-street-unit-8c-manhattan-ny-10128/299779582999523809/","200 E 95th St, Unit 8C")</f>
        <v>200 E 95th St, Unit 8C</v>
      </c>
      <c r="B1538" s="2" t="str">
        <f t="shared" si="268"/>
        <v>The Kent</v>
      </c>
      <c r="C1538" s="1" t="s">
        <v>115</v>
      </c>
      <c r="D1538" s="1" t="s">
        <v>41</v>
      </c>
      <c r="E1538" s="3">
        <v>4119380</v>
      </c>
      <c r="F1538" s="1">
        <v>2102.7973455844799</v>
      </c>
      <c r="G1538" s="1">
        <v>5</v>
      </c>
      <c r="H1538" s="1">
        <v>3</v>
      </c>
      <c r="I1538" s="1">
        <v>3</v>
      </c>
      <c r="J1538" s="1">
        <v>3</v>
      </c>
      <c r="K1538" s="1">
        <v>3</v>
      </c>
      <c r="M1538" s="4">
        <v>1959</v>
      </c>
      <c r="N1538" s="1">
        <v>2342</v>
      </c>
      <c r="O1538" s="1">
        <v>2580</v>
      </c>
      <c r="P1538" s="1">
        <v>238</v>
      </c>
      <c r="Q1538" s="1" t="s">
        <v>42</v>
      </c>
      <c r="S1538" s="1" t="s">
        <v>42</v>
      </c>
      <c r="T1538" s="1" t="s">
        <v>170</v>
      </c>
      <c r="U1538" s="1">
        <v>64</v>
      </c>
      <c r="V1538" s="5">
        <v>43696</v>
      </c>
      <c r="W1538" s="5">
        <v>43287</v>
      </c>
      <c r="X1538" s="1">
        <v>4114000</v>
      </c>
      <c r="Y1538" s="1">
        <v>4114000</v>
      </c>
      <c r="Z1538" s="5">
        <v>43666</v>
      </c>
      <c r="AA1538" s="1">
        <v>4119380</v>
      </c>
      <c r="AB1538" s="1" t="s">
        <v>1208</v>
      </c>
      <c r="AC1538" s="5">
        <v>43683</v>
      </c>
      <c r="AF1538" s="1">
        <v>10128</v>
      </c>
      <c r="AJ1538" s="1">
        <v>2017</v>
      </c>
      <c r="AK1538" s="1" t="s">
        <v>73</v>
      </c>
      <c r="AL1538" s="1">
        <v>83</v>
      </c>
    </row>
    <row r="1539" spans="1:38" x14ac:dyDescent="0.2">
      <c r="A1539" s="2" t="str">
        <f>HYPERLINK("https://www.compass.com/listing/200-east-95th-street-unit-14c-manhattan-ny-10128/330256178252194721/","200 E 95th St, Unit 14C")</f>
        <v>200 E 95th St, Unit 14C</v>
      </c>
      <c r="B1539" s="2" t="str">
        <f t="shared" si="268"/>
        <v>The Kent</v>
      </c>
      <c r="C1539" s="1" t="s">
        <v>115</v>
      </c>
      <c r="D1539" s="1" t="s">
        <v>41</v>
      </c>
      <c r="E1539" s="3">
        <v>4001825</v>
      </c>
      <c r="F1539" s="1">
        <v>2042.7898876977999</v>
      </c>
      <c r="G1539" s="1">
        <v>5</v>
      </c>
      <c r="H1539" s="1">
        <v>3</v>
      </c>
      <c r="I1539" s="1">
        <v>3</v>
      </c>
      <c r="J1539" s="1">
        <v>3</v>
      </c>
      <c r="K1539" s="1">
        <v>3</v>
      </c>
      <c r="M1539" s="4">
        <v>1959</v>
      </c>
      <c r="N1539" s="1">
        <v>2398.8000000000002</v>
      </c>
      <c r="O1539" s="1">
        <v>2642.35</v>
      </c>
      <c r="P1539" s="1">
        <v>243.583333333333</v>
      </c>
      <c r="Q1539" s="1" t="s">
        <v>42</v>
      </c>
      <c r="S1539" s="1" t="s">
        <v>42</v>
      </c>
      <c r="T1539" s="1" t="s">
        <v>170</v>
      </c>
      <c r="U1539" s="1">
        <v>194</v>
      </c>
      <c r="V1539" s="5">
        <v>44021</v>
      </c>
      <c r="W1539" s="5">
        <v>43707</v>
      </c>
      <c r="X1539" s="1">
        <v>4324000</v>
      </c>
      <c r="Y1539" s="1">
        <v>4324000</v>
      </c>
      <c r="Z1539" s="5">
        <v>43902</v>
      </c>
      <c r="AA1539" s="1">
        <v>4001825.39</v>
      </c>
      <c r="AB1539" s="1" t="s">
        <v>1209</v>
      </c>
      <c r="AC1539" s="5">
        <v>43990</v>
      </c>
      <c r="AF1539" s="1">
        <v>10128</v>
      </c>
      <c r="AJ1539" s="1">
        <v>2017</v>
      </c>
      <c r="AK1539" s="1" t="s">
        <v>73</v>
      </c>
      <c r="AL1539" s="1">
        <v>83</v>
      </c>
    </row>
    <row r="1540" spans="1:38" x14ac:dyDescent="0.2">
      <c r="A1540" s="2" t="str">
        <f>HYPERLINK("https://www.compass.com/listing/15-west-61st-street-unit-12a-manhattan-ny-10023/477496582116547913/","15 W 61st St, Unit 12A")</f>
        <v>15 W 61st St, Unit 12A</v>
      </c>
      <c r="B1540" s="2" t="str">
        <f>HYPERLINK("https://www.compass.com/building/the-park-loggia-manhattan-ny/292861833130357557/","The Park Loggia")</f>
        <v>The Park Loggia</v>
      </c>
      <c r="C1540" s="1" t="s">
        <v>50</v>
      </c>
      <c r="D1540" s="1" t="s">
        <v>41</v>
      </c>
      <c r="E1540" s="3">
        <v>4867500</v>
      </c>
      <c r="F1540" s="1">
        <v>3148.4476067270298</v>
      </c>
      <c r="G1540" s="1">
        <v>5</v>
      </c>
      <c r="H1540" s="1">
        <v>3</v>
      </c>
      <c r="I1540" s="1">
        <v>3</v>
      </c>
      <c r="J1540" s="1">
        <v>2.5</v>
      </c>
      <c r="K1540" s="1">
        <v>2</v>
      </c>
      <c r="L1540" s="1">
        <v>1</v>
      </c>
      <c r="M1540" s="4">
        <v>1546</v>
      </c>
      <c r="N1540" s="1">
        <v>1680</v>
      </c>
      <c r="O1540" s="1">
        <v>3296</v>
      </c>
      <c r="P1540" s="1">
        <v>1616</v>
      </c>
      <c r="Q1540" s="1" t="s">
        <v>42</v>
      </c>
      <c r="S1540" s="1" t="s">
        <v>42</v>
      </c>
      <c r="T1540" s="1" t="s">
        <v>170</v>
      </c>
      <c r="U1540" s="1">
        <v>306</v>
      </c>
      <c r="V1540" s="5">
        <v>43911</v>
      </c>
      <c r="W1540" s="5">
        <v>43594</v>
      </c>
      <c r="X1540" s="1">
        <v>4867500</v>
      </c>
      <c r="Y1540" s="1">
        <v>4867500</v>
      </c>
      <c r="AA1540" s="1">
        <v>4867500</v>
      </c>
      <c r="AB1540" s="1" t="s">
        <v>181</v>
      </c>
      <c r="AC1540" s="5">
        <v>43900</v>
      </c>
      <c r="AF1540" s="1">
        <v>10023</v>
      </c>
      <c r="AI1540" s="1" t="s">
        <v>103</v>
      </c>
      <c r="AJ1540" s="1">
        <v>2019</v>
      </c>
      <c r="AK1540" s="1" t="s">
        <v>77</v>
      </c>
      <c r="AL1540" s="1">
        <v>172</v>
      </c>
    </row>
    <row r="1541" spans="1:38" x14ac:dyDescent="0.2">
      <c r="A1541" s="2" t="str">
        <f>HYPERLINK("https://www.compass.com/listing/200-east-95th-street-unit-9c-manhattan-ny-10128/21020986052765553/","200 E 95th St, Unit 9C")</f>
        <v>200 E 95th St, Unit 9C</v>
      </c>
      <c r="B1541" s="2" t="str">
        <f>HYPERLINK("https://www.compass.com/building/the-kent-manhattan-ny/282049801384650021/","The Kent")</f>
        <v>The Kent</v>
      </c>
      <c r="C1541" s="1" t="s">
        <v>115</v>
      </c>
      <c r="D1541" s="1" t="s">
        <v>41</v>
      </c>
      <c r="E1541" s="3">
        <v>4081766</v>
      </c>
      <c r="F1541" s="1">
        <v>2083.59673302705</v>
      </c>
      <c r="G1541" s="1">
        <v>5</v>
      </c>
      <c r="H1541" s="1">
        <v>3</v>
      </c>
      <c r="I1541" s="1">
        <v>3</v>
      </c>
      <c r="J1541" s="1">
        <v>3</v>
      </c>
      <c r="M1541" s="4">
        <v>1959</v>
      </c>
      <c r="N1541" s="1">
        <v>2272</v>
      </c>
      <c r="O1541" s="1">
        <v>2515</v>
      </c>
      <c r="P1541" s="1">
        <v>243</v>
      </c>
      <c r="Q1541" s="1" t="s">
        <v>42</v>
      </c>
      <c r="S1541" s="1" t="s">
        <v>42</v>
      </c>
      <c r="T1541" s="1" t="s">
        <v>170</v>
      </c>
      <c r="U1541" s="1">
        <v>1</v>
      </c>
      <c r="V1541" s="5">
        <v>43651</v>
      </c>
      <c r="W1541" s="5">
        <v>43035</v>
      </c>
      <c r="X1541" s="1">
        <v>4155000</v>
      </c>
      <c r="Y1541" s="1">
        <v>4155000</v>
      </c>
      <c r="Z1541" s="5">
        <v>43036</v>
      </c>
      <c r="AA1541" s="1">
        <v>4081766</v>
      </c>
      <c r="AB1541" s="1" t="s">
        <v>1210</v>
      </c>
      <c r="AC1541" s="5">
        <v>43274</v>
      </c>
      <c r="AF1541" s="1">
        <v>10128</v>
      </c>
      <c r="AJ1541" s="1">
        <v>2017</v>
      </c>
      <c r="AK1541" s="1" t="s">
        <v>73</v>
      </c>
      <c r="AL1541" s="1">
        <v>83</v>
      </c>
    </row>
    <row r="1542" spans="1:38" x14ac:dyDescent="0.2">
      <c r="A1542" s="2" t="str">
        <f>HYPERLINK("https://www.compass.com/listing/15-west-61st-street-unit-ph32c-manhattan-ny-10023/611699246611429425/","15 W 61st St, Unit PH32C")</f>
        <v>15 W 61st St, Unit PH32C</v>
      </c>
      <c r="B1542" s="2" t="str">
        <f>HYPERLINK("https://www.compass.com/building/the-park-loggia-manhattan-ny/292861833130357557/","The Park Loggia")</f>
        <v>The Park Loggia</v>
      </c>
      <c r="C1542" s="1" t="s">
        <v>50</v>
      </c>
      <c r="D1542" s="1" t="s">
        <v>41</v>
      </c>
      <c r="E1542" s="3">
        <v>8200000</v>
      </c>
      <c r="F1542" s="1">
        <v>3700.3610108303201</v>
      </c>
      <c r="G1542" s="1">
        <v>7</v>
      </c>
      <c r="H1542" s="1">
        <v>3</v>
      </c>
      <c r="I1542" s="1">
        <v>4</v>
      </c>
      <c r="J1542" s="1">
        <v>3.5</v>
      </c>
      <c r="K1542" s="1">
        <v>3</v>
      </c>
      <c r="L1542" s="1">
        <v>1</v>
      </c>
      <c r="M1542" s="4">
        <v>2216</v>
      </c>
      <c r="N1542" s="1">
        <v>2288</v>
      </c>
      <c r="O1542" s="1">
        <v>4589</v>
      </c>
      <c r="P1542" s="1">
        <v>2301</v>
      </c>
      <c r="Q1542" s="1" t="s">
        <v>42</v>
      </c>
      <c r="S1542" s="1" t="s">
        <v>42</v>
      </c>
      <c r="T1542" s="1" t="s">
        <v>170</v>
      </c>
      <c r="V1542" s="5">
        <v>44126</v>
      </c>
      <c r="W1542" s="5">
        <v>44095</v>
      </c>
      <c r="X1542" s="1">
        <v>9595000</v>
      </c>
      <c r="Y1542" s="1">
        <v>9595000</v>
      </c>
      <c r="Z1542" s="5">
        <v>44096</v>
      </c>
      <c r="AA1542" s="1">
        <v>8200000</v>
      </c>
      <c r="AB1542" s="1" t="s">
        <v>181</v>
      </c>
      <c r="AC1542" s="5">
        <v>44125</v>
      </c>
      <c r="AF1542" s="1">
        <v>10023</v>
      </c>
      <c r="AI1542" s="1" t="s">
        <v>102</v>
      </c>
      <c r="AJ1542" s="1">
        <v>2019</v>
      </c>
      <c r="AK1542" s="1" t="s">
        <v>77</v>
      </c>
      <c r="AL1542" s="1">
        <v>172</v>
      </c>
    </row>
    <row r="1543" spans="1:38" x14ac:dyDescent="0.2">
      <c r="A1543" s="2" t="str">
        <f>HYPERLINK("https://www.compass.com/listing/200-east-95th-street-unit-26c-manhattan-ny-10128/192670995964856433/","200 E 95th St, Unit 26C")</f>
        <v>200 E 95th St, Unit 26C</v>
      </c>
      <c r="B1543" s="2" t="str">
        <f t="shared" ref="B1543:B1547" si="269">HYPERLINK("https://www.compass.com/building/the-kent-manhattan-ny/282049801384650021/","The Kent")</f>
        <v>The Kent</v>
      </c>
      <c r="C1543" s="1" t="s">
        <v>115</v>
      </c>
      <c r="D1543" s="1" t="s">
        <v>41</v>
      </c>
      <c r="E1543" s="3">
        <v>4468823</v>
      </c>
      <c r="F1543" s="1">
        <v>2281.1755997958098</v>
      </c>
      <c r="G1543" s="1">
        <v>5</v>
      </c>
      <c r="H1543" s="1">
        <v>3</v>
      </c>
      <c r="I1543" s="1">
        <v>3</v>
      </c>
      <c r="J1543" s="1">
        <v>3</v>
      </c>
      <c r="K1543" s="1">
        <v>3</v>
      </c>
      <c r="M1543" s="4">
        <v>1959</v>
      </c>
      <c r="N1543" s="1">
        <v>2536</v>
      </c>
      <c r="O1543" s="1">
        <v>2793</v>
      </c>
      <c r="P1543" s="1">
        <v>257</v>
      </c>
      <c r="Q1543" s="1" t="s">
        <v>42</v>
      </c>
      <c r="S1543" s="1" t="s">
        <v>42</v>
      </c>
      <c r="T1543" s="1" t="s">
        <v>170</v>
      </c>
      <c r="U1543" s="1">
        <v>34</v>
      </c>
      <c r="V1543" s="5">
        <v>43637</v>
      </c>
      <c r="W1543" s="5">
        <v>43405</v>
      </c>
      <c r="X1543" s="1">
        <v>4872000</v>
      </c>
      <c r="Y1543" s="1">
        <v>4872000</v>
      </c>
      <c r="Z1543" s="5">
        <v>43518</v>
      </c>
      <c r="AA1543" s="1">
        <v>4468823</v>
      </c>
      <c r="AB1543" s="1" t="s">
        <v>1211</v>
      </c>
      <c r="AC1543" s="5">
        <v>43561</v>
      </c>
      <c r="AF1543" s="1">
        <v>10128</v>
      </c>
      <c r="AJ1543" s="1">
        <v>2017</v>
      </c>
      <c r="AK1543" s="1" t="s">
        <v>73</v>
      </c>
      <c r="AL1543" s="1">
        <v>83</v>
      </c>
    </row>
    <row r="1544" spans="1:38" x14ac:dyDescent="0.2">
      <c r="A1544" s="2" t="str">
        <f>HYPERLINK("https://www.compass.com/listing/200-east-95th-street-unit-27c-manhattan-ny-10128/29512938633138865/","200 E 95th St, Unit 27C")</f>
        <v>200 E 95th St, Unit 27C</v>
      </c>
      <c r="B1544" s="2" t="str">
        <f t="shared" si="269"/>
        <v>The Kent</v>
      </c>
      <c r="C1544" s="1" t="s">
        <v>115</v>
      </c>
      <c r="D1544" s="1" t="s">
        <v>41</v>
      </c>
      <c r="E1544" s="3">
        <v>5121500</v>
      </c>
      <c r="F1544" s="1">
        <v>2642.6728586171298</v>
      </c>
      <c r="G1544" s="1">
        <v>5</v>
      </c>
      <c r="H1544" s="1">
        <v>3</v>
      </c>
      <c r="I1544" s="1">
        <v>3</v>
      </c>
      <c r="J1544" s="1">
        <v>3</v>
      </c>
      <c r="M1544" s="4">
        <v>1938</v>
      </c>
      <c r="N1544" s="1">
        <v>2485</v>
      </c>
      <c r="O1544" s="1">
        <v>2749</v>
      </c>
      <c r="P1544" s="1">
        <v>264</v>
      </c>
      <c r="Q1544" s="1" t="s">
        <v>42</v>
      </c>
      <c r="S1544" s="1" t="s">
        <v>42</v>
      </c>
      <c r="T1544" s="1" t="s">
        <v>170</v>
      </c>
      <c r="V1544" s="5">
        <v>43637</v>
      </c>
      <c r="W1544" s="5">
        <v>42847</v>
      </c>
      <c r="X1544" s="1">
        <v>5164000</v>
      </c>
      <c r="Y1544" s="1">
        <v>5164000</v>
      </c>
      <c r="Z1544" s="5">
        <v>42847</v>
      </c>
      <c r="AA1544" s="1">
        <v>5121500</v>
      </c>
      <c r="AB1544" s="1" t="s">
        <v>1212</v>
      </c>
      <c r="AC1544" s="5">
        <v>43420</v>
      </c>
      <c r="AF1544" s="1">
        <v>10128</v>
      </c>
      <c r="AJ1544" s="1">
        <v>2017</v>
      </c>
      <c r="AK1544" s="1" t="s">
        <v>73</v>
      </c>
      <c r="AL1544" s="1">
        <v>83</v>
      </c>
    </row>
    <row r="1545" spans="1:38" x14ac:dyDescent="0.2">
      <c r="A1545" s="2" t="str">
        <f>HYPERLINK("https://www.compass.com/listing/200-east-95th-street-unit-6e-manhattan-ny-10128/29423546589578193/","200 E 95th St, Unit 6E")</f>
        <v>200 E 95th St, Unit 6E</v>
      </c>
      <c r="B1545" s="2" t="str">
        <f t="shared" si="269"/>
        <v>The Kent</v>
      </c>
      <c r="C1545" s="1" t="s">
        <v>115</v>
      </c>
      <c r="D1545" s="1" t="s">
        <v>41</v>
      </c>
      <c r="E1545" s="3">
        <v>3794000</v>
      </c>
      <c r="F1545" s="1">
        <v>2165.5251141552499</v>
      </c>
      <c r="G1545" s="1">
        <v>5</v>
      </c>
      <c r="H1545" s="1">
        <v>3</v>
      </c>
      <c r="I1545" s="1">
        <v>3</v>
      </c>
      <c r="J1545" s="1">
        <v>2.5</v>
      </c>
      <c r="M1545" s="4">
        <v>1752</v>
      </c>
      <c r="N1545" s="1">
        <v>2016</v>
      </c>
      <c r="O1545" s="1">
        <v>2232</v>
      </c>
      <c r="P1545" s="1">
        <v>216</v>
      </c>
      <c r="Q1545" s="1" t="s">
        <v>42</v>
      </c>
      <c r="S1545" s="1" t="s">
        <v>42</v>
      </c>
      <c r="T1545" s="1" t="s">
        <v>170</v>
      </c>
      <c r="V1545" s="5">
        <v>43637</v>
      </c>
      <c r="W1545" s="5">
        <v>42847</v>
      </c>
      <c r="X1545" s="1">
        <v>3790000</v>
      </c>
      <c r="Y1545" s="1">
        <v>3790000</v>
      </c>
      <c r="Z1545" s="5">
        <v>42847</v>
      </c>
      <c r="AA1545" s="1">
        <v>3794000</v>
      </c>
      <c r="AB1545" s="1" t="s">
        <v>1213</v>
      </c>
      <c r="AC1545" s="5">
        <v>43227</v>
      </c>
      <c r="AF1545" s="1">
        <v>10128</v>
      </c>
      <c r="AJ1545" s="1">
        <v>2017</v>
      </c>
      <c r="AK1545" s="1" t="s">
        <v>73</v>
      </c>
      <c r="AL1545" s="1">
        <v>83</v>
      </c>
    </row>
    <row r="1546" spans="1:38" x14ac:dyDescent="0.2">
      <c r="A1546" s="2" t="str">
        <f>HYPERLINK("https://www.compass.com/listing/200-east-95th-street-unit-20c-manhattan-ny-10128/29512939329354945/","200 E 95th St, Unit 20C")</f>
        <v>200 E 95th St, Unit 20C</v>
      </c>
      <c r="B1546" s="2" t="str">
        <f t="shared" si="269"/>
        <v>The Kent</v>
      </c>
      <c r="C1546" s="1" t="s">
        <v>115</v>
      </c>
      <c r="D1546" s="1" t="s">
        <v>41</v>
      </c>
      <c r="E1546" s="3">
        <v>4585107</v>
      </c>
      <c r="F1546" s="1">
        <v>2340.5344563552799</v>
      </c>
      <c r="G1546" s="1">
        <v>5</v>
      </c>
      <c r="H1546" s="1">
        <v>3</v>
      </c>
      <c r="I1546" s="1">
        <v>3</v>
      </c>
      <c r="J1546" s="1">
        <v>3</v>
      </c>
      <c r="M1546" s="4">
        <v>1959</v>
      </c>
      <c r="N1546" s="1">
        <v>2383</v>
      </c>
      <c r="O1546" s="1">
        <v>2638</v>
      </c>
      <c r="P1546" s="1">
        <v>255</v>
      </c>
      <c r="Q1546" s="1" t="s">
        <v>42</v>
      </c>
      <c r="S1546" s="1" t="s">
        <v>42</v>
      </c>
      <c r="T1546" s="1" t="s">
        <v>170</v>
      </c>
      <c r="V1546" s="5">
        <v>43641</v>
      </c>
      <c r="W1546" s="5">
        <v>43006</v>
      </c>
      <c r="X1546" s="1">
        <v>4590000</v>
      </c>
      <c r="Y1546" s="1">
        <v>4590000</v>
      </c>
      <c r="Z1546" s="5">
        <v>43006</v>
      </c>
      <c r="AA1546" s="1">
        <v>4585107</v>
      </c>
      <c r="AB1546" s="1" t="s">
        <v>1214</v>
      </c>
      <c r="AC1546" s="5">
        <v>43358</v>
      </c>
      <c r="AF1546" s="1">
        <v>10128</v>
      </c>
      <c r="AJ1546" s="1">
        <v>2017</v>
      </c>
      <c r="AK1546" s="1" t="s">
        <v>73</v>
      </c>
      <c r="AL1546" s="1">
        <v>83</v>
      </c>
    </row>
    <row r="1547" spans="1:38" x14ac:dyDescent="0.2">
      <c r="A1547" s="2" t="str">
        <f>HYPERLINK("https://www.compass.com/listing/200-east-95th-street-unit-21c-manhattan-ny-10128/796889674373304233/","200 E 95th St, Unit 21C")</f>
        <v>200 E 95th St, Unit 21C</v>
      </c>
      <c r="B1547" s="2" t="str">
        <f t="shared" si="269"/>
        <v>The Kent</v>
      </c>
      <c r="C1547" s="1" t="s">
        <v>115</v>
      </c>
      <c r="D1547" s="1" t="s">
        <v>41</v>
      </c>
      <c r="E1547" s="3">
        <v>4274054</v>
      </c>
      <c r="F1547" s="1">
        <v>2181.7529657988698</v>
      </c>
      <c r="G1547" s="1">
        <v>6</v>
      </c>
      <c r="H1547" s="1">
        <v>3</v>
      </c>
      <c r="J1547" s="1">
        <v>3</v>
      </c>
      <c r="M1547" s="4">
        <v>1959</v>
      </c>
      <c r="N1547" s="1">
        <v>2479</v>
      </c>
      <c r="O1547" s="1">
        <v>2731</v>
      </c>
      <c r="P1547" s="1">
        <v>252</v>
      </c>
      <c r="Q1547" s="1" t="s">
        <v>42</v>
      </c>
      <c r="S1547" s="1" t="s">
        <v>42</v>
      </c>
      <c r="T1547" s="1" t="s">
        <v>170</v>
      </c>
      <c r="V1547" s="5">
        <v>44365</v>
      </c>
      <c r="W1547" s="5">
        <v>44297</v>
      </c>
      <c r="X1547" s="1">
        <v>4636000</v>
      </c>
      <c r="Y1547" s="1">
        <v>4636000</v>
      </c>
      <c r="Z1547" s="5">
        <v>44297</v>
      </c>
      <c r="AA1547" s="1">
        <v>4274054.0599999996</v>
      </c>
      <c r="AB1547" s="1" t="s">
        <v>1215</v>
      </c>
      <c r="AC1547" s="5">
        <v>44351</v>
      </c>
      <c r="AF1547" s="1">
        <v>10128</v>
      </c>
      <c r="AI1547" s="1" t="s">
        <v>48</v>
      </c>
      <c r="AJ1547" s="1">
        <v>2017</v>
      </c>
      <c r="AK1547" s="1" t="s">
        <v>46</v>
      </c>
      <c r="AL1547" s="1">
        <v>83</v>
      </c>
    </row>
    <row r="1548" spans="1:38" x14ac:dyDescent="0.2">
      <c r="A1548" s="2" t="str">
        <f>HYPERLINK("https://www.compass.com/listing/15-west-61st-street-unit-31a-manhattan-ny-10023/536236973110031769/","15 W 61st St, Unit 31A")</f>
        <v>15 W 61st St, Unit 31A</v>
      </c>
      <c r="B1548" s="2" t="str">
        <f>HYPERLINK("https://www.compass.com/building/the-park-loggia-manhattan-ny/292861833130357557/","The Park Loggia")</f>
        <v>The Park Loggia</v>
      </c>
      <c r="C1548" s="1" t="s">
        <v>50</v>
      </c>
      <c r="D1548" s="1" t="s">
        <v>41</v>
      </c>
      <c r="E1548" s="3">
        <v>9207000</v>
      </c>
      <c r="F1548" s="1">
        <v>3850.69008782936</v>
      </c>
      <c r="G1548" s="1">
        <v>7</v>
      </c>
      <c r="H1548" s="1">
        <v>4</v>
      </c>
      <c r="I1548" s="1">
        <v>5</v>
      </c>
      <c r="J1548" s="1">
        <v>4.5</v>
      </c>
      <c r="K1548" s="1">
        <v>4</v>
      </c>
      <c r="L1548" s="1">
        <v>1</v>
      </c>
      <c r="M1548" s="4">
        <v>2391</v>
      </c>
      <c r="N1548" s="1">
        <v>2589</v>
      </c>
      <c r="O1548" s="1">
        <v>5079</v>
      </c>
      <c r="P1548" s="1">
        <v>2490</v>
      </c>
      <c r="Q1548" s="1" t="s">
        <v>42</v>
      </c>
      <c r="S1548" s="1" t="s">
        <v>42</v>
      </c>
      <c r="T1548" s="1" t="s">
        <v>170</v>
      </c>
      <c r="V1548" s="5">
        <v>43993</v>
      </c>
      <c r="W1548" s="5">
        <v>43949</v>
      </c>
      <c r="X1548" s="1">
        <v>9207000</v>
      </c>
      <c r="Y1548" s="1">
        <v>9207000</v>
      </c>
      <c r="AA1548" s="1">
        <v>9207000</v>
      </c>
      <c r="AB1548" s="1" t="s">
        <v>181</v>
      </c>
      <c r="AC1548" s="5">
        <v>43991</v>
      </c>
      <c r="AF1548" s="1">
        <v>10023</v>
      </c>
      <c r="AI1548" s="1" t="s">
        <v>103</v>
      </c>
      <c r="AJ1548" s="1">
        <v>2019</v>
      </c>
      <c r="AK1548" s="1" t="s">
        <v>77</v>
      </c>
      <c r="AL1548" s="1">
        <v>172</v>
      </c>
    </row>
    <row r="1549" spans="1:38" x14ac:dyDescent="0.2">
      <c r="A1549" s="2" t="str">
        <f>HYPERLINK("https://www.compass.com/listing/200-east-95th-street-unit-8b-manhattan-ny-10128/29512938280778897/","200 E 95th St, Unit 8B")</f>
        <v>200 E 95th St, Unit 8B</v>
      </c>
      <c r="B1549" s="2" t="str">
        <f t="shared" ref="B1549:B1552" si="270">HYPERLINK("https://www.compass.com/building/the-kent-manhattan-ny/282049801384650021/","The Kent")</f>
        <v>The Kent</v>
      </c>
      <c r="C1549" s="1" t="s">
        <v>115</v>
      </c>
      <c r="D1549" s="1" t="s">
        <v>41</v>
      </c>
      <c r="E1549" s="3">
        <v>6317150</v>
      </c>
      <c r="F1549" s="1">
        <v>2309.7440585009099</v>
      </c>
      <c r="G1549" s="1">
        <v>6</v>
      </c>
      <c r="H1549" s="1">
        <v>4</v>
      </c>
      <c r="I1549" s="1">
        <v>5</v>
      </c>
      <c r="J1549" s="1">
        <v>4.5</v>
      </c>
      <c r="M1549" s="4">
        <v>2735</v>
      </c>
      <c r="N1549" s="1">
        <v>4904</v>
      </c>
      <c r="O1549" s="1">
        <v>5429</v>
      </c>
      <c r="P1549" s="1">
        <v>525</v>
      </c>
      <c r="Q1549" s="1" t="s">
        <v>42</v>
      </c>
      <c r="S1549" s="1" t="s">
        <v>42</v>
      </c>
      <c r="T1549" s="1" t="s">
        <v>170</v>
      </c>
      <c r="V1549" s="5">
        <v>43648</v>
      </c>
      <c r="W1549" s="5">
        <v>42847</v>
      </c>
      <c r="X1549" s="1">
        <v>6820000</v>
      </c>
      <c r="Y1549" s="1">
        <v>6820000</v>
      </c>
      <c r="Z1549" s="5">
        <v>42847</v>
      </c>
      <c r="AA1549" s="1">
        <v>6317150</v>
      </c>
      <c r="AB1549" s="1" t="s">
        <v>1216</v>
      </c>
      <c r="AC1549" s="5">
        <v>43294</v>
      </c>
      <c r="AF1549" s="1">
        <v>10128</v>
      </c>
      <c r="AI1549" s="1" t="s">
        <v>1217</v>
      </c>
      <c r="AJ1549" s="1">
        <v>2017</v>
      </c>
      <c r="AK1549" s="1" t="s">
        <v>73</v>
      </c>
      <c r="AL1549" s="1">
        <v>83</v>
      </c>
    </row>
    <row r="1550" spans="1:38" x14ac:dyDescent="0.2">
      <c r="A1550" s="2" t="str">
        <f>HYPERLINK("https://www.compass.com/listing/200-east-95th-street-unit-9b-manhattan-ny-10128/157063849458063713/","200 E 95th St, Unit 9B")</f>
        <v>200 E 95th St, Unit 9B</v>
      </c>
      <c r="B1550" s="2" t="str">
        <f t="shared" si="270"/>
        <v>The Kent</v>
      </c>
      <c r="C1550" s="1" t="s">
        <v>115</v>
      </c>
      <c r="D1550" s="1" t="s">
        <v>41</v>
      </c>
      <c r="E1550" s="3">
        <v>4975987</v>
      </c>
      <c r="F1550" s="1">
        <v>1819.37368921389</v>
      </c>
      <c r="G1550" s="1">
        <v>6</v>
      </c>
      <c r="H1550" s="1">
        <v>4</v>
      </c>
      <c r="I1550" s="1">
        <v>5</v>
      </c>
      <c r="J1550" s="1">
        <v>4.5</v>
      </c>
      <c r="K1550" s="1">
        <v>4</v>
      </c>
      <c r="L1550" s="1">
        <v>1</v>
      </c>
      <c r="M1550" s="4">
        <v>2735</v>
      </c>
      <c r="N1550" s="1">
        <v>3328</v>
      </c>
      <c r="O1550" s="1">
        <v>3666</v>
      </c>
      <c r="P1550" s="1">
        <v>338</v>
      </c>
      <c r="Q1550" s="1" t="s">
        <v>42</v>
      </c>
      <c r="S1550" s="1" t="s">
        <v>42</v>
      </c>
      <c r="T1550" s="1" t="s">
        <v>170</v>
      </c>
      <c r="V1550" s="5">
        <v>44288</v>
      </c>
      <c r="W1550" s="5">
        <v>43469</v>
      </c>
      <c r="X1550" s="1">
        <v>6077000</v>
      </c>
      <c r="Y1550" s="1">
        <v>6077000</v>
      </c>
      <c r="Z1550" s="5">
        <v>43809</v>
      </c>
      <c r="AA1550" s="1">
        <v>4975987.04</v>
      </c>
      <c r="AB1550" s="1" t="s">
        <v>1218</v>
      </c>
      <c r="AC1550" s="5">
        <v>44210</v>
      </c>
      <c r="AF1550" s="1">
        <v>10128</v>
      </c>
      <c r="AJ1550" s="1">
        <v>2017</v>
      </c>
      <c r="AK1550" s="1" t="s">
        <v>73</v>
      </c>
      <c r="AL1550" s="1">
        <v>83</v>
      </c>
    </row>
    <row r="1551" spans="1:38" x14ac:dyDescent="0.2">
      <c r="A1551" s="2" t="str">
        <f>HYPERLINK("https://www.compass.com/listing/200-east-95th-street-unit-7f-manhattan-ny-10128/29512937936792849/","200 E 95th St, Unit 7F")</f>
        <v>200 E 95th St, Unit 7F</v>
      </c>
      <c r="B1551" s="2" t="str">
        <f t="shared" si="270"/>
        <v>The Kent</v>
      </c>
      <c r="C1551" s="1" t="s">
        <v>115</v>
      </c>
      <c r="D1551" s="1" t="s">
        <v>41</v>
      </c>
      <c r="E1551" s="3">
        <v>5604375</v>
      </c>
      <c r="F1551" s="1">
        <v>2464.5448548812601</v>
      </c>
      <c r="G1551" s="1">
        <v>6</v>
      </c>
      <c r="H1551" s="1">
        <v>4</v>
      </c>
      <c r="I1551" s="1">
        <v>4</v>
      </c>
      <c r="J1551" s="1">
        <v>4</v>
      </c>
      <c r="M1551" s="4">
        <v>2274</v>
      </c>
      <c r="N1551" s="1">
        <v>4108</v>
      </c>
      <c r="O1551" s="1">
        <v>4548</v>
      </c>
      <c r="P1551" s="1">
        <v>440</v>
      </c>
      <c r="Q1551" s="1" t="s">
        <v>42</v>
      </c>
      <c r="S1551" s="1" t="s">
        <v>42</v>
      </c>
      <c r="T1551" s="1" t="s">
        <v>170</v>
      </c>
      <c r="V1551" s="5">
        <v>43650</v>
      </c>
      <c r="W1551" s="5">
        <v>42847</v>
      </c>
      <c r="X1551" s="1">
        <v>5996000</v>
      </c>
      <c r="Y1551" s="1">
        <v>5996000</v>
      </c>
      <c r="Z1551" s="5">
        <v>42847</v>
      </c>
      <c r="AA1551" s="1">
        <v>5604375</v>
      </c>
      <c r="AB1551" s="1" t="s">
        <v>1219</v>
      </c>
      <c r="AC1551" s="5">
        <v>43297</v>
      </c>
      <c r="AF1551" s="1">
        <v>10128</v>
      </c>
      <c r="AI1551" s="1" t="s">
        <v>1217</v>
      </c>
      <c r="AJ1551" s="1">
        <v>2017</v>
      </c>
      <c r="AK1551" s="1" t="s">
        <v>73</v>
      </c>
      <c r="AL1551" s="1">
        <v>83</v>
      </c>
    </row>
    <row r="1552" spans="1:38" x14ac:dyDescent="0.2">
      <c r="A1552" s="2" t="str">
        <f>HYPERLINK("https://www.compass.com/listing/200-east-95th-street-unit-8a-manhattan-ny-10128/29512942382755233/","200 E 95th St, Unit 8A")</f>
        <v>200 E 95th St, Unit 8A</v>
      </c>
      <c r="B1552" s="2" t="str">
        <f t="shared" si="270"/>
        <v>The Kent</v>
      </c>
      <c r="C1552" s="1" t="s">
        <v>115</v>
      </c>
      <c r="D1552" s="1" t="s">
        <v>41</v>
      </c>
      <c r="E1552" s="3">
        <v>9483946</v>
      </c>
      <c r="F1552" s="1">
        <v>2661.0398428731701</v>
      </c>
      <c r="G1552" s="1">
        <v>7</v>
      </c>
      <c r="H1552" s="1">
        <v>5</v>
      </c>
      <c r="I1552" s="1">
        <v>5</v>
      </c>
      <c r="J1552" s="1">
        <v>4.5</v>
      </c>
      <c r="M1552" s="4">
        <v>3564</v>
      </c>
      <c r="N1552" s="1">
        <v>6535</v>
      </c>
      <c r="O1552" s="1">
        <v>7235</v>
      </c>
      <c r="P1552" s="1">
        <v>700</v>
      </c>
      <c r="Q1552" s="1" t="s">
        <v>42</v>
      </c>
      <c r="S1552" s="1" t="s">
        <v>42</v>
      </c>
      <c r="T1552" s="1" t="s">
        <v>170</v>
      </c>
      <c r="U1552" s="1">
        <v>1</v>
      </c>
      <c r="V1552" s="5">
        <v>43659</v>
      </c>
      <c r="W1552" s="5">
        <v>42942</v>
      </c>
      <c r="X1552" s="1">
        <v>9437000</v>
      </c>
      <c r="Y1552" s="1">
        <v>9437000</v>
      </c>
      <c r="Z1552" s="5">
        <v>42943</v>
      </c>
      <c r="AA1552" s="1">
        <v>9483946</v>
      </c>
      <c r="AB1552" s="1" t="s">
        <v>1220</v>
      </c>
      <c r="AC1552" s="5">
        <v>43349</v>
      </c>
      <c r="AF1552" s="1">
        <v>10128</v>
      </c>
      <c r="AI1552" s="1" t="s">
        <v>57</v>
      </c>
      <c r="AJ1552" s="1">
        <v>2017</v>
      </c>
      <c r="AK1552" s="1" t="s">
        <v>73</v>
      </c>
      <c r="AL1552" s="1">
        <v>83</v>
      </c>
    </row>
    <row r="1553" spans="1:38" x14ac:dyDescent="0.2">
      <c r="A1553" s="2" t="str">
        <f>HYPERLINK("https://www.compass.com/listing/277-5th-avenue-unit-27c-manhattan-ny-10016/769998230881651153/","277 5th Ave, Unit 27C")</f>
        <v>277 5th Ave, Unit 27C</v>
      </c>
      <c r="B1553" s="2" t="str">
        <f t="shared" ref="B1553:B1554" si="271">HYPERLINK("https://www.compass.com/building/277-fifth-avenue-manhattan-ny/281939285475645317/","277 FIFTH AVENUE")</f>
        <v>277 FIFTH AVENUE</v>
      </c>
      <c r="C1553" s="1" t="s">
        <v>81</v>
      </c>
      <c r="D1553" s="1" t="s">
        <v>41</v>
      </c>
      <c r="E1553" s="3">
        <v>1877500</v>
      </c>
      <c r="F1553" s="1">
        <v>2267.5120772946798</v>
      </c>
      <c r="G1553" s="1">
        <v>3</v>
      </c>
      <c r="H1553" s="1">
        <v>1</v>
      </c>
      <c r="I1553" s="1">
        <v>1</v>
      </c>
      <c r="J1553" s="1">
        <v>1</v>
      </c>
      <c r="K1553" s="1">
        <v>1</v>
      </c>
      <c r="M1553" s="1">
        <v>828</v>
      </c>
      <c r="N1553" s="1">
        <v>1191</v>
      </c>
      <c r="O1553" s="1">
        <v>2248.6099999999901</v>
      </c>
      <c r="P1553" s="1">
        <v>1057.5833333333301</v>
      </c>
      <c r="Q1553" s="1" t="s">
        <v>42</v>
      </c>
      <c r="S1553" s="1" t="s">
        <v>42</v>
      </c>
      <c r="T1553" s="1" t="s">
        <v>170</v>
      </c>
      <c r="V1553" s="5">
        <v>44419</v>
      </c>
      <c r="W1553" s="5">
        <v>44314</v>
      </c>
      <c r="X1553" s="1">
        <v>2185000</v>
      </c>
      <c r="Y1553" s="1">
        <v>2185000</v>
      </c>
      <c r="Z1553" s="5">
        <v>44315</v>
      </c>
      <c r="AA1553" s="1">
        <v>1877500</v>
      </c>
      <c r="AB1553" s="1" t="s">
        <v>1221</v>
      </c>
      <c r="AC1553" s="5">
        <v>44319</v>
      </c>
      <c r="AF1553" s="1">
        <v>10016</v>
      </c>
      <c r="AI1553" s="1" t="s">
        <v>82</v>
      </c>
      <c r="AJ1553" s="1">
        <v>2019</v>
      </c>
      <c r="AK1553" s="1" t="s">
        <v>46</v>
      </c>
      <c r="AL1553" s="1">
        <v>130</v>
      </c>
    </row>
    <row r="1554" spans="1:38" x14ac:dyDescent="0.2">
      <c r="A1554" s="2" t="str">
        <f>HYPERLINK("https://www.compass.com/listing/277-5th-avenue-unit-36b-manhattan-ny-10016/784807513181130473/","277 5th Ave, Unit 36B")</f>
        <v>277 5th Ave, Unit 36B</v>
      </c>
      <c r="B1554" s="2" t="str">
        <f t="shared" si="271"/>
        <v>277 FIFTH AVENUE</v>
      </c>
      <c r="C1554" s="1" t="s">
        <v>81</v>
      </c>
      <c r="D1554" s="1" t="s">
        <v>41</v>
      </c>
      <c r="E1554" s="3">
        <v>3241500</v>
      </c>
      <c r="F1554" s="1">
        <v>2534.40187646598</v>
      </c>
      <c r="G1554" s="1">
        <v>5</v>
      </c>
      <c r="H1554" s="1">
        <v>2</v>
      </c>
      <c r="I1554" s="1">
        <v>2</v>
      </c>
      <c r="J1554" s="1">
        <v>2</v>
      </c>
      <c r="K1554" s="1">
        <v>2</v>
      </c>
      <c r="M1554" s="4">
        <v>1279</v>
      </c>
      <c r="N1554" s="1">
        <v>1841</v>
      </c>
      <c r="O1554" s="1">
        <v>3474</v>
      </c>
      <c r="P1554" s="1">
        <v>1633</v>
      </c>
      <c r="Q1554" s="1" t="s">
        <v>42</v>
      </c>
      <c r="S1554" s="1" t="s">
        <v>42</v>
      </c>
      <c r="T1554" s="1" t="s">
        <v>170</v>
      </c>
      <c r="V1554" s="5">
        <v>44419</v>
      </c>
      <c r="W1554" s="5">
        <v>44334</v>
      </c>
      <c r="X1554" s="1">
        <v>3760000</v>
      </c>
      <c r="Y1554" s="1">
        <v>3760000</v>
      </c>
      <c r="Z1554" s="5">
        <v>44335</v>
      </c>
      <c r="AA1554" s="1">
        <v>3241500</v>
      </c>
      <c r="AB1554" s="1" t="s">
        <v>1222</v>
      </c>
      <c r="AC1554" s="5">
        <v>44371</v>
      </c>
      <c r="AF1554" s="1">
        <v>10016</v>
      </c>
      <c r="AI1554" s="1" t="s">
        <v>82</v>
      </c>
      <c r="AJ1554" s="1">
        <v>2019</v>
      </c>
      <c r="AK1554" s="1" t="s">
        <v>46</v>
      </c>
      <c r="AL1554" s="1">
        <v>130</v>
      </c>
    </row>
    <row r="1555" spans="1:38" x14ac:dyDescent="0.2">
      <c r="A1555" s="2" t="str">
        <f>HYPERLINK("https://www.compass.com/listing/200-east-95th-street-unit-5c-manhattan-ny-10128/96814887132513249/","200 E 95th St, Unit 5C")</f>
        <v>200 E 95th St, Unit 5C</v>
      </c>
      <c r="B1555" s="2" t="str">
        <f>HYPERLINK("https://www.compass.com/building/the-kent-manhattan-ny/282049801384650021/","The Kent")</f>
        <v>The Kent</v>
      </c>
      <c r="C1555" s="1" t="s">
        <v>115</v>
      </c>
      <c r="D1555" s="1" t="s">
        <v>41</v>
      </c>
      <c r="E1555" s="3">
        <v>2546347</v>
      </c>
      <c r="F1555" s="1">
        <v>1884.78691339748</v>
      </c>
      <c r="H1555" s="1">
        <v>2</v>
      </c>
      <c r="J1555" s="1">
        <v>2</v>
      </c>
      <c r="M1555" s="4">
        <v>1351</v>
      </c>
      <c r="N1555" s="1">
        <v>1541</v>
      </c>
      <c r="O1555" s="1">
        <v>1706</v>
      </c>
      <c r="P1555" s="1">
        <v>165</v>
      </c>
      <c r="Q1555" s="1" t="s">
        <v>42</v>
      </c>
      <c r="S1555" s="1" t="s">
        <v>42</v>
      </c>
      <c r="T1555" s="1" t="s">
        <v>170</v>
      </c>
      <c r="AA1555" s="1">
        <v>2546347.12</v>
      </c>
      <c r="AB1555" s="1" t="s">
        <v>1223</v>
      </c>
      <c r="AC1555" s="5">
        <v>43377</v>
      </c>
      <c r="AF1555" s="1">
        <v>10128</v>
      </c>
      <c r="AJ1555" s="1">
        <v>2017</v>
      </c>
      <c r="AK1555" s="1" t="s">
        <v>46</v>
      </c>
      <c r="AL1555" s="1">
        <v>83</v>
      </c>
    </row>
    <row r="1556" spans="1:38" x14ac:dyDescent="0.2">
      <c r="A1556" s="2" t="str">
        <f>HYPERLINK("https://www.compass.com/listing/277-5th-avenue-unit-30b-manhattan-ny-10016/132398424749291777/","277 5th Ave, Unit 30B")</f>
        <v>277 5th Ave, Unit 30B</v>
      </c>
      <c r="B1556" s="2" t="str">
        <f t="shared" ref="B1556:B1575" si="272">HYPERLINK("https://www.compass.com/building/277-fifth-avenue-manhattan-ny/281939285475645317/","277 FIFTH AVENUE")</f>
        <v>277 FIFTH AVENUE</v>
      </c>
      <c r="C1556" s="1" t="s">
        <v>81</v>
      </c>
      <c r="D1556" s="1" t="s">
        <v>41</v>
      </c>
      <c r="E1556" s="3">
        <v>2316949</v>
      </c>
      <c r="F1556" s="1">
        <v>2732.2511792452801</v>
      </c>
      <c r="G1556" s="1">
        <v>3</v>
      </c>
      <c r="H1556" s="1">
        <v>1</v>
      </c>
      <c r="I1556" s="1">
        <v>1</v>
      </c>
      <c r="J1556" s="1">
        <v>1</v>
      </c>
      <c r="K1556" s="1">
        <v>1</v>
      </c>
      <c r="M1556" s="1">
        <v>848</v>
      </c>
      <c r="N1556" s="1">
        <v>1223</v>
      </c>
      <c r="O1556" s="1">
        <v>2554</v>
      </c>
      <c r="P1556" s="1">
        <v>1331</v>
      </c>
      <c r="Q1556" s="1" t="s">
        <v>42</v>
      </c>
      <c r="S1556" s="1" t="s">
        <v>42</v>
      </c>
      <c r="T1556" s="1" t="s">
        <v>170</v>
      </c>
      <c r="V1556" s="5">
        <v>43729</v>
      </c>
      <c r="W1556" s="5">
        <v>43435</v>
      </c>
      <c r="X1556" s="1">
        <v>2265000</v>
      </c>
      <c r="Y1556" s="1">
        <v>2265000</v>
      </c>
      <c r="Z1556" s="5">
        <v>43435</v>
      </c>
      <c r="AA1556" s="1">
        <v>2316949</v>
      </c>
      <c r="AB1556" s="1" t="s">
        <v>1224</v>
      </c>
      <c r="AC1556" s="5">
        <v>43533</v>
      </c>
      <c r="AF1556" s="1">
        <v>10016</v>
      </c>
      <c r="AI1556" s="1" t="s">
        <v>82</v>
      </c>
      <c r="AJ1556" s="1">
        <v>2019</v>
      </c>
      <c r="AK1556" s="1" t="s">
        <v>73</v>
      </c>
      <c r="AL1556" s="1">
        <v>130</v>
      </c>
    </row>
    <row r="1557" spans="1:38" x14ac:dyDescent="0.2">
      <c r="A1557" s="2" t="str">
        <f>HYPERLINK("https://www.compass.com/listing/277-5th-avenue-unit-24b-manhattan-ny-10016/139842096809908097/","277 5th Ave, Unit 24B")</f>
        <v>277 5th Ave, Unit 24B</v>
      </c>
      <c r="B1557" s="2" t="str">
        <f t="shared" si="272"/>
        <v>277 FIFTH AVENUE</v>
      </c>
      <c r="C1557" s="1" t="s">
        <v>81</v>
      </c>
      <c r="D1557" s="1" t="s">
        <v>41</v>
      </c>
      <c r="E1557" s="3">
        <v>2095000</v>
      </c>
      <c r="F1557" s="1">
        <v>2470.5188679245198</v>
      </c>
      <c r="G1557" s="1">
        <v>3</v>
      </c>
      <c r="H1557" s="1">
        <v>1</v>
      </c>
      <c r="I1557" s="1">
        <v>1</v>
      </c>
      <c r="J1557" s="1">
        <v>1</v>
      </c>
      <c r="K1557" s="1">
        <v>1</v>
      </c>
      <c r="M1557" s="1">
        <v>848</v>
      </c>
      <c r="N1557" s="1">
        <v>1223</v>
      </c>
      <c r="O1557" s="1">
        <v>2554</v>
      </c>
      <c r="P1557" s="1">
        <v>1331</v>
      </c>
      <c r="Q1557" s="1" t="s">
        <v>42</v>
      </c>
      <c r="S1557" s="1" t="s">
        <v>42</v>
      </c>
      <c r="T1557" s="1" t="s">
        <v>170</v>
      </c>
      <c r="V1557" s="5">
        <v>43662</v>
      </c>
      <c r="W1557" s="5">
        <v>43445</v>
      </c>
      <c r="X1557" s="1">
        <v>2145000</v>
      </c>
      <c r="Y1557" s="1">
        <v>2145000</v>
      </c>
      <c r="Z1557" s="5">
        <v>43445</v>
      </c>
      <c r="AA1557" s="1">
        <v>2095000</v>
      </c>
      <c r="AB1557" s="1" t="s">
        <v>1225</v>
      </c>
      <c r="AC1557" s="5">
        <v>43586</v>
      </c>
      <c r="AF1557" s="1">
        <v>10016</v>
      </c>
      <c r="AI1557" s="1" t="s">
        <v>82</v>
      </c>
      <c r="AJ1557" s="1">
        <v>2019</v>
      </c>
      <c r="AK1557" s="1" t="s">
        <v>73</v>
      </c>
      <c r="AL1557" s="1">
        <v>130</v>
      </c>
    </row>
    <row r="1558" spans="1:38" x14ac:dyDescent="0.2">
      <c r="A1558" s="2" t="str">
        <f>HYPERLINK("https://www.compass.com/listing/277-5th-avenue-unit-23b-manhattan-ny-10016/161556130177265953/","277 5th Ave, Unit 23B")</f>
        <v>277 5th Ave, Unit 23B</v>
      </c>
      <c r="B1558" s="2" t="str">
        <f t="shared" si="272"/>
        <v>277 FIFTH AVENUE</v>
      </c>
      <c r="C1558" s="1" t="s">
        <v>81</v>
      </c>
      <c r="D1558" s="1" t="s">
        <v>41</v>
      </c>
      <c r="E1558" s="3">
        <v>1999999</v>
      </c>
      <c r="F1558" s="1">
        <v>2358.4893867924502</v>
      </c>
      <c r="G1558" s="1">
        <v>3</v>
      </c>
      <c r="H1558" s="1">
        <v>1</v>
      </c>
      <c r="I1558" s="1">
        <v>1</v>
      </c>
      <c r="J1558" s="1">
        <v>1</v>
      </c>
      <c r="K1558" s="1">
        <v>1</v>
      </c>
      <c r="M1558" s="1">
        <v>848</v>
      </c>
      <c r="N1558" s="1">
        <v>1223</v>
      </c>
      <c r="O1558" s="1">
        <v>2554</v>
      </c>
      <c r="P1558" s="1">
        <v>1331</v>
      </c>
      <c r="Q1558" s="1" t="s">
        <v>42</v>
      </c>
      <c r="S1558" s="1" t="s">
        <v>42</v>
      </c>
      <c r="T1558" s="1" t="s">
        <v>170</v>
      </c>
      <c r="U1558" s="1">
        <v>96</v>
      </c>
      <c r="V1558" s="5">
        <v>43696</v>
      </c>
      <c r="W1558" s="5">
        <v>43476</v>
      </c>
      <c r="X1558" s="1">
        <v>2125000</v>
      </c>
      <c r="Y1558" s="1">
        <v>2155000</v>
      </c>
      <c r="Z1558" s="5">
        <v>43672</v>
      </c>
      <c r="AA1558" s="1">
        <v>1999999</v>
      </c>
      <c r="AB1558" s="1" t="s">
        <v>1226</v>
      </c>
      <c r="AC1558" s="5">
        <v>43686</v>
      </c>
      <c r="AF1558" s="1">
        <v>10016</v>
      </c>
      <c r="AI1558" s="1" t="s">
        <v>82</v>
      </c>
      <c r="AJ1558" s="1">
        <v>2019</v>
      </c>
      <c r="AK1558" s="1" t="s">
        <v>46</v>
      </c>
      <c r="AL1558" s="1">
        <v>130</v>
      </c>
    </row>
    <row r="1559" spans="1:38" x14ac:dyDescent="0.2">
      <c r="A1559" s="2" t="str">
        <f>HYPERLINK("https://www.compass.com/listing/277-5th-avenue-unit-20b-manhattan-ny-10016/231180551246068929/","277 5th Ave, Unit 20B")</f>
        <v>277 5th Ave, Unit 20B</v>
      </c>
      <c r="B1559" s="2" t="str">
        <f t="shared" si="272"/>
        <v>277 FIFTH AVENUE</v>
      </c>
      <c r="C1559" s="1" t="s">
        <v>81</v>
      </c>
      <c r="D1559" s="1" t="s">
        <v>41</v>
      </c>
      <c r="E1559" s="3">
        <v>1895000</v>
      </c>
      <c r="F1559" s="1">
        <v>2234.6698113207499</v>
      </c>
      <c r="G1559" s="1">
        <v>3</v>
      </c>
      <c r="H1559" s="1">
        <v>1</v>
      </c>
      <c r="I1559" s="1">
        <v>1</v>
      </c>
      <c r="J1559" s="1">
        <v>1</v>
      </c>
      <c r="K1559" s="1">
        <v>1</v>
      </c>
      <c r="M1559" s="1">
        <v>848</v>
      </c>
      <c r="N1559" s="1">
        <v>1223</v>
      </c>
      <c r="O1559" s="1">
        <v>2554</v>
      </c>
      <c r="P1559" s="1">
        <v>1331</v>
      </c>
      <c r="Q1559" s="1" t="s">
        <v>42</v>
      </c>
      <c r="S1559" s="1" t="s">
        <v>42</v>
      </c>
      <c r="T1559" s="1" t="s">
        <v>170</v>
      </c>
      <c r="U1559" s="1">
        <v>130</v>
      </c>
      <c r="V1559" s="5">
        <v>43809</v>
      </c>
      <c r="W1559" s="5">
        <v>43570</v>
      </c>
      <c r="X1559" s="1">
        <v>2070000</v>
      </c>
      <c r="Y1559" s="1">
        <v>2070000</v>
      </c>
      <c r="Z1559" s="5">
        <v>43770</v>
      </c>
      <c r="AA1559" s="1">
        <v>1895000</v>
      </c>
      <c r="AB1559" s="1" t="s">
        <v>1227</v>
      </c>
      <c r="AC1559" s="5">
        <v>43781</v>
      </c>
      <c r="AF1559" s="1">
        <v>10016</v>
      </c>
      <c r="AI1559" s="1" t="s">
        <v>53</v>
      </c>
      <c r="AJ1559" s="1">
        <v>2019</v>
      </c>
      <c r="AK1559" s="1" t="s">
        <v>46</v>
      </c>
      <c r="AL1559" s="1">
        <v>130</v>
      </c>
    </row>
    <row r="1560" spans="1:38" x14ac:dyDescent="0.2">
      <c r="A1560" s="2" t="str">
        <f>HYPERLINK("https://www.compass.com/listing/277-5th-avenue-unit-12b-manhattan-ny-10016/23228792935878657/","277 5th Ave, Unit 12B")</f>
        <v>277 5th Ave, Unit 12B</v>
      </c>
      <c r="B1560" s="2" t="str">
        <f t="shared" si="272"/>
        <v>277 FIFTH AVENUE</v>
      </c>
      <c r="C1560" s="1" t="s">
        <v>81</v>
      </c>
      <c r="D1560" s="1" t="s">
        <v>41</v>
      </c>
      <c r="E1560" s="3">
        <v>1700000</v>
      </c>
      <c r="F1560" s="1">
        <v>2004.71698113207</v>
      </c>
      <c r="G1560" s="1">
        <v>3</v>
      </c>
      <c r="H1560" s="1">
        <v>1</v>
      </c>
      <c r="I1560" s="1">
        <v>1</v>
      </c>
      <c r="J1560" s="1">
        <v>1</v>
      </c>
      <c r="K1560" s="1">
        <v>1</v>
      </c>
      <c r="M1560" s="1">
        <v>848</v>
      </c>
      <c r="N1560" s="1">
        <v>1223</v>
      </c>
      <c r="O1560" s="1">
        <v>2554</v>
      </c>
      <c r="P1560" s="1">
        <v>1331</v>
      </c>
      <c r="Q1560" s="1" t="s">
        <v>42</v>
      </c>
      <c r="S1560" s="1" t="s">
        <v>42</v>
      </c>
      <c r="T1560" s="1" t="s">
        <v>170</v>
      </c>
      <c r="U1560" s="1">
        <v>77</v>
      </c>
      <c r="V1560" s="5">
        <v>43774</v>
      </c>
      <c r="W1560" s="5">
        <v>43684</v>
      </c>
      <c r="X1560" s="1">
        <v>1795000</v>
      </c>
      <c r="Y1560" s="1">
        <v>1795000</v>
      </c>
      <c r="Z1560" s="5">
        <v>43761</v>
      </c>
      <c r="AA1560" s="1">
        <v>1700000</v>
      </c>
      <c r="AB1560" s="1" t="s">
        <v>1228</v>
      </c>
      <c r="AC1560" s="5">
        <v>43766</v>
      </c>
      <c r="AF1560" s="1">
        <v>10016</v>
      </c>
      <c r="AI1560" s="1" t="s">
        <v>53</v>
      </c>
      <c r="AJ1560" s="1">
        <v>2019</v>
      </c>
      <c r="AK1560" s="1" t="s">
        <v>73</v>
      </c>
      <c r="AL1560" s="1">
        <v>130</v>
      </c>
    </row>
    <row r="1561" spans="1:38" x14ac:dyDescent="0.2">
      <c r="A1561" s="2" t="str">
        <f>HYPERLINK("https://www.compass.com/listing/277-5th-avenue-unit-29c-manhattan-ny-10016/274558843453752177/","277 5th Ave, Unit 29C")</f>
        <v>277 5th Ave, Unit 29C</v>
      </c>
      <c r="B1561" s="2" t="str">
        <f t="shared" si="272"/>
        <v>277 FIFTH AVENUE</v>
      </c>
      <c r="C1561" s="1" t="s">
        <v>81</v>
      </c>
      <c r="D1561" s="1" t="s">
        <v>41</v>
      </c>
      <c r="E1561" s="3">
        <v>2120362</v>
      </c>
      <c r="F1561" s="1">
        <v>2560.8241183574801</v>
      </c>
      <c r="G1561" s="1">
        <v>3</v>
      </c>
      <c r="H1561" s="1">
        <v>1</v>
      </c>
      <c r="I1561" s="1">
        <v>1</v>
      </c>
      <c r="J1561" s="1">
        <v>1</v>
      </c>
      <c r="K1561" s="1">
        <v>1</v>
      </c>
      <c r="M1561" s="1">
        <v>828</v>
      </c>
      <c r="N1561" s="1">
        <v>1194</v>
      </c>
      <c r="O1561" s="1">
        <v>2493</v>
      </c>
      <c r="P1561" s="1">
        <v>1299</v>
      </c>
      <c r="Q1561" s="1" t="s">
        <v>42</v>
      </c>
      <c r="S1561" s="1" t="s">
        <v>42</v>
      </c>
      <c r="T1561" s="1" t="s">
        <v>170</v>
      </c>
      <c r="V1561" s="5">
        <v>43631</v>
      </c>
      <c r="W1561" s="5">
        <v>43530</v>
      </c>
      <c r="Y1561" s="1">
        <v>2225000</v>
      </c>
      <c r="Z1561" s="5">
        <v>43531</v>
      </c>
      <c r="AA1561" s="1">
        <v>2120362.37</v>
      </c>
      <c r="AB1561" s="1" t="s">
        <v>1229</v>
      </c>
      <c r="AC1561" s="5">
        <v>43587</v>
      </c>
      <c r="AF1561" s="1">
        <v>10016</v>
      </c>
      <c r="AI1561" s="1" t="s">
        <v>82</v>
      </c>
      <c r="AJ1561" s="1">
        <v>2019</v>
      </c>
      <c r="AK1561" s="1" t="s">
        <v>73</v>
      </c>
      <c r="AL1561" s="1">
        <v>130</v>
      </c>
    </row>
    <row r="1562" spans="1:38" x14ac:dyDescent="0.2">
      <c r="A1562" s="2" t="str">
        <f>HYPERLINK("https://www.compass.com/listing/277-5th-avenue-unit-27b-manhattan-ny-10016/274558856103726689/","277 5th Ave, Unit 27B")</f>
        <v>277 5th Ave, Unit 27B</v>
      </c>
      <c r="B1562" s="2" t="str">
        <f t="shared" si="272"/>
        <v>277 FIFTH AVENUE</v>
      </c>
      <c r="C1562" s="1" t="s">
        <v>81</v>
      </c>
      <c r="D1562" s="1" t="s">
        <v>41</v>
      </c>
      <c r="E1562" s="3">
        <v>2160613</v>
      </c>
      <c r="F1562" s="1">
        <v>2547.8922995283001</v>
      </c>
      <c r="G1562" s="1">
        <v>3</v>
      </c>
      <c r="H1562" s="1">
        <v>1</v>
      </c>
      <c r="I1562" s="1">
        <v>1</v>
      </c>
      <c r="J1562" s="1">
        <v>1</v>
      </c>
      <c r="K1562" s="1">
        <v>1</v>
      </c>
      <c r="M1562" s="1">
        <v>848</v>
      </c>
      <c r="N1562" s="1">
        <v>1223</v>
      </c>
      <c r="O1562" s="1">
        <v>2554</v>
      </c>
      <c r="P1562" s="1">
        <v>1331</v>
      </c>
      <c r="Q1562" s="1" t="s">
        <v>42</v>
      </c>
      <c r="S1562" s="1" t="s">
        <v>42</v>
      </c>
      <c r="T1562" s="1" t="s">
        <v>170</v>
      </c>
      <c r="U1562" s="1">
        <v>14</v>
      </c>
      <c r="V1562" s="5">
        <v>43631</v>
      </c>
      <c r="W1562" s="5">
        <v>43279</v>
      </c>
      <c r="X1562" s="1">
        <v>2205000</v>
      </c>
      <c r="Y1562" s="1">
        <v>2205000</v>
      </c>
      <c r="Z1562" s="5">
        <v>43294</v>
      </c>
      <c r="AA1562" s="1">
        <v>2160612.67</v>
      </c>
      <c r="AB1562" s="1" t="s">
        <v>1230</v>
      </c>
      <c r="AC1562" s="5">
        <v>43565</v>
      </c>
      <c r="AF1562" s="1">
        <v>10016</v>
      </c>
      <c r="AI1562" s="1" t="s">
        <v>82</v>
      </c>
      <c r="AJ1562" s="1">
        <v>2019</v>
      </c>
      <c r="AK1562" s="1" t="s">
        <v>73</v>
      </c>
      <c r="AL1562" s="1">
        <v>130</v>
      </c>
    </row>
    <row r="1563" spans="1:38" x14ac:dyDescent="0.2">
      <c r="A1563" s="2" t="str">
        <f>HYPERLINK("https://www.compass.com/listing/277-5th-avenue-unit-16b-manhattan-ny-10016/29336567738918209/","277 5th Ave, Unit 16B")</f>
        <v>277 5th Ave, Unit 16B</v>
      </c>
      <c r="B1563" s="2" t="str">
        <f t="shared" si="272"/>
        <v>277 FIFTH AVENUE</v>
      </c>
      <c r="C1563" s="1" t="s">
        <v>81</v>
      </c>
      <c r="D1563" s="1" t="s">
        <v>41</v>
      </c>
      <c r="E1563" s="3">
        <v>1790613</v>
      </c>
      <c r="F1563" s="1">
        <v>2111.5715448113201</v>
      </c>
      <c r="G1563" s="1">
        <v>3</v>
      </c>
      <c r="H1563" s="1">
        <v>1</v>
      </c>
      <c r="I1563" s="1">
        <v>1</v>
      </c>
      <c r="J1563" s="1">
        <v>1</v>
      </c>
      <c r="K1563" s="1">
        <v>1</v>
      </c>
      <c r="M1563" s="1">
        <v>848</v>
      </c>
      <c r="N1563" s="1">
        <v>1223</v>
      </c>
      <c r="O1563" s="1">
        <v>2553</v>
      </c>
      <c r="P1563" s="1">
        <v>1330</v>
      </c>
      <c r="Q1563" s="1" t="s">
        <v>42</v>
      </c>
      <c r="S1563" s="1" t="s">
        <v>42</v>
      </c>
      <c r="T1563" s="1" t="s">
        <v>170</v>
      </c>
      <c r="U1563" s="1">
        <v>34</v>
      </c>
      <c r="V1563" s="5">
        <v>43707</v>
      </c>
      <c r="W1563" s="5">
        <v>43243</v>
      </c>
      <c r="X1563" s="1">
        <v>1965000</v>
      </c>
      <c r="Y1563" s="1">
        <v>1965000</v>
      </c>
      <c r="AA1563" s="1">
        <v>1790612.67</v>
      </c>
      <c r="AB1563" s="1" t="s">
        <v>1231</v>
      </c>
      <c r="AC1563" s="5">
        <v>43622</v>
      </c>
      <c r="AF1563" s="1">
        <v>10016</v>
      </c>
      <c r="AI1563" s="1" t="s">
        <v>82</v>
      </c>
      <c r="AJ1563" s="1">
        <v>2019</v>
      </c>
      <c r="AK1563" s="1" t="s">
        <v>73</v>
      </c>
      <c r="AL1563" s="1">
        <v>130</v>
      </c>
    </row>
    <row r="1564" spans="1:38" x14ac:dyDescent="0.2">
      <c r="A1564" s="2" t="str">
        <f>HYPERLINK("https://www.compass.com/listing/277-5th-avenue-unit-25b-manhattan-ny-10016/29514468094416001/","277 5th Ave, Unit 25B")</f>
        <v>277 5th Ave, Unit 25B</v>
      </c>
      <c r="B1564" s="2" t="str">
        <f t="shared" si="272"/>
        <v>277 FIFTH AVENUE</v>
      </c>
      <c r="C1564" s="1" t="s">
        <v>81</v>
      </c>
      <c r="D1564" s="1" t="s">
        <v>41</v>
      </c>
      <c r="E1564" s="3">
        <v>2037750</v>
      </c>
      <c r="F1564" s="1">
        <v>2403.0070754716899</v>
      </c>
      <c r="G1564" s="1">
        <v>3</v>
      </c>
      <c r="H1564" s="1">
        <v>1</v>
      </c>
      <c r="I1564" s="1">
        <v>1</v>
      </c>
      <c r="J1564" s="1">
        <v>1</v>
      </c>
      <c r="K1564" s="1">
        <v>1</v>
      </c>
      <c r="M1564" s="1">
        <v>848</v>
      </c>
      <c r="N1564" s="1">
        <v>1223</v>
      </c>
      <c r="O1564" s="1">
        <v>2554</v>
      </c>
      <c r="P1564" s="1">
        <v>1331</v>
      </c>
      <c r="Q1564" s="1" t="s">
        <v>42</v>
      </c>
      <c r="S1564" s="1" t="s">
        <v>42</v>
      </c>
      <c r="T1564" s="1" t="s">
        <v>170</v>
      </c>
      <c r="V1564" s="5">
        <v>43648</v>
      </c>
      <c r="W1564" s="5">
        <v>43259</v>
      </c>
      <c r="X1564" s="1">
        <v>2145000</v>
      </c>
      <c r="Y1564" s="1">
        <v>2145000</v>
      </c>
      <c r="Z1564" s="5">
        <v>43259</v>
      </c>
      <c r="AA1564" s="1">
        <v>2037750</v>
      </c>
      <c r="AB1564" s="1" t="s">
        <v>1232</v>
      </c>
      <c r="AC1564" s="5">
        <v>43545</v>
      </c>
      <c r="AF1564" s="1">
        <v>10016</v>
      </c>
      <c r="AI1564" s="1" t="s">
        <v>82</v>
      </c>
      <c r="AJ1564" s="1">
        <v>2019</v>
      </c>
      <c r="AK1564" s="1" t="s">
        <v>73</v>
      </c>
      <c r="AL1564" s="1">
        <v>130</v>
      </c>
    </row>
    <row r="1565" spans="1:38" x14ac:dyDescent="0.2">
      <c r="A1565" s="2" t="str">
        <f>HYPERLINK("https://www.compass.com/listing/277-5th-avenue-unit-25c-manhattan-ny-10016/29514471022040305/","277 5th Ave, Unit 25C")</f>
        <v>277 5th Ave, Unit 25C</v>
      </c>
      <c r="B1565" s="2" t="str">
        <f t="shared" si="272"/>
        <v>277 FIFTH AVENUE</v>
      </c>
      <c r="C1565" s="1" t="s">
        <v>81</v>
      </c>
      <c r="D1565" s="1" t="s">
        <v>41</v>
      </c>
      <c r="E1565" s="3">
        <v>2037750</v>
      </c>
      <c r="F1565" s="1">
        <v>2461.0507246376801</v>
      </c>
      <c r="G1565" s="1">
        <v>3</v>
      </c>
      <c r="H1565" s="1">
        <v>1</v>
      </c>
      <c r="I1565" s="1">
        <v>1</v>
      </c>
      <c r="J1565" s="1">
        <v>1</v>
      </c>
      <c r="K1565" s="1">
        <v>1</v>
      </c>
      <c r="M1565" s="1">
        <v>828</v>
      </c>
      <c r="N1565" s="1">
        <v>1194</v>
      </c>
      <c r="O1565" s="1">
        <v>2493</v>
      </c>
      <c r="P1565" s="1">
        <v>1299</v>
      </c>
      <c r="Q1565" s="1" t="s">
        <v>42</v>
      </c>
      <c r="S1565" s="1" t="s">
        <v>42</v>
      </c>
      <c r="T1565" s="1" t="s">
        <v>170</v>
      </c>
      <c r="V1565" s="5">
        <v>43648</v>
      </c>
      <c r="W1565" s="5">
        <v>43287</v>
      </c>
      <c r="X1565" s="1">
        <v>2145000</v>
      </c>
      <c r="Y1565" s="1">
        <v>2145000</v>
      </c>
      <c r="Z1565" s="5">
        <v>43287</v>
      </c>
      <c r="AA1565" s="1">
        <v>2037750</v>
      </c>
      <c r="AB1565" s="1" t="s">
        <v>1233</v>
      </c>
      <c r="AC1565" s="5">
        <v>43545</v>
      </c>
      <c r="AF1565" s="1">
        <v>10016</v>
      </c>
      <c r="AI1565" s="1" t="s">
        <v>82</v>
      </c>
      <c r="AJ1565" s="1">
        <v>2019</v>
      </c>
      <c r="AK1565" s="1" t="s">
        <v>73</v>
      </c>
      <c r="AL1565" s="1">
        <v>130</v>
      </c>
    </row>
    <row r="1566" spans="1:38" x14ac:dyDescent="0.2">
      <c r="A1566" s="2" t="str">
        <f>HYPERLINK("https://www.compass.com/listing/277-5th-avenue-unit-15c-manhattan-ny-10016/29514472372648273/","277 5th Ave, Unit 15C")</f>
        <v>277 5th Ave, Unit 15C</v>
      </c>
      <c r="B1566" s="2" t="str">
        <f t="shared" si="272"/>
        <v>277 FIFTH AVENUE</v>
      </c>
      <c r="C1566" s="1" t="s">
        <v>81</v>
      </c>
      <c r="D1566" s="1" t="s">
        <v>41</v>
      </c>
      <c r="E1566" s="3">
        <v>1759362</v>
      </c>
      <c r="F1566" s="1">
        <v>2124.8337801932298</v>
      </c>
      <c r="G1566" s="1">
        <v>3</v>
      </c>
      <c r="H1566" s="1">
        <v>1</v>
      </c>
      <c r="I1566" s="1">
        <v>1</v>
      </c>
      <c r="J1566" s="1">
        <v>1</v>
      </c>
      <c r="K1566" s="1">
        <v>1</v>
      </c>
      <c r="M1566" s="1">
        <v>828</v>
      </c>
      <c r="N1566" s="1">
        <v>1193</v>
      </c>
      <c r="O1566" s="1">
        <v>2492</v>
      </c>
      <c r="P1566" s="1">
        <v>1299</v>
      </c>
      <c r="Q1566" s="1" t="s">
        <v>42</v>
      </c>
      <c r="S1566" s="1" t="s">
        <v>42</v>
      </c>
      <c r="T1566" s="1" t="s">
        <v>170</v>
      </c>
      <c r="U1566" s="1">
        <v>91</v>
      </c>
      <c r="V1566" s="5">
        <v>43707</v>
      </c>
      <c r="W1566" s="5">
        <v>43280</v>
      </c>
      <c r="X1566" s="1">
        <v>1799000</v>
      </c>
      <c r="Y1566" s="1">
        <v>1799000</v>
      </c>
      <c r="AA1566" s="1">
        <v>1759362.37</v>
      </c>
      <c r="AB1566" s="1" t="s">
        <v>1234</v>
      </c>
      <c r="AC1566" s="5">
        <v>43690</v>
      </c>
      <c r="AF1566" s="1">
        <v>10016</v>
      </c>
      <c r="AI1566" s="1" t="s">
        <v>82</v>
      </c>
      <c r="AJ1566" s="1">
        <v>2019</v>
      </c>
      <c r="AK1566" s="1" t="s">
        <v>73</v>
      </c>
      <c r="AL1566" s="1">
        <v>130</v>
      </c>
    </row>
    <row r="1567" spans="1:38" x14ac:dyDescent="0.2">
      <c r="A1567" s="2" t="str">
        <f>HYPERLINK("https://www.compass.com/listing/277-5th-avenue-unit-14c-manhattan-ny-10016/29514473463167361/","277 5th Ave, Unit 14C")</f>
        <v>277 5th Ave, Unit 14C</v>
      </c>
      <c r="B1567" s="2" t="str">
        <f t="shared" si="272"/>
        <v>277 FIFTH AVENUE</v>
      </c>
      <c r="C1567" s="1" t="s">
        <v>81</v>
      </c>
      <c r="D1567" s="1" t="s">
        <v>41</v>
      </c>
      <c r="E1567" s="3">
        <v>1935362</v>
      </c>
      <c r="F1567" s="1">
        <v>2337.3937198067601</v>
      </c>
      <c r="G1567" s="1">
        <v>3</v>
      </c>
      <c r="H1567" s="1">
        <v>1</v>
      </c>
      <c r="I1567" s="1">
        <v>1</v>
      </c>
      <c r="J1567" s="1">
        <v>1</v>
      </c>
      <c r="K1567" s="1">
        <v>1</v>
      </c>
      <c r="M1567" s="1">
        <v>828</v>
      </c>
      <c r="N1567" s="1">
        <v>1194</v>
      </c>
      <c r="O1567" s="1">
        <v>2493</v>
      </c>
      <c r="P1567" s="1">
        <v>1299</v>
      </c>
      <c r="Q1567" s="1" t="s">
        <v>42</v>
      </c>
      <c r="S1567" s="1" t="s">
        <v>42</v>
      </c>
      <c r="T1567" s="1" t="s">
        <v>170</v>
      </c>
      <c r="U1567" s="1">
        <v>6</v>
      </c>
      <c r="V1567" s="5">
        <v>43648</v>
      </c>
      <c r="W1567" s="5">
        <v>43225</v>
      </c>
      <c r="X1567" s="1">
        <v>1925000</v>
      </c>
      <c r="Y1567" s="1">
        <v>1925000</v>
      </c>
      <c r="Z1567" s="5">
        <v>43231</v>
      </c>
      <c r="AA1567" s="1">
        <v>1935362</v>
      </c>
      <c r="AB1567" s="1" t="s">
        <v>1235</v>
      </c>
      <c r="AC1567" s="5">
        <v>43547</v>
      </c>
      <c r="AF1567" s="1">
        <v>10016</v>
      </c>
      <c r="AI1567" s="1" t="s">
        <v>82</v>
      </c>
      <c r="AJ1567" s="1">
        <v>2019</v>
      </c>
      <c r="AK1567" s="1" t="s">
        <v>73</v>
      </c>
      <c r="AL1567" s="1">
        <v>130</v>
      </c>
    </row>
    <row r="1568" spans="1:38" x14ac:dyDescent="0.2">
      <c r="A1568" s="2" t="str">
        <f>HYPERLINK("https://www.compass.com/listing/277-5th-avenue-unit-29b-manhattan-ny-10016/29514476533398017/","277 5th Ave, Unit 29B")</f>
        <v>277 5th Ave, Unit 29B</v>
      </c>
      <c r="B1568" s="2" t="str">
        <f t="shared" si="272"/>
        <v>277 FIFTH AVENUE</v>
      </c>
      <c r="C1568" s="1" t="s">
        <v>81</v>
      </c>
      <c r="D1568" s="1" t="s">
        <v>41</v>
      </c>
      <c r="E1568" s="3">
        <v>2255613</v>
      </c>
      <c r="F1568" s="1">
        <v>2659.92099056603</v>
      </c>
      <c r="G1568" s="1">
        <v>3</v>
      </c>
      <c r="H1568" s="1">
        <v>1</v>
      </c>
      <c r="I1568" s="1">
        <v>1</v>
      </c>
      <c r="J1568" s="1">
        <v>1</v>
      </c>
      <c r="K1568" s="1">
        <v>1</v>
      </c>
      <c r="M1568" s="1">
        <v>848</v>
      </c>
      <c r="N1568" s="1">
        <v>1223</v>
      </c>
      <c r="O1568" s="1">
        <v>2554</v>
      </c>
      <c r="P1568" s="1">
        <v>1331</v>
      </c>
      <c r="Q1568" s="1" t="s">
        <v>42</v>
      </c>
      <c r="S1568" s="1" t="s">
        <v>42</v>
      </c>
      <c r="T1568" s="1" t="s">
        <v>170</v>
      </c>
      <c r="U1568" s="1">
        <v>4</v>
      </c>
      <c r="V1568" s="5">
        <v>43648</v>
      </c>
      <c r="W1568" s="5">
        <v>43231</v>
      </c>
      <c r="X1568" s="1">
        <v>2245000</v>
      </c>
      <c r="Y1568" s="1">
        <v>2245000</v>
      </c>
      <c r="Z1568" s="5">
        <v>43235</v>
      </c>
      <c r="AA1568" s="1">
        <v>2255613</v>
      </c>
      <c r="AB1568" s="1" t="s">
        <v>1236</v>
      </c>
      <c r="AC1568" s="5">
        <v>43536</v>
      </c>
      <c r="AF1568" s="1">
        <v>10016</v>
      </c>
      <c r="AI1568" s="1" t="s">
        <v>82</v>
      </c>
      <c r="AJ1568" s="1">
        <v>2019</v>
      </c>
      <c r="AK1568" s="1" t="s">
        <v>73</v>
      </c>
      <c r="AL1568" s="1">
        <v>130</v>
      </c>
    </row>
    <row r="1569" spans="1:38" x14ac:dyDescent="0.2">
      <c r="A1569" s="2" t="str">
        <f>HYPERLINK("https://www.compass.com/listing/277-5th-avenue-unit-17b-manhattan-ny-10016/30363541009638129/","277 5th Ave, Unit 17B")</f>
        <v>277 5th Ave, Unit 17B</v>
      </c>
      <c r="B1569" s="2" t="str">
        <f t="shared" si="272"/>
        <v>277 FIFTH AVENUE</v>
      </c>
      <c r="C1569" s="1" t="s">
        <v>81</v>
      </c>
      <c r="D1569" s="1" t="s">
        <v>41</v>
      </c>
      <c r="E1569" s="3">
        <v>1835613</v>
      </c>
      <c r="F1569" s="1">
        <v>2164.6379716981101</v>
      </c>
      <c r="G1569" s="1">
        <v>3</v>
      </c>
      <c r="H1569" s="1">
        <v>1</v>
      </c>
      <c r="I1569" s="1">
        <v>1</v>
      </c>
      <c r="J1569" s="1">
        <v>1</v>
      </c>
      <c r="K1569" s="1">
        <v>1</v>
      </c>
      <c r="M1569" s="1">
        <v>848</v>
      </c>
      <c r="N1569" s="1">
        <v>1223</v>
      </c>
      <c r="O1569" s="1">
        <v>2554</v>
      </c>
      <c r="P1569" s="1">
        <v>1331</v>
      </c>
      <c r="Q1569" s="1" t="s">
        <v>42</v>
      </c>
      <c r="S1569" s="1" t="s">
        <v>42</v>
      </c>
      <c r="T1569" s="1" t="s">
        <v>170</v>
      </c>
      <c r="U1569" s="1">
        <v>5</v>
      </c>
      <c r="V1569" s="5">
        <v>43678</v>
      </c>
      <c r="W1569" s="5">
        <v>43294</v>
      </c>
      <c r="X1569" s="1">
        <v>1915000</v>
      </c>
      <c r="Y1569" s="1">
        <v>1915000</v>
      </c>
      <c r="Z1569" s="5">
        <v>43299</v>
      </c>
      <c r="AA1569" s="1">
        <v>1835613</v>
      </c>
      <c r="AB1569" s="1" t="s">
        <v>1237</v>
      </c>
      <c r="AC1569" s="5">
        <v>43533</v>
      </c>
      <c r="AF1569" s="1">
        <v>10016</v>
      </c>
      <c r="AI1569" s="1" t="s">
        <v>82</v>
      </c>
      <c r="AJ1569" s="1">
        <v>2019</v>
      </c>
      <c r="AK1569" s="1" t="s">
        <v>73</v>
      </c>
      <c r="AL1569" s="1">
        <v>130</v>
      </c>
    </row>
    <row r="1570" spans="1:38" x14ac:dyDescent="0.2">
      <c r="A1570" s="2" t="str">
        <f>HYPERLINK("https://www.compass.com/listing/277-5th-avenue-unit-16c-manhattan-ny-10016/307123048507118529/","277 5th Ave, Unit 16C")</f>
        <v>277 5th Ave, Unit 16C</v>
      </c>
      <c r="B1570" s="2" t="str">
        <f t="shared" si="272"/>
        <v>277 FIFTH AVENUE</v>
      </c>
      <c r="C1570" s="1" t="s">
        <v>81</v>
      </c>
      <c r="D1570" s="1" t="s">
        <v>41</v>
      </c>
      <c r="E1570" s="3">
        <v>1797711</v>
      </c>
      <c r="G1570" s="1">
        <v>3</v>
      </c>
      <c r="H1570" s="1">
        <v>1</v>
      </c>
      <c r="I1570" s="1">
        <v>1</v>
      </c>
      <c r="J1570" s="1">
        <v>1</v>
      </c>
      <c r="K1570" s="1">
        <v>1</v>
      </c>
      <c r="N1570" s="1">
        <v>1194</v>
      </c>
      <c r="O1570" s="1">
        <v>2493</v>
      </c>
      <c r="P1570" s="1">
        <v>1299</v>
      </c>
      <c r="Q1570" s="1" t="s">
        <v>42</v>
      </c>
      <c r="S1570" s="1" t="s">
        <v>42</v>
      </c>
      <c r="T1570" s="1" t="s">
        <v>170</v>
      </c>
      <c r="U1570" s="1">
        <v>175</v>
      </c>
      <c r="V1570" s="5">
        <v>43676</v>
      </c>
      <c r="W1570" s="5">
        <v>43340</v>
      </c>
      <c r="AA1570" s="1">
        <v>1797710.95</v>
      </c>
      <c r="AB1570" s="1" t="s">
        <v>1238</v>
      </c>
      <c r="AC1570" s="5">
        <v>43515</v>
      </c>
      <c r="AF1570" s="1">
        <v>10016</v>
      </c>
      <c r="AI1570" s="1" t="s">
        <v>82</v>
      </c>
      <c r="AJ1570" s="1">
        <v>2019</v>
      </c>
      <c r="AK1570" s="1" t="s">
        <v>73</v>
      </c>
      <c r="AL1570" s="1">
        <v>130</v>
      </c>
    </row>
    <row r="1571" spans="1:38" x14ac:dyDescent="0.2">
      <c r="A1571" s="2" t="str">
        <f>HYPERLINK("https://www.compass.com/listing/277-5th-avenue-unit-26b-manhattan-ny-10016/60064199174386433/","277 5th Ave, Unit 26B")</f>
        <v>277 5th Ave, Unit 26B</v>
      </c>
      <c r="B1571" s="2" t="str">
        <f t="shared" si="272"/>
        <v>277 FIFTH AVENUE</v>
      </c>
      <c r="C1571" s="1" t="s">
        <v>81</v>
      </c>
      <c r="D1571" s="1" t="s">
        <v>41</v>
      </c>
      <c r="E1571" s="3">
        <v>2079863</v>
      </c>
      <c r="F1571" s="1">
        <v>2452.6686320754702</v>
      </c>
      <c r="G1571" s="1">
        <v>3</v>
      </c>
      <c r="H1571" s="1">
        <v>1</v>
      </c>
      <c r="I1571" s="1">
        <v>1</v>
      </c>
      <c r="J1571" s="1">
        <v>1</v>
      </c>
      <c r="K1571" s="1">
        <v>1</v>
      </c>
      <c r="M1571" s="1">
        <v>848</v>
      </c>
      <c r="N1571" s="1">
        <v>1223</v>
      </c>
      <c r="O1571" s="1">
        <v>2554</v>
      </c>
      <c r="P1571" s="1">
        <v>1331</v>
      </c>
      <c r="Q1571" s="1" t="s">
        <v>42</v>
      </c>
      <c r="S1571" s="1" t="s">
        <v>42</v>
      </c>
      <c r="T1571" s="1" t="s">
        <v>170</v>
      </c>
      <c r="V1571" s="5">
        <v>43678</v>
      </c>
      <c r="W1571" s="5">
        <v>43335</v>
      </c>
      <c r="X1571" s="1">
        <v>2185000</v>
      </c>
      <c r="Y1571" s="1">
        <v>2185000</v>
      </c>
      <c r="Z1571" s="5">
        <v>43335</v>
      </c>
      <c r="AA1571" s="1">
        <v>2079863</v>
      </c>
      <c r="AB1571" s="1" t="s">
        <v>1239</v>
      </c>
      <c r="AC1571" s="5">
        <v>43532</v>
      </c>
      <c r="AF1571" s="1">
        <v>10016</v>
      </c>
      <c r="AI1571" s="1" t="s">
        <v>82</v>
      </c>
      <c r="AJ1571" s="1">
        <v>2019</v>
      </c>
      <c r="AK1571" s="1" t="s">
        <v>73</v>
      </c>
      <c r="AL1571" s="1">
        <v>130</v>
      </c>
    </row>
    <row r="1572" spans="1:38" x14ac:dyDescent="0.2">
      <c r="A1572" s="2" t="str">
        <f>HYPERLINK("https://www.compass.com/listing/277-5th-avenue-unit-15b-manhattan-ny-10016/74559870782771937/","277 5th Ave, Unit 15B")</f>
        <v>277 5th Ave, Unit 15B</v>
      </c>
      <c r="B1572" s="2" t="str">
        <f t="shared" si="272"/>
        <v>277 FIFTH AVENUE</v>
      </c>
      <c r="C1572" s="1" t="s">
        <v>81</v>
      </c>
      <c r="D1572" s="1" t="s">
        <v>41</v>
      </c>
      <c r="E1572" s="3">
        <v>1859613</v>
      </c>
      <c r="F1572" s="1">
        <v>2192.9398584905598</v>
      </c>
      <c r="G1572" s="1">
        <v>3</v>
      </c>
      <c r="H1572" s="1">
        <v>1</v>
      </c>
      <c r="I1572" s="1">
        <v>1</v>
      </c>
      <c r="J1572" s="1">
        <v>1</v>
      </c>
      <c r="K1572" s="1">
        <v>1</v>
      </c>
      <c r="M1572" s="1">
        <v>848</v>
      </c>
      <c r="N1572" s="1">
        <v>1223</v>
      </c>
      <c r="O1572" s="1">
        <v>2554</v>
      </c>
      <c r="P1572" s="1">
        <v>1331</v>
      </c>
      <c r="Q1572" s="1" t="s">
        <v>42</v>
      </c>
      <c r="S1572" s="1" t="s">
        <v>42</v>
      </c>
      <c r="T1572" s="1" t="s">
        <v>170</v>
      </c>
      <c r="V1572" s="5">
        <v>43648</v>
      </c>
      <c r="W1572" s="5">
        <v>43355</v>
      </c>
      <c r="X1572" s="1">
        <v>1849000</v>
      </c>
      <c r="Y1572" s="1">
        <v>1849000</v>
      </c>
      <c r="Z1572" s="5">
        <v>43355</v>
      </c>
      <c r="AA1572" s="1">
        <v>1859613</v>
      </c>
      <c r="AB1572" s="1" t="s">
        <v>1240</v>
      </c>
      <c r="AC1572" s="5">
        <v>43536</v>
      </c>
      <c r="AF1572" s="1">
        <v>10016</v>
      </c>
      <c r="AI1572" s="1" t="s">
        <v>82</v>
      </c>
      <c r="AJ1572" s="1">
        <v>2019</v>
      </c>
      <c r="AK1572" s="1" t="s">
        <v>73</v>
      </c>
      <c r="AL1572" s="1">
        <v>130</v>
      </c>
    </row>
    <row r="1573" spans="1:38" x14ac:dyDescent="0.2">
      <c r="A1573" s="2" t="str">
        <f>HYPERLINK("https://www.compass.com/listing/277-5th-avenue-unit-24c-manhattan-ny-10016/829757698308442545/","277 5th Ave, Unit 24C")</f>
        <v>277 5th Ave, Unit 24C</v>
      </c>
      <c r="B1573" s="2" t="str">
        <f t="shared" si="272"/>
        <v>277 FIFTH AVENUE</v>
      </c>
      <c r="C1573" s="1" t="s">
        <v>81</v>
      </c>
      <c r="D1573" s="1" t="s">
        <v>41</v>
      </c>
      <c r="E1573" s="3">
        <v>1935000</v>
      </c>
      <c r="F1573" s="1">
        <v>2336.95652173913</v>
      </c>
      <c r="G1573" s="1">
        <v>3</v>
      </c>
      <c r="H1573" s="1">
        <v>1</v>
      </c>
      <c r="I1573" s="1">
        <v>1</v>
      </c>
      <c r="J1573" s="1">
        <v>1</v>
      </c>
      <c r="K1573" s="1">
        <v>1</v>
      </c>
      <c r="M1573" s="1">
        <v>828</v>
      </c>
      <c r="N1573" s="1">
        <v>1192</v>
      </c>
      <c r="O1573" s="1">
        <v>2283</v>
      </c>
      <c r="P1573" s="1">
        <v>1091</v>
      </c>
      <c r="Q1573" s="1" t="s">
        <v>42</v>
      </c>
      <c r="S1573" s="1" t="s">
        <v>42</v>
      </c>
      <c r="T1573" s="1" t="s">
        <v>170</v>
      </c>
      <c r="U1573" s="1">
        <v>749</v>
      </c>
      <c r="V1573" s="5">
        <v>44426</v>
      </c>
      <c r="W1573" s="5">
        <v>43553</v>
      </c>
      <c r="X1573" s="1">
        <v>2125000</v>
      </c>
      <c r="Y1573" s="1">
        <v>2125000</v>
      </c>
      <c r="Z1573" s="5">
        <v>44397</v>
      </c>
      <c r="AA1573" s="1">
        <v>1935000</v>
      </c>
      <c r="AB1573" s="1" t="s">
        <v>181</v>
      </c>
      <c r="AC1573" s="5">
        <v>44418</v>
      </c>
      <c r="AF1573" s="1">
        <v>10016</v>
      </c>
      <c r="AI1573" s="1" t="s">
        <v>82</v>
      </c>
      <c r="AJ1573" s="1">
        <v>2019</v>
      </c>
      <c r="AK1573" s="1" t="s">
        <v>46</v>
      </c>
      <c r="AL1573" s="1">
        <v>130</v>
      </c>
    </row>
    <row r="1574" spans="1:38" x14ac:dyDescent="0.2">
      <c r="A1574" s="2" t="str">
        <f>HYPERLINK("https://www.compass.com/listing/277-5th-avenue-unit-14b-manhattan-ny-10016/26850073673550881/","277 5th Ave, Unit 14B")</f>
        <v>277 5th Ave, Unit 14B</v>
      </c>
      <c r="B1574" s="2" t="str">
        <f t="shared" si="272"/>
        <v>277 FIFTH AVENUE</v>
      </c>
      <c r="C1574" s="1" t="s">
        <v>81</v>
      </c>
      <c r="D1574" s="1" t="s">
        <v>41</v>
      </c>
      <c r="E1574" s="3">
        <v>1720613</v>
      </c>
      <c r="F1574" s="1">
        <v>2029.024375</v>
      </c>
      <c r="G1574" s="1">
        <v>3</v>
      </c>
      <c r="H1574" s="1">
        <v>1</v>
      </c>
      <c r="I1574" s="1">
        <v>1</v>
      </c>
      <c r="J1574" s="1">
        <v>1</v>
      </c>
      <c r="K1574" s="1">
        <v>1</v>
      </c>
      <c r="M1574" s="1">
        <v>848</v>
      </c>
      <c r="N1574" s="1">
        <v>1223</v>
      </c>
      <c r="O1574" s="1">
        <v>2554</v>
      </c>
      <c r="P1574" s="1">
        <v>1331</v>
      </c>
      <c r="Q1574" s="1" t="s">
        <v>42</v>
      </c>
      <c r="S1574" s="1" t="s">
        <v>42</v>
      </c>
      <c r="T1574" s="1" t="s">
        <v>170</v>
      </c>
      <c r="U1574" s="1">
        <v>102</v>
      </c>
      <c r="V1574" s="5">
        <v>43803</v>
      </c>
      <c r="W1574" s="5">
        <v>43141</v>
      </c>
      <c r="X1574" s="1">
        <v>1925000</v>
      </c>
      <c r="Y1574" s="1">
        <v>1925000</v>
      </c>
      <c r="AA1574" s="1">
        <v>1720612.67</v>
      </c>
      <c r="AB1574" s="1" t="s">
        <v>1241</v>
      </c>
      <c r="AC1574" s="5">
        <v>43721</v>
      </c>
      <c r="AF1574" s="1">
        <v>10016</v>
      </c>
      <c r="AI1574" s="1" t="s">
        <v>82</v>
      </c>
      <c r="AJ1574" s="1">
        <v>2019</v>
      </c>
      <c r="AK1574" s="1" t="s">
        <v>73</v>
      </c>
      <c r="AL1574" s="1">
        <v>130</v>
      </c>
    </row>
    <row r="1575" spans="1:38" x14ac:dyDescent="0.2">
      <c r="A1575" s="2" t="str">
        <f>HYPERLINK("https://www.compass.com/listing/277-5th-avenue-unit-19b-manhattan-ny-10016/832304677256446057/","277 5th Ave, Unit 19B")</f>
        <v>277 5th Ave, Unit 19B</v>
      </c>
      <c r="B1575" s="2" t="str">
        <f t="shared" si="272"/>
        <v>277 FIFTH AVENUE</v>
      </c>
      <c r="C1575" s="1" t="s">
        <v>81</v>
      </c>
      <c r="D1575" s="1" t="s">
        <v>41</v>
      </c>
      <c r="E1575" s="3">
        <v>1830000</v>
      </c>
      <c r="F1575" s="1">
        <v>2158.0188679245198</v>
      </c>
      <c r="G1575" s="1">
        <v>3</v>
      </c>
      <c r="H1575" s="1">
        <v>1</v>
      </c>
      <c r="I1575" s="1">
        <v>1</v>
      </c>
      <c r="J1575" s="1">
        <v>1</v>
      </c>
      <c r="K1575" s="1">
        <v>1</v>
      </c>
      <c r="M1575" s="1">
        <v>848</v>
      </c>
      <c r="N1575" s="1">
        <v>1221</v>
      </c>
      <c r="O1575" s="1">
        <v>2304</v>
      </c>
      <c r="P1575" s="1">
        <v>1083</v>
      </c>
      <c r="Q1575" s="1" t="s">
        <v>42</v>
      </c>
      <c r="S1575" s="1" t="s">
        <v>42</v>
      </c>
      <c r="T1575" s="1" t="s">
        <v>170</v>
      </c>
      <c r="V1575" s="5">
        <v>44426</v>
      </c>
      <c r="AA1575" s="1">
        <v>1830000</v>
      </c>
      <c r="AB1575" s="1" t="s">
        <v>1242</v>
      </c>
      <c r="AC1575" s="5">
        <v>44386</v>
      </c>
      <c r="AF1575" s="1">
        <v>10016</v>
      </c>
      <c r="AI1575" s="1" t="s">
        <v>82</v>
      </c>
      <c r="AJ1575" s="1">
        <v>2019</v>
      </c>
      <c r="AK1575" s="1" t="s">
        <v>46</v>
      </c>
      <c r="AL1575" s="1">
        <v>130</v>
      </c>
    </row>
    <row r="1576" spans="1:38" x14ac:dyDescent="0.2">
      <c r="A1576" s="2" t="str">
        <f>HYPERLINK("https://www.compass.com/listing/200-east-95th-street-unit-5d-manhattan-ny-10128/29423543947166641/","200 E 95th St, Unit 5D")</f>
        <v>200 E 95th St, Unit 5D</v>
      </c>
      <c r="B1576" s="2" t="str">
        <f>HYPERLINK("https://www.compass.com/building/the-kent-manhattan-ny/282049801384650021/","The Kent")</f>
        <v>The Kent</v>
      </c>
      <c r="C1576" s="1" t="s">
        <v>115</v>
      </c>
      <c r="D1576" s="1" t="s">
        <v>41</v>
      </c>
      <c r="E1576" s="3">
        <v>2661364</v>
      </c>
      <c r="F1576" s="1">
        <v>1959.76730486008</v>
      </c>
      <c r="G1576" s="1">
        <v>4</v>
      </c>
      <c r="H1576" s="1" t="s">
        <v>79</v>
      </c>
      <c r="M1576" s="4">
        <v>1358</v>
      </c>
      <c r="Q1576" s="1" t="s">
        <v>42</v>
      </c>
      <c r="S1576" s="1" t="s">
        <v>42</v>
      </c>
      <c r="T1576" s="1" t="s">
        <v>170</v>
      </c>
      <c r="V1576" s="5">
        <v>43700</v>
      </c>
      <c r="W1576" s="5">
        <v>42847</v>
      </c>
      <c r="X1576" s="1">
        <v>2587000</v>
      </c>
      <c r="Y1576" s="1">
        <v>2587000</v>
      </c>
      <c r="Z1576" s="5">
        <v>42847</v>
      </c>
      <c r="AA1576" s="1">
        <v>2661364.7400000002</v>
      </c>
      <c r="AB1576" s="1" t="s">
        <v>1194</v>
      </c>
      <c r="AC1576" s="5">
        <v>43250</v>
      </c>
      <c r="AF1576" s="1">
        <v>10128</v>
      </c>
      <c r="AJ1576" s="1">
        <v>2017</v>
      </c>
      <c r="AK1576" s="1" t="s">
        <v>46</v>
      </c>
      <c r="AL1576" s="1">
        <v>83</v>
      </c>
    </row>
    <row r="1577" spans="1:38" x14ac:dyDescent="0.2">
      <c r="A1577" s="2" t="str">
        <f>HYPERLINK("https://www.compass.com/listing/277-5th-avenue-unit-43b-manhattan-ny-10016/779734091335307657/","277 5th Ave, Unit 43B")</f>
        <v>277 5th Ave, Unit 43B</v>
      </c>
      <c r="B1577" s="2" t="str">
        <f t="shared" ref="B1577:B1580" si="273">HYPERLINK("https://www.compass.com/building/277-fifth-avenue-manhattan-ny/281939285475645317/","277 FIFTH AVENUE")</f>
        <v>277 FIFTH AVENUE</v>
      </c>
      <c r="C1577" s="1" t="s">
        <v>81</v>
      </c>
      <c r="D1577" s="1" t="s">
        <v>41</v>
      </c>
      <c r="E1577" s="3">
        <v>3842809</v>
      </c>
      <c r="F1577" s="1">
        <v>2700.4980744905101</v>
      </c>
      <c r="G1577" s="1">
        <v>5</v>
      </c>
      <c r="H1577" s="1">
        <v>2</v>
      </c>
      <c r="I1577" s="1">
        <v>2</v>
      </c>
      <c r="J1577" s="1">
        <v>2</v>
      </c>
      <c r="K1577" s="1">
        <v>2</v>
      </c>
      <c r="M1577" s="4">
        <v>1423</v>
      </c>
      <c r="N1577" s="1">
        <v>2041</v>
      </c>
      <c r="O1577" s="1">
        <v>3858</v>
      </c>
      <c r="P1577" s="1">
        <v>1817</v>
      </c>
      <c r="Q1577" s="1" t="s">
        <v>42</v>
      </c>
      <c r="S1577" s="1" t="s">
        <v>42</v>
      </c>
      <c r="T1577" s="1" t="s">
        <v>170</v>
      </c>
      <c r="V1577" s="5">
        <v>44419</v>
      </c>
      <c r="W1577" s="5">
        <v>44327</v>
      </c>
      <c r="X1577" s="1">
        <v>4460000</v>
      </c>
      <c r="Y1577" s="1">
        <v>4460000</v>
      </c>
      <c r="Z1577" s="5">
        <v>44328</v>
      </c>
      <c r="AA1577" s="1">
        <v>3842808.76</v>
      </c>
      <c r="AB1577" s="1" t="s">
        <v>1243</v>
      </c>
      <c r="AC1577" s="5">
        <v>44348</v>
      </c>
      <c r="AF1577" s="1">
        <v>10016</v>
      </c>
      <c r="AI1577" s="1" t="s">
        <v>82</v>
      </c>
      <c r="AJ1577" s="1">
        <v>2019</v>
      </c>
      <c r="AK1577" s="1" t="s">
        <v>46</v>
      </c>
      <c r="AL1577" s="1">
        <v>130</v>
      </c>
    </row>
    <row r="1578" spans="1:38" x14ac:dyDescent="0.2">
      <c r="A1578" s="2" t="str">
        <f>HYPERLINK("https://www.compass.com/listing/277-5th-avenue-unit-28c-manhattan-ny-10016/624056138222174441/","277 5th Ave, Unit 28C")</f>
        <v>277 5th Ave, Unit 28C</v>
      </c>
      <c r="B1578" s="2" t="str">
        <f t="shared" si="273"/>
        <v>277 FIFTH AVENUE</v>
      </c>
      <c r="C1578" s="1" t="s">
        <v>81</v>
      </c>
      <c r="D1578" s="1" t="s">
        <v>41</v>
      </c>
      <c r="E1578" s="3">
        <v>1887862</v>
      </c>
      <c r="F1578" s="1">
        <v>2280.02701690821</v>
      </c>
      <c r="G1578" s="1">
        <v>3</v>
      </c>
      <c r="H1578" s="1">
        <v>1</v>
      </c>
      <c r="I1578" s="1">
        <v>1</v>
      </c>
      <c r="J1578" s="1">
        <v>1</v>
      </c>
      <c r="K1578" s="1">
        <v>1</v>
      </c>
      <c r="M1578" s="1">
        <v>828</v>
      </c>
      <c r="N1578" s="1">
        <v>1194</v>
      </c>
      <c r="O1578" s="1">
        <v>2251</v>
      </c>
      <c r="P1578" s="1">
        <v>1057</v>
      </c>
      <c r="Q1578" s="1" t="s">
        <v>42</v>
      </c>
      <c r="S1578" s="1" t="s">
        <v>42</v>
      </c>
      <c r="T1578" s="1" t="s">
        <v>170</v>
      </c>
      <c r="U1578" s="1">
        <v>188</v>
      </c>
      <c r="V1578" s="5">
        <v>44419</v>
      </c>
      <c r="W1578" s="5">
        <v>44112</v>
      </c>
      <c r="X1578" s="1">
        <v>2205000</v>
      </c>
      <c r="Y1578" s="1">
        <v>1895000</v>
      </c>
      <c r="Z1578" s="5">
        <v>44301</v>
      </c>
      <c r="AA1578" s="1">
        <v>1887862.37</v>
      </c>
      <c r="AB1578" s="1" t="s">
        <v>1244</v>
      </c>
      <c r="AC1578" s="5">
        <v>44354</v>
      </c>
      <c r="AF1578" s="1">
        <v>10016</v>
      </c>
      <c r="AI1578" s="1" t="s">
        <v>82</v>
      </c>
      <c r="AJ1578" s="1">
        <v>2019</v>
      </c>
      <c r="AK1578" s="1" t="s">
        <v>46</v>
      </c>
      <c r="AL1578" s="1">
        <v>130</v>
      </c>
    </row>
    <row r="1579" spans="1:38" x14ac:dyDescent="0.2">
      <c r="A1579" s="2" t="str">
        <f>HYPERLINK("https://www.compass.com/listing/277-5th-avenue-unit-12c-manhattan-ny-10016/274558788013435041/","277 5th Ave, Unit 12C")</f>
        <v>277 5th Ave, Unit 12C</v>
      </c>
      <c r="B1579" s="2" t="str">
        <f t="shared" si="273"/>
        <v>277 FIFTH AVENUE</v>
      </c>
      <c r="C1579" s="1" t="s">
        <v>81</v>
      </c>
      <c r="D1579" s="1" t="s">
        <v>41</v>
      </c>
      <c r="E1579" s="3">
        <v>1710362</v>
      </c>
      <c r="F1579" s="1">
        <v>2065.6550362318799</v>
      </c>
      <c r="G1579" s="1">
        <v>3.5</v>
      </c>
      <c r="H1579" s="1">
        <v>1</v>
      </c>
      <c r="I1579" s="1">
        <v>1</v>
      </c>
      <c r="J1579" s="1">
        <v>1</v>
      </c>
      <c r="K1579" s="1">
        <v>1</v>
      </c>
      <c r="M1579" s="1">
        <v>828</v>
      </c>
      <c r="N1579" s="1">
        <v>1194</v>
      </c>
      <c r="O1579" s="1">
        <v>2493</v>
      </c>
      <c r="P1579" s="1">
        <v>1299</v>
      </c>
      <c r="Q1579" s="1" t="s">
        <v>42</v>
      </c>
      <c r="S1579" s="1" t="s">
        <v>42</v>
      </c>
      <c r="T1579" s="1" t="s">
        <v>170</v>
      </c>
      <c r="U1579" s="1">
        <v>96</v>
      </c>
      <c r="V1579" s="5">
        <v>43631</v>
      </c>
      <c r="W1579" s="5">
        <v>43412</v>
      </c>
      <c r="X1579" s="1">
        <v>1755000</v>
      </c>
      <c r="Y1579" s="1">
        <v>1755000</v>
      </c>
      <c r="Z1579" s="5">
        <v>43585</v>
      </c>
      <c r="AA1579" s="1">
        <v>1710362.37</v>
      </c>
      <c r="AB1579" s="1" t="s">
        <v>1245</v>
      </c>
      <c r="AC1579" s="5">
        <v>43614</v>
      </c>
      <c r="AF1579" s="1">
        <v>10016</v>
      </c>
      <c r="AI1579" s="1" t="s">
        <v>82</v>
      </c>
      <c r="AJ1579" s="1">
        <v>2019</v>
      </c>
      <c r="AK1579" s="1" t="s">
        <v>73</v>
      </c>
      <c r="AL1579" s="1">
        <v>130</v>
      </c>
    </row>
    <row r="1580" spans="1:38" x14ac:dyDescent="0.2">
      <c r="A1580" s="2" t="str">
        <f>HYPERLINK("https://www.compass.com/listing/277-5th-avenue-unit-30c-manhattan-ny-10016/274558841532712769/","277 5th Ave, Unit 30C")</f>
        <v>277 5th Ave, Unit 30C</v>
      </c>
      <c r="B1580" s="2" t="str">
        <f t="shared" si="273"/>
        <v>277 FIFTH AVENUE</v>
      </c>
      <c r="C1580" s="1" t="s">
        <v>81</v>
      </c>
      <c r="D1580" s="1" t="s">
        <v>41</v>
      </c>
      <c r="E1580" s="3">
        <v>2150362</v>
      </c>
      <c r="F1580" s="1">
        <v>2597.0560024154502</v>
      </c>
      <c r="G1580" s="1">
        <v>3</v>
      </c>
      <c r="H1580" s="1">
        <v>1</v>
      </c>
      <c r="I1580" s="1">
        <v>1</v>
      </c>
      <c r="J1580" s="1">
        <v>1</v>
      </c>
      <c r="K1580" s="1">
        <v>1</v>
      </c>
      <c r="M1580" s="1">
        <v>828</v>
      </c>
      <c r="N1580" s="1">
        <v>1193</v>
      </c>
      <c r="O1580" s="1">
        <v>2492</v>
      </c>
      <c r="P1580" s="1">
        <v>1299</v>
      </c>
      <c r="Q1580" s="1" t="s">
        <v>42</v>
      </c>
      <c r="S1580" s="1" t="s">
        <v>42</v>
      </c>
      <c r="T1580" s="1" t="s">
        <v>170</v>
      </c>
      <c r="U1580" s="1">
        <v>2</v>
      </c>
      <c r="V1580" s="5">
        <v>43631</v>
      </c>
      <c r="W1580" s="5">
        <v>43509</v>
      </c>
      <c r="X1580" s="1">
        <v>2245000</v>
      </c>
      <c r="Y1580" s="1">
        <v>2245000</v>
      </c>
      <c r="Z1580" s="5">
        <v>43512</v>
      </c>
      <c r="AA1580" s="1">
        <v>2150362.37</v>
      </c>
      <c r="AB1580" s="1" t="s">
        <v>1246</v>
      </c>
      <c r="AC1580" s="5">
        <v>43573</v>
      </c>
      <c r="AF1580" s="1">
        <v>10016</v>
      </c>
      <c r="AI1580" s="1" t="s">
        <v>82</v>
      </c>
      <c r="AJ1580" s="1">
        <v>2019</v>
      </c>
      <c r="AK1580" s="1" t="s">
        <v>73</v>
      </c>
      <c r="AL1580" s="1">
        <v>130</v>
      </c>
    </row>
    <row r="1581" spans="1:38" x14ac:dyDescent="0.2">
      <c r="A1581" s="2" t="str">
        <f>HYPERLINK("https://www.compass.com/listing/200-east-95th-street-unit-28c-manhattan-ny-10128/112033010114631377/","200 E 95th St, Unit 28C")</f>
        <v>200 E 95th St, Unit 28C</v>
      </c>
      <c r="B1581" s="2" t="str">
        <f t="shared" ref="B1581:B1582" si="274">HYPERLINK("https://www.compass.com/building/the-kent-manhattan-ny/282049801384650021/","The Kent")</f>
        <v>The Kent</v>
      </c>
      <c r="C1581" s="1" t="s">
        <v>115</v>
      </c>
      <c r="D1581" s="1" t="s">
        <v>41</v>
      </c>
      <c r="E1581" s="3">
        <v>5125798</v>
      </c>
      <c r="F1581" s="1">
        <v>2644.89035087719</v>
      </c>
      <c r="H1581" s="1">
        <v>3</v>
      </c>
      <c r="J1581" s="1">
        <v>3</v>
      </c>
      <c r="M1581" s="4">
        <v>1938</v>
      </c>
      <c r="N1581" s="1">
        <v>2496</v>
      </c>
      <c r="O1581" s="1">
        <v>2761</v>
      </c>
      <c r="P1581" s="1">
        <v>265</v>
      </c>
      <c r="Q1581" s="1" t="s">
        <v>42</v>
      </c>
      <c r="S1581" s="1" t="s">
        <v>42</v>
      </c>
      <c r="T1581" s="1" t="s">
        <v>170</v>
      </c>
      <c r="AA1581" s="1">
        <v>5125797.5</v>
      </c>
      <c r="AB1581" s="1" t="s">
        <v>1247</v>
      </c>
      <c r="AC1581" s="5">
        <v>43395</v>
      </c>
      <c r="AF1581" s="1">
        <v>10128</v>
      </c>
      <c r="AJ1581" s="1">
        <v>2017</v>
      </c>
      <c r="AK1581" s="1" t="s">
        <v>46</v>
      </c>
      <c r="AL1581" s="1">
        <v>83</v>
      </c>
    </row>
    <row r="1582" spans="1:38" x14ac:dyDescent="0.2">
      <c r="A1582" s="2" t="str">
        <f>HYPERLINK("https://www.compass.com/listing/200-east-95th-street-unit-11c-manhattan-ny-10128/116421598981956081/","200 E 95th St, Unit 11C")</f>
        <v>200 E 95th St, Unit 11C</v>
      </c>
      <c r="B1582" s="2" t="str">
        <f t="shared" si="274"/>
        <v>The Kent</v>
      </c>
      <c r="C1582" s="1" t="s">
        <v>115</v>
      </c>
      <c r="D1582" s="1" t="s">
        <v>41</v>
      </c>
      <c r="E1582" s="3">
        <v>4104545</v>
      </c>
      <c r="F1582" s="1">
        <v>2095.2248392036699</v>
      </c>
      <c r="H1582" s="1">
        <v>3</v>
      </c>
      <c r="J1582" s="1">
        <v>3</v>
      </c>
      <c r="M1582" s="4">
        <v>1959</v>
      </c>
      <c r="N1582" s="1">
        <v>2318</v>
      </c>
      <c r="O1582" s="1">
        <v>2564</v>
      </c>
      <c r="P1582" s="1">
        <v>246</v>
      </c>
      <c r="Q1582" s="1" t="s">
        <v>42</v>
      </c>
      <c r="S1582" s="1" t="s">
        <v>42</v>
      </c>
      <c r="T1582" s="1" t="s">
        <v>170</v>
      </c>
      <c r="AA1582" s="1">
        <v>4104545.46</v>
      </c>
      <c r="AB1582" s="1" t="s">
        <v>1248</v>
      </c>
      <c r="AC1582" s="5">
        <v>43404</v>
      </c>
      <c r="AF1582" s="1">
        <v>10128</v>
      </c>
      <c r="AJ1582" s="1">
        <v>2017</v>
      </c>
      <c r="AK1582" s="1" t="s">
        <v>46</v>
      </c>
      <c r="AL1582" s="1">
        <v>83</v>
      </c>
    </row>
    <row r="1583" spans="1:38" x14ac:dyDescent="0.2">
      <c r="A1583" s="2" t="str">
        <f>HYPERLINK("https://www.compass.com/listing/277-5th-avenue-unit-43c-manhattan-ny-10016/274825741370197233/","277 5th Ave, Unit 43C")</f>
        <v>277 5th Ave, Unit 43C</v>
      </c>
      <c r="B1583" s="2" t="str">
        <f t="shared" ref="B1583:B1647" si="275">HYPERLINK("https://www.compass.com/building/277-fifth-avenue-manhattan-ny/281939285475645317/","277 FIFTH AVENUE")</f>
        <v>277 FIFTH AVENUE</v>
      </c>
      <c r="C1583" s="1" t="s">
        <v>81</v>
      </c>
      <c r="D1583" s="1" t="s">
        <v>41</v>
      </c>
      <c r="E1583" s="3">
        <v>4559635</v>
      </c>
      <c r="F1583" s="1">
        <v>3072.5301078167099</v>
      </c>
      <c r="M1583" s="4">
        <v>1484</v>
      </c>
      <c r="Q1583" s="1" t="s">
        <v>42</v>
      </c>
      <c r="S1583" s="1" t="s">
        <v>42</v>
      </c>
      <c r="T1583" s="1" t="s">
        <v>170</v>
      </c>
      <c r="AA1583" s="1">
        <v>4559634.68</v>
      </c>
      <c r="AB1583" s="1" t="s">
        <v>1249</v>
      </c>
      <c r="AC1583" s="5">
        <v>43574</v>
      </c>
      <c r="AF1583" s="1">
        <v>10016</v>
      </c>
      <c r="AI1583" s="1" t="s">
        <v>82</v>
      </c>
      <c r="AJ1583" s="1">
        <v>2019</v>
      </c>
      <c r="AK1583" s="1" t="s">
        <v>46</v>
      </c>
      <c r="AL1583" s="1">
        <v>130</v>
      </c>
    </row>
    <row r="1584" spans="1:38" x14ac:dyDescent="0.2">
      <c r="A1584" s="2" t="str">
        <f>HYPERLINK("https://www.compass.com/listing/277-5th-avenue-unit-18a-manhattan-ny-10016/274825742393575345/","277 5th Ave, Unit 18A")</f>
        <v>277 5th Ave, Unit 18A</v>
      </c>
      <c r="B1584" s="2" t="str">
        <f t="shared" si="275"/>
        <v>277 FIFTH AVENUE</v>
      </c>
      <c r="C1584" s="1" t="s">
        <v>81</v>
      </c>
      <c r="D1584" s="1" t="s">
        <v>41</v>
      </c>
      <c r="E1584" s="3">
        <v>2991808</v>
      </c>
      <c r="F1584" s="1">
        <v>2227.7048175725899</v>
      </c>
      <c r="M1584" s="4">
        <v>1343</v>
      </c>
      <c r="Q1584" s="1" t="s">
        <v>42</v>
      </c>
      <c r="S1584" s="1" t="s">
        <v>42</v>
      </c>
      <c r="T1584" s="1" t="s">
        <v>170</v>
      </c>
      <c r="AA1584" s="1">
        <v>2991807.57</v>
      </c>
      <c r="AB1584" s="1" t="s">
        <v>1250</v>
      </c>
      <c r="AC1584" s="5">
        <v>43571</v>
      </c>
      <c r="AF1584" s="1">
        <v>10016</v>
      </c>
      <c r="AI1584" s="1" t="s">
        <v>82</v>
      </c>
      <c r="AJ1584" s="1">
        <v>2019</v>
      </c>
      <c r="AK1584" s="1" t="s">
        <v>46</v>
      </c>
      <c r="AL1584" s="1">
        <v>130</v>
      </c>
    </row>
    <row r="1585" spans="1:38" x14ac:dyDescent="0.2">
      <c r="A1585" s="2" t="str">
        <f>HYPERLINK("https://www.compass.com/listing/277-5th-avenue-unit-23a-manhattan-ny-10016/274825753525289329/","277 5th Ave, Unit 23A")</f>
        <v>277 5th Ave, Unit 23A</v>
      </c>
      <c r="B1585" s="2" t="str">
        <f t="shared" si="275"/>
        <v>277 FIFTH AVENUE</v>
      </c>
      <c r="C1585" s="1" t="s">
        <v>81</v>
      </c>
      <c r="D1585" s="1" t="s">
        <v>41</v>
      </c>
      <c r="E1585" s="3">
        <v>3316808</v>
      </c>
      <c r="F1585" s="1">
        <v>2469.7003499627699</v>
      </c>
      <c r="M1585" s="4">
        <v>1343</v>
      </c>
      <c r="Q1585" s="1" t="s">
        <v>42</v>
      </c>
      <c r="S1585" s="1" t="s">
        <v>42</v>
      </c>
      <c r="T1585" s="1" t="s">
        <v>170</v>
      </c>
      <c r="AA1585" s="1">
        <v>3316807.57</v>
      </c>
      <c r="AB1585" s="1" t="s">
        <v>1251</v>
      </c>
      <c r="AC1585" s="5">
        <v>43570</v>
      </c>
      <c r="AF1585" s="1">
        <v>10016</v>
      </c>
      <c r="AI1585" s="1" t="s">
        <v>82</v>
      </c>
      <c r="AJ1585" s="1">
        <v>2019</v>
      </c>
      <c r="AK1585" s="1" t="s">
        <v>46</v>
      </c>
      <c r="AL1585" s="1">
        <v>130</v>
      </c>
    </row>
    <row r="1586" spans="1:38" x14ac:dyDescent="0.2">
      <c r="A1586" s="2" t="str">
        <f>HYPERLINK("https://www.compass.com/listing/277-5th-avenue-unit-21b-manhattan-ny-10016/274825755798574881/","277 5th Ave, Unit 21B")</f>
        <v>277 5th Ave, Unit 21B</v>
      </c>
      <c r="B1586" s="2" t="str">
        <f t="shared" si="275"/>
        <v>277 FIFTH AVENUE</v>
      </c>
      <c r="C1586" s="1" t="s">
        <v>81</v>
      </c>
      <c r="D1586" s="1" t="s">
        <v>41</v>
      </c>
      <c r="E1586" s="3">
        <v>1975000</v>
      </c>
      <c r="F1586" s="1">
        <v>2329.0094339622601</v>
      </c>
      <c r="M1586" s="1">
        <v>848</v>
      </c>
      <c r="Q1586" s="1" t="s">
        <v>42</v>
      </c>
      <c r="S1586" s="1" t="s">
        <v>42</v>
      </c>
      <c r="T1586" s="1" t="s">
        <v>170</v>
      </c>
      <c r="AA1586" s="1">
        <v>1975000</v>
      </c>
      <c r="AB1586" s="1" t="s">
        <v>1252</v>
      </c>
      <c r="AC1586" s="5">
        <v>43556</v>
      </c>
      <c r="AF1586" s="1">
        <v>10016</v>
      </c>
      <c r="AI1586" s="1" t="s">
        <v>82</v>
      </c>
      <c r="AJ1586" s="1">
        <v>2019</v>
      </c>
      <c r="AK1586" s="1" t="s">
        <v>46</v>
      </c>
      <c r="AL1586" s="1">
        <v>130</v>
      </c>
    </row>
    <row r="1587" spans="1:38" x14ac:dyDescent="0.2">
      <c r="A1587" s="2" t="str">
        <f>HYPERLINK("https://www.compass.com/listing/277-5th-avenue-unit-27a-manhattan-ny-10016/274825764967358369/","277 5th Ave, Unit 27A")</f>
        <v>277 5th Ave, Unit 27A</v>
      </c>
      <c r="B1587" s="2" t="str">
        <f t="shared" si="275"/>
        <v>277 FIFTH AVENUE</v>
      </c>
      <c r="C1587" s="1" t="s">
        <v>81</v>
      </c>
      <c r="D1587" s="1" t="s">
        <v>41</v>
      </c>
      <c r="E1587" s="3">
        <v>3361500</v>
      </c>
      <c r="F1587" s="1">
        <v>2502.97840655249</v>
      </c>
      <c r="M1587" s="4">
        <v>1343</v>
      </c>
      <c r="Q1587" s="1" t="s">
        <v>42</v>
      </c>
      <c r="S1587" s="1" t="s">
        <v>42</v>
      </c>
      <c r="T1587" s="1" t="s">
        <v>170</v>
      </c>
      <c r="AA1587" s="1">
        <v>3361500</v>
      </c>
      <c r="AB1587" s="1" t="s">
        <v>1253</v>
      </c>
      <c r="AC1587" s="5">
        <v>43607</v>
      </c>
      <c r="AF1587" s="1">
        <v>10016</v>
      </c>
      <c r="AI1587" s="1" t="s">
        <v>82</v>
      </c>
      <c r="AJ1587" s="1">
        <v>2019</v>
      </c>
      <c r="AK1587" s="1" t="s">
        <v>46</v>
      </c>
      <c r="AL1587" s="1">
        <v>130</v>
      </c>
    </row>
    <row r="1588" spans="1:38" x14ac:dyDescent="0.2">
      <c r="A1588" s="2" t="str">
        <f>HYPERLINK("https://www.compass.com/listing/277-5th-avenue-unit-28b-manhattan-ny-10016/274825785318126401/","277 5th Ave, Unit 28B")</f>
        <v>277 5th Ave, Unit 28B</v>
      </c>
      <c r="B1588" s="2" t="str">
        <f t="shared" si="275"/>
        <v>277 FIFTH AVENUE</v>
      </c>
      <c r="C1588" s="1" t="s">
        <v>81</v>
      </c>
      <c r="D1588" s="1" t="s">
        <v>41</v>
      </c>
      <c r="E1588" s="3">
        <v>2185613</v>
      </c>
      <c r="F1588" s="1">
        <v>2577.3734316037699</v>
      </c>
      <c r="M1588" s="1">
        <v>848</v>
      </c>
      <c r="Q1588" s="1" t="s">
        <v>42</v>
      </c>
      <c r="S1588" s="1" t="s">
        <v>42</v>
      </c>
      <c r="T1588" s="1" t="s">
        <v>170</v>
      </c>
      <c r="AA1588" s="1">
        <v>2185612.67</v>
      </c>
      <c r="AB1588" s="1" t="s">
        <v>1254</v>
      </c>
      <c r="AC1588" s="5">
        <v>43557</v>
      </c>
      <c r="AF1588" s="1">
        <v>10016</v>
      </c>
      <c r="AI1588" s="1" t="s">
        <v>82</v>
      </c>
      <c r="AJ1588" s="1">
        <v>2019</v>
      </c>
      <c r="AK1588" s="1" t="s">
        <v>46</v>
      </c>
      <c r="AL1588" s="1">
        <v>130</v>
      </c>
    </row>
    <row r="1589" spans="1:38" x14ac:dyDescent="0.2">
      <c r="A1589" s="2" t="str">
        <f>HYPERLINK("https://www.compass.com/listing/277-5th-avenue-unit-22b-manhattan-ny-10016/274825792758793457/","277 5th Ave, Unit 22B")</f>
        <v>277 5th Ave, Unit 22B</v>
      </c>
      <c r="B1589" s="2" t="str">
        <f t="shared" si="275"/>
        <v>277 FIFTH AVENUE</v>
      </c>
      <c r="C1589" s="1" t="s">
        <v>81</v>
      </c>
      <c r="D1589" s="1" t="s">
        <v>41</v>
      </c>
      <c r="E1589" s="3">
        <v>2085000</v>
      </c>
      <c r="F1589" s="1">
        <v>2458.7264150943302</v>
      </c>
      <c r="M1589" s="1">
        <v>848</v>
      </c>
      <c r="Q1589" s="1" t="s">
        <v>42</v>
      </c>
      <c r="S1589" s="1" t="s">
        <v>42</v>
      </c>
      <c r="T1589" s="1" t="s">
        <v>170</v>
      </c>
      <c r="AA1589" s="1">
        <v>2085000</v>
      </c>
      <c r="AB1589" s="1" t="s">
        <v>1255</v>
      </c>
      <c r="AC1589" s="5">
        <v>43556</v>
      </c>
      <c r="AF1589" s="1">
        <v>10016</v>
      </c>
      <c r="AI1589" s="1" t="s">
        <v>82</v>
      </c>
      <c r="AJ1589" s="1">
        <v>2019</v>
      </c>
      <c r="AK1589" s="1" t="s">
        <v>46</v>
      </c>
      <c r="AL1589" s="1">
        <v>130</v>
      </c>
    </row>
    <row r="1590" spans="1:38" x14ac:dyDescent="0.2">
      <c r="A1590" s="2" t="str">
        <f>HYPERLINK("https://www.compass.com/listing/277-5th-avenue-unit-21a-manhattan-ny-10016/274825794830811825/","277 5th Ave, Unit 21A")</f>
        <v>277 5th Ave, Unit 21A</v>
      </c>
      <c r="B1590" s="2" t="str">
        <f t="shared" si="275"/>
        <v>277 FIFTH AVENUE</v>
      </c>
      <c r="C1590" s="1" t="s">
        <v>81</v>
      </c>
      <c r="D1590" s="1" t="s">
        <v>41</v>
      </c>
      <c r="E1590" s="3">
        <v>3066808</v>
      </c>
      <c r="F1590" s="1">
        <v>2283.5499404318598</v>
      </c>
      <c r="M1590" s="4">
        <v>1343</v>
      </c>
      <c r="Q1590" s="1" t="s">
        <v>42</v>
      </c>
      <c r="S1590" s="1" t="s">
        <v>42</v>
      </c>
      <c r="T1590" s="1" t="s">
        <v>170</v>
      </c>
      <c r="AA1590" s="1">
        <v>3066807.57</v>
      </c>
      <c r="AB1590" s="1" t="s">
        <v>1256</v>
      </c>
      <c r="AC1590" s="5">
        <v>43578</v>
      </c>
      <c r="AF1590" s="1">
        <v>10016</v>
      </c>
      <c r="AI1590" s="1" t="s">
        <v>82</v>
      </c>
      <c r="AJ1590" s="1">
        <v>2019</v>
      </c>
      <c r="AK1590" s="1" t="s">
        <v>46</v>
      </c>
      <c r="AL1590" s="1">
        <v>130</v>
      </c>
    </row>
    <row r="1591" spans="1:38" x14ac:dyDescent="0.2">
      <c r="A1591" s="2" t="str">
        <f>HYPERLINK("https://www.compass.com/listing/277-5th-avenue-unit-51a-manhattan-ny-10016/274825801893991025/","277 5th Ave, Unit 51A")</f>
        <v>277 5th Ave, Unit 51A</v>
      </c>
      <c r="B1591" s="2" t="str">
        <f t="shared" si="275"/>
        <v>277 FIFTH AVENUE</v>
      </c>
      <c r="C1591" s="1" t="s">
        <v>81</v>
      </c>
      <c r="D1591" s="1" t="s">
        <v>41</v>
      </c>
      <c r="E1591" s="3">
        <v>4819486</v>
      </c>
      <c r="F1591" s="1">
        <v>3095.3665831727599</v>
      </c>
      <c r="M1591" s="4">
        <v>1557</v>
      </c>
      <c r="Q1591" s="1" t="s">
        <v>42</v>
      </c>
      <c r="S1591" s="1" t="s">
        <v>42</v>
      </c>
      <c r="T1591" s="1" t="s">
        <v>170</v>
      </c>
      <c r="AA1591" s="1">
        <v>4819485.7699999996</v>
      </c>
      <c r="AB1591" s="1" t="s">
        <v>1257</v>
      </c>
      <c r="AC1591" s="5">
        <v>43615</v>
      </c>
      <c r="AF1591" s="1">
        <v>10016</v>
      </c>
      <c r="AI1591" s="1" t="s">
        <v>82</v>
      </c>
      <c r="AJ1591" s="1">
        <v>2019</v>
      </c>
      <c r="AK1591" s="1" t="s">
        <v>46</v>
      </c>
      <c r="AL1591" s="1">
        <v>130</v>
      </c>
    </row>
    <row r="1592" spans="1:38" x14ac:dyDescent="0.2">
      <c r="A1592" s="2" t="str">
        <f>HYPERLINK("https://www.compass.com/listing/277-5th-avenue-unit-38c-manhattan-ny-10016/274825857502113745/","277 5th Ave, Unit 38C")</f>
        <v>277 5th Ave, Unit 38C</v>
      </c>
      <c r="B1592" s="2" t="str">
        <f t="shared" si="275"/>
        <v>277 FIFTH AVENUE</v>
      </c>
      <c r="C1592" s="1" t="s">
        <v>81</v>
      </c>
      <c r="D1592" s="1" t="s">
        <v>41</v>
      </c>
      <c r="E1592" s="3">
        <v>4267483</v>
      </c>
      <c r="F1592" s="1">
        <v>3054.7482963493198</v>
      </c>
      <c r="M1592" s="4">
        <v>1397</v>
      </c>
      <c r="Q1592" s="1" t="s">
        <v>42</v>
      </c>
      <c r="S1592" s="1" t="s">
        <v>42</v>
      </c>
      <c r="T1592" s="1" t="s">
        <v>170</v>
      </c>
      <c r="AA1592" s="1">
        <v>4267483.37</v>
      </c>
      <c r="AB1592" s="1" t="s">
        <v>1258</v>
      </c>
      <c r="AC1592" s="5">
        <v>43593</v>
      </c>
      <c r="AF1592" s="1">
        <v>10016</v>
      </c>
      <c r="AI1592" s="1" t="s">
        <v>82</v>
      </c>
      <c r="AJ1592" s="1">
        <v>2019</v>
      </c>
      <c r="AK1592" s="1" t="s">
        <v>46</v>
      </c>
      <c r="AL1592" s="1">
        <v>130</v>
      </c>
    </row>
    <row r="1593" spans="1:38" x14ac:dyDescent="0.2">
      <c r="A1593" s="2" t="str">
        <f>HYPERLINK("https://www.compass.com/listing/277-5th-avenue-unit-42c-manhattan-ny-10016/262873189330204609/","277 5th Ave, Unit 42C")</f>
        <v>277 5th Ave, Unit 42C</v>
      </c>
      <c r="B1593" s="2" t="str">
        <f t="shared" si="275"/>
        <v>277 FIFTH AVENUE</v>
      </c>
      <c r="C1593" s="1" t="s">
        <v>81</v>
      </c>
      <c r="D1593" s="1" t="s">
        <v>41</v>
      </c>
      <c r="E1593" s="3">
        <v>3700000</v>
      </c>
      <c r="F1593" s="1">
        <v>2493.2614555256</v>
      </c>
      <c r="G1593" s="1">
        <v>4.5</v>
      </c>
      <c r="H1593" s="1">
        <v>2</v>
      </c>
      <c r="I1593" s="1">
        <v>3</v>
      </c>
      <c r="J1593" s="1">
        <v>2.5</v>
      </c>
      <c r="K1593" s="1">
        <v>2</v>
      </c>
      <c r="L1593" s="1">
        <v>1</v>
      </c>
      <c r="M1593" s="4">
        <v>1484</v>
      </c>
      <c r="N1593" s="1">
        <v>2140</v>
      </c>
      <c r="O1593" s="1">
        <v>4035</v>
      </c>
      <c r="P1593" s="1">
        <v>1895</v>
      </c>
      <c r="Q1593" s="1" t="s">
        <v>42</v>
      </c>
      <c r="S1593" s="1" t="s">
        <v>42</v>
      </c>
      <c r="T1593" s="1" t="s">
        <v>170</v>
      </c>
      <c r="V1593" s="5">
        <v>44419</v>
      </c>
      <c r="W1593" s="5">
        <v>43614</v>
      </c>
      <c r="X1593" s="1">
        <v>4810000</v>
      </c>
      <c r="Y1593" s="1">
        <v>4635000</v>
      </c>
      <c r="Z1593" s="5">
        <v>44264</v>
      </c>
      <c r="AA1593" s="1">
        <v>3700000</v>
      </c>
      <c r="AB1593" s="1" t="s">
        <v>1259</v>
      </c>
      <c r="AC1593" s="5">
        <v>44328</v>
      </c>
      <c r="AF1593" s="1">
        <v>10016</v>
      </c>
      <c r="AI1593" s="1" t="s">
        <v>82</v>
      </c>
      <c r="AJ1593" s="1">
        <v>2019</v>
      </c>
      <c r="AK1593" s="1" t="s">
        <v>46</v>
      </c>
      <c r="AL1593" s="1">
        <v>130</v>
      </c>
    </row>
    <row r="1594" spans="1:38" x14ac:dyDescent="0.2">
      <c r="A1594" s="2" t="str">
        <f>HYPERLINK("https://www.compass.com/listing/277-5th-avenue-unit-37c-manhattan-ny-10016/237620348294538193/","277 5th Ave, Unit 37C")</f>
        <v>277 5th Ave, Unit 37C</v>
      </c>
      <c r="B1594" s="2" t="str">
        <f t="shared" si="275"/>
        <v>277 FIFTH AVENUE</v>
      </c>
      <c r="C1594" s="1" t="s">
        <v>81</v>
      </c>
      <c r="D1594" s="1" t="s">
        <v>41</v>
      </c>
      <c r="E1594" s="3">
        <v>4150000</v>
      </c>
      <c r="F1594" s="1">
        <v>2970.6513958482401</v>
      </c>
      <c r="G1594" s="1">
        <v>4</v>
      </c>
      <c r="H1594" s="1">
        <v>2</v>
      </c>
      <c r="I1594" s="1">
        <v>2</v>
      </c>
      <c r="J1594" s="1">
        <v>2</v>
      </c>
      <c r="K1594" s="1">
        <v>2</v>
      </c>
      <c r="M1594" s="4">
        <v>1397</v>
      </c>
      <c r="N1594" s="1">
        <v>2014</v>
      </c>
      <c r="O1594" s="1">
        <v>4206</v>
      </c>
      <c r="P1594" s="1">
        <v>2192</v>
      </c>
      <c r="Q1594" s="1" t="s">
        <v>42</v>
      </c>
      <c r="S1594" s="1" t="s">
        <v>42</v>
      </c>
      <c r="T1594" s="1" t="s">
        <v>170</v>
      </c>
      <c r="U1594" s="1">
        <v>76</v>
      </c>
      <c r="V1594" s="5">
        <v>43839</v>
      </c>
      <c r="W1594" s="5">
        <v>43579</v>
      </c>
      <c r="X1594" s="1">
        <v>4325000</v>
      </c>
      <c r="Y1594" s="1">
        <v>4325000</v>
      </c>
      <c r="Z1594" s="5">
        <v>43655</v>
      </c>
      <c r="AA1594" s="1">
        <v>4150000</v>
      </c>
      <c r="AB1594" s="1" t="s">
        <v>1260</v>
      </c>
      <c r="AC1594" s="5">
        <v>43685</v>
      </c>
      <c r="AF1594" s="1">
        <v>10016</v>
      </c>
      <c r="AI1594" s="1" t="s">
        <v>82</v>
      </c>
      <c r="AJ1594" s="1">
        <v>2019</v>
      </c>
      <c r="AK1594" s="1" t="s">
        <v>46</v>
      </c>
      <c r="AL1594" s="1">
        <v>130</v>
      </c>
    </row>
    <row r="1595" spans="1:38" x14ac:dyDescent="0.2">
      <c r="A1595" s="2" t="str">
        <f>HYPERLINK("https://www.compass.com/listing/277-5th-avenue-unit-35c-manhattan-ny-10016/25003023919044609/","277 5th Ave, Unit 35C")</f>
        <v>277 5th Ave, Unit 35C</v>
      </c>
      <c r="B1595" s="2" t="str">
        <f t="shared" si="275"/>
        <v>277 FIFTH AVENUE</v>
      </c>
      <c r="C1595" s="1" t="s">
        <v>81</v>
      </c>
      <c r="D1595" s="1" t="s">
        <v>41</v>
      </c>
      <c r="E1595" s="3">
        <v>4017526</v>
      </c>
      <c r="F1595" s="1">
        <v>2875.82390837508</v>
      </c>
      <c r="G1595" s="1">
        <v>4</v>
      </c>
      <c r="H1595" s="1">
        <v>2</v>
      </c>
      <c r="I1595" s="1">
        <v>2</v>
      </c>
      <c r="J1595" s="1">
        <v>2</v>
      </c>
      <c r="K1595" s="1">
        <v>2</v>
      </c>
      <c r="M1595" s="4">
        <v>1397</v>
      </c>
      <c r="N1595" s="1">
        <v>2014</v>
      </c>
      <c r="O1595" s="1">
        <v>4206</v>
      </c>
      <c r="P1595" s="1">
        <v>2192</v>
      </c>
      <c r="Q1595" s="1" t="s">
        <v>42</v>
      </c>
      <c r="S1595" s="1" t="s">
        <v>42</v>
      </c>
      <c r="T1595" s="1" t="s">
        <v>170</v>
      </c>
      <c r="U1595" s="1">
        <v>168</v>
      </c>
      <c r="V1595" s="5">
        <v>43724</v>
      </c>
      <c r="W1595" s="5">
        <v>43058</v>
      </c>
      <c r="X1595" s="1">
        <v>4175000</v>
      </c>
      <c r="Y1595" s="1">
        <v>4225000</v>
      </c>
      <c r="Z1595" s="5">
        <v>43684</v>
      </c>
      <c r="AA1595" s="1">
        <v>4017526</v>
      </c>
      <c r="AB1595" s="1" t="s">
        <v>1261</v>
      </c>
      <c r="AC1595" s="5">
        <v>43715</v>
      </c>
      <c r="AF1595" s="1">
        <v>10016</v>
      </c>
      <c r="AI1595" s="1" t="s">
        <v>82</v>
      </c>
      <c r="AJ1595" s="1">
        <v>2019</v>
      </c>
      <c r="AK1595" s="1" t="s">
        <v>46</v>
      </c>
      <c r="AL1595" s="1">
        <v>130</v>
      </c>
    </row>
    <row r="1596" spans="1:38" x14ac:dyDescent="0.2">
      <c r="A1596" s="2" t="str">
        <f>HYPERLINK("https://www.compass.com/listing/277-5th-avenue-unit-38b-manhattan-ny-10016/769987309124041497/","277 5th Ave, Unit 38B")</f>
        <v>277 5th Ave, Unit 38B</v>
      </c>
      <c r="B1596" s="2" t="str">
        <f t="shared" si="275"/>
        <v>277 FIFTH AVENUE</v>
      </c>
      <c r="C1596" s="1" t="s">
        <v>81</v>
      </c>
      <c r="D1596" s="1" t="s">
        <v>41</v>
      </c>
      <c r="E1596" s="3">
        <v>3181500</v>
      </c>
      <c r="F1596" s="1">
        <v>2487.4902267396401</v>
      </c>
      <c r="G1596" s="1">
        <v>4</v>
      </c>
      <c r="H1596" s="1">
        <v>2</v>
      </c>
      <c r="I1596" s="1">
        <v>2</v>
      </c>
      <c r="J1596" s="1">
        <v>2</v>
      </c>
      <c r="K1596" s="1">
        <v>2</v>
      </c>
      <c r="M1596" s="4">
        <v>1279</v>
      </c>
      <c r="N1596" s="1">
        <v>1841.24</v>
      </c>
      <c r="O1596" s="1">
        <v>3474.24</v>
      </c>
      <c r="P1596" s="1">
        <v>1633</v>
      </c>
      <c r="Q1596" s="1" t="s">
        <v>42</v>
      </c>
      <c r="S1596" s="1" t="s">
        <v>42</v>
      </c>
      <c r="T1596" s="1" t="s">
        <v>170</v>
      </c>
      <c r="V1596" s="5">
        <v>44419</v>
      </c>
      <c r="W1596" s="5">
        <v>44314</v>
      </c>
      <c r="X1596" s="1">
        <v>3830000</v>
      </c>
      <c r="Y1596" s="1">
        <v>3830000</v>
      </c>
      <c r="Z1596" s="5">
        <v>44315</v>
      </c>
      <c r="AA1596" s="1">
        <v>3181500</v>
      </c>
      <c r="AB1596" s="1" t="s">
        <v>1262</v>
      </c>
      <c r="AC1596" s="5">
        <v>44357</v>
      </c>
      <c r="AF1596" s="1">
        <v>10016</v>
      </c>
      <c r="AI1596" s="1" t="s">
        <v>82</v>
      </c>
      <c r="AJ1596" s="1">
        <v>2019</v>
      </c>
      <c r="AK1596" s="1" t="s">
        <v>46</v>
      </c>
      <c r="AL1596" s="1">
        <v>130</v>
      </c>
    </row>
    <row r="1597" spans="1:38" x14ac:dyDescent="0.2">
      <c r="A1597" s="2" t="str">
        <f>HYPERLINK("https://www.compass.com/listing/277-5th-avenue-unit-51b-manhattan-ny-10016/766123526736456689/","277 5th Ave, Unit 51B")</f>
        <v>277 5th Ave, Unit 51B</v>
      </c>
      <c r="B1597" s="2" t="str">
        <f t="shared" si="275"/>
        <v>277 FIFTH AVENUE</v>
      </c>
      <c r="C1597" s="1" t="s">
        <v>81</v>
      </c>
      <c r="D1597" s="1" t="s">
        <v>41</v>
      </c>
      <c r="E1597" s="3">
        <v>6500000</v>
      </c>
      <c r="F1597" s="1">
        <v>2929.2474087426699</v>
      </c>
      <c r="G1597" s="1">
        <v>6</v>
      </c>
      <c r="H1597" s="1">
        <v>3</v>
      </c>
      <c r="I1597" s="1">
        <v>4</v>
      </c>
      <c r="J1597" s="1">
        <v>3.5</v>
      </c>
      <c r="K1597" s="1">
        <v>3</v>
      </c>
      <c r="L1597" s="1">
        <v>1</v>
      </c>
      <c r="M1597" s="4">
        <v>2219</v>
      </c>
      <c r="N1597" s="1">
        <v>3194</v>
      </c>
      <c r="O1597" s="1">
        <v>6028</v>
      </c>
      <c r="P1597" s="1">
        <v>2834</v>
      </c>
      <c r="Q1597" s="1" t="s">
        <v>42</v>
      </c>
      <c r="S1597" s="1" t="s">
        <v>42</v>
      </c>
      <c r="T1597" s="1" t="s">
        <v>170</v>
      </c>
      <c r="V1597" s="5">
        <v>44419</v>
      </c>
      <c r="W1597" s="5">
        <v>44308</v>
      </c>
      <c r="X1597" s="1">
        <v>7550000</v>
      </c>
      <c r="Y1597" s="1">
        <v>7550000</v>
      </c>
      <c r="AA1597" s="1">
        <v>6500000</v>
      </c>
      <c r="AB1597" s="1" t="s">
        <v>1263</v>
      </c>
      <c r="AC1597" s="5">
        <v>44308</v>
      </c>
      <c r="AF1597" s="1">
        <v>10016</v>
      </c>
      <c r="AI1597" s="1" t="s">
        <v>82</v>
      </c>
      <c r="AJ1597" s="1">
        <v>2019</v>
      </c>
      <c r="AK1597" s="1" t="s">
        <v>46</v>
      </c>
      <c r="AL1597" s="1">
        <v>130</v>
      </c>
    </row>
    <row r="1598" spans="1:38" x14ac:dyDescent="0.2">
      <c r="A1598" s="2" t="str">
        <f>HYPERLINK("https://www.compass.com/listing/277-5th-avenue-unit-11d-manhattan-ny-10016/760121749926407745/","277 5th Ave, Unit 11D")</f>
        <v>277 5th Ave, Unit 11D</v>
      </c>
      <c r="B1598" s="2" t="str">
        <f t="shared" si="275"/>
        <v>277 FIFTH AVENUE</v>
      </c>
      <c r="C1598" s="1" t="s">
        <v>81</v>
      </c>
      <c r="D1598" s="1" t="s">
        <v>41</v>
      </c>
      <c r="E1598" s="3">
        <v>2350000</v>
      </c>
      <c r="F1598" s="1">
        <v>1711.58048069919</v>
      </c>
      <c r="G1598" s="1">
        <v>4</v>
      </c>
      <c r="H1598" s="1">
        <v>2</v>
      </c>
      <c r="I1598" s="1">
        <v>2</v>
      </c>
      <c r="J1598" s="1">
        <v>2</v>
      </c>
      <c r="K1598" s="1">
        <v>2</v>
      </c>
      <c r="M1598" s="4">
        <v>1373</v>
      </c>
      <c r="N1598" s="1">
        <v>1976</v>
      </c>
      <c r="O1598" s="1">
        <v>3729</v>
      </c>
      <c r="P1598" s="1">
        <v>1753</v>
      </c>
      <c r="Q1598" s="1" t="s">
        <v>42</v>
      </c>
      <c r="S1598" s="1" t="s">
        <v>42</v>
      </c>
      <c r="T1598" s="1" t="s">
        <v>170</v>
      </c>
      <c r="U1598" s="1">
        <v>43</v>
      </c>
      <c r="V1598" s="5">
        <v>44420</v>
      </c>
      <c r="W1598" s="5">
        <v>44257</v>
      </c>
      <c r="X1598" s="1">
        <v>3045000</v>
      </c>
      <c r="Y1598" s="1">
        <v>3045000</v>
      </c>
      <c r="Z1598" s="5">
        <v>44301</v>
      </c>
      <c r="AA1598" s="1">
        <v>2350000</v>
      </c>
      <c r="AB1598" s="1" t="s">
        <v>1264</v>
      </c>
      <c r="AC1598" s="5">
        <v>44309</v>
      </c>
      <c r="AF1598" s="1">
        <v>10016</v>
      </c>
      <c r="AI1598" s="1" t="s">
        <v>82</v>
      </c>
      <c r="AJ1598" s="1">
        <v>2019</v>
      </c>
      <c r="AK1598" s="1" t="s">
        <v>46</v>
      </c>
      <c r="AL1598" s="1">
        <v>130</v>
      </c>
    </row>
    <row r="1599" spans="1:38" x14ac:dyDescent="0.2">
      <c r="A1599" s="2" t="str">
        <f>HYPERLINK("https://www.compass.com/listing/277-5th-avenue-unit-34b-manhattan-ny-10016/389008012741253569/","277 5th Ave, Unit 34B")</f>
        <v>277 5th Ave, Unit 34B</v>
      </c>
      <c r="B1599" s="2" t="str">
        <f t="shared" si="275"/>
        <v>277 FIFTH AVENUE</v>
      </c>
      <c r="C1599" s="1" t="s">
        <v>81</v>
      </c>
      <c r="D1599" s="1" t="s">
        <v>41</v>
      </c>
      <c r="E1599" s="3">
        <v>2700000</v>
      </c>
      <c r="F1599" s="1">
        <v>2111.02423768569</v>
      </c>
      <c r="G1599" s="1">
        <v>4</v>
      </c>
      <c r="H1599" s="1">
        <v>2</v>
      </c>
      <c r="I1599" s="1">
        <v>2</v>
      </c>
      <c r="J1599" s="1">
        <v>2</v>
      </c>
      <c r="K1599" s="1">
        <v>2</v>
      </c>
      <c r="M1599" s="4">
        <v>1279</v>
      </c>
      <c r="N1599" s="1">
        <v>1844</v>
      </c>
      <c r="O1599" s="1">
        <v>3851</v>
      </c>
      <c r="P1599" s="1">
        <v>2007</v>
      </c>
      <c r="Q1599" s="1" t="s">
        <v>42</v>
      </c>
      <c r="S1599" s="1" t="s">
        <v>42</v>
      </c>
      <c r="T1599" s="1" t="s">
        <v>170</v>
      </c>
      <c r="U1599" s="1">
        <v>48</v>
      </c>
      <c r="V1599" s="5">
        <v>44412</v>
      </c>
      <c r="W1599" s="5">
        <v>44209</v>
      </c>
      <c r="X1599" s="1">
        <v>2860000</v>
      </c>
      <c r="Y1599" s="1">
        <v>2860000</v>
      </c>
      <c r="Z1599" s="5">
        <v>44257</v>
      </c>
      <c r="AA1599" s="1">
        <v>2700000</v>
      </c>
      <c r="AB1599" s="1" t="s">
        <v>1265</v>
      </c>
      <c r="AC1599" s="5">
        <v>44314</v>
      </c>
      <c r="AF1599" s="1">
        <v>10016</v>
      </c>
      <c r="AI1599" s="1" t="s">
        <v>82</v>
      </c>
      <c r="AJ1599" s="1">
        <v>2019</v>
      </c>
      <c r="AK1599" s="1" t="s">
        <v>46</v>
      </c>
      <c r="AL1599" s="1">
        <v>130</v>
      </c>
    </row>
    <row r="1600" spans="1:38" x14ac:dyDescent="0.2">
      <c r="A1600" s="2" t="str">
        <f>HYPERLINK("https://www.compass.com/listing/277-5th-avenue-unit-14d-manhattan-ny-10016/115910465443418689/","277 5th Ave, Unit 14D")</f>
        <v>277 5th Ave, Unit 14D</v>
      </c>
      <c r="B1600" s="2" t="str">
        <f t="shared" si="275"/>
        <v>277 FIFTH AVENUE</v>
      </c>
      <c r="C1600" s="1" t="s">
        <v>81</v>
      </c>
      <c r="D1600" s="1" t="s">
        <v>41</v>
      </c>
      <c r="E1600" s="3">
        <v>2892183</v>
      </c>
      <c r="F1600" s="1">
        <v>2106.4697960670001</v>
      </c>
      <c r="G1600" s="1">
        <v>4</v>
      </c>
      <c r="H1600" s="1">
        <v>2</v>
      </c>
      <c r="I1600" s="1">
        <v>2</v>
      </c>
      <c r="J1600" s="1">
        <v>2</v>
      </c>
      <c r="K1600" s="1">
        <v>2</v>
      </c>
      <c r="M1600" s="4">
        <v>1373</v>
      </c>
      <c r="N1600" s="1">
        <v>1980</v>
      </c>
      <c r="O1600" s="1">
        <v>4135</v>
      </c>
      <c r="P1600" s="1">
        <v>2155</v>
      </c>
      <c r="Q1600" s="1" t="s">
        <v>42</v>
      </c>
      <c r="S1600" s="1" t="s">
        <v>42</v>
      </c>
      <c r="T1600" s="1" t="s">
        <v>170</v>
      </c>
      <c r="U1600" s="1">
        <v>104</v>
      </c>
      <c r="V1600" s="5">
        <v>43720</v>
      </c>
      <c r="W1600" s="5">
        <v>43411</v>
      </c>
      <c r="X1600" s="1">
        <v>3115000</v>
      </c>
      <c r="Y1600" s="1">
        <v>3115000</v>
      </c>
      <c r="Z1600" s="5">
        <v>43704</v>
      </c>
      <c r="AA1600" s="1">
        <v>2892183.03</v>
      </c>
      <c r="AB1600" s="1" t="s">
        <v>1266</v>
      </c>
      <c r="AC1600" s="5">
        <v>43705</v>
      </c>
      <c r="AF1600" s="1">
        <v>10016</v>
      </c>
      <c r="AI1600" s="1" t="s">
        <v>82</v>
      </c>
      <c r="AJ1600" s="1">
        <v>2019</v>
      </c>
      <c r="AK1600" s="1" t="s">
        <v>73</v>
      </c>
      <c r="AL1600" s="1">
        <v>130</v>
      </c>
    </row>
    <row r="1601" spans="1:38" x14ac:dyDescent="0.2">
      <c r="A1601" s="2" t="str">
        <f>HYPERLINK("https://www.compass.com/listing/277-5th-avenue-unit-33b-manhattan-ny-10016/425363959725963681/","277 5th Ave, Unit 33B")</f>
        <v>277 5th Ave, Unit 33B</v>
      </c>
      <c r="B1601" s="2" t="str">
        <f t="shared" si="275"/>
        <v>277 FIFTH AVENUE</v>
      </c>
      <c r="C1601" s="1" t="s">
        <v>81</v>
      </c>
      <c r="D1601" s="1" t="s">
        <v>41</v>
      </c>
      <c r="E1601" s="3">
        <v>2825000</v>
      </c>
      <c r="F1601" s="1">
        <v>2208.7568412822502</v>
      </c>
      <c r="G1601" s="1">
        <v>4</v>
      </c>
      <c r="H1601" s="1">
        <v>2</v>
      </c>
      <c r="I1601" s="1">
        <v>2</v>
      </c>
      <c r="J1601" s="1">
        <v>2</v>
      </c>
      <c r="K1601" s="1">
        <v>2</v>
      </c>
      <c r="M1601" s="4">
        <v>1279</v>
      </c>
      <c r="N1601" s="1">
        <v>1844.07</v>
      </c>
      <c r="O1601" s="1">
        <v>3851.27</v>
      </c>
      <c r="P1601" s="1">
        <v>2007.1666666666599</v>
      </c>
      <c r="Q1601" s="1" t="s">
        <v>42</v>
      </c>
      <c r="S1601" s="1" t="s">
        <v>42</v>
      </c>
      <c r="T1601" s="1" t="s">
        <v>170</v>
      </c>
      <c r="U1601" s="1">
        <v>356</v>
      </c>
      <c r="V1601" s="5">
        <v>44411</v>
      </c>
      <c r="W1601" s="5">
        <v>43838</v>
      </c>
      <c r="X1601" s="1">
        <v>3655000</v>
      </c>
      <c r="Y1601" s="1">
        <v>3375000</v>
      </c>
      <c r="AA1601" s="1">
        <v>2825000</v>
      </c>
      <c r="AB1601" s="1" t="s">
        <v>1267</v>
      </c>
      <c r="AC1601" s="5">
        <v>44377</v>
      </c>
      <c r="AF1601" s="1">
        <v>10016</v>
      </c>
      <c r="AI1601" s="1" t="s">
        <v>82</v>
      </c>
      <c r="AJ1601" s="1">
        <v>2019</v>
      </c>
      <c r="AK1601" s="1" t="s">
        <v>46</v>
      </c>
      <c r="AL1601" s="1">
        <v>130</v>
      </c>
    </row>
    <row r="1602" spans="1:38" x14ac:dyDescent="0.2">
      <c r="A1602" s="2" t="str">
        <f>HYPERLINK("https://www.compass.com/listing/277-5th-avenue-unit-17d-manhattan-ny-10016/20330194678105249/","277 5th Ave, Unit 17D")</f>
        <v>277 5th Ave, Unit 17D</v>
      </c>
      <c r="B1602" s="2" t="str">
        <f t="shared" si="275"/>
        <v>277 FIFTH AVENUE</v>
      </c>
      <c r="C1602" s="1" t="s">
        <v>81</v>
      </c>
      <c r="D1602" s="1" t="s">
        <v>41</v>
      </c>
      <c r="E1602" s="3">
        <v>3017500</v>
      </c>
      <c r="F1602" s="1">
        <v>2197.7421704297099</v>
      </c>
      <c r="G1602" s="1">
        <v>4</v>
      </c>
      <c r="H1602" s="1">
        <v>2</v>
      </c>
      <c r="I1602" s="1">
        <v>2</v>
      </c>
      <c r="J1602" s="1">
        <v>2</v>
      </c>
      <c r="K1602" s="1">
        <v>2</v>
      </c>
      <c r="M1602" s="4">
        <v>1373</v>
      </c>
      <c r="N1602" s="1">
        <v>1980</v>
      </c>
      <c r="O1602" s="1">
        <v>4135</v>
      </c>
      <c r="P1602" s="1">
        <v>2155</v>
      </c>
      <c r="Q1602" s="1" t="s">
        <v>42</v>
      </c>
      <c r="S1602" s="1" t="s">
        <v>42</v>
      </c>
      <c r="T1602" s="1" t="s">
        <v>170</v>
      </c>
      <c r="U1602" s="1">
        <v>90</v>
      </c>
      <c r="V1602" s="5">
        <v>43648</v>
      </c>
      <c r="W1602" s="5">
        <v>42995</v>
      </c>
      <c r="X1602" s="1">
        <v>3150000</v>
      </c>
      <c r="Y1602" s="1">
        <v>3220000</v>
      </c>
      <c r="Z1602" s="5">
        <v>43377</v>
      </c>
      <c r="AA1602" s="1">
        <v>3017500</v>
      </c>
      <c r="AB1602" s="1" t="s">
        <v>1268</v>
      </c>
      <c r="AC1602" s="5">
        <v>43546</v>
      </c>
      <c r="AF1602" s="1">
        <v>10016</v>
      </c>
      <c r="AI1602" s="1" t="s">
        <v>53</v>
      </c>
      <c r="AJ1602" s="1">
        <v>2019</v>
      </c>
      <c r="AK1602" s="1" t="s">
        <v>73</v>
      </c>
      <c r="AL1602" s="1">
        <v>130</v>
      </c>
    </row>
    <row r="1603" spans="1:38" x14ac:dyDescent="0.2">
      <c r="A1603" s="2" t="str">
        <f>HYPERLINK("https://www.compass.com/listing/277-5th-avenue-unit-15a-manhattan-ny-10016/274558833169317377/","277 5th Ave, Unit 15A")</f>
        <v>277 5th Ave, Unit 15A</v>
      </c>
      <c r="B1603" s="2" t="str">
        <f t="shared" si="275"/>
        <v>277 FIFTH AVENUE</v>
      </c>
      <c r="C1603" s="1" t="s">
        <v>81</v>
      </c>
      <c r="D1603" s="1" t="s">
        <v>41</v>
      </c>
      <c r="E1603" s="3">
        <v>2886808</v>
      </c>
      <c r="F1603" s="1">
        <v>2149.52164556962</v>
      </c>
      <c r="G1603" s="1">
        <v>4</v>
      </c>
      <c r="H1603" s="1">
        <v>2</v>
      </c>
      <c r="I1603" s="1">
        <v>2</v>
      </c>
      <c r="J1603" s="1">
        <v>2</v>
      </c>
      <c r="K1603" s="1">
        <v>2</v>
      </c>
      <c r="M1603" s="4">
        <v>1343</v>
      </c>
      <c r="N1603" s="1">
        <v>1936</v>
      </c>
      <c r="O1603" s="1">
        <v>4044</v>
      </c>
      <c r="P1603" s="1">
        <v>2108</v>
      </c>
      <c r="Q1603" s="1" t="s">
        <v>42</v>
      </c>
      <c r="S1603" s="1" t="s">
        <v>42</v>
      </c>
      <c r="T1603" s="1" t="s">
        <v>170</v>
      </c>
      <c r="U1603" s="1">
        <v>90</v>
      </c>
      <c r="V1603" s="5">
        <v>43631</v>
      </c>
      <c r="W1603" s="5">
        <v>43153</v>
      </c>
      <c r="X1603" s="1">
        <v>2870000</v>
      </c>
      <c r="Y1603" s="1">
        <v>3035000</v>
      </c>
      <c r="Z1603" s="5">
        <v>43350</v>
      </c>
      <c r="AA1603" s="1">
        <v>2886807.57</v>
      </c>
      <c r="AB1603" s="1" t="s">
        <v>1269</v>
      </c>
      <c r="AC1603" s="5">
        <v>43605</v>
      </c>
      <c r="AF1603" s="1">
        <v>10016</v>
      </c>
      <c r="AI1603" s="1" t="s">
        <v>82</v>
      </c>
      <c r="AJ1603" s="1">
        <v>2019</v>
      </c>
      <c r="AK1603" s="1" t="s">
        <v>73</v>
      </c>
      <c r="AL1603" s="1">
        <v>130</v>
      </c>
    </row>
    <row r="1604" spans="1:38" x14ac:dyDescent="0.2">
      <c r="A1604" s="2" t="str">
        <f>HYPERLINK("https://www.compass.com/listing/277-5th-avenue-unit-16a-manhattan-ny-10016/29514469746937345/","277 5th Ave, Unit 16A")</f>
        <v>277 5th Ave, Unit 16A</v>
      </c>
      <c r="B1604" s="2" t="str">
        <f t="shared" si="275"/>
        <v>277 FIFTH AVENUE</v>
      </c>
      <c r="C1604" s="1" t="s">
        <v>81</v>
      </c>
      <c r="D1604" s="1" t="s">
        <v>41</v>
      </c>
      <c r="E1604" s="3">
        <v>2916808</v>
      </c>
      <c r="F1604" s="1">
        <v>2171.86001489203</v>
      </c>
      <c r="G1604" s="1">
        <v>4</v>
      </c>
      <c r="H1604" s="1">
        <v>2</v>
      </c>
      <c r="I1604" s="1">
        <v>2</v>
      </c>
      <c r="J1604" s="1">
        <v>2</v>
      </c>
      <c r="K1604" s="1">
        <v>2</v>
      </c>
      <c r="M1604" s="4">
        <v>1343</v>
      </c>
      <c r="N1604" s="1">
        <v>1936</v>
      </c>
      <c r="O1604" s="1">
        <v>4044</v>
      </c>
      <c r="P1604" s="1">
        <v>2108</v>
      </c>
      <c r="Q1604" s="1" t="s">
        <v>42</v>
      </c>
      <c r="S1604" s="1" t="s">
        <v>42</v>
      </c>
      <c r="T1604" s="1" t="s">
        <v>170</v>
      </c>
      <c r="U1604" s="1">
        <v>90</v>
      </c>
      <c r="V1604" s="5">
        <v>43782</v>
      </c>
      <c r="W1604" s="5">
        <v>43244</v>
      </c>
      <c r="X1604" s="1">
        <v>2905000</v>
      </c>
      <c r="Y1604" s="1">
        <v>3200000</v>
      </c>
      <c r="Z1604" s="5">
        <v>43414</v>
      </c>
      <c r="AA1604" s="1">
        <v>2916808</v>
      </c>
      <c r="AB1604" s="1" t="s">
        <v>1270</v>
      </c>
      <c r="AC1604" s="5">
        <v>43554</v>
      </c>
      <c r="AF1604" s="1">
        <v>10016</v>
      </c>
      <c r="AI1604" s="1" t="s">
        <v>82</v>
      </c>
      <c r="AJ1604" s="1">
        <v>2019</v>
      </c>
      <c r="AK1604" s="1" t="s">
        <v>73</v>
      </c>
      <c r="AL1604" s="1">
        <v>130</v>
      </c>
    </row>
    <row r="1605" spans="1:38" x14ac:dyDescent="0.2">
      <c r="A1605" s="2" t="str">
        <f>HYPERLINK("https://www.compass.com/listing/277-5th-avenue-unit-11a-manhattan-ny-10016/29514473177912641/","277 5th Ave, Unit 11A")</f>
        <v>277 5th Ave, Unit 11A</v>
      </c>
      <c r="B1605" s="2" t="str">
        <f t="shared" si="275"/>
        <v>277 FIFTH AVENUE</v>
      </c>
      <c r="C1605" s="1" t="s">
        <v>81</v>
      </c>
      <c r="D1605" s="1" t="s">
        <v>41</v>
      </c>
      <c r="E1605" s="3">
        <v>2807038</v>
      </c>
      <c r="F1605" s="1">
        <v>2090.1250930751999</v>
      </c>
      <c r="G1605" s="1">
        <v>4</v>
      </c>
      <c r="H1605" s="1">
        <v>2</v>
      </c>
      <c r="I1605" s="1">
        <v>2</v>
      </c>
      <c r="J1605" s="1">
        <v>2</v>
      </c>
      <c r="K1605" s="1">
        <v>2</v>
      </c>
      <c r="M1605" s="4">
        <v>1343</v>
      </c>
      <c r="N1605" s="1">
        <v>1936</v>
      </c>
      <c r="O1605" s="1">
        <v>4044</v>
      </c>
      <c r="P1605" s="1">
        <v>2108</v>
      </c>
      <c r="Q1605" s="1" t="s">
        <v>42</v>
      </c>
      <c r="S1605" s="1" t="s">
        <v>42</v>
      </c>
      <c r="T1605" s="1" t="s">
        <v>170</v>
      </c>
      <c r="U1605" s="1">
        <v>7</v>
      </c>
      <c r="V1605" s="5">
        <v>43710</v>
      </c>
      <c r="W1605" s="5">
        <v>43235</v>
      </c>
      <c r="X1605" s="1">
        <v>2765000</v>
      </c>
      <c r="Y1605" s="1">
        <v>2765000</v>
      </c>
      <c r="Z1605" s="5">
        <v>43242</v>
      </c>
      <c r="AA1605" s="1">
        <v>2807038</v>
      </c>
      <c r="AB1605" s="1" t="s">
        <v>1271</v>
      </c>
      <c r="AC1605" s="5">
        <v>43671</v>
      </c>
      <c r="AF1605" s="1">
        <v>10016</v>
      </c>
      <c r="AI1605" s="1" t="s">
        <v>82</v>
      </c>
      <c r="AJ1605" s="1">
        <v>2019</v>
      </c>
      <c r="AK1605" s="1" t="s">
        <v>46</v>
      </c>
      <c r="AL1605" s="1">
        <v>130</v>
      </c>
    </row>
    <row r="1606" spans="1:38" x14ac:dyDescent="0.2">
      <c r="A1606" s="2" t="str">
        <f>HYPERLINK("https://www.compass.com/listing/277-5th-avenue-unit-14a-manhattan-ny-10016/29514474494966177/","277 5th Ave, Unit 14A")</f>
        <v>277 5th Ave, Unit 14A</v>
      </c>
      <c r="B1606" s="2" t="str">
        <f t="shared" si="275"/>
        <v>277 FIFTH AVENUE</v>
      </c>
      <c r="C1606" s="1" t="s">
        <v>81</v>
      </c>
      <c r="D1606" s="1" t="s">
        <v>41</v>
      </c>
      <c r="E1606" s="3">
        <v>2877677</v>
      </c>
      <c r="F1606" s="1">
        <v>2142.72300819061</v>
      </c>
      <c r="G1606" s="1">
        <v>4</v>
      </c>
      <c r="H1606" s="1">
        <v>2</v>
      </c>
      <c r="I1606" s="1">
        <v>2</v>
      </c>
      <c r="J1606" s="1">
        <v>2</v>
      </c>
      <c r="K1606" s="1">
        <v>2</v>
      </c>
      <c r="M1606" s="4">
        <v>1343</v>
      </c>
      <c r="N1606" s="1">
        <v>1936</v>
      </c>
      <c r="O1606" s="1">
        <v>4044</v>
      </c>
      <c r="P1606" s="1">
        <v>2108</v>
      </c>
      <c r="Q1606" s="1" t="s">
        <v>42</v>
      </c>
      <c r="S1606" s="1" t="s">
        <v>42</v>
      </c>
      <c r="T1606" s="1" t="s">
        <v>170</v>
      </c>
      <c r="U1606" s="1">
        <v>5</v>
      </c>
      <c r="V1606" s="5">
        <v>43685</v>
      </c>
      <c r="W1606" s="5">
        <v>43216</v>
      </c>
      <c r="X1606" s="1">
        <v>2835000</v>
      </c>
      <c r="Y1606" s="1">
        <v>2835000</v>
      </c>
      <c r="Z1606" s="5">
        <v>43221</v>
      </c>
      <c r="AA1606" s="1">
        <v>2877677</v>
      </c>
      <c r="AB1606" s="1" t="s">
        <v>1272</v>
      </c>
      <c r="AC1606" s="5">
        <v>43543</v>
      </c>
      <c r="AF1606" s="1">
        <v>10016</v>
      </c>
      <c r="AI1606" s="1" t="s">
        <v>82</v>
      </c>
      <c r="AJ1606" s="1">
        <v>2019</v>
      </c>
      <c r="AK1606" s="1" t="s">
        <v>73</v>
      </c>
      <c r="AL1606" s="1">
        <v>130</v>
      </c>
    </row>
    <row r="1607" spans="1:38" x14ac:dyDescent="0.2">
      <c r="A1607" s="2" t="str">
        <f>HYPERLINK("https://www.compass.com/listing/277-5th-avenue-unit-12a-manhattan-ny-10016/29514475392547265/","277 5th Ave, Unit 12A")</f>
        <v>277 5th Ave, Unit 12A</v>
      </c>
      <c r="B1607" s="2" t="str">
        <f t="shared" si="275"/>
        <v>277 FIFTH AVENUE</v>
      </c>
      <c r="C1607" s="1" t="s">
        <v>81</v>
      </c>
      <c r="D1607" s="1" t="s">
        <v>41</v>
      </c>
      <c r="E1607" s="3">
        <v>2797158</v>
      </c>
      <c r="F1607" s="1">
        <v>2082.7684288905398</v>
      </c>
      <c r="G1607" s="1">
        <v>4</v>
      </c>
      <c r="H1607" s="1">
        <v>2</v>
      </c>
      <c r="I1607" s="1">
        <v>2</v>
      </c>
      <c r="J1607" s="1">
        <v>2</v>
      </c>
      <c r="K1607" s="1">
        <v>2</v>
      </c>
      <c r="M1607" s="4">
        <v>1343</v>
      </c>
      <c r="N1607" s="1">
        <v>1936</v>
      </c>
      <c r="O1607" s="1">
        <v>4044</v>
      </c>
      <c r="P1607" s="1">
        <v>2108</v>
      </c>
      <c r="Q1607" s="1" t="s">
        <v>42</v>
      </c>
      <c r="S1607" s="1" t="s">
        <v>42</v>
      </c>
      <c r="T1607" s="1" t="s">
        <v>170</v>
      </c>
      <c r="U1607" s="1">
        <v>79</v>
      </c>
      <c r="V1607" s="5">
        <v>43648</v>
      </c>
      <c r="W1607" s="5">
        <v>42995</v>
      </c>
      <c r="X1607" s="1">
        <v>2800000</v>
      </c>
      <c r="Y1607" s="1">
        <v>2800000</v>
      </c>
      <c r="Z1607" s="5">
        <v>43277</v>
      </c>
      <c r="AA1607" s="1">
        <v>2797158</v>
      </c>
      <c r="AB1607" s="1" t="s">
        <v>1273</v>
      </c>
      <c r="AC1607" s="5">
        <v>43558</v>
      </c>
      <c r="AF1607" s="1">
        <v>10016</v>
      </c>
      <c r="AI1607" s="1" t="s">
        <v>53</v>
      </c>
      <c r="AJ1607" s="1">
        <v>2019</v>
      </c>
      <c r="AK1607" s="1" t="s">
        <v>73</v>
      </c>
      <c r="AL1607" s="1">
        <v>130</v>
      </c>
    </row>
    <row r="1608" spans="1:38" x14ac:dyDescent="0.2">
      <c r="A1608" s="2" t="str">
        <f>HYPERLINK("https://www.compass.com/listing/277-5th-avenue-unit-16d-manhattan-ny-10016/44192631730768609/","277 5th Ave, Unit 16D")</f>
        <v>277 5th Ave, Unit 16D</v>
      </c>
      <c r="B1608" s="2" t="str">
        <f t="shared" si="275"/>
        <v>277 FIFTH AVENUE</v>
      </c>
      <c r="C1608" s="1" t="s">
        <v>81</v>
      </c>
      <c r="D1608" s="1" t="s">
        <v>41</v>
      </c>
      <c r="E1608" s="3">
        <v>2967184</v>
      </c>
      <c r="F1608" s="1">
        <v>2161.0954115076402</v>
      </c>
      <c r="G1608" s="1">
        <v>4</v>
      </c>
      <c r="H1608" s="1">
        <v>2</v>
      </c>
      <c r="I1608" s="1">
        <v>2</v>
      </c>
      <c r="J1608" s="1">
        <v>2</v>
      </c>
      <c r="K1608" s="1">
        <v>2</v>
      </c>
      <c r="M1608" s="4">
        <v>1373</v>
      </c>
      <c r="N1608" s="1">
        <v>1980</v>
      </c>
      <c r="O1608" s="1">
        <v>4135</v>
      </c>
      <c r="P1608" s="1">
        <v>2155</v>
      </c>
      <c r="Q1608" s="1" t="s">
        <v>42</v>
      </c>
      <c r="S1608" s="1" t="s">
        <v>42</v>
      </c>
      <c r="T1608" s="1" t="s">
        <v>170</v>
      </c>
      <c r="U1608" s="1">
        <v>52</v>
      </c>
      <c r="V1608" s="5">
        <v>43676</v>
      </c>
      <c r="W1608" s="5">
        <v>43313</v>
      </c>
      <c r="X1608" s="1">
        <v>2990000</v>
      </c>
      <c r="Y1608" s="1">
        <v>3185000</v>
      </c>
      <c r="Z1608" s="5">
        <v>43365</v>
      </c>
      <c r="AA1608" s="1">
        <v>2967184</v>
      </c>
      <c r="AB1608" s="1" t="s">
        <v>1274</v>
      </c>
      <c r="AC1608" s="5">
        <v>43532</v>
      </c>
      <c r="AF1608" s="1">
        <v>10016</v>
      </c>
      <c r="AI1608" s="1" t="s">
        <v>82</v>
      </c>
      <c r="AJ1608" s="1">
        <v>2019</v>
      </c>
      <c r="AK1608" s="1" t="s">
        <v>73</v>
      </c>
      <c r="AL1608" s="1">
        <v>130</v>
      </c>
    </row>
    <row r="1609" spans="1:38" x14ac:dyDescent="0.2">
      <c r="A1609" s="2" t="str">
        <f>HYPERLINK("https://www.compass.com/listing/277-5th-avenue-unit-15d-manhattan-ny-10016/86156666050980769/","277 5th Ave, Unit 15D")</f>
        <v>277 5th Ave, Unit 15D</v>
      </c>
      <c r="B1609" s="2" t="str">
        <f t="shared" si="275"/>
        <v>277 FIFTH AVENUE</v>
      </c>
      <c r="C1609" s="1" t="s">
        <v>81</v>
      </c>
      <c r="D1609" s="1" t="s">
        <v>41</v>
      </c>
      <c r="E1609" s="3">
        <v>2912183</v>
      </c>
      <c r="F1609" s="1">
        <v>2121.0364166059699</v>
      </c>
      <c r="G1609" s="1">
        <v>4</v>
      </c>
      <c r="H1609" s="1">
        <v>2</v>
      </c>
      <c r="I1609" s="1">
        <v>2</v>
      </c>
      <c r="J1609" s="1">
        <v>2</v>
      </c>
      <c r="K1609" s="1">
        <v>2</v>
      </c>
      <c r="M1609" s="4">
        <v>1373</v>
      </c>
      <c r="N1609" s="1">
        <v>1980</v>
      </c>
      <c r="O1609" s="1">
        <v>4135</v>
      </c>
      <c r="P1609" s="1">
        <v>2155</v>
      </c>
      <c r="Q1609" s="1" t="s">
        <v>42</v>
      </c>
      <c r="S1609" s="1" t="s">
        <v>42</v>
      </c>
      <c r="T1609" s="1" t="s">
        <v>170</v>
      </c>
      <c r="V1609" s="5">
        <v>43648</v>
      </c>
      <c r="W1609" s="5">
        <v>43371</v>
      </c>
      <c r="X1609" s="1">
        <v>3150000</v>
      </c>
      <c r="Y1609" s="1">
        <v>3150000</v>
      </c>
      <c r="Z1609" s="5">
        <v>43371</v>
      </c>
      <c r="AA1609" s="1">
        <v>2912183</v>
      </c>
      <c r="AB1609" s="1" t="s">
        <v>1275</v>
      </c>
      <c r="AC1609" s="5">
        <v>43523</v>
      </c>
      <c r="AF1609" s="1">
        <v>10016</v>
      </c>
      <c r="AI1609" s="1" t="s">
        <v>82</v>
      </c>
      <c r="AJ1609" s="1">
        <v>2019</v>
      </c>
      <c r="AK1609" s="1" t="s">
        <v>73</v>
      </c>
      <c r="AL1609" s="1">
        <v>130</v>
      </c>
    </row>
    <row r="1610" spans="1:38" x14ac:dyDescent="0.2">
      <c r="A1610" s="2" t="str">
        <f>HYPERLINK("https://www.compass.com/listing/277-5th-avenue-unit-33b-manhattan-ny-10016/832024424381739857/","277 5th Ave, Unit 33B")</f>
        <v>277 5th Ave, Unit 33B</v>
      </c>
      <c r="B1610" s="2" t="str">
        <f t="shared" si="275"/>
        <v>277 FIFTH AVENUE</v>
      </c>
      <c r="C1610" s="1" t="s">
        <v>81</v>
      </c>
      <c r="D1610" s="1" t="s">
        <v>41</v>
      </c>
      <c r="E1610" s="3">
        <v>2825000</v>
      </c>
      <c r="F1610" s="1">
        <v>2208.7568412822502</v>
      </c>
      <c r="G1610" s="1">
        <v>4</v>
      </c>
      <c r="H1610" s="1">
        <v>2</v>
      </c>
      <c r="I1610" s="1">
        <v>2</v>
      </c>
      <c r="J1610" s="1">
        <v>2</v>
      </c>
      <c r="K1610" s="1">
        <v>2</v>
      </c>
      <c r="M1610" s="4">
        <v>1279</v>
      </c>
      <c r="N1610" s="1">
        <v>1841</v>
      </c>
      <c r="O1610" s="1">
        <v>3474</v>
      </c>
      <c r="P1610" s="1">
        <v>1633</v>
      </c>
      <c r="Q1610" s="1" t="s">
        <v>42</v>
      </c>
      <c r="S1610" s="1" t="s">
        <v>42</v>
      </c>
      <c r="T1610" s="1" t="s">
        <v>170</v>
      </c>
      <c r="V1610" s="5">
        <v>44419</v>
      </c>
      <c r="AA1610" s="1">
        <v>2825000</v>
      </c>
      <c r="AB1610" s="1" t="s">
        <v>1267</v>
      </c>
      <c r="AC1610" s="5">
        <v>44377</v>
      </c>
      <c r="AF1610" s="1">
        <v>10016</v>
      </c>
      <c r="AI1610" s="1" t="s">
        <v>82</v>
      </c>
      <c r="AJ1610" s="1">
        <v>2019</v>
      </c>
      <c r="AK1610" s="1" t="s">
        <v>46</v>
      </c>
      <c r="AL1610" s="1">
        <v>130</v>
      </c>
    </row>
    <row r="1611" spans="1:38" x14ac:dyDescent="0.2">
      <c r="A1611" s="2" t="str">
        <f>HYPERLINK("https://www.compass.com/listing/277-5th-avenue-unit-49a-manhattan-ny-10016/29514467733671361/","277 5th Ave, Unit 49A")</f>
        <v>277 5th Ave, Unit 49A</v>
      </c>
      <c r="B1611" s="2" t="str">
        <f t="shared" si="275"/>
        <v>277 FIFTH AVENUE</v>
      </c>
      <c r="C1611" s="1" t="s">
        <v>81</v>
      </c>
      <c r="D1611" s="1" t="s">
        <v>41</v>
      </c>
      <c r="E1611" s="3">
        <v>6500000</v>
      </c>
      <c r="F1611" s="1">
        <v>2929.2474087426699</v>
      </c>
      <c r="G1611" s="1">
        <v>6</v>
      </c>
      <c r="H1611" s="1">
        <v>3</v>
      </c>
      <c r="I1611" s="1">
        <v>4</v>
      </c>
      <c r="J1611" s="1">
        <v>3.5</v>
      </c>
      <c r="K1611" s="1">
        <v>3</v>
      </c>
      <c r="L1611" s="1">
        <v>1</v>
      </c>
      <c r="M1611" s="4">
        <v>2219</v>
      </c>
      <c r="N1611" s="1">
        <v>3199</v>
      </c>
      <c r="O1611" s="1">
        <v>6033</v>
      </c>
      <c r="P1611" s="1">
        <v>2834</v>
      </c>
      <c r="Q1611" s="1" t="s">
        <v>42</v>
      </c>
      <c r="S1611" s="1" t="s">
        <v>42</v>
      </c>
      <c r="T1611" s="1" t="s">
        <v>170</v>
      </c>
      <c r="U1611" s="1">
        <v>67</v>
      </c>
      <c r="V1611" s="5">
        <v>44141</v>
      </c>
      <c r="W1611" s="5">
        <v>44004</v>
      </c>
      <c r="Y1611" s="1">
        <v>8140000</v>
      </c>
      <c r="Z1611" s="5">
        <v>44071</v>
      </c>
      <c r="AA1611" s="1">
        <v>6500000</v>
      </c>
      <c r="AB1611" s="1" t="s">
        <v>1276</v>
      </c>
      <c r="AC1611" s="5">
        <v>44134</v>
      </c>
      <c r="AF1611" s="1">
        <v>10016</v>
      </c>
      <c r="AI1611" s="1" t="s">
        <v>82</v>
      </c>
      <c r="AJ1611" s="1">
        <v>2019</v>
      </c>
      <c r="AK1611" s="1" t="s">
        <v>73</v>
      </c>
      <c r="AL1611" s="1">
        <v>130</v>
      </c>
    </row>
    <row r="1612" spans="1:38" x14ac:dyDescent="0.2">
      <c r="A1612" s="2" t="str">
        <f>HYPERLINK("https://www.compass.com/listing/277-5th-avenue-unit-22d-manhattan-ny-10016/454347680261893401/","277 5th Ave, Unit 22D")</f>
        <v>277 5th Ave, Unit 22D</v>
      </c>
      <c r="B1612" s="2" t="str">
        <f t="shared" si="275"/>
        <v>277 FIFTH AVENUE</v>
      </c>
      <c r="C1612" s="1" t="s">
        <v>81</v>
      </c>
      <c r="D1612" s="1" t="s">
        <v>41</v>
      </c>
      <c r="E1612" s="3">
        <v>2969000</v>
      </c>
      <c r="F1612" s="1">
        <v>2162.4180626365601</v>
      </c>
      <c r="G1612" s="1">
        <v>4</v>
      </c>
      <c r="H1612" s="1">
        <v>2</v>
      </c>
      <c r="I1612" s="1">
        <v>2</v>
      </c>
      <c r="J1612" s="1">
        <v>2</v>
      </c>
      <c r="K1612" s="1">
        <v>2</v>
      </c>
      <c r="M1612" s="4">
        <v>1373</v>
      </c>
      <c r="N1612" s="1">
        <v>1980</v>
      </c>
      <c r="O1612" s="1">
        <v>4135</v>
      </c>
      <c r="P1612" s="1">
        <v>2155</v>
      </c>
      <c r="Q1612" s="1" t="s">
        <v>42</v>
      </c>
      <c r="S1612" s="1" t="s">
        <v>42</v>
      </c>
      <c r="T1612" s="1" t="s">
        <v>170</v>
      </c>
      <c r="U1612" s="1">
        <v>34</v>
      </c>
      <c r="V1612" s="5">
        <v>44113</v>
      </c>
      <c r="W1612" s="5">
        <v>43878</v>
      </c>
      <c r="X1612" s="1">
        <v>3395000</v>
      </c>
      <c r="Y1612" s="1">
        <v>3395000</v>
      </c>
      <c r="Z1612" s="5">
        <v>44007</v>
      </c>
      <c r="AA1612" s="1">
        <v>2969000</v>
      </c>
      <c r="AB1612" s="1" t="s">
        <v>1277</v>
      </c>
      <c r="AC1612" s="5">
        <v>44053</v>
      </c>
      <c r="AF1612" s="1">
        <v>10016</v>
      </c>
      <c r="AI1612" s="1" t="s">
        <v>114</v>
      </c>
      <c r="AJ1612" s="1">
        <v>2019</v>
      </c>
      <c r="AK1612" s="1" t="s">
        <v>73</v>
      </c>
      <c r="AL1612" s="1">
        <v>130</v>
      </c>
    </row>
    <row r="1613" spans="1:38" x14ac:dyDescent="0.2">
      <c r="A1613" s="2" t="str">
        <f>HYPERLINK("https://www.compass.com/listing/277-5th-avenue-unit-30d-manhattan-ny-10016/624130191274574329/","277 5th Ave, Unit 30D")</f>
        <v>277 5th Ave, Unit 30D</v>
      </c>
      <c r="B1613" s="2" t="str">
        <f t="shared" si="275"/>
        <v>277 FIFTH AVENUE</v>
      </c>
      <c r="C1613" s="1" t="s">
        <v>81</v>
      </c>
      <c r="D1613" s="1" t="s">
        <v>41</v>
      </c>
      <c r="E1613" s="3">
        <v>3100000</v>
      </c>
      <c r="F1613" s="1">
        <v>2257.8295702840401</v>
      </c>
      <c r="G1613" s="1">
        <v>4</v>
      </c>
      <c r="H1613" s="1">
        <v>2</v>
      </c>
      <c r="I1613" s="1">
        <v>2</v>
      </c>
      <c r="J1613" s="1">
        <v>2</v>
      </c>
      <c r="K1613" s="1">
        <v>2</v>
      </c>
      <c r="M1613" s="4">
        <v>1373</v>
      </c>
      <c r="N1613" s="1">
        <v>1980</v>
      </c>
      <c r="O1613" s="1">
        <v>3733</v>
      </c>
      <c r="P1613" s="1">
        <v>1753</v>
      </c>
      <c r="Q1613" s="1" t="s">
        <v>42</v>
      </c>
      <c r="S1613" s="1" t="s">
        <v>42</v>
      </c>
      <c r="T1613" s="1" t="s">
        <v>170</v>
      </c>
      <c r="U1613" s="1">
        <v>172</v>
      </c>
      <c r="V1613" s="5">
        <v>44427</v>
      </c>
      <c r="W1613" s="5">
        <v>44112</v>
      </c>
      <c r="X1613" s="1">
        <v>3677000</v>
      </c>
      <c r="Y1613" s="1">
        <v>3150000</v>
      </c>
      <c r="Z1613" s="5">
        <v>44285</v>
      </c>
      <c r="AA1613" s="1">
        <v>3100000</v>
      </c>
      <c r="AB1613" s="1" t="s">
        <v>1278</v>
      </c>
      <c r="AC1613" s="5">
        <v>44333</v>
      </c>
      <c r="AF1613" s="1">
        <v>10016</v>
      </c>
      <c r="AI1613" s="1" t="s">
        <v>82</v>
      </c>
      <c r="AJ1613" s="1">
        <v>2019</v>
      </c>
      <c r="AK1613" s="1" t="s">
        <v>46</v>
      </c>
      <c r="AL1613" s="1">
        <v>130</v>
      </c>
    </row>
    <row r="1614" spans="1:38" x14ac:dyDescent="0.2">
      <c r="A1614" s="2" t="str">
        <f>HYPERLINK("https://www.compass.com/listing/277-5th-avenue-unit-42b-manhattan-ny-10016/760139249267899145/","277 5th Ave, Unit 42B")</f>
        <v>277 5th Ave, Unit 42B</v>
      </c>
      <c r="B1614" s="2" t="str">
        <f t="shared" si="275"/>
        <v>277 FIFTH AVENUE</v>
      </c>
      <c r="C1614" s="1" t="s">
        <v>81</v>
      </c>
      <c r="D1614" s="1" t="s">
        <v>41</v>
      </c>
      <c r="E1614" s="3">
        <v>3485000</v>
      </c>
      <c r="F1614" s="1">
        <v>2449.0513000702699</v>
      </c>
      <c r="G1614" s="1">
        <v>4</v>
      </c>
      <c r="H1614" s="1">
        <v>2</v>
      </c>
      <c r="I1614" s="1">
        <v>2</v>
      </c>
      <c r="J1614" s="1">
        <v>2</v>
      </c>
      <c r="K1614" s="1">
        <v>2</v>
      </c>
      <c r="M1614" s="4">
        <v>1423</v>
      </c>
      <c r="N1614" s="1">
        <v>2048</v>
      </c>
      <c r="O1614" s="1">
        <v>3865</v>
      </c>
      <c r="P1614" s="1">
        <v>1817</v>
      </c>
      <c r="Q1614" s="1" t="s">
        <v>42</v>
      </c>
      <c r="S1614" s="1" t="s">
        <v>42</v>
      </c>
      <c r="T1614" s="1" t="s">
        <v>170</v>
      </c>
      <c r="U1614" s="1">
        <v>22</v>
      </c>
      <c r="V1614" s="5">
        <v>44419</v>
      </c>
      <c r="W1614" s="5">
        <v>44278</v>
      </c>
      <c r="X1614" s="1">
        <v>4100000</v>
      </c>
      <c r="Y1614" s="1">
        <v>4100000</v>
      </c>
      <c r="Z1614" s="5">
        <v>44301</v>
      </c>
      <c r="AA1614" s="1">
        <v>3485000</v>
      </c>
      <c r="AB1614" s="1" t="s">
        <v>1279</v>
      </c>
      <c r="AC1614" s="5">
        <v>44377</v>
      </c>
      <c r="AF1614" s="1">
        <v>10016</v>
      </c>
      <c r="AI1614" s="1" t="s">
        <v>82</v>
      </c>
      <c r="AJ1614" s="1">
        <v>2019</v>
      </c>
      <c r="AK1614" s="1" t="s">
        <v>46</v>
      </c>
      <c r="AL1614" s="1">
        <v>130</v>
      </c>
    </row>
    <row r="1615" spans="1:38" x14ac:dyDescent="0.2">
      <c r="A1615" s="2" t="str">
        <f>HYPERLINK("https://www.compass.com/listing/277-5th-avenue-unit-48a-manhattan-ny-10016/624678170205151193/","277 5th Ave, Unit 48A")</f>
        <v>277 5th Ave, Unit 48A</v>
      </c>
      <c r="B1615" s="2" t="str">
        <f t="shared" si="275"/>
        <v>277 FIFTH AVENUE</v>
      </c>
      <c r="C1615" s="1" t="s">
        <v>81</v>
      </c>
      <c r="D1615" s="1" t="s">
        <v>41</v>
      </c>
      <c r="E1615" s="3">
        <v>5240000</v>
      </c>
      <c r="F1615" s="1">
        <v>2666.6666666666601</v>
      </c>
      <c r="G1615" s="1">
        <v>5.5</v>
      </c>
      <c r="H1615" s="1">
        <v>2</v>
      </c>
      <c r="I1615" s="1">
        <v>3</v>
      </c>
      <c r="J1615" s="1">
        <v>2.5</v>
      </c>
      <c r="K1615" s="1">
        <v>2</v>
      </c>
      <c r="L1615" s="1">
        <v>1</v>
      </c>
      <c r="M1615" s="4">
        <v>1965</v>
      </c>
      <c r="N1615" s="1">
        <v>2833</v>
      </c>
      <c r="O1615" s="1">
        <v>5342</v>
      </c>
      <c r="P1615" s="1">
        <v>2509</v>
      </c>
      <c r="Q1615" s="1" t="s">
        <v>42</v>
      </c>
      <c r="S1615" s="1" t="s">
        <v>42</v>
      </c>
      <c r="T1615" s="1" t="s">
        <v>170</v>
      </c>
      <c r="U1615" s="1">
        <v>63</v>
      </c>
      <c r="V1615" s="5">
        <v>44200</v>
      </c>
      <c r="W1615" s="5">
        <v>44113</v>
      </c>
      <c r="X1615" s="1">
        <v>6850000</v>
      </c>
      <c r="Y1615" s="1">
        <v>6850000</v>
      </c>
      <c r="Z1615" s="5">
        <v>44177</v>
      </c>
      <c r="AA1615" s="1">
        <v>5240000</v>
      </c>
      <c r="AB1615" s="1" t="s">
        <v>1280</v>
      </c>
      <c r="AC1615" s="5">
        <v>44195</v>
      </c>
      <c r="AF1615" s="1">
        <v>10016</v>
      </c>
      <c r="AI1615" s="1" t="s">
        <v>82</v>
      </c>
      <c r="AJ1615" s="1">
        <v>2019</v>
      </c>
      <c r="AK1615" s="1" t="s">
        <v>73</v>
      </c>
      <c r="AL1615" s="1">
        <v>130</v>
      </c>
    </row>
    <row r="1616" spans="1:38" x14ac:dyDescent="0.2">
      <c r="A1616" s="2" t="str">
        <f>HYPERLINK("https://www.compass.com/listing/277-5th-avenue-unit-33c-manhattan-ny-10016/21730718476434193/","277 5th Ave, Unit 33C")</f>
        <v>277 5th Ave, Unit 33C</v>
      </c>
      <c r="B1616" s="2" t="str">
        <f t="shared" si="275"/>
        <v>277 FIFTH AVENUE</v>
      </c>
      <c r="C1616" s="1" t="s">
        <v>81</v>
      </c>
      <c r="D1616" s="1" t="s">
        <v>41</v>
      </c>
      <c r="E1616" s="3">
        <v>3350000</v>
      </c>
      <c r="F1616" s="1">
        <v>2397.99570508231</v>
      </c>
      <c r="G1616" s="1">
        <v>4</v>
      </c>
      <c r="H1616" s="1">
        <v>2</v>
      </c>
      <c r="I1616" s="1">
        <v>2</v>
      </c>
      <c r="J1616" s="1">
        <v>2</v>
      </c>
      <c r="K1616" s="1">
        <v>2</v>
      </c>
      <c r="M1616" s="4">
        <v>1397</v>
      </c>
      <c r="N1616" s="1">
        <v>2014</v>
      </c>
      <c r="O1616" s="1">
        <v>2644</v>
      </c>
      <c r="P1616" s="1">
        <v>630</v>
      </c>
      <c r="Q1616" s="1" t="s">
        <v>42</v>
      </c>
      <c r="S1616" s="1" t="s">
        <v>42</v>
      </c>
      <c r="T1616" s="1" t="s">
        <v>170</v>
      </c>
      <c r="U1616" s="1">
        <v>150</v>
      </c>
      <c r="V1616" s="5">
        <v>44419</v>
      </c>
      <c r="W1616" s="5">
        <v>43782</v>
      </c>
      <c r="Y1616" s="1">
        <v>4125000</v>
      </c>
      <c r="Z1616" s="5">
        <v>44246</v>
      </c>
      <c r="AA1616" s="1">
        <v>3350000</v>
      </c>
      <c r="AB1616" s="1" t="s">
        <v>1281</v>
      </c>
      <c r="AC1616" s="5">
        <v>44288</v>
      </c>
      <c r="AF1616" s="1">
        <v>10016</v>
      </c>
      <c r="AI1616" s="1" t="s">
        <v>53</v>
      </c>
      <c r="AJ1616" s="1">
        <v>2019</v>
      </c>
      <c r="AK1616" s="1" t="s">
        <v>73</v>
      </c>
      <c r="AL1616" s="1">
        <v>130</v>
      </c>
    </row>
    <row r="1617" spans="1:38" x14ac:dyDescent="0.2">
      <c r="A1617" s="2" t="str">
        <f>HYPERLINK("https://www.compass.com/listing/277-5th-avenue-unit-45a-manhattan-ny-10016/21776539251157137/","277 5th Ave, Unit 45A")</f>
        <v>277 5th Ave, Unit 45A</v>
      </c>
      <c r="B1617" s="2" t="str">
        <f t="shared" si="275"/>
        <v>277 FIFTH AVENUE</v>
      </c>
      <c r="C1617" s="1" t="s">
        <v>81</v>
      </c>
      <c r="D1617" s="1" t="s">
        <v>41</v>
      </c>
      <c r="E1617" s="3">
        <v>4300000</v>
      </c>
      <c r="F1617" s="1">
        <v>2767.0527670527599</v>
      </c>
      <c r="G1617" s="1">
        <v>4</v>
      </c>
      <c r="H1617" s="1">
        <v>2</v>
      </c>
      <c r="I1617" s="1">
        <v>2</v>
      </c>
      <c r="J1617" s="1">
        <v>2</v>
      </c>
      <c r="K1617" s="1">
        <v>2</v>
      </c>
      <c r="M1617" s="4">
        <v>1554</v>
      </c>
      <c r="N1617" s="1">
        <v>2241</v>
      </c>
      <c r="O1617" s="1">
        <v>4680</v>
      </c>
      <c r="P1617" s="1">
        <v>2439</v>
      </c>
      <c r="Q1617" s="1" t="s">
        <v>42</v>
      </c>
      <c r="S1617" s="1" t="s">
        <v>42</v>
      </c>
      <c r="T1617" s="1" t="s">
        <v>170</v>
      </c>
      <c r="U1617" s="1">
        <v>138</v>
      </c>
      <c r="V1617" s="5">
        <v>43694</v>
      </c>
      <c r="W1617" s="5">
        <v>42994</v>
      </c>
      <c r="X1617" s="1">
        <v>4455000</v>
      </c>
      <c r="Y1617" s="1">
        <v>4505000</v>
      </c>
      <c r="Z1617" s="5">
        <v>43597</v>
      </c>
      <c r="AA1617" s="1">
        <v>4300000</v>
      </c>
      <c r="AB1617" s="1" t="s">
        <v>1282</v>
      </c>
      <c r="AC1617" s="5">
        <v>43644</v>
      </c>
      <c r="AF1617" s="1">
        <v>10016</v>
      </c>
      <c r="AI1617" s="1" t="s">
        <v>53</v>
      </c>
      <c r="AJ1617" s="1">
        <v>2019</v>
      </c>
      <c r="AK1617" s="1" t="s">
        <v>73</v>
      </c>
      <c r="AL1617" s="1">
        <v>130</v>
      </c>
    </row>
    <row r="1618" spans="1:38" x14ac:dyDescent="0.2">
      <c r="A1618" s="2" t="str">
        <f>HYPERLINK("https://www.compass.com/listing/277-5th-avenue-unit-37b-manhattan-ny-10016/368671127409890561/","277 5th Ave, Unit 37B")</f>
        <v>277 5th Ave, Unit 37B</v>
      </c>
      <c r="B1618" s="2" t="str">
        <f t="shared" si="275"/>
        <v>277 FIFTH AVENUE</v>
      </c>
      <c r="C1618" s="1" t="s">
        <v>81</v>
      </c>
      <c r="D1618" s="1" t="s">
        <v>41</v>
      </c>
      <c r="E1618" s="3">
        <v>3355000</v>
      </c>
      <c r="F1618" s="1">
        <v>2623.14308053166</v>
      </c>
      <c r="G1618" s="1">
        <v>4</v>
      </c>
      <c r="H1618" s="1">
        <v>2</v>
      </c>
      <c r="I1618" s="1">
        <v>2</v>
      </c>
      <c r="J1618" s="1">
        <v>2</v>
      </c>
      <c r="K1618" s="1">
        <v>2</v>
      </c>
      <c r="M1618" s="4">
        <v>1279</v>
      </c>
      <c r="N1618" s="1">
        <v>1844</v>
      </c>
      <c r="O1618" s="1">
        <v>3851</v>
      </c>
      <c r="P1618" s="1">
        <v>2007</v>
      </c>
      <c r="Q1618" s="1" t="s">
        <v>42</v>
      </c>
      <c r="S1618" s="1" t="s">
        <v>42</v>
      </c>
      <c r="T1618" s="1" t="s">
        <v>170</v>
      </c>
      <c r="U1618" s="1">
        <v>24</v>
      </c>
      <c r="V1618" s="5">
        <v>43801</v>
      </c>
      <c r="W1618" s="5">
        <v>43761</v>
      </c>
      <c r="X1618" s="1">
        <v>3795000</v>
      </c>
      <c r="Y1618" s="1">
        <v>3795000</v>
      </c>
      <c r="Z1618" s="5">
        <v>43785</v>
      </c>
      <c r="AA1618" s="1">
        <v>3355000</v>
      </c>
      <c r="AB1618" s="1" t="s">
        <v>1283</v>
      </c>
      <c r="AC1618" s="5">
        <v>43787</v>
      </c>
      <c r="AF1618" s="1">
        <v>10016</v>
      </c>
      <c r="AI1618" s="1" t="s">
        <v>82</v>
      </c>
      <c r="AJ1618" s="1">
        <v>2019</v>
      </c>
      <c r="AK1618" s="1" t="s">
        <v>46</v>
      </c>
      <c r="AL1618" s="1">
        <v>130</v>
      </c>
    </row>
    <row r="1619" spans="1:38" x14ac:dyDescent="0.2">
      <c r="A1619" s="2" t="str">
        <f>HYPERLINK("https://www.compass.com/listing/277-5th-avenue-unit-30a-manhattan-ny-10016/573281316999989577/","277 5th Ave, Unit 30A")</f>
        <v>277 5th Ave, Unit 30A</v>
      </c>
      <c r="B1619" s="2" t="str">
        <f t="shared" si="275"/>
        <v>277 FIFTH AVENUE</v>
      </c>
      <c r="C1619" s="1" t="s">
        <v>81</v>
      </c>
      <c r="D1619" s="1" t="s">
        <v>41</v>
      </c>
      <c r="E1619" s="3">
        <v>3213100</v>
      </c>
      <c r="F1619" s="1">
        <v>2392.4795234549501</v>
      </c>
      <c r="G1619" s="1">
        <v>4</v>
      </c>
      <c r="H1619" s="1">
        <v>2</v>
      </c>
      <c r="I1619" s="1">
        <v>2</v>
      </c>
      <c r="J1619" s="1">
        <v>2</v>
      </c>
      <c r="K1619" s="1">
        <v>2</v>
      </c>
      <c r="M1619" s="4">
        <v>1343</v>
      </c>
      <c r="N1619" s="1">
        <v>1935</v>
      </c>
      <c r="O1619" s="1">
        <v>3650</v>
      </c>
      <c r="P1619" s="1">
        <v>1715</v>
      </c>
      <c r="Q1619" s="1" t="s">
        <v>42</v>
      </c>
      <c r="S1619" s="1" t="s">
        <v>42</v>
      </c>
      <c r="T1619" s="1" t="s">
        <v>170</v>
      </c>
      <c r="U1619" s="1">
        <v>70</v>
      </c>
      <c r="V1619" s="5">
        <v>44287</v>
      </c>
      <c r="W1619" s="5">
        <v>44042</v>
      </c>
      <c r="X1619" s="1">
        <v>3692000</v>
      </c>
      <c r="AB1619" s="1" t="s">
        <v>181</v>
      </c>
      <c r="AF1619" s="1">
        <v>10016</v>
      </c>
      <c r="AI1619" s="1" t="s">
        <v>82</v>
      </c>
      <c r="AJ1619" s="1">
        <v>2019</v>
      </c>
      <c r="AK1619" s="1" t="s">
        <v>46</v>
      </c>
      <c r="AL1619" s="1">
        <v>130</v>
      </c>
    </row>
    <row r="1620" spans="1:38" x14ac:dyDescent="0.2">
      <c r="A1620" s="2" t="str">
        <f>HYPERLINK("https://www.compass.com/listing/277-5th-avenue-unit-24a-manhattan-ny-10016/59346956664793233/","277 5th Ave, Unit 24A")</f>
        <v>277 5th Ave, Unit 24A</v>
      </c>
      <c r="B1620" s="2" t="str">
        <f t="shared" si="275"/>
        <v>277 FIFTH AVENUE</v>
      </c>
      <c r="C1620" s="1" t="s">
        <v>81</v>
      </c>
      <c r="D1620" s="1" t="s">
        <v>41</v>
      </c>
      <c r="E1620" s="3">
        <v>3166506</v>
      </c>
      <c r="F1620" s="1">
        <v>2357.7858004467598</v>
      </c>
      <c r="G1620" s="1">
        <v>4</v>
      </c>
      <c r="H1620" s="1">
        <v>2</v>
      </c>
      <c r="I1620" s="1">
        <v>2</v>
      </c>
      <c r="J1620" s="1">
        <v>2</v>
      </c>
      <c r="K1620" s="1">
        <v>2</v>
      </c>
      <c r="M1620" s="4">
        <v>1343</v>
      </c>
      <c r="N1620" s="1">
        <v>1936</v>
      </c>
      <c r="O1620" s="1">
        <v>4044</v>
      </c>
      <c r="P1620" s="1">
        <v>2108</v>
      </c>
      <c r="Q1620" s="1" t="s">
        <v>42</v>
      </c>
      <c r="S1620" s="1" t="s">
        <v>42</v>
      </c>
      <c r="T1620" s="1" t="s">
        <v>170</v>
      </c>
      <c r="U1620" s="1">
        <v>38</v>
      </c>
      <c r="V1620" s="5">
        <v>43865</v>
      </c>
      <c r="W1620" s="5">
        <v>43334</v>
      </c>
      <c r="X1620" s="1">
        <v>3495000</v>
      </c>
      <c r="Y1620" s="1">
        <v>3480000</v>
      </c>
      <c r="Z1620" s="5">
        <v>43782</v>
      </c>
      <c r="AA1620" s="1">
        <v>3166506.33</v>
      </c>
      <c r="AB1620" s="1" t="s">
        <v>1284</v>
      </c>
      <c r="AC1620" s="5">
        <v>43853</v>
      </c>
      <c r="AF1620" s="1">
        <v>10016</v>
      </c>
      <c r="AI1620" s="1" t="s">
        <v>53</v>
      </c>
      <c r="AJ1620" s="1">
        <v>2019</v>
      </c>
      <c r="AK1620" s="1" t="s">
        <v>73</v>
      </c>
      <c r="AL1620" s="1">
        <v>130</v>
      </c>
    </row>
    <row r="1621" spans="1:38" x14ac:dyDescent="0.2">
      <c r="A1621" s="2" t="str">
        <f>HYPERLINK("https://www.compass.com/listing/277-5th-avenue-unit-47a-manhattan-ny-10016/73850139248177393/","277 5th Ave, Unit 47A")</f>
        <v>277 5th Ave, Unit 47A</v>
      </c>
      <c r="B1621" s="2" t="str">
        <f t="shared" si="275"/>
        <v>277 FIFTH AVENUE</v>
      </c>
      <c r="C1621" s="1" t="s">
        <v>81</v>
      </c>
      <c r="D1621" s="1" t="s">
        <v>41</v>
      </c>
      <c r="E1621" s="3">
        <v>7677771</v>
      </c>
      <c r="F1621" s="1">
        <v>3460.0138035150899</v>
      </c>
      <c r="G1621" s="1">
        <v>5</v>
      </c>
      <c r="H1621" s="1">
        <v>3</v>
      </c>
      <c r="I1621" s="1">
        <v>4</v>
      </c>
      <c r="J1621" s="1">
        <v>3.5</v>
      </c>
      <c r="K1621" s="1">
        <v>3</v>
      </c>
      <c r="L1621" s="1">
        <v>1</v>
      </c>
      <c r="M1621" s="4">
        <v>2219</v>
      </c>
      <c r="N1621" s="1">
        <v>3199</v>
      </c>
      <c r="O1621" s="1">
        <v>6681</v>
      </c>
      <c r="P1621" s="1">
        <v>3482</v>
      </c>
      <c r="Q1621" s="1" t="s">
        <v>42</v>
      </c>
      <c r="S1621" s="1" t="s">
        <v>42</v>
      </c>
      <c r="T1621" s="1" t="s">
        <v>170</v>
      </c>
      <c r="U1621" s="1">
        <v>84</v>
      </c>
      <c r="V1621" s="5">
        <v>43706</v>
      </c>
      <c r="W1621" s="5">
        <v>43353</v>
      </c>
      <c r="X1621" s="1">
        <v>8000000</v>
      </c>
      <c r="Y1621" s="1">
        <v>8000000</v>
      </c>
      <c r="Z1621" s="5">
        <v>43502</v>
      </c>
      <c r="AA1621" s="1">
        <v>7677770.6299999999</v>
      </c>
      <c r="AB1621" s="1" t="s">
        <v>1285</v>
      </c>
      <c r="AC1621" s="5">
        <v>43644</v>
      </c>
      <c r="AF1621" s="1">
        <v>10016</v>
      </c>
      <c r="AI1621" s="1" t="s">
        <v>82</v>
      </c>
      <c r="AJ1621" s="1">
        <v>2019</v>
      </c>
      <c r="AK1621" s="1" t="s">
        <v>73</v>
      </c>
      <c r="AL1621" s="1">
        <v>130</v>
      </c>
    </row>
    <row r="1622" spans="1:38" x14ac:dyDescent="0.2">
      <c r="A1622" s="2" t="str">
        <f>HYPERLINK("https://www.compass.com/listing/277-5th-avenue-unit-23d-manhattan-ny-10016/83997473835641185/","277 5th Ave, Unit 23D")</f>
        <v>277 5th Ave, Unit 23D</v>
      </c>
      <c r="B1622" s="2" t="str">
        <f t="shared" si="275"/>
        <v>277 FIFTH AVENUE</v>
      </c>
      <c r="C1622" s="1" t="s">
        <v>81</v>
      </c>
      <c r="D1622" s="1" t="s">
        <v>41</v>
      </c>
      <c r="E1622" s="3">
        <v>326718336</v>
      </c>
      <c r="F1622" s="1">
        <v>237959.458120903</v>
      </c>
      <c r="G1622" s="1">
        <v>4</v>
      </c>
      <c r="H1622" s="1">
        <v>2</v>
      </c>
      <c r="I1622" s="1">
        <v>2</v>
      </c>
      <c r="J1622" s="1">
        <v>2</v>
      </c>
      <c r="K1622" s="1">
        <v>2</v>
      </c>
      <c r="M1622" s="4">
        <v>1373</v>
      </c>
      <c r="N1622" s="1">
        <v>1980</v>
      </c>
      <c r="O1622" s="1">
        <v>4135</v>
      </c>
      <c r="P1622" s="1">
        <v>2155</v>
      </c>
      <c r="Q1622" s="1" t="s">
        <v>42</v>
      </c>
      <c r="S1622" s="1" t="s">
        <v>42</v>
      </c>
      <c r="T1622" s="1" t="s">
        <v>170</v>
      </c>
      <c r="U1622" s="1">
        <v>50</v>
      </c>
      <c r="V1622" s="5">
        <v>43803</v>
      </c>
      <c r="W1622" s="5">
        <v>43367</v>
      </c>
      <c r="X1622" s="1">
        <v>3430000</v>
      </c>
      <c r="Y1622" s="1">
        <v>3430000</v>
      </c>
      <c r="AA1622" s="1">
        <v>326718336</v>
      </c>
      <c r="AB1622" s="1" t="s">
        <v>181</v>
      </c>
      <c r="AC1622" s="5">
        <v>43787</v>
      </c>
      <c r="AF1622" s="1">
        <v>10016</v>
      </c>
      <c r="AI1622" s="1" t="s">
        <v>82</v>
      </c>
      <c r="AJ1622" s="1">
        <v>2019</v>
      </c>
      <c r="AK1622" s="1" t="s">
        <v>46</v>
      </c>
      <c r="AL1622" s="1">
        <v>130</v>
      </c>
    </row>
    <row r="1623" spans="1:38" x14ac:dyDescent="0.2">
      <c r="A1623" s="2" t="str">
        <f>HYPERLINK("https://www.compass.com/listing/277-5th-avenue-unit-18d-manhattan-ny-10016/191990924543342417/","277 5th Ave, Unit 18D")</f>
        <v>277 5th Ave, Unit 18D</v>
      </c>
      <c r="B1623" s="2" t="str">
        <f t="shared" si="275"/>
        <v>277 FIFTH AVENUE</v>
      </c>
      <c r="C1623" s="1" t="s">
        <v>81</v>
      </c>
      <c r="D1623" s="1" t="s">
        <v>41</v>
      </c>
      <c r="E1623" s="3">
        <v>3000000</v>
      </c>
      <c r="F1623" s="1">
        <v>2184.9963583394001</v>
      </c>
      <c r="G1623" s="1">
        <v>4</v>
      </c>
      <c r="H1623" s="1">
        <v>2</v>
      </c>
      <c r="I1623" s="1">
        <v>2</v>
      </c>
      <c r="J1623" s="1">
        <v>2</v>
      </c>
      <c r="K1623" s="1">
        <v>2</v>
      </c>
      <c r="M1623" s="4">
        <v>1373</v>
      </c>
      <c r="N1623" s="1">
        <v>1979</v>
      </c>
      <c r="O1623" s="1">
        <v>4133</v>
      </c>
      <c r="P1623" s="1">
        <v>2154</v>
      </c>
      <c r="Q1623" s="1" t="s">
        <v>42</v>
      </c>
      <c r="S1623" s="1" t="s">
        <v>42</v>
      </c>
      <c r="T1623" s="1" t="s">
        <v>170</v>
      </c>
      <c r="U1623" s="1">
        <v>138</v>
      </c>
      <c r="V1623" s="5">
        <v>43708</v>
      </c>
      <c r="W1623" s="5">
        <v>43516</v>
      </c>
      <c r="X1623" s="1">
        <v>3255000</v>
      </c>
      <c r="Y1623" s="1">
        <v>3255000</v>
      </c>
      <c r="Z1623" s="5">
        <v>43676</v>
      </c>
      <c r="AA1623" s="1">
        <v>3000000</v>
      </c>
      <c r="AB1623" s="1" t="s">
        <v>1286</v>
      </c>
      <c r="AC1623" s="5">
        <v>43685</v>
      </c>
      <c r="AF1623" s="1">
        <v>10016</v>
      </c>
      <c r="AI1623" s="1" t="s">
        <v>53</v>
      </c>
      <c r="AJ1623" s="1">
        <v>2019</v>
      </c>
      <c r="AK1623" s="1" t="s">
        <v>73</v>
      </c>
      <c r="AL1623" s="1">
        <v>130</v>
      </c>
    </row>
    <row r="1624" spans="1:38" x14ac:dyDescent="0.2">
      <c r="A1624" s="2" t="str">
        <f>HYPERLINK("https://www.compass.com/listing/277-5th-avenue-unit-20d-manhattan-ny-10016/803351763125615105/","277 5th Ave, Unit 20D")</f>
        <v>277 5th Ave, Unit 20D</v>
      </c>
      <c r="B1624" s="2" t="str">
        <f t="shared" si="275"/>
        <v>277 FIFTH AVENUE</v>
      </c>
      <c r="C1624" s="1" t="s">
        <v>81</v>
      </c>
      <c r="D1624" s="1" t="s">
        <v>41</v>
      </c>
      <c r="E1624" s="3">
        <v>2902183</v>
      </c>
      <c r="F1624" s="1">
        <v>2113.75310269482</v>
      </c>
      <c r="G1624" s="1">
        <v>4</v>
      </c>
      <c r="H1624" s="1">
        <v>2</v>
      </c>
      <c r="I1624" s="1">
        <v>2</v>
      </c>
      <c r="J1624" s="1">
        <v>2</v>
      </c>
      <c r="K1624" s="1">
        <v>2</v>
      </c>
      <c r="M1624" s="4">
        <v>1373</v>
      </c>
      <c r="N1624" s="1">
        <v>1980</v>
      </c>
      <c r="O1624" s="1">
        <v>4135</v>
      </c>
      <c r="P1624" s="1">
        <v>2155</v>
      </c>
      <c r="Q1624" s="1" t="s">
        <v>42</v>
      </c>
      <c r="S1624" s="1" t="s">
        <v>42</v>
      </c>
      <c r="T1624" s="1" t="s">
        <v>170</v>
      </c>
      <c r="V1624" s="5">
        <v>44288</v>
      </c>
      <c r="W1624" s="5">
        <v>43676</v>
      </c>
      <c r="X1624" s="1">
        <v>3325000</v>
      </c>
      <c r="Y1624" s="1">
        <v>3325000</v>
      </c>
      <c r="AA1624" s="1">
        <v>2902183.01</v>
      </c>
      <c r="AB1624" s="1" t="s">
        <v>1287</v>
      </c>
      <c r="AC1624" s="5">
        <v>44333</v>
      </c>
      <c r="AF1624" s="1">
        <v>10016</v>
      </c>
      <c r="AI1624" s="1" t="s">
        <v>82</v>
      </c>
      <c r="AJ1624" s="1">
        <v>2019</v>
      </c>
      <c r="AK1624" s="1" t="s">
        <v>73</v>
      </c>
      <c r="AL1624" s="1">
        <v>130</v>
      </c>
    </row>
    <row r="1625" spans="1:38" x14ac:dyDescent="0.2">
      <c r="A1625" s="2" t="str">
        <f>HYPERLINK("https://www.compass.com/listing/277-5th-avenue-unit-39c-manhattan-ny-10016/293466219250573617/","277 5th Ave, Unit 39C")</f>
        <v>277 5th Ave, Unit 39C</v>
      </c>
      <c r="B1625" s="2" t="str">
        <f t="shared" si="275"/>
        <v>277 FIFTH AVENUE</v>
      </c>
      <c r="C1625" s="1" t="s">
        <v>81</v>
      </c>
      <c r="D1625" s="1" t="s">
        <v>41</v>
      </c>
      <c r="E1625" s="3">
        <v>3600000</v>
      </c>
      <c r="F1625" s="1">
        <v>2576.9506084466698</v>
      </c>
      <c r="G1625" s="1">
        <v>4</v>
      </c>
      <c r="H1625" s="1">
        <v>2</v>
      </c>
      <c r="I1625" s="1">
        <v>2</v>
      </c>
      <c r="J1625" s="1">
        <v>2</v>
      </c>
      <c r="K1625" s="1">
        <v>2</v>
      </c>
      <c r="M1625" s="4">
        <v>1397</v>
      </c>
      <c r="N1625" s="1">
        <v>2014</v>
      </c>
      <c r="O1625" s="1">
        <v>4206</v>
      </c>
      <c r="P1625" s="1">
        <v>2192</v>
      </c>
      <c r="Q1625" s="1" t="s">
        <v>42</v>
      </c>
      <c r="S1625" s="1" t="s">
        <v>42</v>
      </c>
      <c r="T1625" s="1" t="s">
        <v>170</v>
      </c>
      <c r="U1625" s="1">
        <v>2</v>
      </c>
      <c r="V1625" s="5">
        <v>44272</v>
      </c>
      <c r="W1625" s="5">
        <v>43656</v>
      </c>
      <c r="X1625" s="1">
        <v>4425000</v>
      </c>
      <c r="Y1625" s="1">
        <v>4425000</v>
      </c>
      <c r="Z1625" s="5">
        <v>44250</v>
      </c>
      <c r="AA1625" s="1">
        <v>3600000</v>
      </c>
      <c r="AB1625" s="1" t="s">
        <v>1288</v>
      </c>
      <c r="AC1625" s="5">
        <v>44270</v>
      </c>
      <c r="AF1625" s="1">
        <v>10016</v>
      </c>
      <c r="AI1625" s="1" t="s">
        <v>82</v>
      </c>
      <c r="AJ1625" s="1">
        <v>2019</v>
      </c>
      <c r="AK1625" s="1" t="s">
        <v>46</v>
      </c>
      <c r="AL1625" s="1">
        <v>130</v>
      </c>
    </row>
    <row r="1626" spans="1:38" x14ac:dyDescent="0.2">
      <c r="A1626" s="2" t="str">
        <f>HYPERLINK("https://www.compass.com/listing/277-5th-avenue-unit-21d-manhattan-ny-10016/385425632149736961/","277 5th Ave, Unit 21D")</f>
        <v>277 5th Ave, Unit 21D</v>
      </c>
      <c r="B1626" s="2" t="str">
        <f t="shared" si="275"/>
        <v>277 FIFTH AVENUE</v>
      </c>
      <c r="C1626" s="1" t="s">
        <v>81</v>
      </c>
      <c r="D1626" s="1" t="s">
        <v>41</v>
      </c>
      <c r="E1626" s="3">
        <v>3100000</v>
      </c>
      <c r="F1626" s="1">
        <v>2257.8295702840401</v>
      </c>
      <c r="G1626" s="1">
        <v>4</v>
      </c>
      <c r="H1626" s="1">
        <v>2</v>
      </c>
      <c r="I1626" s="1">
        <v>2</v>
      </c>
      <c r="J1626" s="1">
        <v>2</v>
      </c>
      <c r="K1626" s="1">
        <v>2</v>
      </c>
      <c r="M1626" s="4">
        <v>1373</v>
      </c>
      <c r="N1626" s="1">
        <v>1980</v>
      </c>
      <c r="O1626" s="1">
        <v>4135</v>
      </c>
      <c r="P1626" s="1">
        <v>2155</v>
      </c>
      <c r="Q1626" s="1" t="s">
        <v>42</v>
      </c>
      <c r="S1626" s="1" t="s">
        <v>42</v>
      </c>
      <c r="T1626" s="1" t="s">
        <v>170</v>
      </c>
      <c r="U1626" s="1">
        <v>90</v>
      </c>
      <c r="V1626" s="5">
        <v>43953</v>
      </c>
      <c r="W1626" s="5">
        <v>43783</v>
      </c>
      <c r="X1626" s="1">
        <v>3360000</v>
      </c>
      <c r="Y1626" s="1">
        <v>3360000</v>
      </c>
      <c r="Z1626" s="5">
        <v>43874</v>
      </c>
      <c r="AA1626" s="1">
        <v>3100000</v>
      </c>
      <c r="AB1626" s="1" t="s">
        <v>1289</v>
      </c>
      <c r="AC1626" s="5">
        <v>43949</v>
      </c>
      <c r="AF1626" s="1">
        <v>10016</v>
      </c>
      <c r="AI1626" s="1" t="s">
        <v>82</v>
      </c>
      <c r="AJ1626" s="1">
        <v>2019</v>
      </c>
      <c r="AK1626" s="1" t="s">
        <v>73</v>
      </c>
      <c r="AL1626" s="1">
        <v>130</v>
      </c>
    </row>
    <row r="1627" spans="1:38" x14ac:dyDescent="0.2">
      <c r="A1627" s="2" t="str">
        <f>HYPERLINK("https://www.compass.com/listing/277-5th-avenue-unit-36b-manhattan-ny-10016/445632218405459201/","277 5th Ave, Unit 36B")</f>
        <v>277 5th Ave, Unit 36B</v>
      </c>
      <c r="B1627" s="2" t="str">
        <f t="shared" si="275"/>
        <v>277 FIFTH AVENUE</v>
      </c>
      <c r="C1627" s="1" t="s">
        <v>81</v>
      </c>
      <c r="D1627" s="1" t="s">
        <v>41</v>
      </c>
      <c r="E1627" s="3">
        <v>3241500</v>
      </c>
      <c r="F1627" s="1">
        <v>2534.40187646598</v>
      </c>
      <c r="G1627" s="1">
        <v>4</v>
      </c>
      <c r="H1627" s="1">
        <v>2</v>
      </c>
      <c r="I1627" s="1">
        <v>2</v>
      </c>
      <c r="J1627" s="1">
        <v>2</v>
      </c>
      <c r="K1627" s="1">
        <v>2</v>
      </c>
      <c r="M1627" s="4">
        <v>1279</v>
      </c>
      <c r="N1627" s="1">
        <v>1844</v>
      </c>
      <c r="O1627" s="1">
        <v>3851</v>
      </c>
      <c r="P1627" s="1">
        <v>2007</v>
      </c>
      <c r="Q1627" s="1" t="s">
        <v>42</v>
      </c>
      <c r="S1627" s="1" t="s">
        <v>42</v>
      </c>
      <c r="T1627" s="1" t="s">
        <v>170</v>
      </c>
      <c r="V1627" s="5">
        <v>44288</v>
      </c>
      <c r="W1627" s="5">
        <v>43866</v>
      </c>
      <c r="X1627" s="1">
        <v>3760000</v>
      </c>
      <c r="Y1627" s="1">
        <v>3760000</v>
      </c>
      <c r="AA1627" s="1">
        <v>3241500</v>
      </c>
      <c r="AB1627" s="1" t="s">
        <v>1222</v>
      </c>
      <c r="AC1627" s="5">
        <v>44371</v>
      </c>
      <c r="AF1627" s="1">
        <v>10016</v>
      </c>
      <c r="AI1627" s="1" t="s">
        <v>82</v>
      </c>
      <c r="AJ1627" s="1">
        <v>2019</v>
      </c>
      <c r="AK1627" s="1" t="s">
        <v>73</v>
      </c>
      <c r="AL1627" s="1">
        <v>130</v>
      </c>
    </row>
    <row r="1628" spans="1:38" x14ac:dyDescent="0.2">
      <c r="A1628" s="2" t="str">
        <f>HYPERLINK("https://www.compass.com/listing/277-5th-avenue-unit-46a-manhattan-ny-10016/608710199639092009/","277 5th Ave, Unit 46A")</f>
        <v>277 5th Ave, Unit 46A</v>
      </c>
      <c r="B1628" s="2" t="str">
        <f t="shared" si="275"/>
        <v>277 FIFTH AVENUE</v>
      </c>
      <c r="C1628" s="1" t="s">
        <v>81</v>
      </c>
      <c r="D1628" s="1" t="s">
        <v>41</v>
      </c>
      <c r="E1628" s="3">
        <v>5200000</v>
      </c>
      <c r="F1628" s="1">
        <v>2646.3104325699701</v>
      </c>
      <c r="G1628" s="1">
        <v>4</v>
      </c>
      <c r="H1628" s="1">
        <v>2</v>
      </c>
      <c r="I1628" s="1">
        <v>3</v>
      </c>
      <c r="J1628" s="1">
        <v>2.5</v>
      </c>
      <c r="K1628" s="1">
        <v>2</v>
      </c>
      <c r="L1628" s="1">
        <v>1</v>
      </c>
      <c r="M1628" s="4">
        <v>1965</v>
      </c>
      <c r="N1628" s="1">
        <v>2833</v>
      </c>
      <c r="O1628" s="1">
        <v>5342</v>
      </c>
      <c r="P1628" s="1">
        <v>2509</v>
      </c>
      <c r="Q1628" s="1" t="s">
        <v>42</v>
      </c>
      <c r="S1628" s="1" t="s">
        <v>42</v>
      </c>
      <c r="T1628" s="1" t="s">
        <v>170</v>
      </c>
      <c r="U1628" s="1">
        <v>21</v>
      </c>
      <c r="V1628" s="5">
        <v>44288</v>
      </c>
      <c r="W1628" s="5">
        <v>44091</v>
      </c>
      <c r="X1628" s="1">
        <v>6100000</v>
      </c>
      <c r="Y1628" s="1">
        <v>6100000</v>
      </c>
      <c r="AA1628" s="1">
        <v>5200000</v>
      </c>
      <c r="AB1628" s="1" t="s">
        <v>1290</v>
      </c>
      <c r="AC1628" s="5">
        <v>44120</v>
      </c>
      <c r="AF1628" s="1">
        <v>10016</v>
      </c>
      <c r="AI1628" s="1" t="s">
        <v>82</v>
      </c>
      <c r="AJ1628" s="1">
        <v>2019</v>
      </c>
      <c r="AK1628" s="1" t="s">
        <v>73</v>
      </c>
      <c r="AL1628" s="1">
        <v>130</v>
      </c>
    </row>
    <row r="1629" spans="1:38" x14ac:dyDescent="0.2">
      <c r="A1629" s="2" t="str">
        <f>HYPERLINK("https://www.compass.com/listing/277-5th-avenue-unit-28a-manhattan-ny-10016/100704617217688145/","277 5th Ave, Unit 28A")</f>
        <v>277 5th Ave, Unit 28A</v>
      </c>
      <c r="B1629" s="2" t="str">
        <f t="shared" si="275"/>
        <v>277 FIFTH AVENUE</v>
      </c>
      <c r="C1629" s="1" t="s">
        <v>81</v>
      </c>
      <c r="D1629" s="1" t="s">
        <v>41</v>
      </c>
      <c r="E1629" s="3">
        <v>3545044</v>
      </c>
      <c r="F1629" s="1">
        <v>2639.64543559195</v>
      </c>
      <c r="G1629" s="1">
        <v>4</v>
      </c>
      <c r="H1629" s="1">
        <v>2</v>
      </c>
      <c r="I1629" s="1">
        <v>2</v>
      </c>
      <c r="J1629" s="1">
        <v>2</v>
      </c>
      <c r="K1629" s="1">
        <v>2</v>
      </c>
      <c r="M1629" s="4">
        <v>1343</v>
      </c>
      <c r="N1629" s="1">
        <v>1936</v>
      </c>
      <c r="O1629" s="1">
        <v>4044</v>
      </c>
      <c r="P1629" s="1">
        <v>2108</v>
      </c>
      <c r="Q1629" s="1" t="s">
        <v>42</v>
      </c>
      <c r="S1629" s="1" t="s">
        <v>42</v>
      </c>
      <c r="T1629" s="1" t="s">
        <v>170</v>
      </c>
      <c r="V1629" s="5">
        <v>43706</v>
      </c>
      <c r="W1629" s="5">
        <v>43390</v>
      </c>
      <c r="X1629" s="1">
        <v>3620000</v>
      </c>
      <c r="Y1629" s="1">
        <v>3620000</v>
      </c>
      <c r="Z1629" s="5">
        <v>43391</v>
      </c>
      <c r="AA1629" s="1">
        <v>3545043.82</v>
      </c>
      <c r="AB1629" s="1" t="s">
        <v>1291</v>
      </c>
      <c r="AC1629" s="5">
        <v>43643</v>
      </c>
      <c r="AF1629" s="1">
        <v>10016</v>
      </c>
      <c r="AI1629" s="1" t="s">
        <v>82</v>
      </c>
      <c r="AJ1629" s="1">
        <v>2019</v>
      </c>
      <c r="AK1629" s="1" t="s">
        <v>73</v>
      </c>
      <c r="AL1629" s="1">
        <v>130</v>
      </c>
    </row>
    <row r="1630" spans="1:38" x14ac:dyDescent="0.2">
      <c r="A1630" s="2" t="str">
        <f>HYPERLINK("https://www.compass.com/listing/277-5th-avenue-unit-29a-manhattan-ny-10016/111508116616638065/","277 5th Ave, Unit 29A")</f>
        <v>277 5th Ave, Unit 29A</v>
      </c>
      <c r="B1630" s="2" t="str">
        <f t="shared" si="275"/>
        <v>277 FIFTH AVENUE</v>
      </c>
      <c r="C1630" s="1" t="s">
        <v>81</v>
      </c>
      <c r="D1630" s="1" t="s">
        <v>41</v>
      </c>
      <c r="E1630" s="3">
        <v>3582757</v>
      </c>
      <c r="F1630" s="1">
        <v>2667.7269769173399</v>
      </c>
      <c r="G1630" s="1">
        <v>4</v>
      </c>
      <c r="H1630" s="1">
        <v>2</v>
      </c>
      <c r="I1630" s="1">
        <v>2</v>
      </c>
      <c r="J1630" s="1">
        <v>2</v>
      </c>
      <c r="K1630" s="1">
        <v>2</v>
      </c>
      <c r="M1630" s="4">
        <v>1343</v>
      </c>
      <c r="N1630" s="1">
        <v>1936</v>
      </c>
      <c r="O1630" s="1">
        <v>4044</v>
      </c>
      <c r="P1630" s="1">
        <v>2108</v>
      </c>
      <c r="Q1630" s="1" t="s">
        <v>42</v>
      </c>
      <c r="S1630" s="1" t="s">
        <v>42</v>
      </c>
      <c r="T1630" s="1" t="s">
        <v>170</v>
      </c>
      <c r="V1630" s="5">
        <v>43706</v>
      </c>
      <c r="W1630" s="5">
        <v>43405</v>
      </c>
      <c r="X1630" s="1">
        <v>3655000</v>
      </c>
      <c r="Y1630" s="1">
        <v>3655000</v>
      </c>
      <c r="Z1630" s="5">
        <v>43406</v>
      </c>
      <c r="AA1630" s="1">
        <v>3582757.33</v>
      </c>
      <c r="AB1630" s="1" t="s">
        <v>1292</v>
      </c>
      <c r="AC1630" s="5">
        <v>43643</v>
      </c>
      <c r="AF1630" s="1">
        <v>10016</v>
      </c>
      <c r="AI1630" s="1" t="s">
        <v>82</v>
      </c>
      <c r="AJ1630" s="1">
        <v>2019</v>
      </c>
      <c r="AK1630" s="1" t="s">
        <v>73</v>
      </c>
      <c r="AL1630" s="1">
        <v>130</v>
      </c>
    </row>
    <row r="1631" spans="1:38" x14ac:dyDescent="0.2">
      <c r="A1631" s="2" t="str">
        <f>HYPERLINK("https://www.compass.com/listing/277-5th-avenue-unit-26a-manhattan-ny-10016/228966860954072545/","277 5th Ave, Unit 26A")</f>
        <v>277 5th Ave, Unit 26A</v>
      </c>
      <c r="B1631" s="2" t="str">
        <f t="shared" si="275"/>
        <v>277 FIFTH AVENUE</v>
      </c>
      <c r="C1631" s="1" t="s">
        <v>81</v>
      </c>
      <c r="D1631" s="1" t="s">
        <v>41</v>
      </c>
      <c r="E1631" s="3">
        <v>3281808</v>
      </c>
      <c r="F1631" s="1">
        <v>2443.6392926284402</v>
      </c>
      <c r="G1631" s="1">
        <v>4</v>
      </c>
      <c r="H1631" s="1">
        <v>2</v>
      </c>
      <c r="I1631" s="1">
        <v>2</v>
      </c>
      <c r="J1631" s="1">
        <v>2</v>
      </c>
      <c r="K1631" s="1">
        <v>2</v>
      </c>
      <c r="M1631" s="4">
        <v>1343</v>
      </c>
      <c r="N1631" s="1">
        <v>1936</v>
      </c>
      <c r="O1631" s="1">
        <v>4044</v>
      </c>
      <c r="P1631" s="1">
        <v>2108</v>
      </c>
      <c r="Q1631" s="1" t="s">
        <v>42</v>
      </c>
      <c r="S1631" s="1" t="s">
        <v>42</v>
      </c>
      <c r="T1631" s="1" t="s">
        <v>170</v>
      </c>
      <c r="U1631" s="1">
        <v>109</v>
      </c>
      <c r="V1631" s="5">
        <v>43795</v>
      </c>
      <c r="W1631" s="5">
        <v>43567</v>
      </c>
      <c r="X1631" s="1">
        <v>3550000</v>
      </c>
      <c r="Y1631" s="1">
        <v>3550000</v>
      </c>
      <c r="Z1631" s="5">
        <v>43728</v>
      </c>
      <c r="AA1631" s="1">
        <v>3281807.57</v>
      </c>
      <c r="AB1631" s="1" t="s">
        <v>1293</v>
      </c>
      <c r="AC1631" s="5">
        <v>43763</v>
      </c>
      <c r="AF1631" s="1">
        <v>10016</v>
      </c>
      <c r="AI1631" s="1" t="s">
        <v>82</v>
      </c>
      <c r="AJ1631" s="1">
        <v>2019</v>
      </c>
      <c r="AK1631" s="1" t="s">
        <v>73</v>
      </c>
      <c r="AL1631" s="1">
        <v>130</v>
      </c>
    </row>
    <row r="1632" spans="1:38" x14ac:dyDescent="0.2">
      <c r="A1632" s="2" t="str">
        <f>HYPERLINK("https://www.compass.com/listing/277-5th-avenue-unit-27d-manhattan-ny-10016/24675872611039921/","277 5th Ave, Unit 27D")</f>
        <v>277 5th Ave, Unit 27D</v>
      </c>
      <c r="B1632" s="2" t="str">
        <f t="shared" si="275"/>
        <v>277 FIFTH AVENUE</v>
      </c>
      <c r="C1632" s="1" t="s">
        <v>81</v>
      </c>
      <c r="D1632" s="1" t="s">
        <v>41</v>
      </c>
      <c r="E1632" s="3">
        <v>3325000</v>
      </c>
      <c r="F1632" s="1">
        <v>2421.7042971595001</v>
      </c>
      <c r="G1632" s="1">
        <v>4</v>
      </c>
      <c r="H1632" s="1">
        <v>2</v>
      </c>
      <c r="I1632" s="1">
        <v>2</v>
      </c>
      <c r="J1632" s="1">
        <v>2</v>
      </c>
      <c r="K1632" s="1">
        <v>2</v>
      </c>
      <c r="M1632" s="4">
        <v>1373</v>
      </c>
      <c r="N1632" s="1">
        <v>1980</v>
      </c>
      <c r="O1632" s="1">
        <v>4135</v>
      </c>
      <c r="P1632" s="1">
        <v>2155</v>
      </c>
      <c r="Q1632" s="1" t="s">
        <v>42</v>
      </c>
      <c r="S1632" s="1" t="s">
        <v>42</v>
      </c>
      <c r="T1632" s="1" t="s">
        <v>170</v>
      </c>
      <c r="U1632" s="1">
        <v>123</v>
      </c>
      <c r="V1632" s="5">
        <v>43897</v>
      </c>
      <c r="W1632" s="5">
        <v>43102</v>
      </c>
      <c r="X1632" s="1">
        <v>3570000</v>
      </c>
      <c r="Y1632" s="1">
        <v>3570000</v>
      </c>
      <c r="Z1632" s="5">
        <v>43848</v>
      </c>
      <c r="AA1632" s="1">
        <v>3325000</v>
      </c>
      <c r="AB1632" s="1" t="s">
        <v>1294</v>
      </c>
      <c r="AC1632" s="5">
        <v>43896</v>
      </c>
      <c r="AF1632" s="1">
        <v>10016</v>
      </c>
      <c r="AI1632" s="1" t="s">
        <v>53</v>
      </c>
      <c r="AJ1632" s="1">
        <v>2019</v>
      </c>
      <c r="AK1632" s="1" t="s">
        <v>73</v>
      </c>
      <c r="AL1632" s="1">
        <v>130</v>
      </c>
    </row>
    <row r="1633" spans="1:38" x14ac:dyDescent="0.2">
      <c r="A1633" s="2" t="str">
        <f>HYPERLINK("https://www.compass.com/listing/277-5th-avenue-unit-36c-manhattan-ny-10016/274558828446530385/","277 5th Ave, Unit 36C")</f>
        <v>277 5th Ave, Unit 36C</v>
      </c>
      <c r="B1633" s="2" t="str">
        <f t="shared" si="275"/>
        <v>277 FIFTH AVENUE</v>
      </c>
      <c r="C1633" s="1" t="s">
        <v>81</v>
      </c>
      <c r="D1633" s="1" t="s">
        <v>41</v>
      </c>
      <c r="E1633" s="3">
        <v>4243222</v>
      </c>
      <c r="F1633" s="1">
        <v>3037.38166785969</v>
      </c>
      <c r="G1633" s="1">
        <v>4</v>
      </c>
      <c r="H1633" s="1">
        <v>2</v>
      </c>
      <c r="I1633" s="1">
        <v>2</v>
      </c>
      <c r="J1633" s="1">
        <v>2</v>
      </c>
      <c r="K1633" s="1">
        <v>2</v>
      </c>
      <c r="M1633" s="4">
        <v>1397</v>
      </c>
      <c r="N1633" s="1">
        <v>2014</v>
      </c>
      <c r="O1633" s="1">
        <v>4206</v>
      </c>
      <c r="P1633" s="1">
        <v>2192</v>
      </c>
      <c r="Q1633" s="1" t="s">
        <v>42</v>
      </c>
      <c r="S1633" s="1" t="s">
        <v>42</v>
      </c>
      <c r="T1633" s="1" t="s">
        <v>170</v>
      </c>
      <c r="U1633" s="1">
        <v>1</v>
      </c>
      <c r="V1633" s="5">
        <v>43631</v>
      </c>
      <c r="W1633" s="5">
        <v>43209</v>
      </c>
      <c r="Y1633" s="1">
        <v>4225000</v>
      </c>
      <c r="Z1633" s="5">
        <v>43210</v>
      </c>
      <c r="AA1633" s="1">
        <v>4243222.1900000004</v>
      </c>
      <c r="AB1633" s="1" t="s">
        <v>1295</v>
      </c>
      <c r="AC1633" s="5">
        <v>43578</v>
      </c>
      <c r="AF1633" s="1">
        <v>10016</v>
      </c>
      <c r="AI1633" s="1" t="s">
        <v>53</v>
      </c>
      <c r="AJ1633" s="1">
        <v>2019</v>
      </c>
      <c r="AK1633" s="1" t="s">
        <v>73</v>
      </c>
      <c r="AL1633" s="1">
        <v>130</v>
      </c>
    </row>
    <row r="1634" spans="1:38" x14ac:dyDescent="0.2">
      <c r="A1634" s="2" t="str">
        <f>HYPERLINK("https://www.compass.com/listing/277-5th-avenue-unit-25a-manhattan-ny-10016/274558841767593809/","277 5th Ave, Unit 25A")</f>
        <v>277 5th Ave, Unit 25A</v>
      </c>
      <c r="B1634" s="2" t="str">
        <f t="shared" si="275"/>
        <v>277 FIFTH AVENUE</v>
      </c>
      <c r="C1634" s="1" t="s">
        <v>81</v>
      </c>
      <c r="D1634" s="1" t="s">
        <v>41</v>
      </c>
      <c r="E1634" s="3">
        <v>3179600</v>
      </c>
      <c r="F1634" s="1">
        <v>2367.53536857781</v>
      </c>
      <c r="G1634" s="1">
        <v>4</v>
      </c>
      <c r="H1634" s="1">
        <v>2</v>
      </c>
      <c r="I1634" s="1">
        <v>2</v>
      </c>
      <c r="J1634" s="1">
        <v>2</v>
      </c>
      <c r="K1634" s="1">
        <v>2</v>
      </c>
      <c r="M1634" s="4">
        <v>1343</v>
      </c>
      <c r="N1634" s="1">
        <v>1936</v>
      </c>
      <c r="O1634" s="1">
        <v>4044</v>
      </c>
      <c r="P1634" s="1">
        <v>2108</v>
      </c>
      <c r="Q1634" s="1" t="s">
        <v>42</v>
      </c>
      <c r="S1634" s="1" t="s">
        <v>42</v>
      </c>
      <c r="T1634" s="1" t="s">
        <v>170</v>
      </c>
      <c r="U1634" s="1">
        <v>7</v>
      </c>
      <c r="V1634" s="5">
        <v>43631</v>
      </c>
      <c r="W1634" s="5">
        <v>43224</v>
      </c>
      <c r="X1634" s="1">
        <v>3284400</v>
      </c>
      <c r="Y1634" s="1">
        <v>3284400</v>
      </c>
      <c r="Z1634" s="5">
        <v>43232</v>
      </c>
      <c r="AA1634" s="1">
        <v>3179600</v>
      </c>
      <c r="AB1634" s="1" t="s">
        <v>1296</v>
      </c>
      <c r="AC1634" s="5">
        <v>43581</v>
      </c>
      <c r="AF1634" s="1">
        <v>10016</v>
      </c>
      <c r="AI1634" s="1" t="s">
        <v>82</v>
      </c>
      <c r="AJ1634" s="1">
        <v>2019</v>
      </c>
      <c r="AK1634" s="1" t="s">
        <v>73</v>
      </c>
      <c r="AL1634" s="1">
        <v>130</v>
      </c>
    </row>
    <row r="1635" spans="1:38" x14ac:dyDescent="0.2">
      <c r="A1635" s="2" t="str">
        <f>HYPERLINK("https://www.compass.com/listing/277-5th-avenue-unit-52b-manhattan-ny-10016/29514468723527137/","277 5th Ave, Unit 52B")</f>
        <v>277 5th Ave, Unit 52B</v>
      </c>
      <c r="B1635" s="2" t="str">
        <f t="shared" si="275"/>
        <v>277 FIFTH AVENUE</v>
      </c>
      <c r="C1635" s="1" t="s">
        <v>81</v>
      </c>
      <c r="D1635" s="1" t="s">
        <v>41</v>
      </c>
      <c r="E1635" s="3">
        <v>7250000</v>
      </c>
      <c r="F1635" s="1">
        <v>3689.56743002544</v>
      </c>
      <c r="G1635" s="1">
        <v>4.5</v>
      </c>
      <c r="H1635" s="1">
        <v>2</v>
      </c>
      <c r="I1635" s="1">
        <v>3</v>
      </c>
      <c r="J1635" s="1">
        <v>2.5</v>
      </c>
      <c r="K1635" s="1">
        <v>2</v>
      </c>
      <c r="L1635" s="1">
        <v>1</v>
      </c>
      <c r="M1635" s="4">
        <v>1965</v>
      </c>
      <c r="N1635" s="1">
        <v>2833</v>
      </c>
      <c r="O1635" s="1">
        <v>5917</v>
      </c>
      <c r="P1635" s="1">
        <v>3084</v>
      </c>
      <c r="Q1635" s="1" t="s">
        <v>42</v>
      </c>
      <c r="S1635" s="1" t="s">
        <v>42</v>
      </c>
      <c r="T1635" s="1" t="s">
        <v>170</v>
      </c>
      <c r="V1635" s="5">
        <v>43777</v>
      </c>
      <c r="W1635" s="5">
        <v>43272</v>
      </c>
      <c r="X1635" s="1">
        <v>7250000</v>
      </c>
      <c r="Y1635" s="1">
        <v>7250000</v>
      </c>
      <c r="Z1635" s="5">
        <v>43273</v>
      </c>
      <c r="AA1635" s="1">
        <v>7250000</v>
      </c>
      <c r="AB1635" s="1" t="s">
        <v>181</v>
      </c>
      <c r="AC1635" s="5">
        <v>43608</v>
      </c>
      <c r="AF1635" s="1">
        <v>10016</v>
      </c>
      <c r="AI1635" s="1" t="s">
        <v>82</v>
      </c>
      <c r="AJ1635" s="1">
        <v>2019</v>
      </c>
      <c r="AK1635" s="1" t="s">
        <v>73</v>
      </c>
      <c r="AL1635" s="1">
        <v>130</v>
      </c>
    </row>
    <row r="1636" spans="1:38" x14ac:dyDescent="0.2">
      <c r="A1636" s="2" t="str">
        <f>HYPERLINK("https://www.compass.com/listing/277-5th-avenue-unit-34c-manhattan-ny-10016/29514471340849441/","277 5th Ave, Unit 34C")</f>
        <v>277 5th Ave, Unit 34C</v>
      </c>
      <c r="B1636" s="2" t="str">
        <f t="shared" si="275"/>
        <v>277 FIFTH AVENUE</v>
      </c>
      <c r="C1636" s="1" t="s">
        <v>81</v>
      </c>
      <c r="D1636" s="1" t="s">
        <v>41</v>
      </c>
      <c r="E1636" s="3">
        <v>4017483</v>
      </c>
      <c r="F1636" s="1">
        <v>2875.7931281317101</v>
      </c>
      <c r="G1636" s="1">
        <v>4</v>
      </c>
      <c r="H1636" s="1">
        <v>2</v>
      </c>
      <c r="I1636" s="1">
        <v>2</v>
      </c>
      <c r="J1636" s="1">
        <v>2</v>
      </c>
      <c r="K1636" s="1">
        <v>2</v>
      </c>
      <c r="M1636" s="4">
        <v>1397</v>
      </c>
      <c r="N1636" s="1">
        <v>2014</v>
      </c>
      <c r="O1636" s="1">
        <v>4206</v>
      </c>
      <c r="P1636" s="1">
        <v>2192</v>
      </c>
      <c r="Q1636" s="1" t="s">
        <v>42</v>
      </c>
      <c r="S1636" s="1" t="s">
        <v>42</v>
      </c>
      <c r="T1636" s="1" t="s">
        <v>170</v>
      </c>
      <c r="U1636" s="1">
        <v>42</v>
      </c>
      <c r="V1636" s="5">
        <v>43690</v>
      </c>
      <c r="W1636" s="5">
        <v>43280</v>
      </c>
      <c r="X1636" s="1">
        <v>4125000</v>
      </c>
      <c r="Y1636" s="1">
        <v>4125000</v>
      </c>
      <c r="Z1636" s="5">
        <v>43326</v>
      </c>
      <c r="AA1636" s="1">
        <v>4017483</v>
      </c>
      <c r="AB1636" s="1" t="s">
        <v>1297</v>
      </c>
      <c r="AC1636" s="5">
        <v>43546</v>
      </c>
      <c r="AF1636" s="1">
        <v>10016</v>
      </c>
      <c r="AI1636" s="1" t="s">
        <v>82</v>
      </c>
      <c r="AJ1636" s="1">
        <v>2019</v>
      </c>
      <c r="AK1636" s="1" t="s">
        <v>73</v>
      </c>
      <c r="AL1636" s="1">
        <v>130</v>
      </c>
    </row>
    <row r="1637" spans="1:38" x14ac:dyDescent="0.2">
      <c r="A1637" s="2" t="str">
        <f>HYPERLINK("https://www.compass.com/listing/277-5th-avenue-unit-29d-manhattan-ny-10016/29514474813656753/","277 5th Ave, Unit 29D")</f>
        <v>277 5th Ave, Unit 29D</v>
      </c>
      <c r="B1637" s="2" t="str">
        <f t="shared" si="275"/>
        <v>277 FIFTH AVENUE</v>
      </c>
      <c r="C1637" s="1" t="s">
        <v>81</v>
      </c>
      <c r="D1637" s="1" t="s">
        <v>41</v>
      </c>
      <c r="E1637" s="3">
        <v>3587183</v>
      </c>
      <c r="F1637" s="1">
        <v>2612.66059723233</v>
      </c>
      <c r="G1637" s="1">
        <v>4</v>
      </c>
      <c r="H1637" s="1">
        <v>2</v>
      </c>
      <c r="I1637" s="1">
        <v>2</v>
      </c>
      <c r="J1637" s="1">
        <v>2</v>
      </c>
      <c r="K1637" s="1">
        <v>2</v>
      </c>
      <c r="M1637" s="4">
        <v>1373</v>
      </c>
      <c r="N1637" s="1">
        <v>1980</v>
      </c>
      <c r="O1637" s="1">
        <v>4135</v>
      </c>
      <c r="P1637" s="1">
        <v>2155</v>
      </c>
      <c r="Q1637" s="1" t="s">
        <v>42</v>
      </c>
      <c r="S1637" s="1" t="s">
        <v>42</v>
      </c>
      <c r="T1637" s="1" t="s">
        <v>170</v>
      </c>
      <c r="U1637" s="1">
        <v>6</v>
      </c>
      <c r="V1637" s="5">
        <v>43648</v>
      </c>
      <c r="W1637" s="5">
        <v>43219</v>
      </c>
      <c r="X1637" s="1">
        <v>3641400</v>
      </c>
      <c r="Y1637" s="1">
        <v>3641400</v>
      </c>
      <c r="Z1637" s="5">
        <v>43225</v>
      </c>
      <c r="AA1637" s="1">
        <v>3587183</v>
      </c>
      <c r="AB1637" s="1" t="s">
        <v>1298</v>
      </c>
      <c r="AC1637" s="5">
        <v>43573</v>
      </c>
      <c r="AF1637" s="1">
        <v>10016</v>
      </c>
      <c r="AI1637" s="1" t="s">
        <v>82</v>
      </c>
      <c r="AJ1637" s="1">
        <v>2019</v>
      </c>
      <c r="AK1637" s="1" t="s">
        <v>73</v>
      </c>
      <c r="AL1637" s="1">
        <v>130</v>
      </c>
    </row>
    <row r="1638" spans="1:38" x14ac:dyDescent="0.2">
      <c r="A1638" s="2" t="str">
        <f>HYPERLINK("https://www.compass.com/listing/277-5th-avenue-unit-19a-manhattan-ny-10016/29514476181034465/","277 5th Ave, Unit 19A")</f>
        <v>277 5th Ave, Unit 19A</v>
      </c>
      <c r="B1638" s="2" t="str">
        <f t="shared" si="275"/>
        <v>277 FIFTH AVENUE</v>
      </c>
      <c r="C1638" s="1" t="s">
        <v>81</v>
      </c>
      <c r="D1638" s="1" t="s">
        <v>41</v>
      </c>
      <c r="E1638" s="3">
        <v>3071560</v>
      </c>
      <c r="F1638" s="1">
        <v>2287.0886075949302</v>
      </c>
      <c r="G1638" s="1">
        <v>4</v>
      </c>
      <c r="H1638" s="1">
        <v>2</v>
      </c>
      <c r="I1638" s="1">
        <v>2</v>
      </c>
      <c r="J1638" s="1">
        <v>2</v>
      </c>
      <c r="K1638" s="1">
        <v>2</v>
      </c>
      <c r="M1638" s="4">
        <v>1343</v>
      </c>
      <c r="N1638" s="1">
        <v>1936</v>
      </c>
      <c r="O1638" s="1">
        <v>4044</v>
      </c>
      <c r="P1638" s="1">
        <v>2108</v>
      </c>
      <c r="Q1638" s="1" t="s">
        <v>42</v>
      </c>
      <c r="S1638" s="1" t="s">
        <v>42</v>
      </c>
      <c r="T1638" s="1" t="s">
        <v>170</v>
      </c>
      <c r="U1638" s="1">
        <v>151</v>
      </c>
      <c r="V1638" s="5">
        <v>43648</v>
      </c>
      <c r="W1638" s="5">
        <v>43074</v>
      </c>
      <c r="X1638" s="1">
        <v>3010000</v>
      </c>
      <c r="Y1638" s="1">
        <v>3010000</v>
      </c>
      <c r="Z1638" s="5">
        <v>43225</v>
      </c>
      <c r="AA1638" s="1">
        <v>3071560</v>
      </c>
      <c r="AB1638" s="1" t="s">
        <v>1299</v>
      </c>
      <c r="AC1638" s="5">
        <v>43568</v>
      </c>
      <c r="AF1638" s="1">
        <v>10016</v>
      </c>
      <c r="AI1638" s="1" t="s">
        <v>82</v>
      </c>
      <c r="AJ1638" s="1">
        <v>2019</v>
      </c>
      <c r="AK1638" s="1" t="s">
        <v>73</v>
      </c>
      <c r="AL1638" s="1">
        <v>130</v>
      </c>
    </row>
    <row r="1639" spans="1:38" x14ac:dyDescent="0.2">
      <c r="A1639" s="2" t="str">
        <f>HYPERLINK("https://www.compass.com/listing/277-5th-avenue-unit-19d-manhattan-ny-10016/29514476935974673/","277 5th Ave, Unit 19D")</f>
        <v>277 5th Ave, Unit 19D</v>
      </c>
      <c r="B1639" s="2" t="str">
        <f t="shared" si="275"/>
        <v>277 FIFTH AVENUE</v>
      </c>
      <c r="C1639" s="1" t="s">
        <v>81</v>
      </c>
      <c r="D1639" s="1" t="s">
        <v>41</v>
      </c>
      <c r="E1639" s="3">
        <v>3237183</v>
      </c>
      <c r="F1639" s="1">
        <v>2357.7443554260699</v>
      </c>
      <c r="G1639" s="1">
        <v>4</v>
      </c>
      <c r="H1639" s="1">
        <v>2</v>
      </c>
      <c r="I1639" s="1">
        <v>2</v>
      </c>
      <c r="J1639" s="1">
        <v>2</v>
      </c>
      <c r="K1639" s="1">
        <v>2</v>
      </c>
      <c r="M1639" s="4">
        <v>1373</v>
      </c>
      <c r="N1639" s="1">
        <v>1980</v>
      </c>
      <c r="O1639" s="1">
        <v>4135</v>
      </c>
      <c r="P1639" s="1">
        <v>2155</v>
      </c>
      <c r="Q1639" s="1" t="s">
        <v>42</v>
      </c>
      <c r="S1639" s="1" t="s">
        <v>42</v>
      </c>
      <c r="T1639" s="1" t="s">
        <v>170</v>
      </c>
      <c r="U1639" s="1">
        <v>7</v>
      </c>
      <c r="V1639" s="5">
        <v>43729</v>
      </c>
      <c r="W1639" s="5">
        <v>43211</v>
      </c>
      <c r="X1639" s="1">
        <v>3220000</v>
      </c>
      <c r="Y1639" s="1">
        <v>3220000</v>
      </c>
      <c r="Z1639" s="5">
        <v>43218</v>
      </c>
      <c r="AA1639" s="1">
        <v>3237183</v>
      </c>
      <c r="AB1639" s="1" t="s">
        <v>1300</v>
      </c>
      <c r="AC1639" s="5">
        <v>43533</v>
      </c>
      <c r="AF1639" s="1">
        <v>10016</v>
      </c>
      <c r="AI1639" s="1" t="s">
        <v>53</v>
      </c>
      <c r="AJ1639" s="1">
        <v>2019</v>
      </c>
      <c r="AK1639" s="1" t="s">
        <v>73</v>
      </c>
      <c r="AL1639" s="1">
        <v>130</v>
      </c>
    </row>
    <row r="1640" spans="1:38" x14ac:dyDescent="0.2">
      <c r="A1640" s="2" t="str">
        <f>HYPERLINK("https://www.compass.com/listing/277-5th-avenue-unit-28d-manhattan-ny-10016/49932297545316417/","277 5th Ave, Unit 28D")</f>
        <v>277 5th Ave, Unit 28D</v>
      </c>
      <c r="B1640" s="2" t="str">
        <f t="shared" si="275"/>
        <v>277 FIFTH AVENUE</v>
      </c>
      <c r="C1640" s="1" t="s">
        <v>81</v>
      </c>
      <c r="D1640" s="1" t="s">
        <v>41</v>
      </c>
      <c r="E1640" s="3">
        <v>3529683</v>
      </c>
      <c r="F1640" s="1">
        <v>2570.7815003641599</v>
      </c>
      <c r="G1640" s="1">
        <v>4</v>
      </c>
      <c r="H1640" s="1">
        <v>2</v>
      </c>
      <c r="I1640" s="1">
        <v>2</v>
      </c>
      <c r="J1640" s="1">
        <v>2</v>
      </c>
      <c r="K1640" s="1">
        <v>2</v>
      </c>
      <c r="M1640" s="4">
        <v>1373</v>
      </c>
      <c r="N1640" s="1">
        <v>1980</v>
      </c>
      <c r="O1640" s="1">
        <v>4135</v>
      </c>
      <c r="P1640" s="1">
        <v>2155</v>
      </c>
      <c r="Q1640" s="1" t="s">
        <v>42</v>
      </c>
      <c r="S1640" s="1" t="s">
        <v>42</v>
      </c>
      <c r="T1640" s="1" t="s">
        <v>170</v>
      </c>
      <c r="V1640" s="5">
        <v>43685</v>
      </c>
      <c r="W1640" s="5">
        <v>43321</v>
      </c>
      <c r="X1640" s="1">
        <v>3610000</v>
      </c>
      <c r="Y1640" s="1">
        <v>3610000</v>
      </c>
      <c r="Z1640" s="5">
        <v>43321</v>
      </c>
      <c r="AA1640" s="1">
        <v>3529683</v>
      </c>
      <c r="AB1640" s="1" t="s">
        <v>1301</v>
      </c>
      <c r="AC1640" s="5">
        <v>43537</v>
      </c>
      <c r="AF1640" s="1">
        <v>10016</v>
      </c>
      <c r="AI1640" s="1" t="s">
        <v>82</v>
      </c>
      <c r="AJ1640" s="1">
        <v>2019</v>
      </c>
      <c r="AK1640" s="1" t="s">
        <v>73</v>
      </c>
      <c r="AL1640" s="1">
        <v>130</v>
      </c>
    </row>
    <row r="1641" spans="1:38" x14ac:dyDescent="0.2">
      <c r="A1641" s="2" t="str">
        <f>HYPERLINK("https://www.compass.com/listing/277-5th-avenue-unit-42a-manhattan-ny-10016/220813772485340417/","277 5th Ave, Unit 42A")</f>
        <v>277 5th Ave, Unit 42A</v>
      </c>
      <c r="B1641" s="2" t="str">
        <f t="shared" si="275"/>
        <v>277 FIFTH AVENUE</v>
      </c>
      <c r="C1641" s="1" t="s">
        <v>81</v>
      </c>
      <c r="D1641" s="1" t="s">
        <v>41</v>
      </c>
      <c r="E1641" s="3">
        <v>4250000</v>
      </c>
      <c r="G1641" s="1">
        <v>4</v>
      </c>
      <c r="H1641" s="1">
        <v>2</v>
      </c>
      <c r="I1641" s="1">
        <v>2</v>
      </c>
      <c r="J1641" s="1">
        <v>2</v>
      </c>
      <c r="K1641" s="1">
        <v>2</v>
      </c>
      <c r="N1641" s="1">
        <v>2439</v>
      </c>
      <c r="O1641" s="1">
        <v>4680</v>
      </c>
      <c r="P1641" s="1">
        <v>2241</v>
      </c>
      <c r="Q1641" s="1" t="s">
        <v>42</v>
      </c>
      <c r="S1641" s="1" t="s">
        <v>42</v>
      </c>
      <c r="T1641" s="1" t="s">
        <v>170</v>
      </c>
      <c r="V1641" s="5">
        <v>43719</v>
      </c>
      <c r="W1641" s="5">
        <v>43556</v>
      </c>
      <c r="X1641" s="1">
        <v>4435000</v>
      </c>
      <c r="Y1641" s="1">
        <v>4435000</v>
      </c>
      <c r="Z1641" s="5">
        <v>43556</v>
      </c>
      <c r="AA1641" s="1">
        <v>4250000</v>
      </c>
      <c r="AB1641" s="1" t="s">
        <v>1302</v>
      </c>
      <c r="AC1641" s="5">
        <v>43637</v>
      </c>
      <c r="AF1641" s="1">
        <v>10016</v>
      </c>
      <c r="AI1641" s="1" t="s">
        <v>82</v>
      </c>
      <c r="AJ1641" s="1">
        <v>2019</v>
      </c>
      <c r="AK1641" s="1" t="s">
        <v>73</v>
      </c>
      <c r="AL1641" s="1">
        <v>130</v>
      </c>
    </row>
    <row r="1642" spans="1:38" x14ac:dyDescent="0.2">
      <c r="A1642" s="2" t="str">
        <f>HYPERLINK("https://www.compass.com/listing/277-5th-avenue-unit-27d-manhattan-ny-10016/469187666186487649/","277 5th Ave, Unit 27D")</f>
        <v>277 5th Ave, Unit 27D</v>
      </c>
      <c r="B1642" s="2" t="str">
        <f t="shared" si="275"/>
        <v>277 FIFTH AVENUE</v>
      </c>
      <c r="C1642" s="1" t="s">
        <v>81</v>
      </c>
      <c r="D1642" s="1" t="s">
        <v>41</v>
      </c>
      <c r="E1642" s="3">
        <v>3325000</v>
      </c>
      <c r="F1642" s="1">
        <v>2421.7042971595001</v>
      </c>
      <c r="G1642" s="1">
        <v>4</v>
      </c>
      <c r="H1642" s="1">
        <v>2</v>
      </c>
      <c r="J1642" s="1">
        <v>2</v>
      </c>
      <c r="M1642" s="4">
        <v>1373</v>
      </c>
      <c r="N1642" s="1">
        <v>1980</v>
      </c>
      <c r="O1642" s="1">
        <v>4135</v>
      </c>
      <c r="P1642" s="1">
        <v>2155</v>
      </c>
      <c r="S1642" s="1" t="s">
        <v>42</v>
      </c>
      <c r="T1642" s="1" t="s">
        <v>170</v>
      </c>
      <c r="V1642" s="5">
        <v>44253</v>
      </c>
      <c r="W1642" s="5">
        <v>43899</v>
      </c>
      <c r="X1642" s="1">
        <v>3570000</v>
      </c>
      <c r="Y1642" s="1">
        <v>3570000</v>
      </c>
      <c r="Z1642" s="5">
        <v>43899</v>
      </c>
      <c r="AA1642" s="1">
        <v>3325000</v>
      </c>
      <c r="AB1642" s="1" t="s">
        <v>181</v>
      </c>
      <c r="AC1642" s="5">
        <v>43918</v>
      </c>
      <c r="AF1642" s="1">
        <v>10016</v>
      </c>
      <c r="AI1642" s="1" t="s">
        <v>53</v>
      </c>
      <c r="AJ1642" s="1">
        <v>2019</v>
      </c>
      <c r="AK1642" s="1" t="s">
        <v>73</v>
      </c>
      <c r="AL1642" s="1">
        <v>130</v>
      </c>
    </row>
    <row r="1643" spans="1:38" x14ac:dyDescent="0.2">
      <c r="A1643" s="2" t="str">
        <f>HYPERLINK("https://www.compass.com/listing/277-5th-avenue-unit-36b-manhattan-ny-10016/840610507068300065/","277 5th Ave, Unit 36B")</f>
        <v>277 5th Ave, Unit 36B</v>
      </c>
      <c r="B1643" s="2" t="str">
        <f t="shared" si="275"/>
        <v>277 FIFTH AVENUE</v>
      </c>
      <c r="C1643" s="1" t="s">
        <v>81</v>
      </c>
      <c r="D1643" s="1" t="s">
        <v>41</v>
      </c>
      <c r="E1643" s="3">
        <v>3241500</v>
      </c>
      <c r="G1643" s="1">
        <v>4</v>
      </c>
      <c r="H1643" s="1">
        <v>2</v>
      </c>
      <c r="I1643" s="1">
        <v>2</v>
      </c>
      <c r="J1643" s="1">
        <v>2</v>
      </c>
      <c r="K1643" s="1">
        <v>2</v>
      </c>
      <c r="N1643" s="1">
        <v>1686</v>
      </c>
      <c r="O1643" s="1">
        <v>3527.24</v>
      </c>
      <c r="P1643" s="1">
        <v>1841.25</v>
      </c>
      <c r="Q1643" s="1" t="s">
        <v>42</v>
      </c>
      <c r="S1643" s="1" t="s">
        <v>42</v>
      </c>
      <c r="T1643" s="1" t="s">
        <v>170</v>
      </c>
      <c r="V1643" s="5">
        <v>44419</v>
      </c>
      <c r="AA1643" s="1">
        <v>3241500</v>
      </c>
      <c r="AB1643" s="1" t="s">
        <v>1222</v>
      </c>
      <c r="AC1643" s="5">
        <v>44371</v>
      </c>
      <c r="AF1643" s="1">
        <v>10016</v>
      </c>
      <c r="AI1643" s="1" t="s">
        <v>82</v>
      </c>
      <c r="AJ1643" s="1">
        <v>2019</v>
      </c>
      <c r="AK1643" s="1" t="s">
        <v>46</v>
      </c>
      <c r="AL1643" s="1">
        <v>130</v>
      </c>
    </row>
    <row r="1644" spans="1:38" x14ac:dyDescent="0.2">
      <c r="A1644" s="2" t="str">
        <f>HYPERLINK("https://www.compass.com/listing/277-5th-avenue-unit-39b-manhattan-ny-10016/840610787482745657/","277 5th Ave, Unit 39B")</f>
        <v>277 5th Ave, Unit 39B</v>
      </c>
      <c r="B1644" s="2" t="str">
        <f t="shared" si="275"/>
        <v>277 FIFTH AVENUE</v>
      </c>
      <c r="C1644" s="1" t="s">
        <v>81</v>
      </c>
      <c r="D1644" s="1" t="s">
        <v>41</v>
      </c>
      <c r="E1644" s="3">
        <v>3525000</v>
      </c>
      <c r="G1644" s="1">
        <v>4</v>
      </c>
      <c r="H1644" s="1">
        <v>2</v>
      </c>
      <c r="I1644" s="1">
        <v>2</v>
      </c>
      <c r="J1644" s="1">
        <v>2</v>
      </c>
      <c r="K1644" s="1">
        <v>2</v>
      </c>
      <c r="N1644" s="1">
        <v>1686</v>
      </c>
      <c r="O1644" s="1">
        <v>3527.25</v>
      </c>
      <c r="P1644" s="1">
        <v>1841.25</v>
      </c>
      <c r="Q1644" s="1" t="s">
        <v>42</v>
      </c>
      <c r="S1644" s="1" t="s">
        <v>42</v>
      </c>
      <c r="T1644" s="1" t="s">
        <v>170</v>
      </c>
      <c r="V1644" s="5">
        <v>44419</v>
      </c>
      <c r="AA1644" s="1">
        <v>3525000</v>
      </c>
      <c r="AB1644" s="1" t="s">
        <v>1303</v>
      </c>
      <c r="AC1644" s="5">
        <v>44384</v>
      </c>
      <c r="AF1644" s="1">
        <v>10016</v>
      </c>
      <c r="AI1644" s="1" t="s">
        <v>82</v>
      </c>
      <c r="AJ1644" s="1">
        <v>2019</v>
      </c>
      <c r="AK1644" s="1" t="s">
        <v>46</v>
      </c>
      <c r="AL1644" s="1">
        <v>130</v>
      </c>
    </row>
    <row r="1645" spans="1:38" x14ac:dyDescent="0.2">
      <c r="A1645" s="2" t="str">
        <f>HYPERLINK("https://www.compass.com/listing/277-5th-avenue-unit-40b-manhattan-ny-10016/596578141185869769/","277 5th Ave, Unit 40B")</f>
        <v>277 5th Ave, Unit 40B</v>
      </c>
      <c r="B1645" s="2" t="str">
        <f t="shared" si="275"/>
        <v>277 FIFTH AVENUE</v>
      </c>
      <c r="C1645" s="1" t="s">
        <v>81</v>
      </c>
      <c r="D1645" s="1" t="s">
        <v>41</v>
      </c>
      <c r="E1645" s="3">
        <v>3092500</v>
      </c>
      <c r="F1645" s="1">
        <v>2417.9046129788899</v>
      </c>
      <c r="G1645" s="1">
        <v>4</v>
      </c>
      <c r="H1645" s="1">
        <v>2</v>
      </c>
      <c r="I1645" s="1">
        <v>2</v>
      </c>
      <c r="J1645" s="1">
        <v>2</v>
      </c>
      <c r="K1645" s="1">
        <v>2</v>
      </c>
      <c r="M1645" s="4">
        <v>1279</v>
      </c>
      <c r="N1645" s="1">
        <v>1844</v>
      </c>
      <c r="O1645" s="1">
        <v>3851</v>
      </c>
      <c r="P1645" s="1">
        <v>2007</v>
      </c>
      <c r="Q1645" s="1" t="s">
        <v>42</v>
      </c>
      <c r="S1645" s="1" t="s">
        <v>42</v>
      </c>
      <c r="T1645" s="1" t="s">
        <v>170</v>
      </c>
      <c r="V1645" s="5">
        <v>44419</v>
      </c>
      <c r="W1645" s="5">
        <v>44074</v>
      </c>
      <c r="X1645" s="1">
        <v>3900000</v>
      </c>
      <c r="Y1645" s="1">
        <v>3900000</v>
      </c>
      <c r="Z1645" s="5">
        <v>44074</v>
      </c>
      <c r="AA1645" s="1">
        <v>3092500</v>
      </c>
      <c r="AB1645" s="1" t="s">
        <v>1304</v>
      </c>
      <c r="AC1645" s="5">
        <v>44358</v>
      </c>
      <c r="AF1645" s="1">
        <v>10016</v>
      </c>
      <c r="AI1645" s="1" t="s">
        <v>82</v>
      </c>
      <c r="AJ1645" s="1">
        <v>2019</v>
      </c>
      <c r="AK1645" s="1" t="s">
        <v>46</v>
      </c>
      <c r="AL1645" s="1">
        <v>130</v>
      </c>
    </row>
    <row r="1646" spans="1:38" x14ac:dyDescent="0.2">
      <c r="A1646" s="2" t="str">
        <f>HYPERLINK("https://www.compass.com/listing/277-5th-avenue-unit-41b-manhattan-ny-10016/165919695474587057/","277 5th Ave, Unit 41B")</f>
        <v>277 5th Ave, Unit 41B</v>
      </c>
      <c r="B1646" s="2" t="str">
        <f t="shared" si="275"/>
        <v>277 FIFTH AVENUE</v>
      </c>
      <c r="C1646" s="1" t="s">
        <v>81</v>
      </c>
      <c r="D1646" s="1" t="s">
        <v>41</v>
      </c>
      <c r="E1646" s="3">
        <v>3550000</v>
      </c>
      <c r="F1646" s="1">
        <v>2494.7294448348498</v>
      </c>
      <c r="G1646" s="1">
        <v>4</v>
      </c>
      <c r="H1646" s="1">
        <v>2</v>
      </c>
      <c r="I1646" s="1">
        <v>2</v>
      </c>
      <c r="J1646" s="1">
        <v>2</v>
      </c>
      <c r="K1646" s="1">
        <v>2</v>
      </c>
      <c r="M1646" s="4">
        <v>1423</v>
      </c>
      <c r="N1646" s="1">
        <v>2051</v>
      </c>
      <c r="O1646" s="1">
        <v>4284</v>
      </c>
      <c r="P1646" s="1">
        <v>2233</v>
      </c>
      <c r="Q1646" s="1" t="s">
        <v>42</v>
      </c>
      <c r="S1646" s="1" t="s">
        <v>42</v>
      </c>
      <c r="T1646" s="1" t="s">
        <v>170</v>
      </c>
      <c r="V1646" s="5">
        <v>44286</v>
      </c>
      <c r="W1646" s="5">
        <v>43480</v>
      </c>
      <c r="X1646" s="1">
        <v>4390000</v>
      </c>
      <c r="Y1646" s="1">
        <v>4390000</v>
      </c>
      <c r="Z1646" s="5">
        <v>44260</v>
      </c>
      <c r="AA1646" s="1">
        <v>3550000</v>
      </c>
      <c r="AB1646" s="1" t="s">
        <v>1305</v>
      </c>
      <c r="AC1646" s="5">
        <v>44285</v>
      </c>
      <c r="AF1646" s="1">
        <v>10016</v>
      </c>
      <c r="AI1646" s="1" t="s">
        <v>82</v>
      </c>
      <c r="AJ1646" s="1">
        <v>2019</v>
      </c>
      <c r="AK1646" s="1" t="s">
        <v>73</v>
      </c>
      <c r="AL1646" s="1">
        <v>130</v>
      </c>
    </row>
    <row r="1647" spans="1:38" x14ac:dyDescent="0.2">
      <c r="A1647" s="2" t="str">
        <f>HYPERLINK("https://www.compass.com/listing/277-5th-avenue-unit-15a-manhattan-ny-10016/634518182534853545/","277 5th Ave, Unit 15A")</f>
        <v>277 5th Ave, Unit 15A</v>
      </c>
      <c r="B1647" s="2" t="str">
        <f t="shared" si="275"/>
        <v>277 FIFTH AVENUE</v>
      </c>
      <c r="C1647" s="1" t="s">
        <v>81</v>
      </c>
      <c r="D1647" s="1" t="s">
        <v>41</v>
      </c>
      <c r="E1647" s="3">
        <v>2630000</v>
      </c>
      <c r="F1647" s="1">
        <v>1958.30230826507</v>
      </c>
      <c r="G1647" s="1">
        <v>4</v>
      </c>
      <c r="H1647" s="1">
        <v>2</v>
      </c>
      <c r="I1647" s="1">
        <v>2</v>
      </c>
      <c r="J1647" s="1">
        <v>2</v>
      </c>
      <c r="K1647" s="1">
        <v>2</v>
      </c>
      <c r="M1647" s="4">
        <v>1343</v>
      </c>
      <c r="N1647" s="1">
        <v>1976</v>
      </c>
      <c r="O1647" s="1">
        <v>3691</v>
      </c>
      <c r="P1647" s="1">
        <v>1715</v>
      </c>
      <c r="Q1647" s="1" t="s">
        <v>42</v>
      </c>
      <c r="S1647" s="1" t="s">
        <v>42</v>
      </c>
      <c r="T1647" s="1" t="s">
        <v>170</v>
      </c>
      <c r="U1647" s="1">
        <v>145</v>
      </c>
      <c r="V1647" s="5">
        <v>44323</v>
      </c>
      <c r="W1647" s="5">
        <v>44125</v>
      </c>
      <c r="X1647" s="1">
        <v>2995000</v>
      </c>
      <c r="Y1647" s="1">
        <v>2995000</v>
      </c>
      <c r="Z1647" s="5">
        <v>44271</v>
      </c>
      <c r="AA1647" s="1">
        <v>2630000</v>
      </c>
      <c r="AB1647" s="1" t="s">
        <v>1306</v>
      </c>
      <c r="AC1647" s="5">
        <v>44312</v>
      </c>
      <c r="AF1647" s="1">
        <v>10016</v>
      </c>
      <c r="AI1647" s="1" t="s">
        <v>82</v>
      </c>
      <c r="AJ1647" s="1">
        <v>2019</v>
      </c>
      <c r="AK1647" s="1" t="s">
        <v>46</v>
      </c>
      <c r="AL1647" s="1">
        <v>130</v>
      </c>
    </row>
    <row r="1648" spans="1:38" x14ac:dyDescent="0.2">
      <c r="A1648" s="2" t="str">
        <f>HYPERLINK("https://www.compass.com/listing/15-west-61st-street-unit-27c-manhattan-ny-10023/841525620047989473/","15 W 61st St, Unit 27C")</f>
        <v>15 W 61st St, Unit 27C</v>
      </c>
      <c r="B1648" s="2" t="str">
        <f t="shared" ref="B1648:B1650" si="276">HYPERLINK("https://www.compass.com/building/the-park-loggia-manhattan-ny/292861833130357557/","The Park Loggia")</f>
        <v>The Park Loggia</v>
      </c>
      <c r="C1648" s="1" t="s">
        <v>50</v>
      </c>
      <c r="D1648" s="1" t="s">
        <v>41</v>
      </c>
      <c r="E1648" s="3">
        <v>2062900</v>
      </c>
      <c r="F1648" s="1">
        <v>2467.5837320574101</v>
      </c>
      <c r="H1648" s="1">
        <v>1</v>
      </c>
      <c r="J1648" s="1">
        <v>1</v>
      </c>
      <c r="K1648" s="1">
        <v>1</v>
      </c>
      <c r="M1648" s="1">
        <v>836</v>
      </c>
      <c r="N1648" s="1">
        <v>836</v>
      </c>
      <c r="O1648" s="1">
        <v>1663</v>
      </c>
      <c r="P1648" s="1">
        <v>827</v>
      </c>
      <c r="Q1648" s="1" t="s">
        <v>42</v>
      </c>
      <c r="S1648" s="1" t="s">
        <v>42</v>
      </c>
      <c r="T1648" s="1" t="s">
        <v>170</v>
      </c>
      <c r="AA1648" s="1">
        <v>2062900</v>
      </c>
      <c r="AB1648" s="1" t="s">
        <v>1307</v>
      </c>
      <c r="AC1648" s="5">
        <v>44074</v>
      </c>
      <c r="AF1648" s="1">
        <v>10023</v>
      </c>
      <c r="AI1648" s="1" t="s">
        <v>76</v>
      </c>
      <c r="AJ1648" s="1">
        <v>2019</v>
      </c>
      <c r="AK1648" s="1" t="s">
        <v>49</v>
      </c>
      <c r="AL1648" s="1">
        <v>172</v>
      </c>
    </row>
    <row r="1649" spans="1:38" x14ac:dyDescent="0.2">
      <c r="A1649" s="2" t="str">
        <f>HYPERLINK("https://www.compass.com/listing/15-west-61st-street-unit-6i-manhattan-ny-10023/841526273612299977/","15 W 61st St, Unit 6I")</f>
        <v>15 W 61st St, Unit 6I</v>
      </c>
      <c r="B1649" s="2" t="str">
        <f t="shared" si="276"/>
        <v>The Park Loggia</v>
      </c>
      <c r="C1649" s="1" t="s">
        <v>50</v>
      </c>
      <c r="D1649" s="1" t="s">
        <v>41</v>
      </c>
      <c r="E1649" s="3">
        <v>1756661</v>
      </c>
      <c r="F1649" s="1">
        <v>2332.8827888446199</v>
      </c>
      <c r="H1649" s="1">
        <v>1</v>
      </c>
      <c r="J1649" s="1">
        <v>1</v>
      </c>
      <c r="K1649" s="1">
        <v>1</v>
      </c>
      <c r="M1649" s="1">
        <v>753</v>
      </c>
      <c r="N1649" s="1">
        <v>774</v>
      </c>
      <c r="O1649" s="1">
        <v>1519</v>
      </c>
      <c r="P1649" s="1">
        <v>745</v>
      </c>
      <c r="Q1649" s="1" t="s">
        <v>42</v>
      </c>
      <c r="S1649" s="1" t="s">
        <v>42</v>
      </c>
      <c r="T1649" s="1" t="s">
        <v>170</v>
      </c>
      <c r="AA1649" s="1">
        <v>1756660.74</v>
      </c>
      <c r="AB1649" s="1" t="s">
        <v>1308</v>
      </c>
      <c r="AC1649" s="5">
        <v>43924</v>
      </c>
      <c r="AF1649" s="1">
        <v>10023</v>
      </c>
      <c r="AI1649" s="1" t="s">
        <v>76</v>
      </c>
      <c r="AJ1649" s="1">
        <v>2019</v>
      </c>
      <c r="AK1649" s="1" t="s">
        <v>49</v>
      </c>
      <c r="AL1649" s="1">
        <v>172</v>
      </c>
    </row>
    <row r="1650" spans="1:38" x14ac:dyDescent="0.2">
      <c r="A1650" s="2" t="str">
        <f>HYPERLINK("https://www.compass.com/listing/15-west-61st-street-unit-10g-manhattan-ny-10023/841531513933219897/","15 W 61st St, Unit 10G")</f>
        <v>15 W 61st St, Unit 10G</v>
      </c>
      <c r="B1650" s="2" t="str">
        <f t="shared" si="276"/>
        <v>The Park Loggia</v>
      </c>
      <c r="C1650" s="1" t="s">
        <v>50</v>
      </c>
      <c r="D1650" s="1" t="s">
        <v>41</v>
      </c>
      <c r="E1650" s="3">
        <v>1628030</v>
      </c>
      <c r="F1650" s="1">
        <v>2493.1540735068902</v>
      </c>
      <c r="H1650" s="1">
        <v>1</v>
      </c>
      <c r="J1650" s="1">
        <v>1</v>
      </c>
      <c r="K1650" s="1">
        <v>1</v>
      </c>
      <c r="M1650" s="1">
        <v>653</v>
      </c>
      <c r="N1650" s="1">
        <v>672</v>
      </c>
      <c r="O1650" s="1">
        <v>1318</v>
      </c>
      <c r="P1650" s="1">
        <v>646</v>
      </c>
      <c r="Q1650" s="1" t="s">
        <v>42</v>
      </c>
      <c r="S1650" s="1" t="s">
        <v>42</v>
      </c>
      <c r="T1650" s="1" t="s">
        <v>170</v>
      </c>
      <c r="AA1650" s="1">
        <v>1628029.61</v>
      </c>
      <c r="AB1650" s="1" t="s">
        <v>1309</v>
      </c>
      <c r="AC1650" s="5">
        <v>43885</v>
      </c>
      <c r="AF1650" s="1">
        <v>10023</v>
      </c>
      <c r="AI1650" s="1" t="s">
        <v>76</v>
      </c>
      <c r="AJ1650" s="1">
        <v>2019</v>
      </c>
      <c r="AK1650" s="1" t="s">
        <v>49</v>
      </c>
      <c r="AL1650" s="1">
        <v>172</v>
      </c>
    </row>
    <row r="1651" spans="1:38" x14ac:dyDescent="0.2">
      <c r="A1651" s="2" t="str">
        <f>HYPERLINK("https://www.compass.com/listing/277-5th-avenue-unit-20d-manhattan-ny-10016/693833428488410185/","277 5th Ave, Unit 20D")</f>
        <v>277 5th Ave, Unit 20D</v>
      </c>
      <c r="B1651" s="2" t="str">
        <f t="shared" ref="B1651:B1663" si="277">HYPERLINK("https://www.compass.com/building/277-fifth-avenue-manhattan-ny/281939285475645317/","277 FIFTH AVENUE")</f>
        <v>277 FIFTH AVENUE</v>
      </c>
      <c r="C1651" s="1" t="s">
        <v>81</v>
      </c>
      <c r="D1651" s="1" t="s">
        <v>41</v>
      </c>
      <c r="E1651" s="3">
        <v>2902183</v>
      </c>
      <c r="F1651" s="1">
        <v>2113.75310269482</v>
      </c>
      <c r="G1651" s="1">
        <v>4</v>
      </c>
      <c r="H1651" s="1">
        <v>2</v>
      </c>
      <c r="I1651" s="1">
        <v>2</v>
      </c>
      <c r="J1651" s="1">
        <v>2</v>
      </c>
      <c r="K1651" s="1">
        <v>2</v>
      </c>
      <c r="M1651" s="4">
        <v>1373</v>
      </c>
      <c r="N1651" s="1">
        <v>1980</v>
      </c>
      <c r="O1651" s="1">
        <v>3733</v>
      </c>
      <c r="P1651" s="1">
        <v>1753</v>
      </c>
      <c r="Q1651" s="1" t="s">
        <v>42</v>
      </c>
      <c r="S1651" s="1" t="s">
        <v>42</v>
      </c>
      <c r="T1651" s="1" t="s">
        <v>170</v>
      </c>
      <c r="U1651" s="1">
        <v>96</v>
      </c>
      <c r="V1651" s="5">
        <v>44424</v>
      </c>
      <c r="W1651" s="5">
        <v>44208</v>
      </c>
      <c r="X1651" s="1">
        <v>2900000</v>
      </c>
      <c r="Y1651" s="1">
        <v>2900000</v>
      </c>
      <c r="Z1651" s="5">
        <v>44305</v>
      </c>
      <c r="AA1651" s="1">
        <v>2902183.01</v>
      </c>
      <c r="AB1651" s="1" t="s">
        <v>1287</v>
      </c>
      <c r="AC1651" s="5">
        <v>44333</v>
      </c>
      <c r="AF1651" s="1">
        <v>10016</v>
      </c>
      <c r="AI1651" s="1" t="s">
        <v>82</v>
      </c>
      <c r="AJ1651" s="1">
        <v>2019</v>
      </c>
      <c r="AK1651" s="1" t="s">
        <v>46</v>
      </c>
      <c r="AL1651" s="1">
        <v>130</v>
      </c>
    </row>
    <row r="1652" spans="1:38" x14ac:dyDescent="0.2">
      <c r="A1652" s="2" t="str">
        <f>HYPERLINK("https://www.compass.com/listing/277-5th-avenue-unit-23d-manhattan-ny-10016/480871177398088329/","277 5th Ave, Unit 23D")</f>
        <v>277 5th Ave, Unit 23D</v>
      </c>
      <c r="B1652" s="2" t="str">
        <f t="shared" si="277"/>
        <v>277 FIFTH AVENUE</v>
      </c>
      <c r="C1652" s="1" t="s">
        <v>81</v>
      </c>
      <c r="D1652" s="1" t="s">
        <v>41</v>
      </c>
      <c r="E1652" s="3">
        <v>3267183</v>
      </c>
      <c r="F1652" s="1">
        <v>2379.5943335761099</v>
      </c>
      <c r="H1652" s="1">
        <v>2</v>
      </c>
      <c r="J1652" s="1">
        <v>2</v>
      </c>
      <c r="K1652" s="1">
        <v>2</v>
      </c>
      <c r="M1652" s="4">
        <v>1373</v>
      </c>
      <c r="N1652" s="1">
        <v>1980</v>
      </c>
      <c r="O1652" s="1">
        <v>4135</v>
      </c>
      <c r="P1652" s="1">
        <v>2155</v>
      </c>
      <c r="Q1652" s="1" t="s">
        <v>42</v>
      </c>
      <c r="S1652" s="1" t="s">
        <v>42</v>
      </c>
      <c r="T1652" s="1" t="s">
        <v>170</v>
      </c>
      <c r="AA1652" s="1">
        <v>3267183.02</v>
      </c>
      <c r="AB1652" s="1" t="s">
        <v>1310</v>
      </c>
      <c r="AC1652" s="5">
        <v>43781</v>
      </c>
      <c r="AF1652" s="1">
        <v>10016</v>
      </c>
      <c r="AI1652" s="1" t="s">
        <v>82</v>
      </c>
      <c r="AJ1652" s="1">
        <v>2019</v>
      </c>
      <c r="AK1652" s="1" t="s">
        <v>46</v>
      </c>
      <c r="AL1652" s="1">
        <v>130</v>
      </c>
    </row>
    <row r="1653" spans="1:38" x14ac:dyDescent="0.2">
      <c r="A1653" s="2" t="str">
        <f>HYPERLINK("https://www.compass.com/listing/277-5th-avenue-unit-12d-manhattan-ny-10016/837410561086366881/","277 5th Ave, Unit 12D")</f>
        <v>277 5th Ave, Unit 12D</v>
      </c>
      <c r="B1653" s="2" t="str">
        <f t="shared" si="277"/>
        <v>277 FIFTH AVENUE</v>
      </c>
      <c r="C1653" s="1" t="s">
        <v>81</v>
      </c>
      <c r="D1653" s="1" t="s">
        <v>41</v>
      </c>
      <c r="E1653" s="3">
        <v>2750000</v>
      </c>
      <c r="F1653" s="1">
        <v>2002.9133284777799</v>
      </c>
      <c r="H1653" s="1">
        <v>2</v>
      </c>
      <c r="J1653" s="1">
        <v>2</v>
      </c>
      <c r="K1653" s="1">
        <v>2</v>
      </c>
      <c r="M1653" s="4">
        <v>1373</v>
      </c>
      <c r="N1653" s="1">
        <v>1980</v>
      </c>
      <c r="O1653" s="1">
        <v>3733</v>
      </c>
      <c r="P1653" s="1">
        <v>1753</v>
      </c>
      <c r="Q1653" s="1" t="s">
        <v>42</v>
      </c>
      <c r="S1653" s="1" t="s">
        <v>42</v>
      </c>
      <c r="T1653" s="1" t="s">
        <v>170</v>
      </c>
      <c r="AA1653" s="1">
        <v>2750000</v>
      </c>
      <c r="AB1653" s="1" t="s">
        <v>1311</v>
      </c>
      <c r="AC1653" s="5">
        <v>44377</v>
      </c>
      <c r="AF1653" s="1">
        <v>10016</v>
      </c>
      <c r="AI1653" s="1" t="s">
        <v>82</v>
      </c>
      <c r="AJ1653" s="1">
        <v>2019</v>
      </c>
      <c r="AK1653" s="1" t="s">
        <v>46</v>
      </c>
      <c r="AL1653" s="1">
        <v>130</v>
      </c>
    </row>
    <row r="1654" spans="1:38" x14ac:dyDescent="0.2">
      <c r="A1654" s="2" t="str">
        <f>HYPERLINK("https://www.compass.com/listing/277-5th-avenue-unit-35b-manhattan-ny-10016/841485510580567681/","277 5th Ave, Unit 35B")</f>
        <v>277 5th Ave, Unit 35B</v>
      </c>
      <c r="B1654" s="2" t="str">
        <f t="shared" si="277"/>
        <v>277 FIFTH AVENUE</v>
      </c>
      <c r="C1654" s="1" t="s">
        <v>81</v>
      </c>
      <c r="D1654" s="1" t="s">
        <v>41</v>
      </c>
      <c r="E1654" s="3">
        <v>3120000</v>
      </c>
      <c r="F1654" s="1">
        <v>2439.40578577013</v>
      </c>
      <c r="H1654" s="1">
        <v>2</v>
      </c>
      <c r="J1654" s="1">
        <v>2</v>
      </c>
      <c r="K1654" s="1">
        <v>2</v>
      </c>
      <c r="M1654" s="4">
        <v>1279</v>
      </c>
      <c r="N1654" s="1">
        <v>1844</v>
      </c>
      <c r="O1654" s="1">
        <v>3851</v>
      </c>
      <c r="P1654" s="1">
        <v>2007</v>
      </c>
      <c r="Q1654" s="1" t="s">
        <v>42</v>
      </c>
      <c r="S1654" s="1" t="s">
        <v>42</v>
      </c>
      <c r="T1654" s="1" t="s">
        <v>170</v>
      </c>
      <c r="AA1654" s="1">
        <v>3120000</v>
      </c>
      <c r="AB1654" s="1" t="s">
        <v>1312</v>
      </c>
      <c r="AC1654" s="5">
        <v>44344</v>
      </c>
      <c r="AF1654" s="1">
        <v>10016</v>
      </c>
      <c r="AI1654" s="1" t="s">
        <v>82</v>
      </c>
      <c r="AJ1654" s="1">
        <v>2019</v>
      </c>
      <c r="AK1654" s="1" t="s">
        <v>46</v>
      </c>
      <c r="AL1654" s="1">
        <v>130</v>
      </c>
    </row>
    <row r="1655" spans="1:38" x14ac:dyDescent="0.2">
      <c r="A1655" s="2" t="str">
        <f>HYPERLINK("https://www.compass.com/listing/277-5th-avenue-unit-30a-manhattan-ny-10016/841559201969063201/","277 5th Ave, Unit 30A")</f>
        <v>277 5th Ave, Unit 30A</v>
      </c>
      <c r="B1655" s="2" t="str">
        <f t="shared" si="277"/>
        <v>277 FIFTH AVENUE</v>
      </c>
      <c r="C1655" s="1" t="s">
        <v>81</v>
      </c>
      <c r="D1655" s="1" t="s">
        <v>41</v>
      </c>
      <c r="E1655" s="3">
        <v>3213100</v>
      </c>
      <c r="F1655" s="1">
        <v>2392.4795234549501</v>
      </c>
      <c r="H1655" s="1">
        <v>2</v>
      </c>
      <c r="J1655" s="1">
        <v>2</v>
      </c>
      <c r="K1655" s="1">
        <v>2</v>
      </c>
      <c r="M1655" s="4">
        <v>1343</v>
      </c>
      <c r="N1655" s="1">
        <v>1935</v>
      </c>
      <c r="O1655" s="1">
        <v>3650</v>
      </c>
      <c r="P1655" s="1">
        <v>1715</v>
      </c>
      <c r="Q1655" s="1" t="s">
        <v>42</v>
      </c>
      <c r="S1655" s="1" t="s">
        <v>42</v>
      </c>
      <c r="T1655" s="1" t="s">
        <v>170</v>
      </c>
      <c r="AA1655" s="1">
        <v>3213100</v>
      </c>
      <c r="AB1655" s="1" t="s">
        <v>1313</v>
      </c>
      <c r="AC1655" s="5">
        <v>44286</v>
      </c>
      <c r="AF1655" s="1">
        <v>10016</v>
      </c>
      <c r="AI1655" s="1" t="s">
        <v>82</v>
      </c>
      <c r="AJ1655" s="1">
        <v>2019</v>
      </c>
      <c r="AK1655" s="1" t="s">
        <v>46</v>
      </c>
      <c r="AL1655" s="1">
        <v>130</v>
      </c>
    </row>
    <row r="1656" spans="1:38" x14ac:dyDescent="0.2">
      <c r="A1656" s="2" t="str">
        <f>HYPERLINK("https://www.compass.com/listing/277-5th-avenue-unit-43a-manhattan-ny-10016/545391386764158721/","277 5th Ave, Unit 43A")</f>
        <v>277 5th Ave, Unit 43A</v>
      </c>
      <c r="B1656" s="2" t="str">
        <f t="shared" si="277"/>
        <v>277 FIFTH AVENUE</v>
      </c>
      <c r="C1656" s="1" t="s">
        <v>81</v>
      </c>
      <c r="D1656" s="1" t="s">
        <v>41</v>
      </c>
      <c r="E1656" s="3">
        <v>3900000</v>
      </c>
      <c r="F1656" s="1">
        <v>2509.6525096525002</v>
      </c>
      <c r="G1656" s="1">
        <v>4</v>
      </c>
      <c r="H1656" s="1">
        <v>2</v>
      </c>
      <c r="I1656" s="1">
        <v>2</v>
      </c>
      <c r="J1656" s="1">
        <v>2</v>
      </c>
      <c r="K1656" s="1">
        <v>2</v>
      </c>
      <c r="M1656" s="4">
        <v>1554</v>
      </c>
      <c r="N1656" s="1">
        <v>2241</v>
      </c>
      <c r="O1656" s="1">
        <v>4226</v>
      </c>
      <c r="P1656" s="1">
        <v>1985</v>
      </c>
      <c r="Q1656" s="1" t="s">
        <v>42</v>
      </c>
      <c r="S1656" s="1" t="s">
        <v>42</v>
      </c>
      <c r="T1656" s="1" t="s">
        <v>170</v>
      </c>
      <c r="U1656" s="1">
        <v>102</v>
      </c>
      <c r="V1656" s="5">
        <v>44224</v>
      </c>
      <c r="W1656" s="5">
        <v>44011</v>
      </c>
      <c r="X1656" s="1">
        <v>4470000</v>
      </c>
      <c r="Y1656" s="1">
        <v>4470000</v>
      </c>
      <c r="Z1656" s="5">
        <v>44147</v>
      </c>
      <c r="AA1656" s="1">
        <v>3900000</v>
      </c>
      <c r="AB1656" s="1" t="s">
        <v>1314</v>
      </c>
      <c r="AC1656" s="5">
        <v>44218</v>
      </c>
      <c r="AF1656" s="1">
        <v>10016</v>
      </c>
      <c r="AI1656" s="1" t="s">
        <v>53</v>
      </c>
      <c r="AJ1656" s="1">
        <v>2019</v>
      </c>
      <c r="AK1656" s="1" t="s">
        <v>73</v>
      </c>
      <c r="AL1656" s="1">
        <v>130</v>
      </c>
    </row>
    <row r="1657" spans="1:38" x14ac:dyDescent="0.2">
      <c r="A1657" s="2" t="str">
        <f>HYPERLINK("https://www.compass.com/listing/277-5th-avenue-unit-14d-manhattan-ny-10016/339120215534730897/","277 5th Ave, Unit 14D")</f>
        <v>277 5th Ave, Unit 14D</v>
      </c>
      <c r="B1657" s="2" t="str">
        <f t="shared" si="277"/>
        <v>277 FIFTH AVENUE</v>
      </c>
      <c r="C1657" s="1" t="s">
        <v>81</v>
      </c>
      <c r="D1657" s="1" t="s">
        <v>41</v>
      </c>
      <c r="E1657" s="3">
        <v>2892183</v>
      </c>
      <c r="F1657" s="1">
        <v>2106.4697960670001</v>
      </c>
      <c r="G1657" s="1">
        <v>4</v>
      </c>
      <c r="H1657" s="1">
        <v>2</v>
      </c>
      <c r="J1657" s="1">
        <v>2</v>
      </c>
      <c r="M1657" s="4">
        <v>1373</v>
      </c>
      <c r="N1657" s="1">
        <v>1980</v>
      </c>
      <c r="O1657" s="1">
        <v>4135</v>
      </c>
      <c r="P1657" s="1">
        <v>2155</v>
      </c>
      <c r="Q1657" s="1" t="s">
        <v>42</v>
      </c>
      <c r="S1657" s="1" t="s">
        <v>42</v>
      </c>
      <c r="T1657" s="1" t="s">
        <v>170</v>
      </c>
      <c r="V1657" s="5">
        <v>44247</v>
      </c>
      <c r="AA1657" s="1">
        <v>2892183.03</v>
      </c>
      <c r="AB1657" s="1" t="s">
        <v>1266</v>
      </c>
      <c r="AC1657" s="5">
        <v>43705</v>
      </c>
      <c r="AF1657" s="1">
        <v>10016</v>
      </c>
      <c r="AI1657" s="1" t="s">
        <v>82</v>
      </c>
      <c r="AJ1657" s="1">
        <v>2019</v>
      </c>
      <c r="AK1657" s="1" t="s">
        <v>73</v>
      </c>
      <c r="AL1657" s="1">
        <v>130</v>
      </c>
    </row>
    <row r="1658" spans="1:38" x14ac:dyDescent="0.2">
      <c r="A1658" s="2" t="str">
        <f>HYPERLINK("https://www.compass.com/listing/277-5th-avenue-unit-38a-manhattan-ny-10016/700956806970929521/","277 5th Ave, Unit 38A")</f>
        <v>277 5th Ave, Unit 38A</v>
      </c>
      <c r="B1658" s="2" t="str">
        <f t="shared" si="277"/>
        <v>277 FIFTH AVENUE</v>
      </c>
      <c r="C1658" s="1" t="s">
        <v>81</v>
      </c>
      <c r="D1658" s="1" t="s">
        <v>41</v>
      </c>
      <c r="E1658" s="3">
        <v>4500000</v>
      </c>
      <c r="F1658" s="1">
        <v>2522.42152466367</v>
      </c>
      <c r="G1658" s="1">
        <v>5</v>
      </c>
      <c r="H1658" s="1">
        <v>3</v>
      </c>
      <c r="I1658" s="1">
        <v>3</v>
      </c>
      <c r="J1658" s="1">
        <v>3</v>
      </c>
      <c r="K1658" s="1">
        <v>3</v>
      </c>
      <c r="M1658" s="4">
        <v>1784</v>
      </c>
      <c r="N1658" s="1">
        <v>2572</v>
      </c>
      <c r="O1658" s="1">
        <v>4850</v>
      </c>
      <c r="P1658" s="1">
        <v>2278</v>
      </c>
      <c r="Q1658" s="1" t="s">
        <v>42</v>
      </c>
      <c r="S1658" s="1" t="s">
        <v>42</v>
      </c>
      <c r="T1658" s="1" t="s">
        <v>170</v>
      </c>
      <c r="U1658" s="1">
        <v>53</v>
      </c>
      <c r="V1658" s="5">
        <v>44421</v>
      </c>
      <c r="W1658" s="5">
        <v>44218</v>
      </c>
      <c r="X1658" s="1">
        <v>4710000</v>
      </c>
      <c r="Y1658" s="1">
        <v>4710000</v>
      </c>
      <c r="Z1658" s="5">
        <v>44272</v>
      </c>
      <c r="AA1658" s="1">
        <v>4500000</v>
      </c>
      <c r="AB1658" s="1" t="s">
        <v>1315</v>
      </c>
      <c r="AC1658" s="5">
        <v>44291</v>
      </c>
      <c r="AF1658" s="1">
        <v>10016</v>
      </c>
      <c r="AI1658" s="1" t="s">
        <v>82</v>
      </c>
      <c r="AJ1658" s="1">
        <v>2019</v>
      </c>
      <c r="AK1658" s="1" t="s">
        <v>46</v>
      </c>
      <c r="AL1658" s="1">
        <v>130</v>
      </c>
    </row>
    <row r="1659" spans="1:38" x14ac:dyDescent="0.2">
      <c r="A1659" s="2" t="str">
        <f>HYPERLINK("https://www.compass.com/listing/277-5th-avenue-unit-41a-manhattan-ny-10016/364473352640509745/","277 5th Ave, Unit 41A")</f>
        <v>277 5th Ave, Unit 41A</v>
      </c>
      <c r="B1659" s="2" t="str">
        <f t="shared" si="277"/>
        <v>277 FIFTH AVENUE</v>
      </c>
      <c r="C1659" s="1" t="s">
        <v>81</v>
      </c>
      <c r="D1659" s="1" t="s">
        <v>41</v>
      </c>
      <c r="E1659" s="3">
        <v>3850000</v>
      </c>
      <c r="F1659" s="1">
        <v>2477.4774774774701</v>
      </c>
      <c r="G1659" s="1">
        <v>4</v>
      </c>
      <c r="H1659" s="1">
        <v>2</v>
      </c>
      <c r="I1659" s="1">
        <v>2</v>
      </c>
      <c r="J1659" s="1">
        <v>2</v>
      </c>
      <c r="K1659" s="1">
        <v>2</v>
      </c>
      <c r="M1659" s="4">
        <v>1554</v>
      </c>
      <c r="N1659" s="1">
        <v>2241</v>
      </c>
      <c r="O1659" s="1">
        <v>4680</v>
      </c>
      <c r="P1659" s="1">
        <v>2439</v>
      </c>
      <c r="Q1659" s="1" t="s">
        <v>42</v>
      </c>
      <c r="S1659" s="1" t="s">
        <v>42</v>
      </c>
      <c r="T1659" s="1" t="s">
        <v>170</v>
      </c>
      <c r="V1659" s="5">
        <v>44414</v>
      </c>
      <c r="W1659" s="5">
        <v>43754</v>
      </c>
      <c r="X1659" s="1">
        <v>4400000</v>
      </c>
      <c r="Y1659" s="1">
        <v>4400000</v>
      </c>
      <c r="Z1659" s="5">
        <v>44280</v>
      </c>
      <c r="AA1659" s="1">
        <v>3850000</v>
      </c>
      <c r="AB1659" s="1" t="s">
        <v>1316</v>
      </c>
      <c r="AC1659" s="5">
        <v>44314</v>
      </c>
      <c r="AF1659" s="1">
        <v>10016</v>
      </c>
      <c r="AI1659" s="1" t="s">
        <v>82</v>
      </c>
      <c r="AJ1659" s="1">
        <v>2019</v>
      </c>
      <c r="AK1659" s="1" t="s">
        <v>46</v>
      </c>
      <c r="AL1659" s="1">
        <v>130</v>
      </c>
    </row>
    <row r="1660" spans="1:38" x14ac:dyDescent="0.2">
      <c r="A1660" s="2" t="str">
        <f>HYPERLINK("https://www.compass.com/listing/277-5th-avenue-unit-33a-manhattan-ny-10016/426117414622808081/","277 5th Ave, Unit 33A")</f>
        <v>277 5th Ave, Unit 33A</v>
      </c>
      <c r="B1660" s="2" t="str">
        <f t="shared" si="277"/>
        <v>277 FIFTH AVENUE</v>
      </c>
      <c r="C1660" s="1" t="s">
        <v>81</v>
      </c>
      <c r="D1660" s="1" t="s">
        <v>41</v>
      </c>
      <c r="E1660" s="3">
        <v>4450000</v>
      </c>
      <c r="F1660" s="1">
        <v>2494.3946188340801</v>
      </c>
      <c r="G1660" s="1">
        <v>5</v>
      </c>
      <c r="H1660" s="1">
        <v>3</v>
      </c>
      <c r="I1660" s="1">
        <v>3</v>
      </c>
      <c r="J1660" s="1">
        <v>3</v>
      </c>
      <c r="K1660" s="1">
        <v>3</v>
      </c>
      <c r="M1660" s="4">
        <v>1784</v>
      </c>
      <c r="N1660" s="1">
        <v>2572</v>
      </c>
      <c r="O1660" s="1">
        <v>5372</v>
      </c>
      <c r="P1660" s="1">
        <v>2800</v>
      </c>
      <c r="Q1660" s="1" t="s">
        <v>42</v>
      </c>
      <c r="S1660" s="1" t="s">
        <v>42</v>
      </c>
      <c r="T1660" s="1" t="s">
        <v>170</v>
      </c>
      <c r="U1660" s="1">
        <v>60</v>
      </c>
      <c r="V1660" s="5">
        <v>43929</v>
      </c>
      <c r="W1660" s="5">
        <v>43839</v>
      </c>
      <c r="X1660" s="1">
        <v>4725000</v>
      </c>
      <c r="Y1660" s="1">
        <v>4465000</v>
      </c>
      <c r="Z1660" s="5">
        <v>43900</v>
      </c>
      <c r="AA1660" s="1">
        <v>4450000</v>
      </c>
      <c r="AB1660" s="1" t="s">
        <v>1317</v>
      </c>
      <c r="AC1660" s="5">
        <v>43921</v>
      </c>
      <c r="AF1660" s="1">
        <v>10016</v>
      </c>
      <c r="AI1660" s="1" t="s">
        <v>82</v>
      </c>
      <c r="AJ1660" s="1">
        <v>2019</v>
      </c>
      <c r="AK1660" s="1" t="s">
        <v>73</v>
      </c>
      <c r="AL1660" s="1">
        <v>130</v>
      </c>
    </row>
    <row r="1661" spans="1:38" x14ac:dyDescent="0.2">
      <c r="A1661" s="2" t="str">
        <f>HYPERLINK("https://www.compass.com/listing/277-5th-avenue-unit-46a-manhattan-ny-10016/784710251377289689/","277 5th Ave, Unit 46A")</f>
        <v>277 5th Ave, Unit 46A</v>
      </c>
      <c r="B1661" s="2" t="str">
        <f t="shared" si="277"/>
        <v>277 FIFTH AVENUE</v>
      </c>
      <c r="C1661" s="1" t="s">
        <v>81</v>
      </c>
      <c r="D1661" s="1" t="s">
        <v>41</v>
      </c>
      <c r="E1661" s="3">
        <v>5200000</v>
      </c>
      <c r="F1661" s="1">
        <v>2646.3104325699701</v>
      </c>
      <c r="G1661" s="1">
        <v>4</v>
      </c>
      <c r="H1661" s="1">
        <v>2</v>
      </c>
      <c r="I1661" s="1">
        <v>3</v>
      </c>
      <c r="J1661" s="1">
        <v>2.5</v>
      </c>
      <c r="K1661" s="1">
        <v>2</v>
      </c>
      <c r="L1661" s="1">
        <v>1</v>
      </c>
      <c r="M1661" s="4">
        <v>1965</v>
      </c>
      <c r="N1661" s="1">
        <v>2833.16</v>
      </c>
      <c r="O1661" s="1">
        <v>5342.16</v>
      </c>
      <c r="P1661" s="1">
        <v>2509</v>
      </c>
      <c r="Q1661" s="1" t="s">
        <v>42</v>
      </c>
      <c r="S1661" s="1" t="s">
        <v>42</v>
      </c>
      <c r="T1661" s="1" t="s">
        <v>170</v>
      </c>
      <c r="U1661" s="1">
        <v>158</v>
      </c>
      <c r="V1661" s="5">
        <v>44132</v>
      </c>
      <c r="W1661" s="5">
        <v>43839</v>
      </c>
      <c r="X1661" s="1">
        <v>6700000</v>
      </c>
      <c r="Y1661" s="1">
        <v>6100000</v>
      </c>
      <c r="Z1661" s="5">
        <v>44092</v>
      </c>
      <c r="AA1661" s="1">
        <v>5200000</v>
      </c>
      <c r="AB1661" s="1" t="s">
        <v>1290</v>
      </c>
      <c r="AC1661" s="5">
        <v>44120</v>
      </c>
      <c r="AF1661" s="1">
        <v>10016</v>
      </c>
      <c r="AI1661" s="1" t="s">
        <v>114</v>
      </c>
      <c r="AJ1661" s="1">
        <v>2019</v>
      </c>
      <c r="AK1661" s="1" t="s">
        <v>73</v>
      </c>
      <c r="AL1661" s="1">
        <v>130</v>
      </c>
    </row>
    <row r="1662" spans="1:38" x14ac:dyDescent="0.2">
      <c r="A1662" s="2" t="str">
        <f>HYPERLINK("https://www.compass.com/listing/277-5th-avenue-unit-34a-manhattan-ny-10016/624059155613305721/","277 5th Ave, Unit 34A")</f>
        <v>277 5th Ave, Unit 34A</v>
      </c>
      <c r="B1662" s="2" t="str">
        <f t="shared" si="277"/>
        <v>277 FIFTH AVENUE</v>
      </c>
      <c r="C1662" s="1" t="s">
        <v>81</v>
      </c>
      <c r="D1662" s="1" t="s">
        <v>41</v>
      </c>
      <c r="E1662" s="3">
        <v>4275000</v>
      </c>
      <c r="F1662" s="1">
        <v>2396.3004484304902</v>
      </c>
      <c r="G1662" s="1">
        <v>5</v>
      </c>
      <c r="H1662" s="1">
        <v>3</v>
      </c>
      <c r="I1662" s="1">
        <v>3</v>
      </c>
      <c r="J1662" s="1">
        <v>3</v>
      </c>
      <c r="K1662" s="1">
        <v>3</v>
      </c>
      <c r="M1662" s="4">
        <v>1784</v>
      </c>
      <c r="N1662" s="1">
        <v>2572</v>
      </c>
      <c r="O1662" s="1">
        <v>4924</v>
      </c>
      <c r="P1662" s="1">
        <v>2352</v>
      </c>
      <c r="Q1662" s="1" t="s">
        <v>42</v>
      </c>
      <c r="S1662" s="1" t="s">
        <v>42</v>
      </c>
      <c r="T1662" s="1" t="s">
        <v>170</v>
      </c>
      <c r="U1662" s="1">
        <v>209</v>
      </c>
      <c r="V1662" s="5">
        <v>44419</v>
      </c>
      <c r="W1662" s="5">
        <v>44112</v>
      </c>
      <c r="X1662" s="1">
        <v>4510000</v>
      </c>
      <c r="Y1662" s="1">
        <v>4510000</v>
      </c>
      <c r="Z1662" s="5">
        <v>44385</v>
      </c>
      <c r="AA1662" s="1">
        <v>4275000</v>
      </c>
      <c r="AB1662" s="1" t="s">
        <v>181</v>
      </c>
      <c r="AC1662" s="5">
        <v>44410</v>
      </c>
      <c r="AF1662" s="1">
        <v>10016</v>
      </c>
      <c r="AI1662" s="1" t="s">
        <v>82</v>
      </c>
      <c r="AJ1662" s="1">
        <v>2019</v>
      </c>
      <c r="AK1662" s="1" t="s">
        <v>46</v>
      </c>
      <c r="AL1662" s="1">
        <v>130</v>
      </c>
    </row>
    <row r="1663" spans="1:38" x14ac:dyDescent="0.2">
      <c r="A1663" s="2" t="str">
        <f>HYPERLINK("https://www.compass.com/listing/277-5th-avenue-unit-33a-manhattan-ny-10016/23954486900888305/","277 5th Ave, Unit 33A")</f>
        <v>277 5th Ave, Unit 33A</v>
      </c>
      <c r="B1663" s="2" t="str">
        <f t="shared" si="277"/>
        <v>277 FIFTH AVENUE</v>
      </c>
      <c r="C1663" s="1" t="s">
        <v>81</v>
      </c>
      <c r="D1663" s="1" t="s">
        <v>41</v>
      </c>
      <c r="E1663" s="3">
        <v>4450000</v>
      </c>
      <c r="F1663" s="1">
        <v>2494.3946188340801</v>
      </c>
      <c r="G1663" s="1">
        <v>5</v>
      </c>
      <c r="H1663" s="1">
        <v>3</v>
      </c>
      <c r="I1663" s="1">
        <v>3</v>
      </c>
      <c r="J1663" s="1">
        <v>3</v>
      </c>
      <c r="K1663" s="1">
        <v>3</v>
      </c>
      <c r="M1663" s="4">
        <v>1784</v>
      </c>
      <c r="N1663" s="1">
        <v>2572</v>
      </c>
      <c r="O1663" s="1">
        <v>5372</v>
      </c>
      <c r="P1663" s="1">
        <v>2800</v>
      </c>
      <c r="Q1663" s="1" t="s">
        <v>42</v>
      </c>
      <c r="S1663" s="1" t="s">
        <v>42</v>
      </c>
      <c r="T1663" s="1" t="s">
        <v>170</v>
      </c>
      <c r="U1663" s="1">
        <v>300</v>
      </c>
      <c r="V1663" s="5">
        <v>43837</v>
      </c>
      <c r="W1663" s="5">
        <v>43536</v>
      </c>
      <c r="X1663" s="1">
        <v>4725000</v>
      </c>
      <c r="Y1663" s="1">
        <v>4725000</v>
      </c>
      <c r="AA1663" s="1">
        <v>4450000</v>
      </c>
      <c r="AB1663" s="1" t="s">
        <v>1317</v>
      </c>
      <c r="AC1663" s="5">
        <v>43921</v>
      </c>
      <c r="AF1663" s="1">
        <v>10016</v>
      </c>
      <c r="AI1663" s="1" t="s">
        <v>53</v>
      </c>
      <c r="AJ1663" s="1">
        <v>2019</v>
      </c>
      <c r="AK1663" s="1" t="s">
        <v>73</v>
      </c>
      <c r="AL1663" s="1">
        <v>130</v>
      </c>
    </row>
    <row r="1664" spans="1:38" x14ac:dyDescent="0.2">
      <c r="A1664" s="2" t="str">
        <f>HYPERLINK("https://www.compass.com/listing/15-west-61st-street-unit-14d-manhattan-ny-10023/841759996848655089/","15 W 61st St, Unit 14D")</f>
        <v>15 W 61st St, Unit 14D</v>
      </c>
      <c r="B1664" s="2" t="str">
        <f t="shared" ref="B1664:B1671" si="278">HYPERLINK("https://www.compass.com/building/the-park-loggia-manhattan-ny/292861833130357557/","The Park Loggia")</f>
        <v>The Park Loggia</v>
      </c>
      <c r="C1664" s="1" t="s">
        <v>50</v>
      </c>
      <c r="D1664" s="1" t="s">
        <v>41</v>
      </c>
      <c r="E1664" s="3">
        <v>1570000</v>
      </c>
      <c r="F1664" s="1">
        <v>2350.2994011976002</v>
      </c>
      <c r="M1664" s="1">
        <v>668</v>
      </c>
      <c r="Q1664" s="1" t="s">
        <v>42</v>
      </c>
      <c r="S1664" s="1" t="s">
        <v>42</v>
      </c>
      <c r="T1664" s="1" t="s">
        <v>170</v>
      </c>
      <c r="AA1664" s="1">
        <v>1570000</v>
      </c>
      <c r="AB1664" s="1" t="s">
        <v>1318</v>
      </c>
      <c r="AC1664" s="5">
        <v>44400</v>
      </c>
      <c r="AF1664" s="1">
        <v>10023</v>
      </c>
      <c r="AI1664" s="1" t="s">
        <v>76</v>
      </c>
      <c r="AJ1664" s="1">
        <v>2019</v>
      </c>
      <c r="AK1664" s="1" t="s">
        <v>49</v>
      </c>
      <c r="AL1664" s="1">
        <v>172</v>
      </c>
    </row>
    <row r="1665" spans="1:38" x14ac:dyDescent="0.2">
      <c r="A1665" s="2" t="str">
        <f>HYPERLINK("https://www.compass.com/listing/15-west-61st-street-unit-26b-manhattan-ny-10023/812054300471610217/","15 W 61st St, Unit 26B")</f>
        <v>15 W 61st St, Unit 26B</v>
      </c>
      <c r="B1665" s="2" t="str">
        <f t="shared" si="278"/>
        <v>The Park Loggia</v>
      </c>
      <c r="C1665" s="1" t="s">
        <v>50</v>
      </c>
      <c r="D1665" s="1" t="s">
        <v>41</v>
      </c>
      <c r="E1665" s="3">
        <v>3260000</v>
      </c>
      <c r="F1665" s="1">
        <v>2822.5108225108202</v>
      </c>
      <c r="H1665" s="1">
        <v>2</v>
      </c>
      <c r="J1665" s="1">
        <v>2</v>
      </c>
      <c r="K1665" s="1">
        <v>2</v>
      </c>
      <c r="M1665" s="4">
        <v>1155</v>
      </c>
      <c r="N1665" s="1">
        <v>1193</v>
      </c>
      <c r="O1665" s="1">
        <v>2373</v>
      </c>
      <c r="P1665" s="1">
        <v>1180</v>
      </c>
      <c r="Q1665" s="1" t="s">
        <v>42</v>
      </c>
      <c r="S1665" s="1" t="s">
        <v>42</v>
      </c>
      <c r="T1665" s="1" t="s">
        <v>170</v>
      </c>
      <c r="AA1665" s="1">
        <v>3260000</v>
      </c>
      <c r="AB1665" s="1" t="s">
        <v>1319</v>
      </c>
      <c r="AC1665" s="5">
        <v>44337</v>
      </c>
      <c r="AF1665" s="1">
        <v>10023</v>
      </c>
      <c r="AI1665" s="1" t="s">
        <v>76</v>
      </c>
      <c r="AJ1665" s="1">
        <v>2019</v>
      </c>
      <c r="AK1665" s="1" t="s">
        <v>49</v>
      </c>
      <c r="AL1665" s="1">
        <v>172</v>
      </c>
    </row>
    <row r="1666" spans="1:38" x14ac:dyDescent="0.2">
      <c r="A1666" s="2" t="str">
        <f>HYPERLINK("https://www.compass.com/listing/15-west-61st-street-unit-11f-manhattan-ny-10023/817835428969389441/","15 W 61st St, Unit 11F")</f>
        <v>15 W 61st St, Unit 11F</v>
      </c>
      <c r="B1666" s="2" t="str">
        <f t="shared" si="278"/>
        <v>The Park Loggia</v>
      </c>
      <c r="C1666" s="1" t="s">
        <v>50</v>
      </c>
      <c r="D1666" s="1" t="s">
        <v>41</v>
      </c>
      <c r="E1666" s="3">
        <v>3135000</v>
      </c>
      <c r="F1666" s="1">
        <v>2616.8614357262099</v>
      </c>
      <c r="H1666" s="1">
        <v>2</v>
      </c>
      <c r="J1666" s="1">
        <v>2</v>
      </c>
      <c r="K1666" s="1">
        <v>2</v>
      </c>
      <c r="M1666" s="4">
        <v>1198</v>
      </c>
      <c r="N1666" s="1">
        <v>1232</v>
      </c>
      <c r="O1666" s="1">
        <v>2417</v>
      </c>
      <c r="P1666" s="1">
        <v>1185</v>
      </c>
      <c r="Q1666" s="1" t="s">
        <v>42</v>
      </c>
      <c r="S1666" s="1" t="s">
        <v>42</v>
      </c>
      <c r="T1666" s="1" t="s">
        <v>170</v>
      </c>
      <c r="AA1666" s="1">
        <v>3135000</v>
      </c>
      <c r="AB1666" s="1" t="s">
        <v>1320</v>
      </c>
      <c r="AC1666" s="5">
        <v>44364</v>
      </c>
      <c r="AF1666" s="1">
        <v>10023</v>
      </c>
      <c r="AI1666" s="1" t="s">
        <v>76</v>
      </c>
      <c r="AJ1666" s="1">
        <v>2019</v>
      </c>
      <c r="AK1666" s="1" t="s">
        <v>49</v>
      </c>
      <c r="AL1666" s="1">
        <v>172</v>
      </c>
    </row>
    <row r="1667" spans="1:38" x14ac:dyDescent="0.2">
      <c r="A1667" s="2" t="str">
        <f>HYPERLINK("https://www.compass.com/listing/15-west-61st-street-unit-10f-manhattan-ny-10023/841525620063847825/","15 W 61st St, Unit 10F")</f>
        <v>15 W 61st St, Unit 10F</v>
      </c>
      <c r="B1667" s="2" t="str">
        <f t="shared" si="278"/>
        <v>The Park Loggia</v>
      </c>
      <c r="C1667" s="1" t="s">
        <v>50</v>
      </c>
      <c r="D1667" s="1" t="s">
        <v>41</v>
      </c>
      <c r="E1667" s="3">
        <v>3283000</v>
      </c>
      <c r="F1667" s="1">
        <v>2740.4006677796301</v>
      </c>
      <c r="H1667" s="1">
        <v>2</v>
      </c>
      <c r="J1667" s="1">
        <v>2</v>
      </c>
      <c r="K1667" s="1">
        <v>2</v>
      </c>
      <c r="M1667" s="4">
        <v>1198</v>
      </c>
      <c r="N1667" s="1">
        <v>1232</v>
      </c>
      <c r="O1667" s="1">
        <v>2417</v>
      </c>
      <c r="P1667" s="1">
        <v>1185</v>
      </c>
      <c r="Q1667" s="1" t="s">
        <v>42</v>
      </c>
      <c r="S1667" s="1" t="s">
        <v>42</v>
      </c>
      <c r="T1667" s="1" t="s">
        <v>170</v>
      </c>
      <c r="AA1667" s="1">
        <v>3283000</v>
      </c>
      <c r="AB1667" s="1" t="s">
        <v>1321</v>
      </c>
      <c r="AC1667" s="5">
        <v>43906</v>
      </c>
      <c r="AF1667" s="1">
        <v>10023</v>
      </c>
      <c r="AI1667" s="1" t="s">
        <v>76</v>
      </c>
      <c r="AJ1667" s="1">
        <v>2019</v>
      </c>
      <c r="AK1667" s="1" t="s">
        <v>49</v>
      </c>
      <c r="AL1667" s="1">
        <v>172</v>
      </c>
    </row>
    <row r="1668" spans="1:38" x14ac:dyDescent="0.2">
      <c r="A1668" s="2" t="str">
        <f>HYPERLINK("https://www.compass.com/listing/15-west-61st-street-unit-9b-manhattan-ny-10023/841525625919617489/","15 W 61st St, Unit 9B")</f>
        <v>15 W 61st St, Unit 9B</v>
      </c>
      <c r="B1668" s="2" t="str">
        <f t="shared" si="278"/>
        <v>The Park Loggia</v>
      </c>
      <c r="C1668" s="1" t="s">
        <v>50</v>
      </c>
      <c r="D1668" s="1" t="s">
        <v>41</v>
      </c>
      <c r="E1668" s="3">
        <v>3291919</v>
      </c>
      <c r="F1668" s="1">
        <v>2641.9893659711001</v>
      </c>
      <c r="H1668" s="1">
        <v>2</v>
      </c>
      <c r="J1668" s="1">
        <v>2</v>
      </c>
      <c r="K1668" s="1">
        <v>2</v>
      </c>
      <c r="M1668" s="4">
        <v>1246</v>
      </c>
      <c r="N1668" s="1">
        <v>1284</v>
      </c>
      <c r="O1668" s="1">
        <v>2554</v>
      </c>
      <c r="P1668" s="1">
        <v>1270</v>
      </c>
      <c r="Q1668" s="1" t="s">
        <v>42</v>
      </c>
      <c r="S1668" s="1" t="s">
        <v>42</v>
      </c>
      <c r="T1668" s="1" t="s">
        <v>170</v>
      </c>
      <c r="AA1668" s="1">
        <v>3291918.75</v>
      </c>
      <c r="AB1668" s="1" t="s">
        <v>1322</v>
      </c>
      <c r="AC1668" s="5">
        <v>43860</v>
      </c>
      <c r="AF1668" s="1">
        <v>10023</v>
      </c>
      <c r="AI1668" s="1" t="s">
        <v>76</v>
      </c>
      <c r="AJ1668" s="1">
        <v>2019</v>
      </c>
      <c r="AK1668" s="1" t="s">
        <v>49</v>
      </c>
      <c r="AL1668" s="1">
        <v>172</v>
      </c>
    </row>
    <row r="1669" spans="1:38" x14ac:dyDescent="0.2">
      <c r="A1669" s="2" t="str">
        <f>HYPERLINK("https://www.compass.com/listing/15-west-61st-street-unit-10b-manhattan-ny-10023/841531537614999409/","15 W 61st St, Unit 10B")</f>
        <v>15 W 61st St, Unit 10B</v>
      </c>
      <c r="B1669" s="2" t="str">
        <f t="shared" si="278"/>
        <v>The Park Loggia</v>
      </c>
      <c r="C1669" s="1" t="s">
        <v>50</v>
      </c>
      <c r="D1669" s="1" t="s">
        <v>41</v>
      </c>
      <c r="E1669" s="3">
        <v>3268688</v>
      </c>
      <c r="F1669" s="1">
        <v>2623.34470304975</v>
      </c>
      <c r="H1669" s="1">
        <v>2</v>
      </c>
      <c r="J1669" s="1">
        <v>2</v>
      </c>
      <c r="K1669" s="1">
        <v>2</v>
      </c>
      <c r="M1669" s="4">
        <v>1246</v>
      </c>
      <c r="N1669" s="1">
        <v>1284</v>
      </c>
      <c r="O1669" s="1">
        <v>2554</v>
      </c>
      <c r="P1669" s="1">
        <v>1270</v>
      </c>
      <c r="Q1669" s="1" t="s">
        <v>42</v>
      </c>
      <c r="S1669" s="1" t="s">
        <v>42</v>
      </c>
      <c r="T1669" s="1" t="s">
        <v>170</v>
      </c>
      <c r="AA1669" s="1">
        <v>3268687.5</v>
      </c>
      <c r="AB1669" s="1" t="s">
        <v>1323</v>
      </c>
      <c r="AC1669" s="5">
        <v>43866</v>
      </c>
      <c r="AF1669" s="1">
        <v>10023</v>
      </c>
      <c r="AI1669" s="1" t="s">
        <v>76</v>
      </c>
      <c r="AJ1669" s="1">
        <v>2019</v>
      </c>
      <c r="AK1669" s="1" t="s">
        <v>49</v>
      </c>
      <c r="AL1669" s="1">
        <v>172</v>
      </c>
    </row>
    <row r="1670" spans="1:38" x14ac:dyDescent="0.2">
      <c r="A1670" s="2" t="str">
        <f>HYPERLINK("https://www.compass.com/listing/15-west-61st-street-unit-14b-manhattan-ny-10023/841536494091058329/","15 W 61st St, Unit 14B")</f>
        <v>15 W 61st St, Unit 14B</v>
      </c>
      <c r="B1670" s="2" t="str">
        <f t="shared" si="278"/>
        <v>The Park Loggia</v>
      </c>
      <c r="C1670" s="1" t="s">
        <v>50</v>
      </c>
      <c r="D1670" s="1" t="s">
        <v>41</v>
      </c>
      <c r="E1670" s="3">
        <v>3361354</v>
      </c>
      <c r="F1670" s="1">
        <v>2697.7157704654801</v>
      </c>
      <c r="H1670" s="1">
        <v>2</v>
      </c>
      <c r="J1670" s="1">
        <v>2</v>
      </c>
      <c r="K1670" s="1">
        <v>2</v>
      </c>
      <c r="M1670" s="4">
        <v>1246</v>
      </c>
      <c r="N1670" s="1">
        <v>1320</v>
      </c>
      <c r="O1670" s="1">
        <v>2590</v>
      </c>
      <c r="P1670" s="1">
        <v>1270</v>
      </c>
      <c r="Q1670" s="1" t="s">
        <v>42</v>
      </c>
      <c r="S1670" s="1" t="s">
        <v>42</v>
      </c>
      <c r="T1670" s="1" t="s">
        <v>170</v>
      </c>
      <c r="AA1670" s="1">
        <v>3361353.85</v>
      </c>
      <c r="AB1670" s="1" t="s">
        <v>1324</v>
      </c>
      <c r="AC1670" s="5">
        <v>43868</v>
      </c>
      <c r="AF1670" s="1">
        <v>10023</v>
      </c>
      <c r="AI1670" s="1" t="s">
        <v>76</v>
      </c>
      <c r="AJ1670" s="1">
        <v>2019</v>
      </c>
      <c r="AK1670" s="1" t="s">
        <v>49</v>
      </c>
      <c r="AL1670" s="1">
        <v>172</v>
      </c>
    </row>
    <row r="1671" spans="1:38" x14ac:dyDescent="0.2">
      <c r="A1671" s="2" t="str">
        <f>HYPERLINK("https://www.compass.com/listing/15-west-61st-street-unit-20d-manhattan-ny-10023/841525606533779825/","15 W 61st St, Unit 20D")</f>
        <v>15 W 61st St, Unit 20D</v>
      </c>
      <c r="B1671" s="2" t="str">
        <f t="shared" si="278"/>
        <v>The Park Loggia</v>
      </c>
      <c r="C1671" s="1" t="s">
        <v>50</v>
      </c>
      <c r="D1671" s="1" t="s">
        <v>41</v>
      </c>
      <c r="E1671" s="3">
        <v>3588163</v>
      </c>
      <c r="F1671" s="1">
        <v>2677.7332089552201</v>
      </c>
      <c r="H1671" s="1">
        <v>2</v>
      </c>
      <c r="J1671" s="1">
        <v>2</v>
      </c>
      <c r="K1671" s="1">
        <v>2</v>
      </c>
      <c r="M1671" s="4">
        <v>1340</v>
      </c>
      <c r="N1671" s="1">
        <v>1415</v>
      </c>
      <c r="O1671" s="1">
        <v>2776</v>
      </c>
      <c r="P1671" s="1">
        <v>1361</v>
      </c>
      <c r="Q1671" s="1" t="s">
        <v>42</v>
      </c>
      <c r="S1671" s="1" t="s">
        <v>42</v>
      </c>
      <c r="T1671" s="1" t="s">
        <v>170</v>
      </c>
      <c r="AA1671" s="1">
        <v>3588162.5</v>
      </c>
      <c r="AB1671" s="1" t="s">
        <v>1325</v>
      </c>
      <c r="AC1671" s="5">
        <v>43902</v>
      </c>
      <c r="AF1671" s="1">
        <v>10023</v>
      </c>
      <c r="AI1671" s="1" t="s">
        <v>76</v>
      </c>
      <c r="AJ1671" s="1">
        <v>2019</v>
      </c>
      <c r="AK1671" s="1" t="s">
        <v>49</v>
      </c>
      <c r="AL1671" s="1">
        <v>172</v>
      </c>
    </row>
    <row r="1672" spans="1:38" x14ac:dyDescent="0.2">
      <c r="A1672" s="2" t="str">
        <f>HYPERLINK("https://www.compass.com/listing/520-park-avenue-unit-29-manhattan-ny-10065/4852261485658773121/","520 Park Ave, Unit 29")</f>
        <v>520 Park Ave, Unit 29</v>
      </c>
      <c r="B1672" s="2" t="str">
        <f t="shared" ref="B1672:B1687" si="279">HYPERLINK("https://www.compass.com/building/520-park-ave-manhattan-ny-10065/344158009579879061/","520 Park Ave")</f>
        <v>520 Park Ave</v>
      </c>
      <c r="C1672" s="1" t="s">
        <v>115</v>
      </c>
      <c r="D1672" s="1" t="s">
        <v>41</v>
      </c>
      <c r="E1672" s="3">
        <v>28250000</v>
      </c>
      <c r="F1672" s="1">
        <v>6104.1486603284302</v>
      </c>
      <c r="G1672" s="1">
        <v>7</v>
      </c>
      <c r="H1672" s="1">
        <v>4</v>
      </c>
      <c r="I1672" s="1">
        <v>5</v>
      </c>
      <c r="J1672" s="1">
        <v>5</v>
      </c>
      <c r="K1672" s="1">
        <v>5</v>
      </c>
      <c r="M1672" s="4">
        <v>4628</v>
      </c>
      <c r="N1672" s="1">
        <v>7252</v>
      </c>
      <c r="O1672" s="1">
        <v>25789</v>
      </c>
      <c r="P1672" s="1">
        <v>18537</v>
      </c>
      <c r="Q1672" s="1" t="s">
        <v>42</v>
      </c>
      <c r="S1672" s="1" t="s">
        <v>42</v>
      </c>
      <c r="T1672" s="1" t="s">
        <v>170</v>
      </c>
      <c r="U1672" s="1">
        <v>75</v>
      </c>
      <c r="V1672" s="5">
        <v>44231</v>
      </c>
      <c r="W1672" s="5">
        <v>44155</v>
      </c>
      <c r="Y1672" s="1">
        <v>28250000</v>
      </c>
      <c r="AA1672" s="1">
        <v>28250000</v>
      </c>
      <c r="AB1672" s="1" t="s">
        <v>181</v>
      </c>
      <c r="AC1672" s="5">
        <v>44230</v>
      </c>
      <c r="AF1672" s="1">
        <v>10065</v>
      </c>
      <c r="AI1672" s="1" t="s">
        <v>59</v>
      </c>
      <c r="AJ1672" s="1">
        <v>2018</v>
      </c>
      <c r="AK1672" s="1" t="s">
        <v>73</v>
      </c>
      <c r="AL1672" s="1">
        <v>35</v>
      </c>
    </row>
    <row r="1673" spans="1:38" x14ac:dyDescent="0.2">
      <c r="A1673" s="2" t="str">
        <f>HYPERLINK("https://www.compass.com/listing/520-park-avenue-unit-ph49-manhattan-ny-10065/137405501330709489/","520 Park Ave, Unit PH49")</f>
        <v>520 Park Ave, Unit PH49</v>
      </c>
      <c r="B1673" s="2" t="str">
        <f t="shared" si="279"/>
        <v>520 Park Ave</v>
      </c>
      <c r="C1673" s="1" t="s">
        <v>115</v>
      </c>
      <c r="D1673" s="1" t="s">
        <v>41</v>
      </c>
      <c r="E1673" s="3">
        <v>30000000</v>
      </c>
      <c r="F1673" s="1">
        <v>6482.2817631806302</v>
      </c>
      <c r="H1673" s="1">
        <v>3</v>
      </c>
      <c r="J1673" s="1">
        <v>3.5</v>
      </c>
      <c r="M1673" s="4">
        <v>4628</v>
      </c>
      <c r="N1673" s="1">
        <v>6838</v>
      </c>
      <c r="O1673" s="1">
        <v>16058</v>
      </c>
      <c r="P1673" s="1">
        <v>9220</v>
      </c>
      <c r="Q1673" s="1" t="s">
        <v>42</v>
      </c>
      <c r="S1673" s="1" t="s">
        <v>42</v>
      </c>
      <c r="T1673" s="1" t="s">
        <v>170</v>
      </c>
      <c r="AA1673" s="1">
        <v>30000000</v>
      </c>
      <c r="AB1673" s="1" t="s">
        <v>1326</v>
      </c>
      <c r="AC1673" s="5">
        <v>43431</v>
      </c>
      <c r="AF1673" s="1">
        <v>10065</v>
      </c>
      <c r="AI1673" s="1" t="s">
        <v>48</v>
      </c>
      <c r="AJ1673" s="1">
        <v>2018</v>
      </c>
      <c r="AK1673" s="1" t="s">
        <v>46</v>
      </c>
      <c r="AL1673" s="1">
        <v>35</v>
      </c>
    </row>
    <row r="1674" spans="1:38" x14ac:dyDescent="0.2">
      <c r="A1674" s="2" t="str">
        <f>HYPERLINK("https://www.compass.com/listing/520-park-avenue-unit-15-manhattan-ny-10065/803376513218767049/","520 Park Ave, Unit 15")</f>
        <v>520 Park Ave, Unit 15</v>
      </c>
      <c r="B1674" s="2" t="str">
        <f t="shared" si="279"/>
        <v>520 Park Ave</v>
      </c>
      <c r="C1674" s="1" t="s">
        <v>115</v>
      </c>
      <c r="D1674" s="1" t="s">
        <v>41</v>
      </c>
      <c r="E1674" s="3">
        <v>11200000</v>
      </c>
      <c r="F1674" s="1">
        <v>2427.9210925644902</v>
      </c>
      <c r="G1674" s="1">
        <v>7</v>
      </c>
      <c r="H1674" s="1">
        <v>4</v>
      </c>
      <c r="I1674" s="1">
        <v>6</v>
      </c>
      <c r="J1674" s="1">
        <v>5.5</v>
      </c>
      <c r="K1674" s="1">
        <v>5</v>
      </c>
      <c r="L1674" s="1">
        <v>1</v>
      </c>
      <c r="M1674" s="4">
        <v>4613</v>
      </c>
      <c r="N1674" s="1">
        <v>7229</v>
      </c>
      <c r="O1674" s="1">
        <v>25706</v>
      </c>
      <c r="P1674" s="1">
        <v>18477</v>
      </c>
      <c r="Q1674" s="1" t="s">
        <v>42</v>
      </c>
      <c r="S1674" s="1" t="s">
        <v>42</v>
      </c>
      <c r="T1674" s="1" t="s">
        <v>170</v>
      </c>
      <c r="U1674" s="1">
        <v>17</v>
      </c>
      <c r="V1674" s="5">
        <v>44323</v>
      </c>
      <c r="W1674" s="5">
        <v>44269</v>
      </c>
      <c r="X1674" s="1">
        <v>14250000</v>
      </c>
      <c r="Y1674" s="1">
        <v>14250000</v>
      </c>
      <c r="Z1674" s="5">
        <v>44287</v>
      </c>
      <c r="AA1674" s="1">
        <v>11200000</v>
      </c>
      <c r="AB1674" s="1" t="s">
        <v>1327</v>
      </c>
      <c r="AC1674" s="5">
        <v>44302</v>
      </c>
      <c r="AF1674" s="1">
        <v>10065</v>
      </c>
      <c r="AI1674" s="1" t="s">
        <v>48</v>
      </c>
      <c r="AJ1674" s="1">
        <v>2018</v>
      </c>
      <c r="AK1674" s="1" t="s">
        <v>46</v>
      </c>
      <c r="AL1674" s="1">
        <v>35</v>
      </c>
    </row>
    <row r="1675" spans="1:38" x14ac:dyDescent="0.2">
      <c r="A1675" s="2" t="str">
        <f>HYPERLINK("https://www.compass.com/listing/520-park-avenue-unit-15-manhattan-ny-10065/737793851090624025/","520 Park Ave, Unit 15")</f>
        <v>520 Park Ave, Unit 15</v>
      </c>
      <c r="B1675" s="2" t="str">
        <f t="shared" si="279"/>
        <v>520 Park Ave</v>
      </c>
      <c r="C1675" s="1" t="s">
        <v>115</v>
      </c>
      <c r="D1675" s="1" t="s">
        <v>41</v>
      </c>
      <c r="E1675" s="3">
        <v>11200000</v>
      </c>
      <c r="F1675" s="1">
        <v>2427.9210925644902</v>
      </c>
      <c r="G1675" s="1">
        <v>7</v>
      </c>
      <c r="H1675" s="1">
        <v>4</v>
      </c>
      <c r="I1675" s="1">
        <v>6</v>
      </c>
      <c r="J1675" s="1">
        <v>5.5</v>
      </c>
      <c r="K1675" s="1">
        <v>5</v>
      </c>
      <c r="L1675" s="1">
        <v>1</v>
      </c>
      <c r="M1675" s="4">
        <v>4613</v>
      </c>
      <c r="N1675" s="1">
        <v>7229</v>
      </c>
      <c r="O1675" s="1">
        <v>25706</v>
      </c>
      <c r="P1675" s="1">
        <v>18477</v>
      </c>
      <c r="Q1675" s="1" t="s">
        <v>42</v>
      </c>
      <c r="S1675" s="1" t="s">
        <v>42</v>
      </c>
      <c r="T1675" s="1" t="s">
        <v>170</v>
      </c>
      <c r="U1675" s="1">
        <v>137</v>
      </c>
      <c r="V1675" s="5">
        <v>44427</v>
      </c>
      <c r="W1675" s="5">
        <v>44132</v>
      </c>
      <c r="X1675" s="1">
        <v>14250000</v>
      </c>
      <c r="Y1675" s="1">
        <v>14250000</v>
      </c>
      <c r="Z1675" s="5">
        <v>44270</v>
      </c>
      <c r="AA1675" s="1">
        <v>11200000</v>
      </c>
      <c r="AB1675" s="1" t="s">
        <v>1327</v>
      </c>
      <c r="AC1675" s="5">
        <v>44302</v>
      </c>
      <c r="AF1675" s="1">
        <v>10065</v>
      </c>
      <c r="AI1675" s="1" t="s">
        <v>48</v>
      </c>
      <c r="AJ1675" s="1">
        <v>2018</v>
      </c>
      <c r="AK1675" s="1" t="s">
        <v>46</v>
      </c>
      <c r="AL1675" s="1">
        <v>35</v>
      </c>
    </row>
    <row r="1676" spans="1:38" x14ac:dyDescent="0.2">
      <c r="A1676" s="2" t="str">
        <f>HYPERLINK("https://www.compass.com/listing/520-park-avenue-unit-15-manhattan-ny-10065/107676293503459441/","520 Park Ave, Unit 15")</f>
        <v>520 Park Ave, Unit 15</v>
      </c>
      <c r="B1676" s="2" t="str">
        <f t="shared" si="279"/>
        <v>520 Park Ave</v>
      </c>
      <c r="C1676" s="1" t="s">
        <v>115</v>
      </c>
      <c r="D1676" s="1" t="s">
        <v>41</v>
      </c>
      <c r="E1676" s="3">
        <v>15089419</v>
      </c>
      <c r="F1676" s="1">
        <v>3271.0641122913498</v>
      </c>
      <c r="H1676" s="1">
        <v>4</v>
      </c>
      <c r="J1676" s="1">
        <v>5.5</v>
      </c>
      <c r="K1676" s="1">
        <v>5</v>
      </c>
      <c r="L1676" s="1">
        <v>1</v>
      </c>
      <c r="M1676" s="4">
        <v>4613</v>
      </c>
      <c r="N1676" s="1">
        <v>7229</v>
      </c>
      <c r="O1676" s="1">
        <v>25706</v>
      </c>
      <c r="P1676" s="1">
        <v>18477</v>
      </c>
      <c r="Q1676" s="1" t="s">
        <v>42</v>
      </c>
      <c r="S1676" s="1" t="s">
        <v>42</v>
      </c>
      <c r="T1676" s="1" t="s">
        <v>170</v>
      </c>
      <c r="AA1676" s="1">
        <v>15089418.75</v>
      </c>
      <c r="AB1676" s="1" t="s">
        <v>1328</v>
      </c>
      <c r="AC1676" s="5">
        <v>43392</v>
      </c>
      <c r="AF1676" s="1">
        <v>10065</v>
      </c>
      <c r="AI1676" s="1" t="s">
        <v>48</v>
      </c>
      <c r="AJ1676" s="1">
        <v>2018</v>
      </c>
      <c r="AK1676" s="1" t="s">
        <v>46</v>
      </c>
      <c r="AL1676" s="1">
        <v>35</v>
      </c>
    </row>
    <row r="1677" spans="1:38" x14ac:dyDescent="0.2">
      <c r="A1677" s="2" t="str">
        <f>HYPERLINK("https://www.compass.com/listing/520-park-avenue-unit-30-manhattan-ny-10065/125086652535223633/","520 Park Ave, Unit 30")</f>
        <v>520 Park Ave, Unit 30</v>
      </c>
      <c r="B1677" s="2" t="str">
        <f t="shared" si="279"/>
        <v>520 Park Ave</v>
      </c>
      <c r="C1677" s="1" t="s">
        <v>115</v>
      </c>
      <c r="D1677" s="1" t="s">
        <v>41</v>
      </c>
      <c r="E1677" s="3">
        <v>25866550</v>
      </c>
      <c r="F1677" s="1">
        <v>5589.1421780466699</v>
      </c>
      <c r="H1677" s="1">
        <v>4</v>
      </c>
      <c r="J1677" s="1">
        <v>5</v>
      </c>
      <c r="M1677" s="4">
        <v>4628</v>
      </c>
      <c r="N1677" s="1">
        <v>7427</v>
      </c>
      <c r="O1677" s="1">
        <v>17442</v>
      </c>
      <c r="P1677" s="1">
        <v>10015</v>
      </c>
      <c r="Q1677" s="1" t="s">
        <v>42</v>
      </c>
      <c r="S1677" s="1" t="s">
        <v>42</v>
      </c>
      <c r="T1677" s="1" t="s">
        <v>170</v>
      </c>
      <c r="AA1677" s="1">
        <v>25866550</v>
      </c>
      <c r="AB1677" s="1" t="s">
        <v>1329</v>
      </c>
      <c r="AC1677" s="5">
        <v>43412</v>
      </c>
      <c r="AF1677" s="1">
        <v>10065</v>
      </c>
      <c r="AI1677" s="1" t="s">
        <v>48</v>
      </c>
      <c r="AJ1677" s="1">
        <v>2018</v>
      </c>
      <c r="AK1677" s="1" t="s">
        <v>46</v>
      </c>
      <c r="AL1677" s="1">
        <v>35</v>
      </c>
    </row>
    <row r="1678" spans="1:38" x14ac:dyDescent="0.2">
      <c r="A1678" s="2" t="str">
        <f>HYPERLINK("https://www.compass.com/listing/520-park-avenue-unit-23-manhattan-ny-10065/126535276032967089/","520 Park Ave, Unit 23")</f>
        <v>520 Park Ave, Unit 23</v>
      </c>
      <c r="B1678" s="2" t="str">
        <f t="shared" si="279"/>
        <v>520 Park Ave</v>
      </c>
      <c r="C1678" s="1" t="s">
        <v>115</v>
      </c>
      <c r="D1678" s="1" t="s">
        <v>41</v>
      </c>
      <c r="E1678" s="3">
        <v>20011613</v>
      </c>
      <c r="F1678" s="1">
        <v>4324.0303586862501</v>
      </c>
      <c r="H1678" s="1">
        <v>4</v>
      </c>
      <c r="J1678" s="1">
        <v>5</v>
      </c>
      <c r="K1678" s="1">
        <v>5</v>
      </c>
      <c r="M1678" s="4">
        <v>4628</v>
      </c>
      <c r="N1678" s="1">
        <v>7252</v>
      </c>
      <c r="O1678" s="1">
        <v>25789</v>
      </c>
      <c r="P1678" s="1">
        <v>18537</v>
      </c>
      <c r="Q1678" s="1" t="s">
        <v>42</v>
      </c>
      <c r="S1678" s="1" t="s">
        <v>42</v>
      </c>
      <c r="T1678" s="1" t="s">
        <v>170</v>
      </c>
      <c r="AA1678" s="1">
        <v>20011612.5</v>
      </c>
      <c r="AB1678" s="1" t="s">
        <v>1330</v>
      </c>
      <c r="AC1678" s="5">
        <v>43417</v>
      </c>
      <c r="AF1678" s="1">
        <v>10065</v>
      </c>
      <c r="AI1678" s="1" t="s">
        <v>48</v>
      </c>
      <c r="AJ1678" s="1">
        <v>2018</v>
      </c>
      <c r="AK1678" s="1" t="s">
        <v>46</v>
      </c>
      <c r="AL1678" s="1">
        <v>35</v>
      </c>
    </row>
    <row r="1679" spans="1:38" x14ac:dyDescent="0.2">
      <c r="A1679" s="2" t="str">
        <f>HYPERLINK("https://www.compass.com/listing/520-park-avenue-unit-34-manhattan-ny-10065/135231052334556913/","520 Park Ave, Unit 34")</f>
        <v>520 Park Ave, Unit 34</v>
      </c>
      <c r="B1679" s="2" t="str">
        <f t="shared" si="279"/>
        <v>520 Park Ave</v>
      </c>
      <c r="C1679" s="1" t="s">
        <v>115</v>
      </c>
      <c r="D1679" s="1" t="s">
        <v>41</v>
      </c>
      <c r="E1679" s="3">
        <v>30000000</v>
      </c>
      <c r="F1679" s="1">
        <v>6482.2817631806302</v>
      </c>
      <c r="H1679" s="1">
        <v>4</v>
      </c>
      <c r="J1679" s="1">
        <v>5</v>
      </c>
      <c r="M1679" s="4">
        <v>4628</v>
      </c>
      <c r="N1679" s="1">
        <v>7404</v>
      </c>
      <c r="O1679" s="1">
        <v>17387</v>
      </c>
      <c r="P1679" s="1">
        <v>9983</v>
      </c>
      <c r="Q1679" s="1" t="s">
        <v>42</v>
      </c>
      <c r="S1679" s="1" t="s">
        <v>42</v>
      </c>
      <c r="T1679" s="1" t="s">
        <v>170</v>
      </c>
      <c r="AA1679" s="1">
        <v>30000000</v>
      </c>
      <c r="AB1679" s="1" t="s">
        <v>1331</v>
      </c>
      <c r="AC1679" s="5">
        <v>43424</v>
      </c>
      <c r="AF1679" s="1">
        <v>10065</v>
      </c>
      <c r="AI1679" s="1" t="s">
        <v>48</v>
      </c>
      <c r="AJ1679" s="1">
        <v>2018</v>
      </c>
      <c r="AK1679" s="1" t="s">
        <v>46</v>
      </c>
      <c r="AL1679" s="1">
        <v>35</v>
      </c>
    </row>
    <row r="1680" spans="1:38" x14ac:dyDescent="0.2">
      <c r="A1680" s="2" t="str">
        <f>HYPERLINK("https://www.compass.com/listing/520-park-avenue-unit-16-manhattan-ny-10065/162775349179001649/","520 Park Ave, Unit 16")</f>
        <v>520 Park Ave, Unit 16</v>
      </c>
      <c r="B1680" s="2" t="str">
        <f t="shared" si="279"/>
        <v>520 Park Ave</v>
      </c>
      <c r="C1680" s="1" t="s">
        <v>115</v>
      </c>
      <c r="D1680" s="1" t="s">
        <v>41</v>
      </c>
      <c r="E1680" s="3">
        <v>16295000</v>
      </c>
      <c r="F1680" s="1">
        <v>3532.4084110123499</v>
      </c>
      <c r="H1680" s="1">
        <v>4</v>
      </c>
      <c r="J1680" s="1">
        <v>5.5</v>
      </c>
      <c r="M1680" s="4">
        <v>4613</v>
      </c>
      <c r="N1680" s="1">
        <v>7403</v>
      </c>
      <c r="O1680" s="1">
        <v>17385</v>
      </c>
      <c r="P1680" s="1">
        <v>9982</v>
      </c>
      <c r="Q1680" s="1" t="s">
        <v>42</v>
      </c>
      <c r="S1680" s="1" t="s">
        <v>42</v>
      </c>
      <c r="T1680" s="1" t="s">
        <v>170</v>
      </c>
      <c r="AA1680" s="1">
        <v>16295000</v>
      </c>
      <c r="AB1680" s="1" t="s">
        <v>1332</v>
      </c>
      <c r="AC1680" s="5">
        <v>43468</v>
      </c>
      <c r="AF1680" s="1">
        <v>10065</v>
      </c>
      <c r="AI1680" s="1" t="s">
        <v>48</v>
      </c>
      <c r="AJ1680" s="1">
        <v>2018</v>
      </c>
      <c r="AK1680" s="1" t="s">
        <v>46</v>
      </c>
      <c r="AL1680" s="1">
        <v>35</v>
      </c>
    </row>
    <row r="1681" spans="1:38" x14ac:dyDescent="0.2">
      <c r="A1681" s="2" t="str">
        <f>HYPERLINK("https://www.compass.com/listing/520-park-avenue-unit-14-manhattan-ny-10065/293397738798738129/","520 Park Ave, Unit 14")</f>
        <v>520 Park Ave, Unit 14</v>
      </c>
      <c r="B1681" s="2" t="str">
        <f t="shared" si="279"/>
        <v>520 Park Ave</v>
      </c>
      <c r="C1681" s="1" t="s">
        <v>115</v>
      </c>
      <c r="D1681" s="1" t="s">
        <v>41</v>
      </c>
      <c r="E1681" s="3">
        <v>17000000</v>
      </c>
      <c r="F1681" s="1">
        <v>3685.2373726425299</v>
      </c>
      <c r="H1681" s="1">
        <v>4</v>
      </c>
      <c r="J1681" s="1">
        <v>5.5</v>
      </c>
      <c r="M1681" s="4">
        <v>4613</v>
      </c>
      <c r="N1681" s="1">
        <v>7233</v>
      </c>
      <c r="O1681" s="1">
        <v>16019</v>
      </c>
      <c r="P1681" s="1">
        <v>8786</v>
      </c>
      <c r="Q1681" s="1" t="s">
        <v>42</v>
      </c>
      <c r="S1681" s="1" t="s">
        <v>42</v>
      </c>
      <c r="T1681" s="1" t="s">
        <v>170</v>
      </c>
      <c r="AA1681" s="1">
        <v>17000000</v>
      </c>
      <c r="AB1681" s="1" t="s">
        <v>1333</v>
      </c>
      <c r="AC1681" s="5">
        <v>43440</v>
      </c>
      <c r="AF1681" s="1">
        <v>10065</v>
      </c>
      <c r="AI1681" s="1" t="s">
        <v>48</v>
      </c>
      <c r="AJ1681" s="1">
        <v>2018</v>
      </c>
      <c r="AK1681" s="1" t="s">
        <v>46</v>
      </c>
      <c r="AL1681" s="1">
        <v>35</v>
      </c>
    </row>
    <row r="1682" spans="1:38" x14ac:dyDescent="0.2">
      <c r="A1682" s="2" t="str">
        <f>HYPERLINK("https://www.compass.com/listing/520-park-avenue-unit-17-manhattan-ny-10065/293399423893903809/","520 Park Ave, Unit 17")</f>
        <v>520 Park Ave, Unit 17</v>
      </c>
      <c r="B1682" s="2" t="str">
        <f t="shared" si="279"/>
        <v>520 Park Ave</v>
      </c>
      <c r="C1682" s="1" t="s">
        <v>115</v>
      </c>
      <c r="D1682" s="1" t="s">
        <v>41</v>
      </c>
      <c r="E1682" s="3">
        <v>16702300</v>
      </c>
      <c r="F1682" s="1">
        <v>3620.7023628874899</v>
      </c>
      <c r="H1682" s="1">
        <v>4</v>
      </c>
      <c r="J1682" s="1">
        <v>5.5</v>
      </c>
      <c r="M1682" s="4">
        <v>4613</v>
      </c>
      <c r="N1682" s="1">
        <v>7238</v>
      </c>
      <c r="O1682" s="1">
        <v>16030</v>
      </c>
      <c r="P1682" s="1">
        <v>8792</v>
      </c>
      <c r="Q1682" s="1" t="s">
        <v>42</v>
      </c>
      <c r="S1682" s="1" t="s">
        <v>42</v>
      </c>
      <c r="T1682" s="1" t="s">
        <v>170</v>
      </c>
      <c r="AA1682" s="1">
        <v>16702300</v>
      </c>
      <c r="AB1682" s="1" t="s">
        <v>1334</v>
      </c>
      <c r="AC1682" s="5">
        <v>43416</v>
      </c>
      <c r="AF1682" s="1">
        <v>10065</v>
      </c>
      <c r="AI1682" s="1" t="s">
        <v>48</v>
      </c>
      <c r="AJ1682" s="1">
        <v>2018</v>
      </c>
      <c r="AK1682" s="1" t="s">
        <v>46</v>
      </c>
      <c r="AL1682" s="1">
        <v>35</v>
      </c>
    </row>
    <row r="1683" spans="1:38" x14ac:dyDescent="0.2">
      <c r="A1683" s="2" t="str">
        <f>HYPERLINK("https://www.compass.com/listing/520-park-avenue-unit-33-manhattan-ny-10065/324922664451487009/","520 Park Ave, Unit 33")</f>
        <v>520 Park Ave, Unit 33</v>
      </c>
      <c r="B1683" s="2" t="str">
        <f t="shared" si="279"/>
        <v>520 Park Ave</v>
      </c>
      <c r="C1683" s="1" t="s">
        <v>115</v>
      </c>
      <c r="D1683" s="1" t="s">
        <v>41</v>
      </c>
      <c r="E1683" s="3">
        <v>28086500</v>
      </c>
      <c r="F1683" s="1">
        <v>6068.8202247191002</v>
      </c>
      <c r="H1683" s="1">
        <v>4</v>
      </c>
      <c r="J1683" s="1">
        <v>5</v>
      </c>
      <c r="K1683" s="1">
        <v>5</v>
      </c>
      <c r="M1683" s="4">
        <v>4628</v>
      </c>
      <c r="N1683" s="1">
        <v>7537.62</v>
      </c>
      <c r="O1683" s="1">
        <v>26036.5</v>
      </c>
      <c r="P1683" s="1">
        <v>18498.916666666599</v>
      </c>
      <c r="Q1683" s="1" t="s">
        <v>42</v>
      </c>
      <c r="S1683" s="1" t="s">
        <v>42</v>
      </c>
      <c r="T1683" s="1" t="s">
        <v>170</v>
      </c>
      <c r="AA1683" s="1">
        <v>28086500</v>
      </c>
      <c r="AB1683" s="1" t="s">
        <v>1335</v>
      </c>
      <c r="AC1683" s="5">
        <v>43634</v>
      </c>
      <c r="AF1683" s="1">
        <v>10065</v>
      </c>
      <c r="AI1683" s="1" t="s">
        <v>48</v>
      </c>
      <c r="AJ1683" s="1">
        <v>2018</v>
      </c>
      <c r="AK1683" s="1" t="s">
        <v>46</v>
      </c>
      <c r="AL1683" s="1">
        <v>35</v>
      </c>
    </row>
    <row r="1684" spans="1:38" x14ac:dyDescent="0.2">
      <c r="A1684" s="2" t="str">
        <f>HYPERLINK("https://www.compass.com/listing/520-park-avenue-unit-28-manhattan-ny-10065/345339381346298369/","520 Park Ave, Unit 28")</f>
        <v>520 Park Ave, Unit 28</v>
      </c>
      <c r="B1684" s="2" t="str">
        <f t="shared" si="279"/>
        <v>520 Park Ave</v>
      </c>
      <c r="C1684" s="1" t="s">
        <v>115</v>
      </c>
      <c r="D1684" s="1" t="s">
        <v>41</v>
      </c>
      <c r="E1684" s="3">
        <v>23500000</v>
      </c>
      <c r="F1684" s="1">
        <v>5077.7873811581603</v>
      </c>
      <c r="H1684" s="1">
        <v>4</v>
      </c>
      <c r="J1684" s="1">
        <v>6</v>
      </c>
      <c r="M1684" s="4">
        <v>4628</v>
      </c>
      <c r="N1684" s="1">
        <v>7427</v>
      </c>
      <c r="O1684" s="1">
        <v>17442</v>
      </c>
      <c r="P1684" s="1">
        <v>10015</v>
      </c>
      <c r="Q1684" s="1" t="s">
        <v>42</v>
      </c>
      <c r="S1684" s="1" t="s">
        <v>42</v>
      </c>
      <c r="T1684" s="1" t="s">
        <v>170</v>
      </c>
      <c r="AA1684" s="1">
        <v>23500000</v>
      </c>
      <c r="AB1684" s="1" t="s">
        <v>1336</v>
      </c>
      <c r="AC1684" s="5">
        <v>43718</v>
      </c>
      <c r="AF1684" s="1">
        <v>10065</v>
      </c>
      <c r="AI1684" s="1" t="s">
        <v>48</v>
      </c>
      <c r="AJ1684" s="1">
        <v>2018</v>
      </c>
      <c r="AK1684" s="1" t="s">
        <v>46</v>
      </c>
      <c r="AL1684" s="1">
        <v>35</v>
      </c>
    </row>
    <row r="1685" spans="1:38" x14ac:dyDescent="0.2">
      <c r="A1685" s="2" t="str">
        <f>HYPERLINK("https://www.compass.com/listing/520-park-avenue-unit-27-manhattan-ny-10065/477248550665919161/","520 Park Ave, Unit 27")</f>
        <v>520 Park Ave, Unit 27</v>
      </c>
      <c r="B1685" s="2" t="str">
        <f t="shared" si="279"/>
        <v>520 Park Ave</v>
      </c>
      <c r="C1685" s="1" t="s">
        <v>115</v>
      </c>
      <c r="D1685" s="1" t="s">
        <v>41</v>
      </c>
      <c r="E1685" s="3">
        <v>22000000</v>
      </c>
      <c r="F1685" s="1">
        <v>4753.6732929991304</v>
      </c>
      <c r="H1685" s="1">
        <v>4</v>
      </c>
      <c r="J1685" s="1">
        <v>5</v>
      </c>
      <c r="M1685" s="4">
        <v>4628</v>
      </c>
      <c r="N1685" s="1">
        <v>7261</v>
      </c>
      <c r="O1685" s="1">
        <v>16081</v>
      </c>
      <c r="P1685" s="1">
        <v>8820</v>
      </c>
      <c r="Q1685" s="1" t="s">
        <v>42</v>
      </c>
      <c r="S1685" s="1" t="s">
        <v>42</v>
      </c>
      <c r="T1685" s="1" t="s">
        <v>170</v>
      </c>
      <c r="AA1685" s="1">
        <v>22000000</v>
      </c>
      <c r="AB1685" s="1" t="s">
        <v>1337</v>
      </c>
      <c r="AC1685" s="5">
        <v>43901</v>
      </c>
      <c r="AF1685" s="1">
        <v>10065</v>
      </c>
      <c r="AI1685" s="1" t="s">
        <v>48</v>
      </c>
      <c r="AJ1685" s="1">
        <v>2018</v>
      </c>
      <c r="AK1685" s="1" t="s">
        <v>46</v>
      </c>
      <c r="AL1685" s="1">
        <v>35</v>
      </c>
    </row>
    <row r="1686" spans="1:38" x14ac:dyDescent="0.2">
      <c r="A1686" s="2" t="str">
        <f>HYPERLINK("https://www.compass.com/listing/520-park-avenue-unit-22-manhattan-ny-10065/79430407904414913/","520 Park Ave, Unit 22")</f>
        <v>520 Park Ave, Unit 22</v>
      </c>
      <c r="B1686" s="2" t="str">
        <f t="shared" si="279"/>
        <v>520 Park Ave</v>
      </c>
      <c r="C1686" s="1" t="s">
        <v>115</v>
      </c>
      <c r="D1686" s="1" t="s">
        <v>41</v>
      </c>
      <c r="E1686" s="3">
        <v>20000000</v>
      </c>
      <c r="F1686" s="1">
        <v>4321.5211754537504</v>
      </c>
      <c r="H1686" s="1">
        <v>5</v>
      </c>
      <c r="J1686" s="1">
        <v>4.5</v>
      </c>
      <c r="K1686" s="1">
        <v>4</v>
      </c>
      <c r="L1686" s="1">
        <v>1</v>
      </c>
      <c r="M1686" s="4">
        <v>4628</v>
      </c>
      <c r="N1686" s="1">
        <v>7668</v>
      </c>
      <c r="O1686" s="1">
        <v>22677</v>
      </c>
      <c r="P1686" s="1">
        <v>15009</v>
      </c>
      <c r="Q1686" s="1" t="s">
        <v>42</v>
      </c>
      <c r="S1686" s="1" t="s">
        <v>42</v>
      </c>
      <c r="T1686" s="1" t="s">
        <v>170</v>
      </c>
      <c r="AA1686" s="1">
        <v>20000000</v>
      </c>
      <c r="AB1686" s="1" t="s">
        <v>1338</v>
      </c>
      <c r="AC1686" s="5">
        <v>43355</v>
      </c>
      <c r="AF1686" s="1">
        <v>10065</v>
      </c>
      <c r="AI1686" s="1" t="s">
        <v>48</v>
      </c>
      <c r="AJ1686" s="1">
        <v>2018</v>
      </c>
      <c r="AK1686" s="1" t="s">
        <v>46</v>
      </c>
      <c r="AL1686" s="1">
        <v>35</v>
      </c>
    </row>
    <row r="1687" spans="1:38" x14ac:dyDescent="0.2">
      <c r="A1687" s="2" t="str">
        <f>HYPERLINK("https://www.compass.com/listing/520-park-avenue-unit-31-manhattan-ny-10065/841482516653717793/","520 Park Ave, Unit 31")</f>
        <v>520 Park Ave, Unit 31</v>
      </c>
      <c r="B1687" s="2" t="str">
        <f t="shared" si="279"/>
        <v>520 Park Ave</v>
      </c>
      <c r="C1687" s="1" t="s">
        <v>115</v>
      </c>
      <c r="D1687" s="1" t="s">
        <v>41</v>
      </c>
      <c r="E1687" s="3">
        <v>26000000</v>
      </c>
      <c r="F1687" s="1">
        <v>5617.9775280898803</v>
      </c>
      <c r="H1687" s="1">
        <v>4</v>
      </c>
      <c r="J1687" s="1">
        <v>5</v>
      </c>
      <c r="K1687" s="1">
        <v>5</v>
      </c>
      <c r="M1687" s="4">
        <v>4628</v>
      </c>
      <c r="N1687" s="1">
        <v>7252</v>
      </c>
      <c r="O1687" s="1">
        <v>16061</v>
      </c>
      <c r="P1687" s="1">
        <v>8809</v>
      </c>
      <c r="Q1687" s="1" t="s">
        <v>42</v>
      </c>
      <c r="S1687" s="1" t="s">
        <v>42</v>
      </c>
      <c r="T1687" s="1" t="s">
        <v>170</v>
      </c>
      <c r="AA1687" s="1">
        <v>26000000</v>
      </c>
      <c r="AB1687" s="1" t="s">
        <v>1339</v>
      </c>
      <c r="AC1687" s="5">
        <v>43642</v>
      </c>
      <c r="AF1687" s="1">
        <v>10065</v>
      </c>
      <c r="AI1687" s="1" t="s">
        <v>48</v>
      </c>
      <c r="AJ1687" s="1">
        <v>2018</v>
      </c>
      <c r="AK1687" s="1" t="s">
        <v>46</v>
      </c>
      <c r="AL1687" s="1">
        <v>35</v>
      </c>
    </row>
    <row r="1688" spans="1:38" x14ac:dyDescent="0.2">
      <c r="A1688" s="2" t="str">
        <f>HYPERLINK("https://www.compass.com/listing/375-west-123rd-street-unit-6b-manhattan-ny-10027/652881621087756641/","375 W 123rd St, Unit 6B")</f>
        <v>375 W 123rd St, Unit 6B</v>
      </c>
      <c r="B1688" s="2" t="str">
        <f t="shared" ref="B1688:B1690" si="280">HYPERLINK("https://www.compass.com/building/99-morningside-manhattan-ny/281983676789660549/","99 Morningside")</f>
        <v>99 Morningside</v>
      </c>
      <c r="C1688" s="1" t="s">
        <v>106</v>
      </c>
      <c r="D1688" s="1" t="s">
        <v>41</v>
      </c>
      <c r="E1688" s="3">
        <v>1565000</v>
      </c>
      <c r="F1688" s="1">
        <v>1228.4144427001499</v>
      </c>
      <c r="G1688" s="1">
        <v>4</v>
      </c>
      <c r="H1688" s="1">
        <v>2</v>
      </c>
      <c r="I1688" s="1">
        <v>2</v>
      </c>
      <c r="J1688" s="1">
        <v>2</v>
      </c>
      <c r="K1688" s="1">
        <v>2</v>
      </c>
      <c r="M1688" s="4">
        <v>1274</v>
      </c>
      <c r="N1688" s="1">
        <v>1193</v>
      </c>
      <c r="O1688" s="1">
        <v>2059</v>
      </c>
      <c r="P1688" s="1">
        <v>866</v>
      </c>
      <c r="Q1688" s="1" t="s">
        <v>42</v>
      </c>
      <c r="S1688" s="1" t="s">
        <v>42</v>
      </c>
      <c r="T1688" s="1" t="s">
        <v>170</v>
      </c>
      <c r="U1688" s="1">
        <v>15</v>
      </c>
      <c r="V1688" s="5">
        <v>44407</v>
      </c>
      <c r="W1688" s="5">
        <v>44137</v>
      </c>
      <c r="X1688" s="1">
        <v>1565000</v>
      </c>
      <c r="Y1688" s="1">
        <v>1565000</v>
      </c>
      <c r="Z1688" s="5">
        <v>44152</v>
      </c>
      <c r="AA1688" s="1">
        <v>1565000</v>
      </c>
      <c r="AB1688" s="1" t="s">
        <v>181</v>
      </c>
      <c r="AC1688" s="5">
        <v>44383</v>
      </c>
      <c r="AF1688" s="1">
        <v>10027</v>
      </c>
      <c r="AI1688" s="1" t="s">
        <v>107</v>
      </c>
      <c r="AJ1688" s="1">
        <v>2016</v>
      </c>
      <c r="AK1688" s="1" t="s">
        <v>108</v>
      </c>
      <c r="AL1688" s="1">
        <v>22</v>
      </c>
    </row>
    <row r="1689" spans="1:38" x14ac:dyDescent="0.2">
      <c r="A1689" s="2" t="str">
        <f>HYPERLINK("https://www.compass.com/listing/375-west-123rd-street-unit-9a-manhattan-ny-10027/652881617522882793/","375 W 123rd St, Unit 9A")</f>
        <v>375 W 123rd St, Unit 9A</v>
      </c>
      <c r="B1689" s="2" t="str">
        <f t="shared" si="280"/>
        <v>99 Morningside</v>
      </c>
      <c r="C1689" s="1" t="s">
        <v>106</v>
      </c>
      <c r="D1689" s="1" t="s">
        <v>41</v>
      </c>
      <c r="E1689" s="3">
        <v>1531600</v>
      </c>
      <c r="F1689" s="1">
        <v>1400</v>
      </c>
      <c r="G1689" s="1">
        <v>4</v>
      </c>
      <c r="H1689" s="1">
        <v>2</v>
      </c>
      <c r="I1689" s="1">
        <v>2</v>
      </c>
      <c r="J1689" s="1">
        <v>2</v>
      </c>
      <c r="K1689" s="1">
        <v>2</v>
      </c>
      <c r="M1689" s="4">
        <v>1094</v>
      </c>
      <c r="N1689" s="1">
        <v>1017</v>
      </c>
      <c r="O1689" s="1">
        <v>1612</v>
      </c>
      <c r="P1689" s="1">
        <v>595</v>
      </c>
      <c r="Q1689" s="1" t="s">
        <v>42</v>
      </c>
      <c r="S1689" s="1" t="s">
        <v>42</v>
      </c>
      <c r="T1689" s="1" t="s">
        <v>170</v>
      </c>
      <c r="U1689" s="1">
        <v>15</v>
      </c>
      <c r="V1689" s="5">
        <v>44371</v>
      </c>
      <c r="W1689" s="5">
        <v>44137</v>
      </c>
      <c r="X1689" s="1">
        <v>1590000</v>
      </c>
      <c r="Y1689" s="1">
        <v>1590000</v>
      </c>
      <c r="Z1689" s="5">
        <v>44152</v>
      </c>
      <c r="AA1689" s="1">
        <v>1531600</v>
      </c>
      <c r="AB1689" s="1" t="s">
        <v>181</v>
      </c>
      <c r="AC1689" s="5">
        <v>44369</v>
      </c>
      <c r="AF1689" s="1">
        <v>10027</v>
      </c>
      <c r="AI1689" s="1" t="s">
        <v>122</v>
      </c>
      <c r="AJ1689" s="1">
        <v>2016</v>
      </c>
      <c r="AK1689" s="1" t="s">
        <v>108</v>
      </c>
      <c r="AL1689" s="1">
        <v>22</v>
      </c>
    </row>
    <row r="1690" spans="1:38" x14ac:dyDescent="0.2">
      <c r="A1690" s="2" t="str">
        <f>HYPERLINK("https://www.compass.com/listing/375-west-123rd-street-unit-9b-manhattan-ny-10027/718938470101013489/","375 W 123rd St, Unit 9B")</f>
        <v>375 W 123rd St, Unit 9B</v>
      </c>
      <c r="B1690" s="2" t="str">
        <f t="shared" si="280"/>
        <v>99 Morningside</v>
      </c>
      <c r="C1690" s="1" t="s">
        <v>106</v>
      </c>
      <c r="D1690" s="1" t="s">
        <v>41</v>
      </c>
      <c r="E1690" s="3">
        <v>2734500</v>
      </c>
      <c r="F1690" s="1">
        <v>1500</v>
      </c>
      <c r="G1690" s="1">
        <v>6</v>
      </c>
      <c r="H1690" s="1">
        <v>4</v>
      </c>
      <c r="I1690" s="1">
        <v>3</v>
      </c>
      <c r="J1690" s="1">
        <v>2</v>
      </c>
      <c r="K1690" s="1">
        <v>2</v>
      </c>
      <c r="M1690" s="4">
        <v>1823</v>
      </c>
      <c r="N1690" s="1">
        <v>1664</v>
      </c>
      <c r="O1690" s="1">
        <v>3259</v>
      </c>
      <c r="P1690" s="1">
        <v>1595</v>
      </c>
      <c r="Q1690" s="1" t="s">
        <v>42</v>
      </c>
      <c r="S1690" s="1" t="s">
        <v>42</v>
      </c>
      <c r="T1690" s="1" t="s">
        <v>170</v>
      </c>
      <c r="U1690" s="1">
        <v>106</v>
      </c>
      <c r="V1690" s="5">
        <v>44376</v>
      </c>
      <c r="W1690" s="5">
        <v>44137</v>
      </c>
      <c r="X1690" s="1">
        <v>2825000</v>
      </c>
      <c r="Y1690" s="1">
        <v>2825000</v>
      </c>
      <c r="Z1690" s="5">
        <v>44244</v>
      </c>
      <c r="AA1690" s="1">
        <v>2734500</v>
      </c>
      <c r="AB1690" s="1" t="s">
        <v>181</v>
      </c>
      <c r="AC1690" s="5">
        <v>44375</v>
      </c>
      <c r="AF1690" s="1">
        <v>10027</v>
      </c>
      <c r="AI1690" s="1" t="s">
        <v>122</v>
      </c>
      <c r="AJ1690" s="1">
        <v>2016</v>
      </c>
      <c r="AK1690" s="1" t="s">
        <v>108</v>
      </c>
      <c r="AL1690" s="1">
        <v>22</v>
      </c>
    </row>
    <row r="1691" spans="1:38" x14ac:dyDescent="0.2">
      <c r="A1691" s="2" t="str">
        <f>HYPERLINK("https://www.compass.com/listing/150-west-12th-street-unit-8-east-manhattan-ny-10119/192573278110397281/","150 W 12th St, Unit 8 EAST")</f>
        <v>150 W 12th St, Unit 8 EAST</v>
      </c>
      <c r="B1691" s="2" t="str">
        <f t="shared" ref="B1691:B1693" si="281">HYPERLINK("https://www.compass.com/building/the-greenwich-lane-manhattan-ny/567553885067785157/","The Greenwich Lane")</f>
        <v>The Greenwich Lane</v>
      </c>
      <c r="C1691" s="1" t="s">
        <v>71</v>
      </c>
      <c r="D1691" s="1" t="s">
        <v>41</v>
      </c>
      <c r="E1691" s="3">
        <v>6580895</v>
      </c>
      <c r="F1691" s="1">
        <v>3186.8740920096802</v>
      </c>
      <c r="G1691" s="1">
        <v>4.5</v>
      </c>
      <c r="H1691" s="1">
        <v>2</v>
      </c>
      <c r="I1691" s="1">
        <v>2</v>
      </c>
      <c r="J1691" s="1">
        <v>2</v>
      </c>
      <c r="K1691" s="1">
        <v>2</v>
      </c>
      <c r="M1691" s="4">
        <v>2065</v>
      </c>
      <c r="N1691" s="1">
        <v>3599</v>
      </c>
      <c r="O1691" s="1">
        <v>7126</v>
      </c>
      <c r="P1691" s="1">
        <v>3527</v>
      </c>
      <c r="Q1691" s="1" t="s">
        <v>42</v>
      </c>
      <c r="S1691" s="1" t="s">
        <v>42</v>
      </c>
      <c r="T1691" s="1" t="s">
        <v>170</v>
      </c>
      <c r="V1691" s="5">
        <v>43679</v>
      </c>
      <c r="W1691" s="5">
        <v>41673</v>
      </c>
      <c r="X1691" s="1">
        <v>6650000</v>
      </c>
      <c r="Y1691" s="1">
        <v>6650000</v>
      </c>
      <c r="Z1691" s="5">
        <v>41673</v>
      </c>
      <c r="AA1691" s="1">
        <v>6580895</v>
      </c>
      <c r="AB1691" s="1" t="s">
        <v>181</v>
      </c>
      <c r="AC1691" s="5">
        <v>42430</v>
      </c>
      <c r="AF1691" s="1">
        <v>10119</v>
      </c>
      <c r="AI1691" s="1" t="s">
        <v>59</v>
      </c>
      <c r="AK1691" s="1" t="s">
        <v>49</v>
      </c>
      <c r="AL1691" s="1">
        <v>24</v>
      </c>
    </row>
    <row r="1692" spans="1:38" x14ac:dyDescent="0.2">
      <c r="A1692" s="2" t="str">
        <f>HYPERLINK("https://www.compass.com/listing/150-west-12th-street-unit-4-west-manhattan-ny-10119/192573602934156897/","150 W 12th St, Unit 4 WEST")</f>
        <v>150 W 12th St, Unit 4 WEST</v>
      </c>
      <c r="B1692" s="2" t="str">
        <f t="shared" si="281"/>
        <v>The Greenwich Lane</v>
      </c>
      <c r="C1692" s="1" t="s">
        <v>71</v>
      </c>
      <c r="D1692" s="1" t="s">
        <v>41</v>
      </c>
      <c r="E1692" s="3">
        <v>3929833</v>
      </c>
      <c r="F1692" s="1">
        <v>2682.47986348122</v>
      </c>
      <c r="G1692" s="1">
        <v>3</v>
      </c>
      <c r="H1692" s="1">
        <v>1</v>
      </c>
      <c r="I1692" s="1">
        <v>1</v>
      </c>
      <c r="J1692" s="1">
        <v>1</v>
      </c>
      <c r="K1692" s="1">
        <v>1</v>
      </c>
      <c r="M1692" s="4">
        <v>1465</v>
      </c>
      <c r="N1692" s="1">
        <v>2613</v>
      </c>
      <c r="O1692" s="1">
        <v>5174</v>
      </c>
      <c r="P1692" s="1">
        <v>2561</v>
      </c>
      <c r="Q1692" s="1" t="s">
        <v>42</v>
      </c>
      <c r="S1692" s="1" t="s">
        <v>42</v>
      </c>
      <c r="T1692" s="1" t="s">
        <v>170</v>
      </c>
      <c r="U1692" s="1">
        <v>85</v>
      </c>
      <c r="V1692" s="5">
        <v>43678</v>
      </c>
      <c r="W1692" s="5">
        <v>41662</v>
      </c>
      <c r="X1692" s="1">
        <v>3850000</v>
      </c>
      <c r="Y1692" s="1">
        <v>3850000</v>
      </c>
      <c r="Z1692" s="5">
        <v>41747</v>
      </c>
      <c r="AA1692" s="1">
        <v>3929833</v>
      </c>
      <c r="AB1692" s="1" t="s">
        <v>181</v>
      </c>
      <c r="AC1692" s="5">
        <v>42445</v>
      </c>
      <c r="AF1692" s="1">
        <v>10119</v>
      </c>
      <c r="AI1692" s="1" t="s">
        <v>72</v>
      </c>
      <c r="AK1692" s="1" t="s">
        <v>49</v>
      </c>
      <c r="AL1692" s="1">
        <v>24</v>
      </c>
    </row>
    <row r="1693" spans="1:38" x14ac:dyDescent="0.2">
      <c r="A1693" s="2" t="str">
        <f>HYPERLINK("https://www.compass.com/listing/150-west-12th-street-unit-9east-manhattan-ny-10119/4852284626758009169/","150 W 12th St, Unit 9EAST")</f>
        <v>150 W 12th St, Unit 9EAST</v>
      </c>
      <c r="B1693" s="2" t="str">
        <f t="shared" si="281"/>
        <v>The Greenwich Lane</v>
      </c>
      <c r="C1693" s="1" t="s">
        <v>71</v>
      </c>
      <c r="D1693" s="1" t="s">
        <v>41</v>
      </c>
      <c r="E1693" s="3">
        <v>6850000</v>
      </c>
      <c r="F1693" s="1">
        <v>3317.1912832929702</v>
      </c>
      <c r="G1693" s="1">
        <v>4</v>
      </c>
      <c r="H1693" s="1">
        <v>2</v>
      </c>
      <c r="I1693" s="1">
        <v>3</v>
      </c>
      <c r="J1693" s="1">
        <v>2.5</v>
      </c>
      <c r="M1693" s="4">
        <v>2065</v>
      </c>
      <c r="N1693" s="1">
        <v>3615</v>
      </c>
      <c r="O1693" s="1">
        <v>7775</v>
      </c>
      <c r="P1693" s="1">
        <v>4160</v>
      </c>
      <c r="Q1693" s="1" t="s">
        <v>42</v>
      </c>
      <c r="S1693" s="1" t="s">
        <v>42</v>
      </c>
      <c r="T1693" s="1" t="s">
        <v>170</v>
      </c>
      <c r="U1693" s="1">
        <v>19</v>
      </c>
      <c r="V1693" s="5">
        <v>43673</v>
      </c>
      <c r="W1693" s="5">
        <v>43006</v>
      </c>
      <c r="X1693" s="1">
        <v>6975000</v>
      </c>
      <c r="Y1693" s="1">
        <v>6975000</v>
      </c>
      <c r="Z1693" s="5">
        <v>43025</v>
      </c>
      <c r="AA1693" s="1">
        <v>6850000</v>
      </c>
      <c r="AB1693" s="1" t="s">
        <v>181</v>
      </c>
      <c r="AC1693" s="5">
        <v>43050</v>
      </c>
      <c r="AF1693" s="1">
        <v>10119</v>
      </c>
      <c r="AI1693" s="1" t="s">
        <v>59</v>
      </c>
      <c r="AK1693" s="1" t="s">
        <v>152</v>
      </c>
      <c r="AL1693" s="1">
        <v>24</v>
      </c>
    </row>
    <row r="1694" spans="1:38" x14ac:dyDescent="0.2">
      <c r="A1694" s="2" t="str">
        <f>HYPERLINK("https://www.compass.com/listing/86-canal-street-unit-8a-manhattan-ny-10002/29360008227544481/","86 Canal St, Unit 8A")</f>
        <v>86 Canal St, Unit 8A</v>
      </c>
      <c r="B1694" s="2" t="str">
        <f>HYPERLINK("https://www.compass.com/building/86-canal-st-manhattan-ny-10002/281888255618581733/","86 Canal St")</f>
        <v>86 Canal St</v>
      </c>
      <c r="C1694" s="1" t="s">
        <v>1340</v>
      </c>
      <c r="D1694" s="1" t="s">
        <v>41</v>
      </c>
      <c r="E1694" s="3">
        <v>602804</v>
      </c>
      <c r="F1694" s="1">
        <v>895.69687964338698</v>
      </c>
      <c r="H1694" s="1">
        <v>2</v>
      </c>
      <c r="J1694" s="1">
        <v>1.5</v>
      </c>
      <c r="M1694" s="1">
        <v>673</v>
      </c>
      <c r="N1694" s="1">
        <v>208</v>
      </c>
      <c r="O1694" s="1">
        <v>1252</v>
      </c>
      <c r="P1694" s="1">
        <v>1044</v>
      </c>
      <c r="Q1694" s="1" t="s">
        <v>42</v>
      </c>
      <c r="S1694" s="1" t="s">
        <v>42</v>
      </c>
      <c r="T1694" s="1" t="s">
        <v>170</v>
      </c>
      <c r="AA1694" s="1">
        <v>602804</v>
      </c>
      <c r="AB1694" s="1" t="s">
        <v>1341</v>
      </c>
      <c r="AC1694" s="5">
        <v>43110</v>
      </c>
      <c r="AF1694" s="1">
        <v>10002</v>
      </c>
      <c r="AJ1694" s="1">
        <v>2012</v>
      </c>
      <c r="AL1694" s="1">
        <v>89</v>
      </c>
    </row>
    <row r="1695" spans="1:38" x14ac:dyDescent="0.2">
      <c r="A1695" s="2" t="str">
        <f>HYPERLINK("https://www.compass.com/listing/150-west-12th-street-unit-m6-manhattan-ny-10119/29367268660082961/","150 W 12th St, Unit M6")</f>
        <v>150 W 12th St, Unit M6</v>
      </c>
      <c r="B1695" s="2" t="str">
        <f t="shared" ref="B1695:B1701" si="282">HYPERLINK("https://www.compass.com/building/the-greenwich-lane-manhattan-ny/567553885067785157/","The Greenwich Lane")</f>
        <v>The Greenwich Lane</v>
      </c>
      <c r="C1695" s="1" t="s">
        <v>71</v>
      </c>
      <c r="D1695" s="1" t="s">
        <v>41</v>
      </c>
      <c r="E1695" s="3">
        <v>5921476</v>
      </c>
      <c r="F1695" s="1">
        <v>2441.8457731958702</v>
      </c>
      <c r="G1695" s="1">
        <v>4.5</v>
      </c>
      <c r="H1695" s="1">
        <v>2</v>
      </c>
      <c r="I1695" s="1">
        <v>2</v>
      </c>
      <c r="J1695" s="1">
        <v>2</v>
      </c>
      <c r="K1695" s="1">
        <v>2</v>
      </c>
      <c r="M1695" s="4">
        <v>2425</v>
      </c>
      <c r="N1695" s="1">
        <v>4264</v>
      </c>
      <c r="O1695" s="1">
        <v>9177</v>
      </c>
      <c r="P1695" s="1">
        <v>4913</v>
      </c>
      <c r="Q1695" s="1" t="s">
        <v>42</v>
      </c>
      <c r="S1695" s="1" t="s">
        <v>42</v>
      </c>
      <c r="T1695" s="1" t="s">
        <v>170</v>
      </c>
      <c r="V1695" s="5">
        <v>43673</v>
      </c>
      <c r="W1695" s="5">
        <v>41628</v>
      </c>
      <c r="X1695" s="1">
        <v>5800000</v>
      </c>
      <c r="Y1695" s="1">
        <v>5800000</v>
      </c>
      <c r="Z1695" s="5">
        <v>41628</v>
      </c>
      <c r="AA1695" s="1">
        <v>5921476</v>
      </c>
      <c r="AB1695" s="1" t="s">
        <v>1342</v>
      </c>
      <c r="AC1695" s="5">
        <v>42627</v>
      </c>
      <c r="AF1695" s="1">
        <v>10119</v>
      </c>
      <c r="AI1695" s="1" t="s">
        <v>256</v>
      </c>
      <c r="AK1695" s="1" t="s">
        <v>49</v>
      </c>
      <c r="AL1695" s="1">
        <v>24</v>
      </c>
    </row>
    <row r="1696" spans="1:38" x14ac:dyDescent="0.2">
      <c r="A1696" s="2" t="str">
        <f>HYPERLINK("https://www.compass.com/listing/150-west-12th-street-unit-4south-manhattan-ny-10119/502251055892122769/","150 W 12th St, Unit 4SOUTH")</f>
        <v>150 W 12th St, Unit 4SOUTH</v>
      </c>
      <c r="B1696" s="2" t="str">
        <f t="shared" si="282"/>
        <v>The Greenwich Lane</v>
      </c>
      <c r="C1696" s="1" t="s">
        <v>71</v>
      </c>
      <c r="D1696" s="1" t="s">
        <v>41</v>
      </c>
      <c r="E1696" s="3">
        <v>3995000</v>
      </c>
      <c r="F1696" s="1">
        <v>2726.9624573378801</v>
      </c>
      <c r="G1696" s="1">
        <v>5</v>
      </c>
      <c r="H1696" s="1">
        <v>2</v>
      </c>
      <c r="J1696" s="1">
        <v>1.5</v>
      </c>
      <c r="M1696" s="4">
        <v>1465</v>
      </c>
      <c r="N1696" s="1">
        <v>2613</v>
      </c>
      <c r="O1696" s="1">
        <v>5174</v>
      </c>
      <c r="P1696" s="1">
        <v>2561</v>
      </c>
      <c r="S1696" s="1" t="s">
        <v>42</v>
      </c>
      <c r="T1696" s="1" t="s">
        <v>170</v>
      </c>
      <c r="U1696" s="1">
        <v>70</v>
      </c>
      <c r="V1696" s="5">
        <v>44247</v>
      </c>
      <c r="W1696" s="5">
        <v>43564</v>
      </c>
      <c r="X1696" s="1">
        <v>3995000</v>
      </c>
      <c r="Y1696" s="1">
        <v>3995000</v>
      </c>
      <c r="AA1696" s="1">
        <v>3995000</v>
      </c>
      <c r="AB1696" s="1" t="s">
        <v>181</v>
      </c>
      <c r="AC1696" s="5">
        <v>43635</v>
      </c>
      <c r="AF1696" s="1">
        <v>10119</v>
      </c>
      <c r="AI1696" s="1" t="s">
        <v>59</v>
      </c>
      <c r="AK1696" s="1" t="s">
        <v>77</v>
      </c>
      <c r="AL1696" s="1">
        <v>24</v>
      </c>
    </row>
    <row r="1697" spans="1:38" x14ac:dyDescent="0.2">
      <c r="A1697" s="2" t="str">
        <f>HYPERLINK("https://www.compass.com/listing/150-west-12th-street-unit-11-east-manhattan-ny-10119/192573404820318257/","150 W 12th St, Unit 11 EAST")</f>
        <v>150 W 12th St, Unit 11 EAST</v>
      </c>
      <c r="B1697" s="2" t="str">
        <f t="shared" si="282"/>
        <v>The Greenwich Lane</v>
      </c>
      <c r="C1697" s="1" t="s">
        <v>71</v>
      </c>
      <c r="D1697" s="1" t="s">
        <v>41</v>
      </c>
      <c r="E1697" s="3">
        <v>6784737</v>
      </c>
      <c r="F1697" s="1">
        <v>3285.58692493946</v>
      </c>
      <c r="G1697" s="1">
        <v>4.5</v>
      </c>
      <c r="H1697" s="1">
        <v>2</v>
      </c>
      <c r="I1697" s="1">
        <v>2</v>
      </c>
      <c r="J1697" s="1">
        <v>2</v>
      </c>
      <c r="K1697" s="1">
        <v>2</v>
      </c>
      <c r="M1697" s="4">
        <v>2065</v>
      </c>
      <c r="N1697" s="1">
        <v>3651</v>
      </c>
      <c r="O1697" s="1">
        <v>7230</v>
      </c>
      <c r="P1697" s="1">
        <v>3579</v>
      </c>
      <c r="Q1697" s="1" t="s">
        <v>42</v>
      </c>
      <c r="S1697" s="1" t="s">
        <v>42</v>
      </c>
      <c r="T1697" s="1" t="s">
        <v>170</v>
      </c>
      <c r="V1697" s="5">
        <v>43678</v>
      </c>
      <c r="W1697" s="5">
        <v>41625</v>
      </c>
      <c r="X1697" s="1">
        <v>7035000</v>
      </c>
      <c r="Y1697" s="1">
        <v>7035000</v>
      </c>
      <c r="Z1697" s="5">
        <v>41625</v>
      </c>
      <c r="AA1697" s="1">
        <v>6784737</v>
      </c>
      <c r="AB1697" s="1" t="s">
        <v>181</v>
      </c>
      <c r="AC1697" s="5">
        <v>42434</v>
      </c>
      <c r="AF1697" s="1">
        <v>10119</v>
      </c>
      <c r="AI1697" s="1" t="s">
        <v>59</v>
      </c>
      <c r="AK1697" s="1" t="s">
        <v>49</v>
      </c>
      <c r="AL1697" s="1">
        <v>24</v>
      </c>
    </row>
    <row r="1698" spans="1:38" x14ac:dyDescent="0.2">
      <c r="A1698" s="2" t="str">
        <f>HYPERLINK("https://www.compass.com/listing/150-west-12th-street-unit-8-west-manhattan-ny-10119/192573395005643345/","150 W 12th St, Unit 8 WEST")</f>
        <v>150 W 12th St, Unit 8 WEST</v>
      </c>
      <c r="B1698" s="2" t="str">
        <f t="shared" si="282"/>
        <v>The Greenwich Lane</v>
      </c>
      <c r="C1698" s="1" t="s">
        <v>71</v>
      </c>
      <c r="D1698" s="1" t="s">
        <v>41</v>
      </c>
      <c r="E1698" s="3">
        <v>6325000</v>
      </c>
      <c r="F1698" s="1">
        <v>3042.3280423280398</v>
      </c>
      <c r="G1698" s="1">
        <v>4</v>
      </c>
      <c r="H1698" s="1">
        <v>2</v>
      </c>
      <c r="I1698" s="1">
        <v>2</v>
      </c>
      <c r="J1698" s="1">
        <v>2</v>
      </c>
      <c r="K1698" s="1">
        <v>2</v>
      </c>
      <c r="M1698" s="4">
        <v>2079</v>
      </c>
      <c r="N1698" s="1">
        <v>3623</v>
      </c>
      <c r="O1698" s="1">
        <v>7174</v>
      </c>
      <c r="P1698" s="1">
        <v>3551</v>
      </c>
      <c r="Q1698" s="1" t="s">
        <v>42</v>
      </c>
      <c r="S1698" s="1" t="s">
        <v>42</v>
      </c>
      <c r="T1698" s="1" t="s">
        <v>170</v>
      </c>
      <c r="U1698" s="1">
        <v>40</v>
      </c>
      <c r="V1698" s="5">
        <v>43679</v>
      </c>
      <c r="W1698" s="5">
        <v>41587</v>
      </c>
      <c r="X1698" s="1">
        <v>6325000</v>
      </c>
      <c r="Y1698" s="1">
        <v>6325000</v>
      </c>
      <c r="Z1698" s="5">
        <v>41627</v>
      </c>
      <c r="AA1698" s="1">
        <v>6325000</v>
      </c>
      <c r="AB1698" s="1" t="s">
        <v>181</v>
      </c>
      <c r="AC1698" s="5">
        <v>42417</v>
      </c>
      <c r="AF1698" s="1">
        <v>10119</v>
      </c>
      <c r="AI1698" s="1" t="s">
        <v>59</v>
      </c>
      <c r="AK1698" s="1" t="s">
        <v>49</v>
      </c>
      <c r="AL1698" s="1">
        <v>24</v>
      </c>
    </row>
    <row r="1699" spans="1:38" x14ac:dyDescent="0.2">
      <c r="A1699" s="2" t="str">
        <f>HYPERLINK("https://www.compass.com/listing/150-west-12th-street-unit-12-east-manhattan-ny-10119/192573556796797361/","150 W 12th St, Unit 12 EAST")</f>
        <v>150 W 12th St, Unit 12 EAST</v>
      </c>
      <c r="B1699" s="2" t="str">
        <f t="shared" si="282"/>
        <v>The Greenwich Lane</v>
      </c>
      <c r="C1699" s="1" t="s">
        <v>71</v>
      </c>
      <c r="D1699" s="1" t="s">
        <v>41</v>
      </c>
      <c r="E1699" s="3">
        <v>6916272</v>
      </c>
      <c r="F1699" s="1">
        <v>3349.28426150121</v>
      </c>
      <c r="G1699" s="1">
        <v>4.5</v>
      </c>
      <c r="H1699" s="1">
        <v>2</v>
      </c>
      <c r="I1699" s="1">
        <v>2</v>
      </c>
      <c r="J1699" s="1">
        <v>2</v>
      </c>
      <c r="K1699" s="1">
        <v>2</v>
      </c>
      <c r="M1699" s="4">
        <v>2065</v>
      </c>
      <c r="N1699" s="1">
        <v>3669</v>
      </c>
      <c r="O1699" s="1">
        <v>7265</v>
      </c>
      <c r="P1699" s="1">
        <v>3596</v>
      </c>
      <c r="Q1699" s="1" t="s">
        <v>42</v>
      </c>
      <c r="S1699" s="1" t="s">
        <v>42</v>
      </c>
      <c r="T1699" s="1" t="s">
        <v>170</v>
      </c>
      <c r="V1699" s="5">
        <v>43678</v>
      </c>
      <c r="W1699" s="5">
        <v>41627</v>
      </c>
      <c r="X1699" s="1">
        <v>7250000</v>
      </c>
      <c r="Y1699" s="1">
        <v>7250000</v>
      </c>
      <c r="Z1699" s="5">
        <v>41627</v>
      </c>
      <c r="AA1699" s="1">
        <v>6916272</v>
      </c>
      <c r="AB1699" s="1" t="s">
        <v>181</v>
      </c>
      <c r="AC1699" s="5">
        <v>42474</v>
      </c>
      <c r="AF1699" s="1">
        <v>10119</v>
      </c>
      <c r="AI1699" s="1" t="s">
        <v>59</v>
      </c>
      <c r="AK1699" s="1" t="s">
        <v>49</v>
      </c>
      <c r="AL1699" s="1">
        <v>24</v>
      </c>
    </row>
    <row r="1700" spans="1:38" x14ac:dyDescent="0.2">
      <c r="A1700" s="2" t="str">
        <f>HYPERLINK("https://www.compass.com/listing/150-west-12th-street-unit-10-east-manhattan-ny-10119/192573601398923521/","150 W 12th St, Unit 10 EAST")</f>
        <v>150 W 12th St, Unit 10 EAST</v>
      </c>
      <c r="B1700" s="2" t="str">
        <f t="shared" si="282"/>
        <v>The Greenwich Lane</v>
      </c>
      <c r="C1700" s="1" t="s">
        <v>71</v>
      </c>
      <c r="D1700" s="1" t="s">
        <v>41</v>
      </c>
      <c r="E1700" s="3">
        <v>6484290</v>
      </c>
      <c r="F1700" s="1">
        <v>3140.0920096852301</v>
      </c>
      <c r="G1700" s="1">
        <v>4</v>
      </c>
      <c r="H1700" s="1">
        <v>2</v>
      </c>
      <c r="I1700" s="1">
        <v>2</v>
      </c>
      <c r="J1700" s="1">
        <v>2</v>
      </c>
      <c r="K1700" s="1">
        <v>2</v>
      </c>
      <c r="M1700" s="4">
        <v>2065</v>
      </c>
      <c r="N1700" s="1">
        <v>3634</v>
      </c>
      <c r="O1700" s="1">
        <v>7196</v>
      </c>
      <c r="P1700" s="1">
        <v>3562</v>
      </c>
      <c r="Q1700" s="1" t="s">
        <v>42</v>
      </c>
      <c r="S1700" s="1" t="s">
        <v>42</v>
      </c>
      <c r="T1700" s="1" t="s">
        <v>170</v>
      </c>
      <c r="V1700" s="5">
        <v>43678</v>
      </c>
      <c r="W1700" s="5">
        <v>41628</v>
      </c>
      <c r="X1700" s="1">
        <v>6905000</v>
      </c>
      <c r="Y1700" s="1">
        <v>6905000</v>
      </c>
      <c r="Z1700" s="5">
        <v>41628</v>
      </c>
      <c r="AA1700" s="1">
        <v>6484290</v>
      </c>
      <c r="AB1700" s="1" t="s">
        <v>181</v>
      </c>
      <c r="AC1700" s="5">
        <v>42434</v>
      </c>
      <c r="AF1700" s="1">
        <v>10119</v>
      </c>
      <c r="AI1700" s="1" t="s">
        <v>59</v>
      </c>
      <c r="AK1700" s="1" t="s">
        <v>49</v>
      </c>
      <c r="AL1700" s="1">
        <v>24</v>
      </c>
    </row>
    <row r="1701" spans="1:38" x14ac:dyDescent="0.2">
      <c r="A1701" s="2" t="str">
        <f>HYPERLINK("https://www.compass.com/listing/150-west-12th-street-unit-6-west-manhattan-ny-10119/4852280180703504017/","150 W 12th St, Unit 6 WEST")</f>
        <v>150 W 12th St, Unit 6 WEST</v>
      </c>
      <c r="B1701" s="2" t="str">
        <f t="shared" si="282"/>
        <v>The Greenwich Lane</v>
      </c>
      <c r="C1701" s="1" t="s">
        <v>71</v>
      </c>
      <c r="D1701" s="1" t="s">
        <v>41</v>
      </c>
      <c r="E1701" s="3">
        <v>5918993</v>
      </c>
      <c r="F1701" s="1">
        <v>2847.03848003848</v>
      </c>
      <c r="G1701" s="1">
        <v>4</v>
      </c>
      <c r="H1701" s="1">
        <v>2</v>
      </c>
      <c r="I1701" s="1">
        <v>2</v>
      </c>
      <c r="J1701" s="1">
        <v>2.5</v>
      </c>
      <c r="K1701" s="1">
        <v>2</v>
      </c>
      <c r="L1701" s="1">
        <v>1</v>
      </c>
      <c r="M1701" s="4">
        <v>2079</v>
      </c>
      <c r="N1701" s="1">
        <v>3588</v>
      </c>
      <c r="O1701" s="1">
        <v>7105</v>
      </c>
      <c r="P1701" s="1">
        <v>3517</v>
      </c>
      <c r="Q1701" s="1" t="s">
        <v>42</v>
      </c>
      <c r="S1701" s="1" t="s">
        <v>42</v>
      </c>
      <c r="T1701" s="1" t="s">
        <v>170</v>
      </c>
      <c r="V1701" s="5">
        <v>43679</v>
      </c>
      <c r="W1701" s="5">
        <v>41628</v>
      </c>
      <c r="X1701" s="1">
        <v>5950000</v>
      </c>
      <c r="Y1701" s="1">
        <v>5950000</v>
      </c>
      <c r="Z1701" s="5">
        <v>41628</v>
      </c>
      <c r="AA1701" s="1">
        <v>5918993</v>
      </c>
      <c r="AB1701" s="1" t="s">
        <v>181</v>
      </c>
      <c r="AC1701" s="5">
        <v>42455</v>
      </c>
      <c r="AF1701" s="1">
        <v>10119</v>
      </c>
      <c r="AI1701" s="1" t="s">
        <v>59</v>
      </c>
      <c r="AK1701" s="1" t="s">
        <v>49</v>
      </c>
      <c r="AL1701" s="1">
        <v>24</v>
      </c>
    </row>
    <row r="1702" spans="1:38" x14ac:dyDescent="0.2">
      <c r="A1702" s="2" t="str">
        <f>HYPERLINK("https://www.compass.com/listing/50-riverside-boulevard-unit-7p-manhattan-ny-10069/29396669632213745/","50 Riverside Blvd, Unit 7P")</f>
        <v>50 Riverside Blvd, Unit 7P</v>
      </c>
      <c r="B1702" s="2" t="str">
        <f t="shared" ref="B1702:B1703" si="283">HYPERLINK("https://www.compass.com/building/one-riverside-park-manhattan-ny/282041440266113253/","One Riverside Park")</f>
        <v>One Riverside Park</v>
      </c>
      <c r="C1702" s="1" t="s">
        <v>50</v>
      </c>
      <c r="D1702" s="1" t="s">
        <v>41</v>
      </c>
      <c r="E1702" s="3">
        <v>1420000</v>
      </c>
      <c r="F1702" s="1">
        <v>1651.1627906976701</v>
      </c>
      <c r="G1702" s="1">
        <v>3</v>
      </c>
      <c r="H1702" s="1">
        <v>1</v>
      </c>
      <c r="I1702" s="1">
        <v>2</v>
      </c>
      <c r="J1702" s="1">
        <v>1.5</v>
      </c>
      <c r="K1702" s="1">
        <v>1</v>
      </c>
      <c r="L1702" s="1">
        <v>1</v>
      </c>
      <c r="M1702" s="1">
        <v>860</v>
      </c>
      <c r="N1702" s="1">
        <v>953</v>
      </c>
      <c r="O1702" s="1">
        <v>1006</v>
      </c>
      <c r="P1702" s="1">
        <v>53</v>
      </c>
      <c r="Q1702" s="1" t="s">
        <v>42</v>
      </c>
      <c r="S1702" s="1" t="s">
        <v>42</v>
      </c>
      <c r="T1702" s="1" t="s">
        <v>170</v>
      </c>
      <c r="U1702" s="1">
        <v>248</v>
      </c>
      <c r="V1702" s="5">
        <v>44286</v>
      </c>
      <c r="W1702" s="5">
        <v>43621</v>
      </c>
      <c r="X1702" s="1">
        <v>1695000</v>
      </c>
      <c r="Y1702" s="1">
        <v>1585000</v>
      </c>
      <c r="Z1702" s="5">
        <v>44252</v>
      </c>
      <c r="AA1702" s="1">
        <v>1420000</v>
      </c>
      <c r="AB1702" s="1" t="s">
        <v>1343</v>
      </c>
      <c r="AC1702" s="5">
        <v>44271</v>
      </c>
      <c r="AF1702" s="1">
        <v>10069</v>
      </c>
      <c r="AI1702" s="1" t="s">
        <v>101</v>
      </c>
      <c r="AJ1702" s="1">
        <v>2016</v>
      </c>
      <c r="AK1702" s="1" t="s">
        <v>73</v>
      </c>
      <c r="AL1702" s="1">
        <v>657</v>
      </c>
    </row>
    <row r="1703" spans="1:38" x14ac:dyDescent="0.2">
      <c r="A1703" s="2" t="str">
        <f>HYPERLINK("https://www.compass.com/listing/50-riverside-boulevard-unit-4r-manhattan-ny-10069/29396675260969873/","50 Riverside Blvd, Unit 4R")</f>
        <v>50 Riverside Blvd, Unit 4R</v>
      </c>
      <c r="B1703" s="2" t="str">
        <f t="shared" si="283"/>
        <v>One Riverside Park</v>
      </c>
      <c r="C1703" s="1" t="s">
        <v>50</v>
      </c>
      <c r="D1703" s="1" t="s">
        <v>41</v>
      </c>
      <c r="E1703" s="3">
        <v>1360000</v>
      </c>
      <c r="F1703" s="1">
        <v>1626.7942583731999</v>
      </c>
      <c r="G1703" s="1">
        <v>3</v>
      </c>
      <c r="H1703" s="1">
        <v>1</v>
      </c>
      <c r="I1703" s="1">
        <v>2</v>
      </c>
      <c r="J1703" s="1">
        <v>1.5</v>
      </c>
      <c r="K1703" s="1">
        <v>1</v>
      </c>
      <c r="L1703" s="1">
        <v>1</v>
      </c>
      <c r="M1703" s="1">
        <v>836</v>
      </c>
      <c r="N1703" s="1">
        <v>926</v>
      </c>
      <c r="O1703" s="1">
        <v>976</v>
      </c>
      <c r="P1703" s="1">
        <v>50</v>
      </c>
      <c r="Q1703" s="1" t="s">
        <v>42</v>
      </c>
      <c r="S1703" s="1" t="s">
        <v>42</v>
      </c>
      <c r="T1703" s="1" t="s">
        <v>170</v>
      </c>
      <c r="U1703" s="1">
        <v>44</v>
      </c>
      <c r="V1703" s="5">
        <v>42675</v>
      </c>
      <c r="W1703" s="5">
        <v>42546</v>
      </c>
      <c r="X1703" s="1">
        <v>1450000</v>
      </c>
      <c r="Y1703" s="1">
        <v>1450000</v>
      </c>
      <c r="Z1703" s="5">
        <v>42590</v>
      </c>
      <c r="AA1703" s="1">
        <v>1360000</v>
      </c>
      <c r="AB1703" s="1" t="s">
        <v>1344</v>
      </c>
      <c r="AC1703" s="5">
        <v>42677</v>
      </c>
      <c r="AF1703" s="1">
        <v>10069</v>
      </c>
      <c r="AI1703" s="1" t="s">
        <v>45</v>
      </c>
      <c r="AJ1703" s="1">
        <v>2016</v>
      </c>
      <c r="AK1703" s="1" t="s">
        <v>73</v>
      </c>
      <c r="AL1703" s="1">
        <v>657</v>
      </c>
    </row>
    <row r="1704" spans="1:38" x14ac:dyDescent="0.2">
      <c r="A1704" s="2" t="str">
        <f>HYPERLINK("https://www.compass.com/listing/86-canal-street-unit-7d-manhattan-ny-10002/842484922594985345/","86 Canal St, Unit 7D")</f>
        <v>86 Canal St, Unit 7D</v>
      </c>
      <c r="B1704" s="2" t="str">
        <f>HYPERLINK("https://www.compass.com/building/86-canal-st-manhattan-ny-10002/281888255618581733/","86 Canal St")</f>
        <v>86 Canal St</v>
      </c>
      <c r="C1704" s="1" t="s">
        <v>1340</v>
      </c>
      <c r="D1704" s="1" t="s">
        <v>41</v>
      </c>
      <c r="E1704" s="3">
        <v>804000</v>
      </c>
      <c r="F1704" s="1">
        <v>1244.58204334365</v>
      </c>
      <c r="M1704" s="1">
        <v>646</v>
      </c>
      <c r="Q1704" s="1" t="s">
        <v>42</v>
      </c>
      <c r="S1704" s="1" t="s">
        <v>42</v>
      </c>
      <c r="T1704" s="1" t="s">
        <v>170</v>
      </c>
      <c r="AA1704" s="1">
        <v>804000</v>
      </c>
      <c r="AB1704" s="1" t="s">
        <v>1345</v>
      </c>
      <c r="AC1704" s="5">
        <v>44404</v>
      </c>
      <c r="AF1704" s="1">
        <v>10002</v>
      </c>
      <c r="AJ1704" s="1">
        <v>2012</v>
      </c>
      <c r="AL1704" s="1">
        <v>89</v>
      </c>
    </row>
    <row r="1705" spans="1:38" x14ac:dyDescent="0.2">
      <c r="A1705" s="2" t="str">
        <f>HYPERLINK("https://www.compass.com/listing/50-riverside-boulevard-unit-3u-manhattan-ny-10069/29396681829250097/","50 Riverside Blvd, Unit 3U")</f>
        <v>50 Riverside Blvd, Unit 3U</v>
      </c>
      <c r="B1705" s="2" t="str">
        <f>HYPERLINK("https://www.compass.com/building/one-riverside-park-manhattan-ny/282041440266113253/","One Riverside Park")</f>
        <v>One Riverside Park</v>
      </c>
      <c r="C1705" s="1" t="s">
        <v>50</v>
      </c>
      <c r="D1705" s="1" t="s">
        <v>41</v>
      </c>
      <c r="E1705" s="3">
        <v>1999000</v>
      </c>
      <c r="F1705" s="1">
        <v>1637.1826371826301</v>
      </c>
      <c r="G1705" s="1">
        <v>4</v>
      </c>
      <c r="H1705" s="1">
        <v>2</v>
      </c>
      <c r="I1705" s="1">
        <v>3</v>
      </c>
      <c r="J1705" s="1">
        <v>0.5</v>
      </c>
      <c r="L1705" s="1">
        <v>1</v>
      </c>
      <c r="M1705" s="4">
        <v>1221</v>
      </c>
      <c r="N1705" s="1">
        <v>1350</v>
      </c>
      <c r="O1705" s="1">
        <v>1424</v>
      </c>
      <c r="P1705" s="1">
        <v>74</v>
      </c>
      <c r="Q1705" s="1" t="s">
        <v>42</v>
      </c>
      <c r="S1705" s="1" t="s">
        <v>42</v>
      </c>
      <c r="T1705" s="1" t="s">
        <v>170</v>
      </c>
      <c r="U1705" s="1">
        <v>265</v>
      </c>
      <c r="V1705" s="5">
        <v>43271</v>
      </c>
      <c r="W1705" s="5">
        <v>42613</v>
      </c>
      <c r="X1705" s="1">
        <v>2300000</v>
      </c>
      <c r="Y1705" s="1">
        <v>2300000</v>
      </c>
      <c r="AA1705" s="1">
        <v>1999000</v>
      </c>
      <c r="AB1705" s="1" t="s">
        <v>1346</v>
      </c>
      <c r="AC1705" s="5">
        <v>42878</v>
      </c>
      <c r="AF1705" s="1">
        <v>10069</v>
      </c>
      <c r="AI1705" s="1" t="s">
        <v>1347</v>
      </c>
      <c r="AJ1705" s="1">
        <v>2016</v>
      </c>
      <c r="AK1705" s="1" t="s">
        <v>73</v>
      </c>
      <c r="AL1705" s="1">
        <v>657</v>
      </c>
    </row>
    <row r="1706" spans="1:38" x14ac:dyDescent="0.2">
      <c r="A1706" s="2" t="str">
        <f>HYPERLINK("https://www.compass.com/listing/150-west-12th-street-unit-m4-manhattan-ny-10119/29367268240649473/","150 W 12th St, Unit M4")</f>
        <v>150 W 12th St, Unit M4</v>
      </c>
      <c r="B1706" s="2" t="str">
        <f>HYPERLINK("https://www.compass.com/building/the-greenwich-lane-manhattan-ny/567553885067785157/","The Greenwich Lane")</f>
        <v>The Greenwich Lane</v>
      </c>
      <c r="C1706" s="1" t="s">
        <v>71</v>
      </c>
      <c r="D1706" s="1" t="s">
        <v>41</v>
      </c>
      <c r="E1706" s="3">
        <v>16098352</v>
      </c>
      <c r="F1706" s="1">
        <v>2555.6996348626699</v>
      </c>
      <c r="G1706" s="1">
        <v>10</v>
      </c>
      <c r="H1706" s="1">
        <v>5</v>
      </c>
      <c r="I1706" s="1">
        <v>5</v>
      </c>
      <c r="J1706" s="1">
        <v>5</v>
      </c>
      <c r="K1706" s="1">
        <v>5</v>
      </c>
      <c r="M1706" s="4">
        <v>6299</v>
      </c>
      <c r="N1706" s="1">
        <v>11067</v>
      </c>
      <c r="O1706" s="1">
        <v>21913</v>
      </c>
      <c r="P1706" s="1">
        <v>10846</v>
      </c>
      <c r="Q1706" s="1" t="s">
        <v>42</v>
      </c>
      <c r="S1706" s="1" t="s">
        <v>42</v>
      </c>
      <c r="T1706" s="1" t="s">
        <v>170</v>
      </c>
      <c r="U1706" s="1">
        <v>52</v>
      </c>
      <c r="V1706" s="5">
        <v>43678</v>
      </c>
      <c r="W1706" s="5">
        <v>41625</v>
      </c>
      <c r="X1706" s="1">
        <v>15770000</v>
      </c>
      <c r="Y1706" s="1">
        <v>15770000</v>
      </c>
      <c r="Z1706" s="5">
        <v>41677</v>
      </c>
      <c r="AA1706" s="1">
        <v>16098352</v>
      </c>
      <c r="AB1706" s="1" t="s">
        <v>1348</v>
      </c>
      <c r="AC1706" s="5">
        <v>42490</v>
      </c>
      <c r="AF1706" s="1">
        <v>10119</v>
      </c>
      <c r="AI1706" s="1" t="s">
        <v>256</v>
      </c>
      <c r="AK1706" s="1" t="s">
        <v>49</v>
      </c>
      <c r="AL1706" s="1">
        <v>24</v>
      </c>
    </row>
    <row r="1707" spans="1:38" x14ac:dyDescent="0.2">
      <c r="A1707" s="2" t="str">
        <f>HYPERLINK("https://www.compass.com/listing/50-riverside-boulevard-unit-7k-manhattan-ny-10069/29396649944150369/","50 Riverside Blvd, Unit 7K")</f>
        <v>50 Riverside Blvd, Unit 7K</v>
      </c>
      <c r="B1707" s="2" t="str">
        <f t="shared" ref="B1707:B1710" si="284">HYPERLINK("https://www.compass.com/building/one-riverside-park-manhattan-ny/282041440266113253/","One Riverside Park")</f>
        <v>One Riverside Park</v>
      </c>
      <c r="C1707" s="1" t="s">
        <v>50</v>
      </c>
      <c r="D1707" s="1" t="s">
        <v>41</v>
      </c>
      <c r="E1707" s="3">
        <v>1925000</v>
      </c>
      <c r="F1707" s="1">
        <v>1872.56809338521</v>
      </c>
      <c r="G1707" s="1">
        <v>3</v>
      </c>
      <c r="H1707" s="1">
        <v>1</v>
      </c>
      <c r="I1707" s="1">
        <v>2</v>
      </c>
      <c r="J1707" s="1">
        <v>1.5</v>
      </c>
      <c r="K1707" s="1">
        <v>1</v>
      </c>
      <c r="L1707" s="1">
        <v>1</v>
      </c>
      <c r="M1707" s="4">
        <v>1028</v>
      </c>
      <c r="N1707" s="1">
        <v>1161</v>
      </c>
      <c r="O1707" s="1">
        <v>1222</v>
      </c>
      <c r="P1707" s="1">
        <v>61</v>
      </c>
      <c r="Q1707" s="1" t="s">
        <v>42</v>
      </c>
      <c r="S1707" s="1" t="s">
        <v>42</v>
      </c>
      <c r="T1707" s="1" t="s">
        <v>170</v>
      </c>
      <c r="U1707" s="1">
        <v>83</v>
      </c>
      <c r="V1707" s="5">
        <v>43659</v>
      </c>
      <c r="W1707" s="5">
        <v>43014</v>
      </c>
      <c r="X1707" s="1">
        <v>2295000</v>
      </c>
      <c r="Y1707" s="1">
        <v>1999999</v>
      </c>
      <c r="Z1707" s="5">
        <v>43097</v>
      </c>
      <c r="AA1707" s="1">
        <v>1925000</v>
      </c>
      <c r="AB1707" s="1" t="s">
        <v>1349</v>
      </c>
      <c r="AC1707" s="5">
        <v>43168</v>
      </c>
      <c r="AF1707" s="1">
        <v>10069</v>
      </c>
      <c r="AI1707" s="1" t="s">
        <v>45</v>
      </c>
      <c r="AJ1707" s="1">
        <v>2016</v>
      </c>
      <c r="AK1707" s="1" t="s">
        <v>73</v>
      </c>
      <c r="AL1707" s="1">
        <v>657</v>
      </c>
    </row>
    <row r="1708" spans="1:38" x14ac:dyDescent="0.2">
      <c r="A1708" s="2" t="str">
        <f>HYPERLINK("https://www.compass.com/listing/50-riverside-boulevard-unit-3j-manhattan-ny-10069/29513637781667329/","50 Riverside Blvd, Unit 3J")</f>
        <v>50 Riverside Blvd, Unit 3J</v>
      </c>
      <c r="B1708" s="2" t="str">
        <f t="shared" si="284"/>
        <v>One Riverside Park</v>
      </c>
      <c r="C1708" s="1" t="s">
        <v>50</v>
      </c>
      <c r="D1708" s="1" t="s">
        <v>41</v>
      </c>
      <c r="E1708" s="3">
        <v>2275000</v>
      </c>
      <c r="F1708" s="1">
        <v>1613.47517730496</v>
      </c>
      <c r="G1708" s="1">
        <v>3</v>
      </c>
      <c r="H1708" s="1">
        <v>2</v>
      </c>
      <c r="I1708" s="1">
        <v>2</v>
      </c>
      <c r="J1708" s="1">
        <v>2</v>
      </c>
      <c r="K1708" s="1">
        <v>2</v>
      </c>
      <c r="M1708" s="4">
        <v>1410</v>
      </c>
      <c r="N1708" s="1">
        <v>1637</v>
      </c>
      <c r="O1708" s="1">
        <v>1733</v>
      </c>
      <c r="P1708" s="1">
        <v>96</v>
      </c>
      <c r="Q1708" s="1" t="s">
        <v>42</v>
      </c>
      <c r="S1708" s="1" t="s">
        <v>42</v>
      </c>
      <c r="T1708" s="1" t="s">
        <v>170</v>
      </c>
      <c r="U1708" s="1">
        <v>126</v>
      </c>
      <c r="V1708" s="5">
        <v>43644</v>
      </c>
      <c r="W1708" s="5">
        <v>43271</v>
      </c>
      <c r="X1708" s="1">
        <v>2495000</v>
      </c>
      <c r="Y1708" s="1">
        <v>2495000</v>
      </c>
      <c r="Z1708" s="5">
        <v>43397</v>
      </c>
      <c r="AA1708" s="1">
        <v>2275000</v>
      </c>
      <c r="AB1708" s="1" t="s">
        <v>1350</v>
      </c>
      <c r="AC1708" s="5">
        <v>43489</v>
      </c>
      <c r="AF1708" s="1">
        <v>10069</v>
      </c>
      <c r="AI1708" s="1" t="s">
        <v>74</v>
      </c>
      <c r="AJ1708" s="1">
        <v>2016</v>
      </c>
      <c r="AK1708" s="1" t="s">
        <v>73</v>
      </c>
      <c r="AL1708" s="1">
        <v>657</v>
      </c>
    </row>
    <row r="1709" spans="1:38" x14ac:dyDescent="0.2">
      <c r="A1709" s="2" t="str">
        <f>HYPERLINK("https://www.compass.com/listing/50-riverside-boulevard-unit-4n-manhattan-ny-10069/348249448157055777/","50 Riverside Blvd, Unit 4N")</f>
        <v>50 Riverside Blvd, Unit 4N</v>
      </c>
      <c r="B1709" s="2" t="str">
        <f t="shared" si="284"/>
        <v>One Riverside Park</v>
      </c>
      <c r="C1709" s="1" t="s">
        <v>50</v>
      </c>
      <c r="D1709" s="1" t="s">
        <v>41</v>
      </c>
      <c r="E1709" s="3">
        <v>1395000</v>
      </c>
      <c r="F1709" s="1">
        <v>1517.95429815016</v>
      </c>
      <c r="G1709" s="1">
        <v>4</v>
      </c>
      <c r="H1709" s="1">
        <v>1</v>
      </c>
      <c r="I1709" s="1">
        <v>2</v>
      </c>
      <c r="J1709" s="1">
        <v>1.5</v>
      </c>
      <c r="K1709" s="1">
        <v>1</v>
      </c>
      <c r="L1709" s="1">
        <v>1</v>
      </c>
      <c r="M1709" s="1">
        <v>919</v>
      </c>
      <c r="N1709" s="1">
        <v>1017</v>
      </c>
      <c r="O1709" s="1">
        <v>1074</v>
      </c>
      <c r="P1709" s="1">
        <v>57</v>
      </c>
      <c r="Q1709" s="1" t="s">
        <v>42</v>
      </c>
      <c r="S1709" s="1" t="s">
        <v>42</v>
      </c>
      <c r="T1709" s="1" t="s">
        <v>170</v>
      </c>
      <c r="U1709" s="1">
        <v>160</v>
      </c>
      <c r="V1709" s="5">
        <v>44103</v>
      </c>
      <c r="W1709" s="5">
        <v>43732</v>
      </c>
      <c r="X1709" s="1">
        <v>1599000</v>
      </c>
      <c r="Y1709" s="1">
        <v>1495000</v>
      </c>
      <c r="Z1709" s="5">
        <v>44055</v>
      </c>
      <c r="AA1709" s="1">
        <v>1395000</v>
      </c>
      <c r="AB1709" s="1" t="s">
        <v>1351</v>
      </c>
      <c r="AC1709" s="5">
        <v>44102</v>
      </c>
      <c r="AF1709" s="1">
        <v>10069</v>
      </c>
      <c r="AI1709" s="1" t="s">
        <v>45</v>
      </c>
      <c r="AJ1709" s="1">
        <v>2016</v>
      </c>
      <c r="AK1709" s="1" t="s">
        <v>73</v>
      </c>
      <c r="AL1709" s="1">
        <v>657</v>
      </c>
    </row>
    <row r="1710" spans="1:38" x14ac:dyDescent="0.2">
      <c r="A1710" s="2" t="str">
        <f>HYPERLINK("https://www.compass.com/listing/50-riverside-boulevard-unit-7p-manhattan-ny-10069/803336193181762721/","50 Riverside Blvd, Unit 7P")</f>
        <v>50 Riverside Blvd, Unit 7P</v>
      </c>
      <c r="B1710" s="2" t="str">
        <f t="shared" si="284"/>
        <v>One Riverside Park</v>
      </c>
      <c r="C1710" s="1" t="s">
        <v>50</v>
      </c>
      <c r="D1710" s="1" t="s">
        <v>41</v>
      </c>
      <c r="E1710" s="3">
        <v>1800000</v>
      </c>
      <c r="F1710" s="1">
        <v>2093.0232558139501</v>
      </c>
      <c r="G1710" s="1">
        <v>99</v>
      </c>
      <c r="H1710" s="1">
        <v>1</v>
      </c>
      <c r="I1710" s="1">
        <v>2</v>
      </c>
      <c r="J1710" s="1">
        <v>1.5</v>
      </c>
      <c r="M1710" s="1">
        <v>860</v>
      </c>
      <c r="N1710" s="1">
        <v>953</v>
      </c>
      <c r="O1710" s="1">
        <v>1006</v>
      </c>
      <c r="P1710" s="1">
        <v>53</v>
      </c>
      <c r="Q1710" s="1" t="s">
        <v>42</v>
      </c>
      <c r="S1710" s="1" t="s">
        <v>42</v>
      </c>
      <c r="T1710" s="1" t="s">
        <v>170</v>
      </c>
      <c r="U1710" s="1">
        <v>90</v>
      </c>
      <c r="V1710" s="5">
        <v>42986</v>
      </c>
      <c r="W1710" s="5">
        <v>42896</v>
      </c>
      <c r="X1710" s="1">
        <v>1800000</v>
      </c>
      <c r="Y1710" s="1">
        <v>1800000</v>
      </c>
      <c r="AB1710" s="1" t="s">
        <v>181</v>
      </c>
      <c r="AC1710" s="5">
        <v>42986</v>
      </c>
      <c r="AF1710" s="1">
        <v>10069</v>
      </c>
      <c r="AI1710" s="1" t="s">
        <v>45</v>
      </c>
      <c r="AJ1710" s="1">
        <v>2016</v>
      </c>
      <c r="AK1710" s="1" t="s">
        <v>73</v>
      </c>
      <c r="AL1710" s="1">
        <v>657</v>
      </c>
    </row>
    <row r="1711" spans="1:38" x14ac:dyDescent="0.2">
      <c r="A1711" s="2" t="str">
        <f>HYPERLINK("https://www.compass.com/listing/150-west-12th-street-unit-m5-manhattan-ny-10119/29513600326530657/","150 W 12th St, Unit M5")</f>
        <v>150 W 12th St, Unit M5</v>
      </c>
      <c r="B1711" s="2" t="str">
        <f t="shared" ref="B1711:B1714" si="285">HYPERLINK("https://www.compass.com/building/the-greenwich-lane-manhattan-ny/567553885067785157/","The Greenwich Lane")</f>
        <v>The Greenwich Lane</v>
      </c>
      <c r="C1711" s="1" t="s">
        <v>71</v>
      </c>
      <c r="D1711" s="1" t="s">
        <v>41</v>
      </c>
      <c r="E1711" s="3">
        <v>14342736</v>
      </c>
      <c r="F1711" s="1">
        <v>2510.10430521526</v>
      </c>
      <c r="G1711" s="1">
        <v>10</v>
      </c>
      <c r="H1711" s="1">
        <v>5</v>
      </c>
      <c r="I1711" s="1">
        <v>5</v>
      </c>
      <c r="J1711" s="1">
        <v>5</v>
      </c>
      <c r="K1711" s="1">
        <v>5</v>
      </c>
      <c r="M1711" s="4">
        <v>5714</v>
      </c>
      <c r="N1711" s="1">
        <v>9913</v>
      </c>
      <c r="O1711" s="1">
        <v>19629</v>
      </c>
      <c r="P1711" s="1">
        <v>9716</v>
      </c>
      <c r="Q1711" s="1" t="s">
        <v>42</v>
      </c>
      <c r="S1711" s="1" t="s">
        <v>42</v>
      </c>
      <c r="T1711" s="1" t="s">
        <v>170</v>
      </c>
      <c r="U1711" s="1">
        <v>39</v>
      </c>
      <c r="V1711" s="5">
        <v>43678</v>
      </c>
      <c r="W1711" s="5">
        <v>41586</v>
      </c>
      <c r="X1711" s="1">
        <v>14050000</v>
      </c>
      <c r="Y1711" s="1">
        <v>14050000</v>
      </c>
      <c r="Z1711" s="5">
        <v>41685</v>
      </c>
      <c r="AA1711" s="1">
        <v>14342736</v>
      </c>
      <c r="AB1711" s="1" t="s">
        <v>1352</v>
      </c>
      <c r="AC1711" s="5">
        <v>42486</v>
      </c>
      <c r="AF1711" s="1">
        <v>10119</v>
      </c>
      <c r="AI1711" s="1" t="s">
        <v>72</v>
      </c>
      <c r="AK1711" s="1" t="s">
        <v>49</v>
      </c>
      <c r="AL1711" s="1">
        <v>24</v>
      </c>
    </row>
    <row r="1712" spans="1:38" x14ac:dyDescent="0.2">
      <c r="A1712" s="2" t="str">
        <f>HYPERLINK("https://www.compass.com/listing/150-west-12th-street-unit-6-east-manhattan-ny-10119/192573301019656833/","150 W 12th St, Unit 6 EAST")</f>
        <v>150 W 12th St, Unit 6 EAST</v>
      </c>
      <c r="B1712" s="2" t="str">
        <f t="shared" si="285"/>
        <v>The Greenwich Lane</v>
      </c>
      <c r="C1712" s="1" t="s">
        <v>71</v>
      </c>
      <c r="D1712" s="1" t="s">
        <v>41</v>
      </c>
      <c r="E1712" s="3">
        <v>6224380</v>
      </c>
      <c r="F1712" s="1">
        <v>3014.2276029055602</v>
      </c>
      <c r="G1712" s="1">
        <v>2.5</v>
      </c>
      <c r="H1712" s="1">
        <v>2</v>
      </c>
      <c r="I1712" s="1">
        <v>2</v>
      </c>
      <c r="J1712" s="1">
        <v>2</v>
      </c>
      <c r="K1712" s="1">
        <v>2</v>
      </c>
      <c r="M1712" s="4">
        <v>2065</v>
      </c>
      <c r="N1712" s="1">
        <v>3564</v>
      </c>
      <c r="O1712" s="1">
        <v>7057</v>
      </c>
      <c r="P1712" s="1">
        <v>3493</v>
      </c>
      <c r="Q1712" s="1" t="s">
        <v>42</v>
      </c>
      <c r="S1712" s="1" t="s">
        <v>42</v>
      </c>
      <c r="T1712" s="1" t="s">
        <v>170</v>
      </c>
      <c r="V1712" s="5">
        <v>43679</v>
      </c>
      <c r="W1712" s="5">
        <v>41628</v>
      </c>
      <c r="X1712" s="1">
        <v>6100000</v>
      </c>
      <c r="Y1712" s="1">
        <v>6100000</v>
      </c>
      <c r="Z1712" s="5">
        <v>41628</v>
      </c>
      <c r="AA1712" s="1">
        <v>6224380</v>
      </c>
      <c r="AB1712" s="1" t="s">
        <v>181</v>
      </c>
      <c r="AC1712" s="5">
        <v>42454</v>
      </c>
      <c r="AF1712" s="1">
        <v>10119</v>
      </c>
      <c r="AI1712" s="1" t="s">
        <v>59</v>
      </c>
      <c r="AK1712" s="1" t="s">
        <v>49</v>
      </c>
      <c r="AL1712" s="1">
        <v>24</v>
      </c>
    </row>
    <row r="1713" spans="1:38" x14ac:dyDescent="0.2">
      <c r="A1713" s="2" t="str">
        <f>HYPERLINK("https://www.compass.com/listing/150-west-12th-street-unit-9-east-manhattan-ny-10119/4852325888181669073/","150 W 12th St, Unit 9 EAST")</f>
        <v>150 W 12th St, Unit 9 EAST</v>
      </c>
      <c r="B1713" s="2" t="str">
        <f t="shared" si="285"/>
        <v>The Greenwich Lane</v>
      </c>
      <c r="C1713" s="1" t="s">
        <v>71</v>
      </c>
      <c r="D1713" s="1" t="s">
        <v>41</v>
      </c>
      <c r="E1713" s="3">
        <v>6850000</v>
      </c>
      <c r="F1713" s="1">
        <v>3317.1912832929702</v>
      </c>
      <c r="G1713" s="1">
        <v>4</v>
      </c>
      <c r="H1713" s="1">
        <v>2</v>
      </c>
      <c r="I1713" s="1">
        <v>2</v>
      </c>
      <c r="J1713" s="1">
        <v>2</v>
      </c>
      <c r="K1713" s="1">
        <v>2</v>
      </c>
      <c r="M1713" s="4">
        <v>2065</v>
      </c>
      <c r="N1713" s="1">
        <v>3616</v>
      </c>
      <c r="O1713" s="1">
        <v>7160</v>
      </c>
      <c r="P1713" s="1">
        <v>3544</v>
      </c>
      <c r="Q1713" s="1" t="s">
        <v>42</v>
      </c>
      <c r="S1713" s="1" t="s">
        <v>42</v>
      </c>
      <c r="T1713" s="1" t="s">
        <v>170</v>
      </c>
      <c r="V1713" s="5">
        <v>43678</v>
      </c>
      <c r="W1713" s="5">
        <v>41623</v>
      </c>
      <c r="X1713" s="1">
        <v>6785000</v>
      </c>
      <c r="Y1713" s="1">
        <v>6785000</v>
      </c>
      <c r="Z1713" s="5">
        <v>41623</v>
      </c>
      <c r="AA1713" s="1">
        <v>6850000</v>
      </c>
      <c r="AB1713" s="1" t="s">
        <v>181</v>
      </c>
      <c r="AC1713" s="5">
        <v>43050</v>
      </c>
      <c r="AF1713" s="1">
        <v>10119</v>
      </c>
      <c r="AI1713" s="1" t="s">
        <v>59</v>
      </c>
      <c r="AK1713" s="1" t="s">
        <v>152</v>
      </c>
      <c r="AL1713" s="1">
        <v>24</v>
      </c>
    </row>
    <row r="1714" spans="1:38" x14ac:dyDescent="0.2">
      <c r="A1714" s="2" t="str">
        <f>HYPERLINK("https://www.compass.com/listing/150-west-12th-street-unit-5-east-manhattan-ny-10119/192573402807051425/","150 W 12th St, Unit 5 EAST")</f>
        <v>150 W 12th St, Unit 5 EAST</v>
      </c>
      <c r="B1714" s="2" t="str">
        <f t="shared" si="285"/>
        <v>The Greenwich Lane</v>
      </c>
      <c r="C1714" s="1" t="s">
        <v>71</v>
      </c>
      <c r="D1714" s="1" t="s">
        <v>41</v>
      </c>
      <c r="E1714" s="3">
        <v>7243250</v>
      </c>
      <c r="F1714" s="1">
        <v>3507.6271186440599</v>
      </c>
      <c r="G1714" s="1">
        <v>4</v>
      </c>
      <c r="H1714" s="1">
        <v>2</v>
      </c>
      <c r="I1714" s="1">
        <v>2</v>
      </c>
      <c r="J1714" s="1">
        <v>2</v>
      </c>
      <c r="K1714" s="1">
        <v>2</v>
      </c>
      <c r="M1714" s="4">
        <v>2065</v>
      </c>
      <c r="N1714" s="1">
        <v>3733</v>
      </c>
      <c r="O1714" s="1">
        <v>7392</v>
      </c>
      <c r="P1714" s="1">
        <v>3659</v>
      </c>
      <c r="Q1714" s="1" t="s">
        <v>42</v>
      </c>
      <c r="S1714" s="1" t="s">
        <v>42</v>
      </c>
      <c r="T1714" s="1" t="s">
        <v>170</v>
      </c>
      <c r="V1714" s="5">
        <v>43679</v>
      </c>
      <c r="W1714" s="5">
        <v>41623</v>
      </c>
      <c r="X1714" s="1">
        <v>7100000</v>
      </c>
      <c r="Y1714" s="1">
        <v>7100000</v>
      </c>
      <c r="Z1714" s="5">
        <v>41623</v>
      </c>
      <c r="AA1714" s="1">
        <v>7243250</v>
      </c>
      <c r="AB1714" s="1" t="s">
        <v>181</v>
      </c>
      <c r="AC1714" s="5">
        <v>42454</v>
      </c>
      <c r="AF1714" s="1">
        <v>10119</v>
      </c>
      <c r="AI1714" s="1" t="s">
        <v>72</v>
      </c>
      <c r="AK1714" s="1" t="s">
        <v>49</v>
      </c>
      <c r="AL1714" s="1">
        <v>24</v>
      </c>
    </row>
    <row r="1715" spans="1:38" x14ac:dyDescent="0.2">
      <c r="A1715" s="2" t="str">
        <f>HYPERLINK("https://www.compass.com/listing/50-riverside-boulevard-unit-j6-manhattan-ny-10069/619333201122596409/","50 Riverside Blvd, Unit J6")</f>
        <v>50 Riverside Blvd, Unit J6</v>
      </c>
      <c r="B1715" s="2" t="str">
        <f t="shared" ref="B1715:B1719" si="286">HYPERLINK("https://www.compass.com/building/one-riverside-park-manhattan-ny/282041440266113253/","One Riverside Park")</f>
        <v>One Riverside Park</v>
      </c>
      <c r="C1715" s="1" t="s">
        <v>50</v>
      </c>
      <c r="D1715" s="1" t="s">
        <v>41</v>
      </c>
      <c r="E1715" s="3">
        <v>1850000</v>
      </c>
      <c r="F1715" s="1">
        <v>1320.4853675945701</v>
      </c>
      <c r="G1715" s="1">
        <v>6</v>
      </c>
      <c r="H1715" s="1">
        <v>2</v>
      </c>
      <c r="J1715" s="1">
        <v>2</v>
      </c>
      <c r="M1715" s="4">
        <v>1401</v>
      </c>
      <c r="N1715" s="1">
        <v>1562</v>
      </c>
      <c r="O1715" s="1">
        <v>1645</v>
      </c>
      <c r="P1715" s="1">
        <v>83</v>
      </c>
      <c r="S1715" s="1" t="s">
        <v>42</v>
      </c>
      <c r="T1715" s="1" t="s">
        <v>170</v>
      </c>
      <c r="U1715" s="1">
        <v>21</v>
      </c>
      <c r="V1715" s="5">
        <v>44247</v>
      </c>
      <c r="W1715" s="5">
        <v>44105</v>
      </c>
      <c r="X1715" s="1">
        <v>1850000</v>
      </c>
      <c r="Y1715" s="1">
        <v>1850000</v>
      </c>
      <c r="Z1715" s="5">
        <v>44126</v>
      </c>
      <c r="AA1715" s="1">
        <v>1850000</v>
      </c>
      <c r="AB1715" s="1" t="s">
        <v>181</v>
      </c>
      <c r="AC1715" s="5">
        <v>44186</v>
      </c>
      <c r="AF1715" s="1">
        <v>10069</v>
      </c>
      <c r="AI1715" s="1" t="s">
        <v>109</v>
      </c>
      <c r="AJ1715" s="1">
        <v>2016</v>
      </c>
      <c r="AK1715" s="1" t="s">
        <v>73</v>
      </c>
      <c r="AL1715" s="1">
        <v>657</v>
      </c>
    </row>
    <row r="1716" spans="1:38" x14ac:dyDescent="0.2">
      <c r="A1716" s="2" t="str">
        <f>HYPERLINK("https://www.compass.com/listing/50-riverside-boulevard-unit-3d-manhattan-ny-10069/29396615919934641/","50 Riverside Blvd, Unit 3D")</f>
        <v>50 Riverside Blvd, Unit 3D</v>
      </c>
      <c r="B1716" s="2" t="str">
        <f t="shared" si="286"/>
        <v>One Riverside Park</v>
      </c>
      <c r="C1716" s="1" t="s">
        <v>50</v>
      </c>
      <c r="D1716" s="1" t="s">
        <v>41</v>
      </c>
      <c r="E1716" s="3">
        <v>2030318</v>
      </c>
      <c r="F1716" s="1">
        <v>1559.38402457757</v>
      </c>
      <c r="G1716" s="1">
        <v>4</v>
      </c>
      <c r="H1716" s="1">
        <v>2</v>
      </c>
      <c r="I1716" s="1">
        <v>2</v>
      </c>
      <c r="J1716" s="1">
        <v>2</v>
      </c>
      <c r="K1716" s="1">
        <v>2</v>
      </c>
      <c r="M1716" s="4">
        <v>1302</v>
      </c>
      <c r="N1716" s="1">
        <v>1440</v>
      </c>
      <c r="O1716" s="1">
        <v>1520</v>
      </c>
      <c r="P1716" s="1">
        <v>80</v>
      </c>
      <c r="Q1716" s="1" t="s">
        <v>42</v>
      </c>
      <c r="S1716" s="1" t="s">
        <v>42</v>
      </c>
      <c r="T1716" s="1" t="s">
        <v>170</v>
      </c>
      <c r="U1716" s="1">
        <v>113</v>
      </c>
      <c r="V1716" s="5">
        <v>43650</v>
      </c>
      <c r="W1716" s="5">
        <v>41753</v>
      </c>
      <c r="X1716" s="1">
        <v>1990000</v>
      </c>
      <c r="Y1716" s="1">
        <v>1990000</v>
      </c>
      <c r="Z1716" s="5">
        <v>41866</v>
      </c>
      <c r="AA1716" s="1">
        <v>2030318</v>
      </c>
      <c r="AB1716" s="1" t="s">
        <v>1353</v>
      </c>
      <c r="AC1716" s="5">
        <v>42258</v>
      </c>
      <c r="AF1716" s="1">
        <v>10069</v>
      </c>
      <c r="AI1716" s="1" t="s">
        <v>45</v>
      </c>
      <c r="AJ1716" s="1">
        <v>2016</v>
      </c>
      <c r="AK1716" s="1" t="s">
        <v>73</v>
      </c>
      <c r="AL1716" s="1">
        <v>657</v>
      </c>
    </row>
    <row r="1717" spans="1:38" x14ac:dyDescent="0.2">
      <c r="A1717" s="2" t="str">
        <f>HYPERLINK("https://www.compass.com/listing/50-riverside-boulevard-unit-4e-manhattan-ny-10069/29396622966324513/","50 Riverside Blvd, Unit 4E")</f>
        <v>50 Riverside Blvd, Unit 4E</v>
      </c>
      <c r="B1717" s="2" t="str">
        <f t="shared" si="286"/>
        <v>One Riverside Park</v>
      </c>
      <c r="C1717" s="1" t="s">
        <v>50</v>
      </c>
      <c r="D1717" s="1" t="s">
        <v>41</v>
      </c>
      <c r="E1717" s="3">
        <v>2102282</v>
      </c>
      <c r="F1717" s="1">
        <v>1531.15950473415</v>
      </c>
      <c r="G1717" s="1">
        <v>4</v>
      </c>
      <c r="H1717" s="1">
        <v>2</v>
      </c>
      <c r="I1717" s="1">
        <v>2</v>
      </c>
      <c r="J1717" s="1">
        <v>2</v>
      </c>
      <c r="K1717" s="1">
        <v>2</v>
      </c>
      <c r="M1717" s="4">
        <v>1373</v>
      </c>
      <c r="N1717" s="1">
        <v>1519</v>
      </c>
      <c r="O1717" s="1">
        <v>1603</v>
      </c>
      <c r="P1717" s="1">
        <v>84</v>
      </c>
      <c r="Q1717" s="1" t="s">
        <v>42</v>
      </c>
      <c r="S1717" s="1" t="s">
        <v>42</v>
      </c>
      <c r="T1717" s="1" t="s">
        <v>170</v>
      </c>
      <c r="U1717" s="1">
        <v>192</v>
      </c>
      <c r="V1717" s="5">
        <v>43650</v>
      </c>
      <c r="W1717" s="5">
        <v>41657</v>
      </c>
      <c r="X1717" s="1">
        <v>2050000</v>
      </c>
      <c r="Y1717" s="1">
        <v>2050000</v>
      </c>
      <c r="Z1717" s="5">
        <v>41849</v>
      </c>
      <c r="AA1717" s="1">
        <v>2102282</v>
      </c>
      <c r="AB1717" s="1" t="s">
        <v>1354</v>
      </c>
      <c r="AC1717" s="5">
        <v>42286</v>
      </c>
      <c r="AF1717" s="1">
        <v>10069</v>
      </c>
      <c r="AI1717" s="1" t="s">
        <v>45</v>
      </c>
      <c r="AJ1717" s="1">
        <v>2016</v>
      </c>
      <c r="AK1717" s="1" t="s">
        <v>73</v>
      </c>
      <c r="AL1717" s="1">
        <v>657</v>
      </c>
    </row>
    <row r="1718" spans="1:38" x14ac:dyDescent="0.2">
      <c r="A1718" s="2" t="str">
        <f>HYPERLINK("https://www.compass.com/listing/50-riverside-boulevard-unit-6g-manhattan-ny-10069/29396631623430097/","50 Riverside Blvd, Unit 6G")</f>
        <v>50 Riverside Blvd, Unit 6G</v>
      </c>
      <c r="B1718" s="2" t="str">
        <f t="shared" si="286"/>
        <v>One Riverside Park</v>
      </c>
      <c r="C1718" s="1" t="s">
        <v>50</v>
      </c>
      <c r="D1718" s="1" t="s">
        <v>41</v>
      </c>
      <c r="E1718" s="3">
        <v>2020135</v>
      </c>
      <c r="F1718" s="1">
        <v>1379.8736338797801</v>
      </c>
      <c r="G1718" s="1">
        <v>3</v>
      </c>
      <c r="H1718" s="1">
        <v>2</v>
      </c>
      <c r="I1718" s="1">
        <v>2</v>
      </c>
      <c r="J1718" s="1">
        <v>2</v>
      </c>
      <c r="K1718" s="1">
        <v>2</v>
      </c>
      <c r="M1718" s="4">
        <v>1464</v>
      </c>
      <c r="N1718" s="1">
        <v>1621</v>
      </c>
      <c r="O1718" s="1">
        <v>1711</v>
      </c>
      <c r="P1718" s="1">
        <v>90</v>
      </c>
      <c r="Q1718" s="1" t="s">
        <v>42</v>
      </c>
      <c r="S1718" s="1" t="s">
        <v>42</v>
      </c>
      <c r="T1718" s="1" t="s">
        <v>170</v>
      </c>
      <c r="U1718" s="1">
        <v>180</v>
      </c>
      <c r="V1718" s="5">
        <v>43650</v>
      </c>
      <c r="W1718" s="5">
        <v>41774</v>
      </c>
      <c r="X1718" s="1">
        <v>1980000</v>
      </c>
      <c r="Y1718" s="1">
        <v>1980000</v>
      </c>
      <c r="Z1718" s="5">
        <v>41954</v>
      </c>
      <c r="AA1718" s="1">
        <v>2020135</v>
      </c>
      <c r="AB1718" s="1" t="s">
        <v>1355</v>
      </c>
      <c r="AC1718" s="5">
        <v>42256</v>
      </c>
      <c r="AF1718" s="1">
        <v>10069</v>
      </c>
      <c r="AI1718" s="1" t="s">
        <v>45</v>
      </c>
      <c r="AJ1718" s="1">
        <v>2016</v>
      </c>
      <c r="AK1718" s="1" t="s">
        <v>73</v>
      </c>
      <c r="AL1718" s="1">
        <v>657</v>
      </c>
    </row>
    <row r="1719" spans="1:38" x14ac:dyDescent="0.2">
      <c r="A1719" s="2" t="str">
        <f>HYPERLINK("https://www.compass.com/listing/50-riverside-boulevard-unit-4m-manhattan-ny-10069/29396657275731873/","50 Riverside Blvd, Unit 4M")</f>
        <v>50 Riverside Blvd, Unit 4M</v>
      </c>
      <c r="B1719" s="2" t="str">
        <f t="shared" si="286"/>
        <v>One Riverside Park</v>
      </c>
      <c r="C1719" s="1" t="s">
        <v>50</v>
      </c>
      <c r="D1719" s="1" t="s">
        <v>41</v>
      </c>
      <c r="E1719" s="3">
        <v>2071048</v>
      </c>
      <c r="F1719" s="1">
        <v>1587.0099616858199</v>
      </c>
      <c r="G1719" s="1">
        <v>4</v>
      </c>
      <c r="H1719" s="1">
        <v>2</v>
      </c>
      <c r="I1719" s="1">
        <v>2</v>
      </c>
      <c r="J1719" s="1">
        <v>2</v>
      </c>
      <c r="K1719" s="1">
        <v>2</v>
      </c>
      <c r="M1719" s="4">
        <v>1305</v>
      </c>
      <c r="N1719" s="1">
        <v>1444</v>
      </c>
      <c r="O1719" s="1">
        <v>1524</v>
      </c>
      <c r="P1719" s="1">
        <v>80</v>
      </c>
      <c r="Q1719" s="1" t="s">
        <v>42</v>
      </c>
      <c r="S1719" s="1" t="s">
        <v>42</v>
      </c>
      <c r="T1719" s="1" t="s">
        <v>170</v>
      </c>
      <c r="U1719" s="1">
        <v>56</v>
      </c>
      <c r="V1719" s="5">
        <v>43651</v>
      </c>
      <c r="W1719" s="5">
        <v>41753</v>
      </c>
      <c r="X1719" s="1">
        <v>2030000</v>
      </c>
      <c r="Y1719" s="1">
        <v>2030000</v>
      </c>
      <c r="Z1719" s="5">
        <v>41809</v>
      </c>
      <c r="AA1719" s="1">
        <v>2071048</v>
      </c>
      <c r="AB1719" s="1" t="s">
        <v>1356</v>
      </c>
      <c r="AC1719" s="5">
        <v>42230</v>
      </c>
      <c r="AF1719" s="1">
        <v>10069</v>
      </c>
      <c r="AI1719" s="1" t="s">
        <v>45</v>
      </c>
      <c r="AJ1719" s="1">
        <v>2016</v>
      </c>
      <c r="AK1719" s="1" t="s">
        <v>73</v>
      </c>
      <c r="AL1719" s="1">
        <v>657</v>
      </c>
    </row>
    <row r="1720" spans="1:38" x14ac:dyDescent="0.2">
      <c r="A1720" s="2" t="str">
        <f>HYPERLINK("https://www.compass.com/listing/150-west-12th-street-unit-10-west-manhattan-ny-10119/4852326933452562001/","150 W 12th St, Unit 10 WEST")</f>
        <v>150 W 12th St, Unit 10 WEST</v>
      </c>
      <c r="B1720" s="2" t="str">
        <f>HYPERLINK("https://www.compass.com/building/the-greenwich-lane-manhattan-ny/567553885067785157/","The Greenwich Lane")</f>
        <v>The Greenwich Lane</v>
      </c>
      <c r="C1720" s="1" t="s">
        <v>71</v>
      </c>
      <c r="D1720" s="1" t="s">
        <v>41</v>
      </c>
      <c r="E1720" s="3">
        <v>6306186</v>
      </c>
      <c r="F1720" s="1">
        <v>3033.27849927849</v>
      </c>
      <c r="G1720" s="1">
        <v>4</v>
      </c>
      <c r="H1720" s="1">
        <v>2</v>
      </c>
      <c r="I1720" s="1">
        <v>2</v>
      </c>
      <c r="J1720" s="1">
        <v>2</v>
      </c>
      <c r="K1720" s="1">
        <v>2</v>
      </c>
      <c r="M1720" s="4">
        <v>2079</v>
      </c>
      <c r="N1720" s="1">
        <v>3658</v>
      </c>
      <c r="O1720" s="1">
        <v>7244</v>
      </c>
      <c r="P1720" s="1">
        <v>3586</v>
      </c>
      <c r="Q1720" s="1" t="s">
        <v>42</v>
      </c>
      <c r="S1720" s="1" t="s">
        <v>42</v>
      </c>
      <c r="T1720" s="1" t="s">
        <v>170</v>
      </c>
      <c r="V1720" s="5">
        <v>43678</v>
      </c>
      <c r="W1720" s="5">
        <v>41623</v>
      </c>
      <c r="X1720" s="1">
        <v>6735000</v>
      </c>
      <c r="Y1720" s="1">
        <v>6735000</v>
      </c>
      <c r="Z1720" s="5">
        <v>41623</v>
      </c>
      <c r="AA1720" s="1">
        <v>6306186</v>
      </c>
      <c r="AB1720" s="1" t="s">
        <v>181</v>
      </c>
      <c r="AC1720" s="5">
        <v>42434</v>
      </c>
      <c r="AF1720" s="1">
        <v>10119</v>
      </c>
      <c r="AI1720" s="1" t="s">
        <v>59</v>
      </c>
      <c r="AK1720" s="1" t="s">
        <v>49</v>
      </c>
      <c r="AL1720" s="1">
        <v>24</v>
      </c>
    </row>
    <row r="1721" spans="1:38" x14ac:dyDescent="0.2">
      <c r="A1721" s="2" t="str">
        <f>HYPERLINK("https://www.compass.com/listing/50-riverside-boulevard-unit-10b-manhattan-ny-10069/29641124792502721/","50 Riverside Blvd, Unit 10B")</f>
        <v>50 Riverside Blvd, Unit 10B</v>
      </c>
      <c r="B1721" s="2" t="str">
        <f t="shared" ref="B1721:B1722" si="287">HYPERLINK("https://www.compass.com/building/one-riverside-park-manhattan-ny/282041440266113253/","One Riverside Park")</f>
        <v>One Riverside Park</v>
      </c>
      <c r="C1721" s="1" t="s">
        <v>50</v>
      </c>
      <c r="D1721" s="1" t="s">
        <v>41</v>
      </c>
      <c r="E1721" s="3">
        <v>2668000</v>
      </c>
      <c r="F1721" s="1">
        <v>1974.8334566987401</v>
      </c>
      <c r="G1721" s="1">
        <v>4</v>
      </c>
      <c r="H1721" s="1">
        <v>2</v>
      </c>
      <c r="I1721" s="1">
        <v>2</v>
      </c>
      <c r="J1721" s="1">
        <v>2</v>
      </c>
      <c r="K1721" s="1">
        <v>2</v>
      </c>
      <c r="M1721" s="4">
        <v>1351</v>
      </c>
      <c r="N1721" s="1">
        <v>1499</v>
      </c>
      <c r="O1721" s="1">
        <v>1563</v>
      </c>
      <c r="P1721" s="1">
        <v>64</v>
      </c>
      <c r="Q1721" s="1" t="s">
        <v>42</v>
      </c>
      <c r="S1721" s="1" t="s">
        <v>42</v>
      </c>
      <c r="T1721" s="1" t="s">
        <v>170</v>
      </c>
      <c r="U1721" s="1">
        <v>21</v>
      </c>
      <c r="V1721" s="5">
        <v>43669</v>
      </c>
      <c r="W1721" s="5">
        <v>43596</v>
      </c>
      <c r="X1721" s="1">
        <v>2695000</v>
      </c>
      <c r="Y1721" s="1">
        <v>2695000</v>
      </c>
      <c r="Z1721" s="5">
        <v>43617</v>
      </c>
      <c r="AA1721" s="1">
        <v>2668000</v>
      </c>
      <c r="AB1721" s="1" t="s">
        <v>1357</v>
      </c>
      <c r="AC1721" s="5">
        <v>43644</v>
      </c>
      <c r="AF1721" s="1">
        <v>10069</v>
      </c>
      <c r="AI1721" s="1" t="s">
        <v>45</v>
      </c>
      <c r="AJ1721" s="1">
        <v>2016</v>
      </c>
      <c r="AK1721" s="1" t="s">
        <v>73</v>
      </c>
      <c r="AL1721" s="1">
        <v>657</v>
      </c>
    </row>
    <row r="1722" spans="1:38" x14ac:dyDescent="0.2">
      <c r="A1722" s="2" t="str">
        <f>HYPERLINK("https://www.compass.com/listing/50-riverside-boulevard-unit-6j-manhattan-ny-10069/803354290823573977/","50 Riverside Blvd, Unit 6J")</f>
        <v>50 Riverside Blvd, Unit 6J</v>
      </c>
      <c r="B1722" s="2" t="str">
        <f t="shared" si="287"/>
        <v>One Riverside Park</v>
      </c>
      <c r="C1722" s="1" t="s">
        <v>50</v>
      </c>
      <c r="D1722" s="1" t="s">
        <v>41</v>
      </c>
      <c r="E1722" s="3">
        <v>1750000</v>
      </c>
      <c r="F1722" s="1">
        <v>1241.1347517730401</v>
      </c>
      <c r="G1722" s="1">
        <v>4</v>
      </c>
      <c r="H1722" s="1">
        <v>2</v>
      </c>
      <c r="I1722" s="1">
        <v>2</v>
      </c>
      <c r="J1722" s="1">
        <v>2</v>
      </c>
      <c r="K1722" s="1">
        <v>2</v>
      </c>
      <c r="M1722" s="4">
        <v>1410</v>
      </c>
      <c r="N1722" s="1">
        <v>1562</v>
      </c>
      <c r="O1722" s="1">
        <v>1645</v>
      </c>
      <c r="P1722" s="1">
        <v>83</v>
      </c>
      <c r="Q1722" s="1" t="s">
        <v>42</v>
      </c>
      <c r="S1722" s="1" t="s">
        <v>42</v>
      </c>
      <c r="T1722" s="1" t="s">
        <v>170</v>
      </c>
      <c r="U1722" s="1">
        <v>125</v>
      </c>
      <c r="V1722" s="5">
        <v>44225</v>
      </c>
      <c r="W1722" s="5">
        <v>43895</v>
      </c>
      <c r="X1722" s="1">
        <v>2000000</v>
      </c>
      <c r="Y1722" s="1">
        <v>1850000</v>
      </c>
      <c r="Z1722" s="5">
        <v>44127</v>
      </c>
      <c r="AA1722" s="1">
        <v>1750000</v>
      </c>
      <c r="AB1722" s="1" t="s">
        <v>1358</v>
      </c>
      <c r="AC1722" s="5">
        <v>44183</v>
      </c>
      <c r="AF1722" s="1">
        <v>10069</v>
      </c>
      <c r="AI1722" s="1" t="s">
        <v>303</v>
      </c>
      <c r="AJ1722" s="1">
        <v>2016</v>
      </c>
      <c r="AK1722" s="1" t="s">
        <v>46</v>
      </c>
      <c r="AL1722" s="1">
        <v>657</v>
      </c>
    </row>
    <row r="1723" spans="1:38" x14ac:dyDescent="0.2">
      <c r="A1723" s="2" t="str">
        <f>HYPERLINK("https://www.compass.com/listing/150-west-12th-street-unit-7w-manhattan-ny-10119/583438286935437161/","150 W 12th St, Unit 7W")</f>
        <v>150 W 12th St, Unit 7W</v>
      </c>
      <c r="B1723" s="2" t="str">
        <f>HYPERLINK("https://www.compass.com/building/the-greenwich-lane-manhattan-ny/567553885067785157/","The Greenwich Lane")</f>
        <v>The Greenwich Lane</v>
      </c>
      <c r="C1723" s="1" t="s">
        <v>71</v>
      </c>
      <c r="D1723" s="1" t="s">
        <v>41</v>
      </c>
      <c r="E1723" s="3">
        <v>6100000</v>
      </c>
      <c r="F1723" s="1">
        <v>2934.1029341029298</v>
      </c>
      <c r="G1723" s="1">
        <v>5</v>
      </c>
      <c r="H1723" s="1">
        <v>2</v>
      </c>
      <c r="I1723" s="1">
        <v>3</v>
      </c>
      <c r="J1723" s="1">
        <v>2.5</v>
      </c>
      <c r="K1723" s="1">
        <v>2</v>
      </c>
      <c r="L1723" s="1">
        <v>1</v>
      </c>
      <c r="M1723" s="4">
        <v>2079</v>
      </c>
      <c r="N1723" s="1">
        <v>3677</v>
      </c>
      <c r="O1723" s="1">
        <v>7456</v>
      </c>
      <c r="P1723" s="1">
        <v>3779</v>
      </c>
      <c r="Q1723" s="1" t="s">
        <v>42</v>
      </c>
      <c r="S1723" s="1" t="s">
        <v>42</v>
      </c>
      <c r="T1723" s="1" t="s">
        <v>170</v>
      </c>
      <c r="U1723" s="1">
        <v>120</v>
      </c>
      <c r="V1723" s="5">
        <v>44230</v>
      </c>
      <c r="W1723" s="5">
        <v>44056</v>
      </c>
      <c r="X1723" s="1">
        <v>6850000</v>
      </c>
      <c r="Y1723" s="1">
        <v>6850000</v>
      </c>
      <c r="Z1723" s="5">
        <v>44177</v>
      </c>
      <c r="AA1723" s="1">
        <v>6100000</v>
      </c>
      <c r="AB1723" s="1" t="s">
        <v>181</v>
      </c>
      <c r="AC1723" s="5">
        <v>44195</v>
      </c>
      <c r="AF1723" s="1">
        <v>10119</v>
      </c>
      <c r="AI1723" s="1" t="s">
        <v>59</v>
      </c>
      <c r="AK1723" s="1" t="s">
        <v>73</v>
      </c>
      <c r="AL1723" s="1">
        <v>24</v>
      </c>
    </row>
    <row r="1724" spans="1:38" x14ac:dyDescent="0.2">
      <c r="A1724" s="2" t="str">
        <f>HYPERLINK("https://www.compass.com/listing/50-riverside-boulevard-unit-20f-manhattan-ny-10069/29396630147014081/","50 Riverside Blvd, Unit 20F")</f>
        <v>50 Riverside Blvd, Unit 20F</v>
      </c>
      <c r="B1724" s="2" t="str">
        <f t="shared" ref="B1724:B1731" si="288">HYPERLINK("https://www.compass.com/building/one-riverside-park-manhattan-ny/282041440266113253/","One Riverside Park")</f>
        <v>One Riverside Park</v>
      </c>
      <c r="C1724" s="1" t="s">
        <v>50</v>
      </c>
      <c r="D1724" s="1" t="s">
        <v>41</v>
      </c>
      <c r="E1724" s="3">
        <v>2254333</v>
      </c>
      <c r="F1724" s="1">
        <v>1669.8762962962901</v>
      </c>
      <c r="G1724" s="1">
        <v>3</v>
      </c>
      <c r="H1724" s="1">
        <v>2</v>
      </c>
      <c r="I1724" s="1">
        <v>2</v>
      </c>
      <c r="J1724" s="1">
        <v>2</v>
      </c>
      <c r="K1724" s="1">
        <v>2</v>
      </c>
      <c r="M1724" s="4">
        <v>1350</v>
      </c>
      <c r="N1724" s="1">
        <v>1505</v>
      </c>
      <c r="O1724" s="1">
        <v>1588</v>
      </c>
      <c r="P1724" s="1">
        <v>83</v>
      </c>
      <c r="Q1724" s="1" t="s">
        <v>694</v>
      </c>
      <c r="R1724" s="1" t="s">
        <v>1359</v>
      </c>
      <c r="S1724" s="1" t="s">
        <v>1360</v>
      </c>
      <c r="T1724" s="1" t="s">
        <v>170</v>
      </c>
      <c r="U1724" s="1">
        <v>6</v>
      </c>
      <c r="V1724" s="5">
        <v>43654</v>
      </c>
      <c r="W1724" s="5">
        <v>41796</v>
      </c>
      <c r="X1724" s="1">
        <v>2210000</v>
      </c>
      <c r="Y1724" s="1">
        <v>2210000</v>
      </c>
      <c r="Z1724" s="5">
        <v>41802</v>
      </c>
      <c r="AA1724" s="1">
        <v>2254333</v>
      </c>
      <c r="AB1724" s="1" t="s">
        <v>1361</v>
      </c>
      <c r="AC1724" s="5">
        <v>42355</v>
      </c>
      <c r="AF1724" s="1">
        <v>10069</v>
      </c>
      <c r="AG1724" s="1" t="s">
        <v>1362</v>
      </c>
      <c r="AI1724" s="1" t="s">
        <v>45</v>
      </c>
      <c r="AJ1724" s="1">
        <v>2016</v>
      </c>
      <c r="AK1724" s="1" t="s">
        <v>73</v>
      </c>
      <c r="AL1724" s="1">
        <v>657</v>
      </c>
    </row>
    <row r="1725" spans="1:38" x14ac:dyDescent="0.2">
      <c r="A1725" s="2" t="str">
        <f>HYPERLINK("https://www.compass.com/listing/50-riverside-boulevard-unit-6h-manhattan-ny-10069/263754433807031697/","50 Riverside Blvd, Unit 6H")</f>
        <v>50 Riverside Blvd, Unit 6H</v>
      </c>
      <c r="B1725" s="2" t="str">
        <f t="shared" si="288"/>
        <v>One Riverside Park</v>
      </c>
      <c r="C1725" s="1" t="s">
        <v>50</v>
      </c>
      <c r="D1725" s="1" t="s">
        <v>41</v>
      </c>
      <c r="E1725" s="3">
        <v>2450000</v>
      </c>
      <c r="F1725" s="1">
        <v>1581.66559070367</v>
      </c>
      <c r="G1725" s="1">
        <v>5.5</v>
      </c>
      <c r="H1725" s="1">
        <v>2</v>
      </c>
      <c r="I1725" s="1">
        <v>3</v>
      </c>
      <c r="J1725" s="1">
        <v>2.5</v>
      </c>
      <c r="K1725" s="1">
        <v>2</v>
      </c>
      <c r="L1725" s="1">
        <v>1</v>
      </c>
      <c r="M1725" s="4">
        <v>1549</v>
      </c>
      <c r="N1725" s="1">
        <v>1716</v>
      </c>
      <c r="O1725" s="1">
        <v>1812</v>
      </c>
      <c r="P1725" s="1">
        <v>96</v>
      </c>
      <c r="Q1725" s="1" t="s">
        <v>42</v>
      </c>
      <c r="S1725" s="1" t="s">
        <v>42</v>
      </c>
      <c r="T1725" s="1" t="s">
        <v>170</v>
      </c>
      <c r="U1725" s="1">
        <v>22</v>
      </c>
      <c r="V1725" s="5">
        <v>44287</v>
      </c>
      <c r="W1725" s="5">
        <v>43616</v>
      </c>
      <c r="X1725" s="1">
        <v>2500000</v>
      </c>
      <c r="Y1725" s="1">
        <v>2500000</v>
      </c>
      <c r="Z1725" s="5">
        <v>43638</v>
      </c>
      <c r="AA1725" s="1">
        <v>2450000</v>
      </c>
      <c r="AB1725" s="1" t="s">
        <v>1363</v>
      </c>
      <c r="AC1725" s="5">
        <v>43693</v>
      </c>
      <c r="AF1725" s="1">
        <v>10069</v>
      </c>
      <c r="AI1725" s="1" t="s">
        <v>303</v>
      </c>
      <c r="AJ1725" s="1">
        <v>2016</v>
      </c>
      <c r="AK1725" s="1" t="s">
        <v>73</v>
      </c>
      <c r="AL1725" s="1">
        <v>657</v>
      </c>
    </row>
    <row r="1726" spans="1:38" x14ac:dyDescent="0.2">
      <c r="A1726" s="2" t="str">
        <f>HYPERLINK("https://www.compass.com/listing/50-riverside-boulevard-unit-3u-manhattan-ny-10069/803375364449734001/","50 Riverside Blvd, Unit 3U")</f>
        <v>50 Riverside Blvd, Unit 3U</v>
      </c>
      <c r="B1726" s="2" t="str">
        <f t="shared" si="288"/>
        <v>One Riverside Park</v>
      </c>
      <c r="C1726" s="1" t="s">
        <v>50</v>
      </c>
      <c r="D1726" s="1" t="s">
        <v>41</v>
      </c>
      <c r="E1726" s="3">
        <v>1999000</v>
      </c>
      <c r="G1726" s="1">
        <v>4</v>
      </c>
      <c r="H1726" s="1">
        <v>2</v>
      </c>
      <c r="I1726" s="1">
        <v>3</v>
      </c>
      <c r="J1726" s="1">
        <v>2.5</v>
      </c>
      <c r="N1726" s="1">
        <v>1350</v>
      </c>
      <c r="O1726" s="1">
        <v>1424</v>
      </c>
      <c r="P1726" s="1">
        <v>74</v>
      </c>
      <c r="Q1726" s="1" t="s">
        <v>42</v>
      </c>
      <c r="S1726" s="1" t="s">
        <v>42</v>
      </c>
      <c r="T1726" s="1" t="s">
        <v>170</v>
      </c>
      <c r="U1726" s="1">
        <v>265</v>
      </c>
      <c r="V1726" s="5">
        <v>42970</v>
      </c>
      <c r="W1726" s="5">
        <v>42613</v>
      </c>
      <c r="X1726" s="1">
        <v>2300000</v>
      </c>
      <c r="Y1726" s="1">
        <v>2150000</v>
      </c>
      <c r="AA1726" s="1">
        <v>1999000</v>
      </c>
      <c r="AB1726" s="1" t="s">
        <v>1346</v>
      </c>
      <c r="AC1726" s="5">
        <v>42878</v>
      </c>
      <c r="AF1726" s="1">
        <v>10069</v>
      </c>
      <c r="AI1726" s="1" t="s">
        <v>101</v>
      </c>
      <c r="AJ1726" s="1">
        <v>2016</v>
      </c>
      <c r="AK1726" s="1" t="s">
        <v>46</v>
      </c>
      <c r="AL1726" s="1">
        <v>657</v>
      </c>
    </row>
    <row r="1727" spans="1:38" x14ac:dyDescent="0.2">
      <c r="A1727" s="2" t="str">
        <f>HYPERLINK("https://www.compass.com/listing/50-riverside-boulevard-unit-10g-manhattan-ny-10069/29396633233980849/","50 Riverside Blvd, Unit 10G")</f>
        <v>50 Riverside Blvd, Unit 10G</v>
      </c>
      <c r="B1727" s="2" t="str">
        <f t="shared" si="288"/>
        <v>One Riverside Park</v>
      </c>
      <c r="C1727" s="1" t="s">
        <v>50</v>
      </c>
      <c r="D1727" s="1" t="s">
        <v>41</v>
      </c>
      <c r="E1727" s="3">
        <v>2254333</v>
      </c>
      <c r="F1727" s="1">
        <v>1559.0131396957099</v>
      </c>
      <c r="G1727" s="1">
        <v>4</v>
      </c>
      <c r="H1727" s="1">
        <v>2</v>
      </c>
      <c r="I1727" s="1">
        <v>2</v>
      </c>
      <c r="J1727" s="1">
        <v>2</v>
      </c>
      <c r="K1727" s="1">
        <v>2</v>
      </c>
      <c r="M1727" s="4">
        <v>1446</v>
      </c>
      <c r="N1727" s="1">
        <v>1605</v>
      </c>
      <c r="O1727" s="1">
        <v>1694</v>
      </c>
      <c r="P1727" s="1">
        <v>89</v>
      </c>
      <c r="Q1727" s="1" t="s">
        <v>42</v>
      </c>
      <c r="S1727" s="1" t="s">
        <v>42</v>
      </c>
      <c r="T1727" s="1" t="s">
        <v>170</v>
      </c>
      <c r="U1727" s="1">
        <v>116</v>
      </c>
      <c r="V1727" s="5">
        <v>43654</v>
      </c>
      <c r="W1727" s="5">
        <v>41703</v>
      </c>
      <c r="X1727" s="1">
        <v>2210000</v>
      </c>
      <c r="Y1727" s="1">
        <v>2210000</v>
      </c>
      <c r="Z1727" s="5">
        <v>41819</v>
      </c>
      <c r="AA1727" s="1">
        <v>2254333</v>
      </c>
      <c r="AB1727" s="1" t="s">
        <v>1364</v>
      </c>
      <c r="AC1727" s="5">
        <v>42299</v>
      </c>
      <c r="AF1727" s="1">
        <v>10069</v>
      </c>
      <c r="AI1727" s="1" t="s">
        <v>45</v>
      </c>
      <c r="AJ1727" s="1">
        <v>2016</v>
      </c>
      <c r="AK1727" s="1" t="s">
        <v>73</v>
      </c>
      <c r="AL1727" s="1">
        <v>657</v>
      </c>
    </row>
    <row r="1728" spans="1:38" x14ac:dyDescent="0.2">
      <c r="A1728" s="2" t="str">
        <f>HYPERLINK("https://www.compass.com/listing/50-riverside-boulevard-unit-19f-manhattan-ny-10069/29396629777874305/","50 Riverside Blvd, Unit 19F")</f>
        <v>50 Riverside Blvd, Unit 19F</v>
      </c>
      <c r="B1728" s="2" t="str">
        <f t="shared" si="288"/>
        <v>One Riverside Park</v>
      </c>
      <c r="C1728" s="1" t="s">
        <v>50</v>
      </c>
      <c r="D1728" s="1" t="s">
        <v>41</v>
      </c>
      <c r="E1728" s="3">
        <v>2417253</v>
      </c>
      <c r="F1728" s="1">
        <v>1799.8905435591901</v>
      </c>
      <c r="G1728" s="1">
        <v>4</v>
      </c>
      <c r="H1728" s="1">
        <v>2</v>
      </c>
      <c r="I1728" s="1">
        <v>2</v>
      </c>
      <c r="J1728" s="1">
        <v>2</v>
      </c>
      <c r="K1728" s="1">
        <v>2</v>
      </c>
      <c r="M1728" s="4">
        <v>1343</v>
      </c>
      <c r="N1728" s="1">
        <v>1496</v>
      </c>
      <c r="O1728" s="1">
        <v>1579</v>
      </c>
      <c r="P1728" s="1">
        <v>83</v>
      </c>
      <c r="Q1728" s="1" t="s">
        <v>42</v>
      </c>
      <c r="S1728" s="1" t="s">
        <v>42</v>
      </c>
      <c r="T1728" s="1" t="s">
        <v>170</v>
      </c>
      <c r="U1728" s="1">
        <v>40</v>
      </c>
      <c r="V1728" s="5">
        <v>43654</v>
      </c>
      <c r="W1728" s="5">
        <v>41733</v>
      </c>
      <c r="X1728" s="1">
        <v>2370000</v>
      </c>
      <c r="Y1728" s="1">
        <v>2370000</v>
      </c>
      <c r="Z1728" s="5">
        <v>41773</v>
      </c>
      <c r="AA1728" s="1">
        <v>2417253</v>
      </c>
      <c r="AB1728" s="1" t="s">
        <v>1365</v>
      </c>
      <c r="AC1728" s="5">
        <v>42356</v>
      </c>
      <c r="AF1728" s="1">
        <v>10069</v>
      </c>
      <c r="AI1728" s="1" t="s">
        <v>45</v>
      </c>
      <c r="AJ1728" s="1">
        <v>2016</v>
      </c>
      <c r="AK1728" s="1" t="s">
        <v>73</v>
      </c>
      <c r="AL1728" s="1">
        <v>657</v>
      </c>
    </row>
    <row r="1729" spans="1:38" x14ac:dyDescent="0.2">
      <c r="A1729" s="2" t="str">
        <f>HYPERLINK("https://www.compass.com/listing/50-riverside-boulevard-unit-4g-manhattan-ny-10069/29396630901947793/","50 Riverside Blvd, Unit 4G")</f>
        <v>50 Riverside Blvd, Unit 4G</v>
      </c>
      <c r="B1729" s="2" t="str">
        <f t="shared" si="288"/>
        <v>One Riverside Park</v>
      </c>
      <c r="C1729" s="1" t="s">
        <v>50</v>
      </c>
      <c r="D1729" s="1" t="s">
        <v>41</v>
      </c>
      <c r="E1729" s="3">
        <v>1938675</v>
      </c>
      <c r="F1729" s="1">
        <v>1324.23155737704</v>
      </c>
      <c r="G1729" s="1">
        <v>3</v>
      </c>
      <c r="H1729" s="1">
        <v>2</v>
      </c>
      <c r="I1729" s="1">
        <v>2</v>
      </c>
      <c r="J1729" s="1">
        <v>2</v>
      </c>
      <c r="K1729" s="1">
        <v>2</v>
      </c>
      <c r="M1729" s="4">
        <v>1464</v>
      </c>
      <c r="N1729" s="1">
        <v>1620</v>
      </c>
      <c r="O1729" s="1">
        <v>1710</v>
      </c>
      <c r="P1729" s="1">
        <v>90</v>
      </c>
      <c r="Q1729" s="1" t="s">
        <v>42</v>
      </c>
      <c r="S1729" s="1" t="s">
        <v>42</v>
      </c>
      <c r="T1729" s="1" t="s">
        <v>170</v>
      </c>
      <c r="U1729" s="1">
        <v>69</v>
      </c>
      <c r="V1729" s="5">
        <v>43651</v>
      </c>
      <c r="W1729" s="5">
        <v>41691</v>
      </c>
      <c r="X1729" s="1">
        <v>1900000</v>
      </c>
      <c r="Y1729" s="1">
        <v>1900000</v>
      </c>
      <c r="Z1729" s="5">
        <v>41926</v>
      </c>
      <c r="AA1729" s="1">
        <v>1938675</v>
      </c>
      <c r="AB1729" s="1" t="s">
        <v>1366</v>
      </c>
      <c r="AC1729" s="5">
        <v>42233</v>
      </c>
      <c r="AF1729" s="1">
        <v>10069</v>
      </c>
      <c r="AI1729" s="1" t="s">
        <v>45</v>
      </c>
      <c r="AJ1729" s="1">
        <v>2016</v>
      </c>
      <c r="AK1729" s="1" t="s">
        <v>73</v>
      </c>
      <c r="AL1729" s="1">
        <v>657</v>
      </c>
    </row>
    <row r="1730" spans="1:38" x14ac:dyDescent="0.2">
      <c r="A1730" s="2" t="str">
        <f>HYPERLINK("https://www.compass.com/listing/50-riverside-boulevard-unit-8g-manhattan-ny-10069/29396632428715489/","50 Riverside Blvd, Unit 8G")</f>
        <v>50 Riverside Blvd, Unit 8G</v>
      </c>
      <c r="B1730" s="2" t="str">
        <f t="shared" si="288"/>
        <v>One Riverside Park</v>
      </c>
      <c r="C1730" s="1" t="s">
        <v>50</v>
      </c>
      <c r="D1730" s="1" t="s">
        <v>41</v>
      </c>
      <c r="E1730" s="3">
        <v>2183055</v>
      </c>
      <c r="F1730" s="1">
        <v>1491.1577868852401</v>
      </c>
      <c r="G1730" s="1">
        <v>3</v>
      </c>
      <c r="H1730" s="1">
        <v>2</v>
      </c>
      <c r="I1730" s="1">
        <v>2</v>
      </c>
      <c r="J1730" s="1">
        <v>2</v>
      </c>
      <c r="K1730" s="1">
        <v>2</v>
      </c>
      <c r="M1730" s="4">
        <v>1464</v>
      </c>
      <c r="N1730" s="1">
        <v>1623</v>
      </c>
      <c r="O1730" s="1">
        <v>1713</v>
      </c>
      <c r="P1730" s="1">
        <v>90</v>
      </c>
      <c r="Q1730" s="1" t="s">
        <v>42</v>
      </c>
      <c r="S1730" s="1" t="s">
        <v>42</v>
      </c>
      <c r="T1730" s="1" t="s">
        <v>170</v>
      </c>
      <c r="U1730" s="1">
        <v>42</v>
      </c>
      <c r="V1730" s="5">
        <v>43650</v>
      </c>
      <c r="W1730" s="5">
        <v>41657</v>
      </c>
      <c r="X1730" s="1">
        <v>2140000</v>
      </c>
      <c r="Y1730" s="1">
        <v>2140000</v>
      </c>
      <c r="Z1730" s="5">
        <v>41699</v>
      </c>
      <c r="AA1730" s="1">
        <v>2183055</v>
      </c>
      <c r="AB1730" s="1" t="s">
        <v>1367</v>
      </c>
      <c r="AC1730" s="5">
        <v>42278</v>
      </c>
      <c r="AF1730" s="1">
        <v>10069</v>
      </c>
      <c r="AI1730" s="1" t="s">
        <v>45</v>
      </c>
      <c r="AJ1730" s="1">
        <v>2016</v>
      </c>
      <c r="AK1730" s="1" t="s">
        <v>73</v>
      </c>
      <c r="AL1730" s="1">
        <v>657</v>
      </c>
    </row>
    <row r="1731" spans="1:38" x14ac:dyDescent="0.2">
      <c r="A1731" s="2" t="str">
        <f>HYPERLINK("https://www.compass.com/listing/50-riverside-boulevard-unit-5d-manhattan-ny-10069/803426328724514929/","50 Riverside Blvd, Unit 5D")</f>
        <v>50 Riverside Blvd, Unit 5D</v>
      </c>
      <c r="B1731" s="2" t="str">
        <f t="shared" si="288"/>
        <v>One Riverside Park</v>
      </c>
      <c r="C1731" s="1" t="s">
        <v>50</v>
      </c>
      <c r="D1731" s="1" t="s">
        <v>41</v>
      </c>
      <c r="E1731" s="3">
        <v>2155508</v>
      </c>
      <c r="F1731" s="1">
        <v>1655.5357142857099</v>
      </c>
      <c r="G1731" s="1">
        <v>3</v>
      </c>
      <c r="H1731" s="1">
        <v>2</v>
      </c>
      <c r="I1731" s="1">
        <v>2</v>
      </c>
      <c r="J1731" s="1">
        <v>2</v>
      </c>
      <c r="K1731" s="1">
        <v>2</v>
      </c>
      <c r="M1731" s="4">
        <v>1302</v>
      </c>
      <c r="N1731" s="1">
        <v>1440</v>
      </c>
      <c r="O1731" s="1">
        <v>1520</v>
      </c>
      <c r="P1731" s="1">
        <v>80</v>
      </c>
      <c r="Q1731" s="1" t="s">
        <v>42</v>
      </c>
      <c r="S1731" s="1" t="s">
        <v>42</v>
      </c>
      <c r="T1731" s="1" t="s">
        <v>170</v>
      </c>
      <c r="U1731" s="1">
        <v>236</v>
      </c>
      <c r="V1731" s="5">
        <v>42270</v>
      </c>
      <c r="W1731" s="5">
        <v>41577</v>
      </c>
      <c r="X1731" s="1">
        <v>2110000</v>
      </c>
      <c r="Y1731" s="1">
        <v>2110000</v>
      </c>
      <c r="Z1731" s="5">
        <v>41814</v>
      </c>
      <c r="AA1731" s="1">
        <v>2155507.5</v>
      </c>
      <c r="AB1731" s="1" t="s">
        <v>1368</v>
      </c>
      <c r="AC1731" s="5">
        <v>42244</v>
      </c>
      <c r="AF1731" s="1">
        <v>10069</v>
      </c>
      <c r="AI1731" s="1" t="s">
        <v>45</v>
      </c>
      <c r="AJ1731" s="1">
        <v>2016</v>
      </c>
      <c r="AK1731" s="1" t="s">
        <v>73</v>
      </c>
      <c r="AL1731" s="1">
        <v>657</v>
      </c>
    </row>
    <row r="1732" spans="1:38" x14ac:dyDescent="0.2">
      <c r="A1732" s="2" t="str">
        <f>HYPERLINK("https://www.compass.com/listing/150-west-12th-street-unit-3-west-manhattan-ny-10119/192573395785821537/","150 W 12th St, Unit 3 WEST")</f>
        <v>150 W 12th St, Unit 3 WEST</v>
      </c>
      <c r="B1732" s="2" t="str">
        <f t="shared" ref="B1732:B1734" si="289">HYPERLINK("https://www.compass.com/building/the-greenwich-lane-manhattan-ny/567553885067785157/","The Greenwich Lane")</f>
        <v>The Greenwich Lane</v>
      </c>
      <c r="C1732" s="1" t="s">
        <v>71</v>
      </c>
      <c r="D1732" s="1" t="s">
        <v>41</v>
      </c>
      <c r="E1732" s="3">
        <v>12093669</v>
      </c>
      <c r="F1732" s="1">
        <v>2875.3373751783101</v>
      </c>
      <c r="G1732" s="1">
        <v>9</v>
      </c>
      <c r="H1732" s="1">
        <v>5</v>
      </c>
      <c r="I1732" s="1">
        <v>5</v>
      </c>
      <c r="J1732" s="1">
        <v>5</v>
      </c>
      <c r="K1732" s="1">
        <v>5</v>
      </c>
      <c r="M1732" s="4">
        <v>4206</v>
      </c>
      <c r="N1732" s="1">
        <v>7479</v>
      </c>
      <c r="O1732" s="1">
        <v>14810</v>
      </c>
      <c r="P1732" s="1">
        <v>7331</v>
      </c>
      <c r="Q1732" s="1" t="s">
        <v>42</v>
      </c>
      <c r="S1732" s="1" t="s">
        <v>42</v>
      </c>
      <c r="T1732" s="1" t="s">
        <v>170</v>
      </c>
      <c r="U1732" s="1">
        <v>90</v>
      </c>
      <c r="V1732" s="5">
        <v>43678</v>
      </c>
      <c r="W1732" s="5">
        <v>41586</v>
      </c>
      <c r="X1732" s="1">
        <v>11850000</v>
      </c>
      <c r="Y1732" s="1">
        <v>11850000</v>
      </c>
      <c r="Z1732" s="5">
        <v>41676</v>
      </c>
      <c r="AA1732" s="1">
        <v>12093669</v>
      </c>
      <c r="AB1732" s="1" t="s">
        <v>181</v>
      </c>
      <c r="AC1732" s="5">
        <v>42469</v>
      </c>
      <c r="AF1732" s="1">
        <v>10119</v>
      </c>
      <c r="AI1732" s="1" t="s">
        <v>72</v>
      </c>
      <c r="AK1732" s="1" t="s">
        <v>49</v>
      </c>
      <c r="AL1732" s="1">
        <v>24</v>
      </c>
    </row>
    <row r="1733" spans="1:38" x14ac:dyDescent="0.2">
      <c r="A1733" s="2" t="str">
        <f>HYPERLINK("https://www.compass.com/listing/150-west-12th-street-unit-3-east-manhattan-ny-10119/192573570520527521/","150 W 12th St, Unit 3 EAST")</f>
        <v>150 W 12th St, Unit 3 EAST</v>
      </c>
      <c r="B1733" s="2" t="str">
        <f t="shared" si="289"/>
        <v>The Greenwich Lane</v>
      </c>
      <c r="C1733" s="1" t="s">
        <v>71</v>
      </c>
      <c r="D1733" s="1" t="s">
        <v>41</v>
      </c>
      <c r="E1733" s="3">
        <v>12704501</v>
      </c>
      <c r="F1733" s="1">
        <v>3034.27298781944</v>
      </c>
      <c r="G1733" s="1">
        <v>7</v>
      </c>
      <c r="H1733" s="1">
        <v>5</v>
      </c>
      <c r="I1733" s="1">
        <v>5</v>
      </c>
      <c r="J1733" s="1">
        <v>5</v>
      </c>
      <c r="K1733" s="1">
        <v>5</v>
      </c>
      <c r="M1733" s="4">
        <v>4187</v>
      </c>
      <c r="N1733" s="1">
        <v>7447</v>
      </c>
      <c r="O1733" s="1">
        <v>14746</v>
      </c>
      <c r="P1733" s="1">
        <v>7299</v>
      </c>
      <c r="Q1733" s="1" t="s">
        <v>42</v>
      </c>
      <c r="S1733" s="1" t="s">
        <v>42</v>
      </c>
      <c r="T1733" s="1" t="s">
        <v>170</v>
      </c>
      <c r="U1733" s="1">
        <v>380</v>
      </c>
      <c r="V1733" s="5">
        <v>43679</v>
      </c>
      <c r="W1733" s="5">
        <v>41690</v>
      </c>
      <c r="X1733" s="1">
        <v>12450000</v>
      </c>
      <c r="Y1733" s="1">
        <v>12450000</v>
      </c>
      <c r="Z1733" s="5">
        <v>42070</v>
      </c>
      <c r="AA1733" s="1">
        <v>12704501</v>
      </c>
      <c r="AB1733" s="1" t="s">
        <v>181</v>
      </c>
      <c r="AC1733" s="5">
        <v>42467</v>
      </c>
      <c r="AF1733" s="1">
        <v>10119</v>
      </c>
      <c r="AI1733" s="1" t="s">
        <v>72</v>
      </c>
      <c r="AK1733" s="1" t="s">
        <v>49</v>
      </c>
      <c r="AL1733" s="1">
        <v>24</v>
      </c>
    </row>
    <row r="1734" spans="1:38" x14ac:dyDescent="0.2">
      <c r="A1734" s="2" t="str">
        <f>HYPERLINK("https://www.compass.com/listing/150-west-12th-street-unit-ph1-manhattan-ny-10119/29367276763475457/","150 W 12th St, Unit PH1")</f>
        <v>150 W 12th St, Unit PH1</v>
      </c>
      <c r="B1734" s="2" t="str">
        <f t="shared" si="289"/>
        <v>The Greenwich Lane</v>
      </c>
      <c r="C1734" s="1" t="s">
        <v>71</v>
      </c>
      <c r="D1734" s="1" t="s">
        <v>41</v>
      </c>
      <c r="E1734" s="3">
        <v>19123685</v>
      </c>
      <c r="F1734" s="1">
        <v>4125.0399050905899</v>
      </c>
      <c r="G1734" s="1">
        <v>6</v>
      </c>
      <c r="H1734" s="1">
        <v>3</v>
      </c>
      <c r="I1734" s="1">
        <v>3</v>
      </c>
      <c r="J1734" s="1">
        <v>3.5</v>
      </c>
      <c r="K1734" s="1">
        <v>3</v>
      </c>
      <c r="L1734" s="1">
        <v>1</v>
      </c>
      <c r="M1734" s="4">
        <v>4636</v>
      </c>
      <c r="N1734" s="1">
        <v>8630</v>
      </c>
      <c r="O1734" s="1">
        <v>17088</v>
      </c>
      <c r="P1734" s="1">
        <v>8458</v>
      </c>
      <c r="Q1734" s="1" t="s">
        <v>42</v>
      </c>
      <c r="S1734" s="1" t="s">
        <v>42</v>
      </c>
      <c r="T1734" s="1" t="s">
        <v>170</v>
      </c>
      <c r="U1734" s="1">
        <v>489</v>
      </c>
      <c r="V1734" s="5">
        <v>43631</v>
      </c>
      <c r="W1734" s="5">
        <v>41747</v>
      </c>
      <c r="X1734" s="1">
        <v>18750000</v>
      </c>
      <c r="Y1734" s="1">
        <v>18750000</v>
      </c>
      <c r="Z1734" s="5">
        <v>42236</v>
      </c>
      <c r="AA1734" s="1">
        <v>19123685</v>
      </c>
      <c r="AB1734" s="1" t="s">
        <v>1369</v>
      </c>
      <c r="AC1734" s="5">
        <v>42524</v>
      </c>
      <c r="AF1734" s="1">
        <v>10119</v>
      </c>
      <c r="AI1734" s="1" t="s">
        <v>1370</v>
      </c>
      <c r="AK1734" s="1" t="s">
        <v>49</v>
      </c>
      <c r="AL1734" s="1">
        <v>24</v>
      </c>
    </row>
    <row r="1735" spans="1:38" x14ac:dyDescent="0.2">
      <c r="A1735" s="2" t="str">
        <f>HYPERLINK("https://www.compass.com/listing/50-riverside-boulevard-unit-9n-manhattan-ny-10069/89862559817071569/","50 Riverside Blvd, Unit 9N")</f>
        <v>50 Riverside Blvd, Unit 9N</v>
      </c>
      <c r="B1735" s="2" t="str">
        <f t="shared" ref="B1735:B1763" si="290">HYPERLINK("https://www.compass.com/building/one-riverside-park-manhattan-ny/282041440266113253/","One Riverside Park")</f>
        <v>One Riverside Park</v>
      </c>
      <c r="C1735" s="1" t="s">
        <v>50</v>
      </c>
      <c r="D1735" s="1" t="s">
        <v>41</v>
      </c>
      <c r="E1735" s="3">
        <v>2150000</v>
      </c>
      <c r="F1735" s="1">
        <v>1523.7420269312499</v>
      </c>
      <c r="G1735" s="1">
        <v>4</v>
      </c>
      <c r="H1735" s="1">
        <v>2</v>
      </c>
      <c r="I1735" s="1">
        <v>3</v>
      </c>
      <c r="J1735" s="1">
        <v>2.5</v>
      </c>
      <c r="K1735" s="1">
        <v>2</v>
      </c>
      <c r="L1735" s="1">
        <v>1</v>
      </c>
      <c r="M1735" s="4">
        <v>1411</v>
      </c>
      <c r="N1735" s="1">
        <v>1565</v>
      </c>
      <c r="O1735" s="1">
        <v>1569</v>
      </c>
      <c r="P1735" s="1">
        <v>4</v>
      </c>
      <c r="Q1735" s="1" t="s">
        <v>42</v>
      </c>
      <c r="S1735" s="1" t="s">
        <v>42</v>
      </c>
      <c r="T1735" s="1" t="s">
        <v>170</v>
      </c>
      <c r="U1735" s="1">
        <v>240</v>
      </c>
      <c r="V1735" s="5">
        <v>43806</v>
      </c>
      <c r="W1735" s="5">
        <v>43376</v>
      </c>
      <c r="X1735" s="1">
        <v>2475000</v>
      </c>
      <c r="Y1735" s="1">
        <v>2250000</v>
      </c>
      <c r="Z1735" s="5">
        <v>43616</v>
      </c>
      <c r="AA1735" s="1">
        <v>2150000</v>
      </c>
      <c r="AB1735" s="1" t="s">
        <v>1371</v>
      </c>
      <c r="AC1735" s="5">
        <v>43643</v>
      </c>
      <c r="AF1735" s="1">
        <v>10069</v>
      </c>
      <c r="AI1735" s="1" t="s">
        <v>45</v>
      </c>
      <c r="AJ1735" s="1">
        <v>2016</v>
      </c>
      <c r="AK1735" s="1" t="s">
        <v>73</v>
      </c>
      <c r="AL1735" s="1">
        <v>657</v>
      </c>
    </row>
    <row r="1736" spans="1:38" x14ac:dyDescent="0.2">
      <c r="A1736" s="2" t="str">
        <f>HYPERLINK("https://www.compass.com/listing/50-riverside-boulevard-unit-3u-manhattan-ny-10069/803375364449734009/","50 Riverside Blvd, Unit 3U")</f>
        <v>50 Riverside Blvd, Unit 3U</v>
      </c>
      <c r="B1736" s="2" t="str">
        <f t="shared" si="290"/>
        <v>One Riverside Park</v>
      </c>
      <c r="C1736" s="1" t="s">
        <v>50</v>
      </c>
      <c r="D1736" s="1" t="s">
        <v>41</v>
      </c>
      <c r="E1736" s="3">
        <v>1999000</v>
      </c>
      <c r="G1736" s="1">
        <v>4</v>
      </c>
      <c r="H1736" s="1">
        <v>2</v>
      </c>
      <c r="I1736" s="1">
        <v>3</v>
      </c>
      <c r="J1736" s="1">
        <v>2.5</v>
      </c>
      <c r="N1736" s="1">
        <v>1330</v>
      </c>
      <c r="O1736" s="1">
        <v>1402</v>
      </c>
      <c r="P1736" s="1">
        <v>72</v>
      </c>
      <c r="Q1736" s="1" t="s">
        <v>42</v>
      </c>
      <c r="S1736" s="1" t="s">
        <v>42</v>
      </c>
      <c r="T1736" s="1" t="s">
        <v>170</v>
      </c>
      <c r="U1736" s="1">
        <v>27</v>
      </c>
      <c r="V1736" s="5">
        <v>42880</v>
      </c>
      <c r="W1736" s="5">
        <v>42822</v>
      </c>
      <c r="X1736" s="1">
        <v>1999000</v>
      </c>
      <c r="Y1736" s="1">
        <v>1999000</v>
      </c>
      <c r="Z1736" s="5">
        <v>42849</v>
      </c>
      <c r="AA1736" s="1">
        <v>1999000</v>
      </c>
      <c r="AB1736" s="1" t="s">
        <v>1346</v>
      </c>
      <c r="AC1736" s="5">
        <v>42878</v>
      </c>
      <c r="AF1736" s="1">
        <v>10069</v>
      </c>
      <c r="AI1736" s="1" t="s">
        <v>45</v>
      </c>
      <c r="AJ1736" s="1">
        <v>2016</v>
      </c>
      <c r="AK1736" s="1" t="s">
        <v>46</v>
      </c>
      <c r="AL1736" s="1">
        <v>657</v>
      </c>
    </row>
    <row r="1737" spans="1:38" x14ac:dyDescent="0.2">
      <c r="A1737" s="2" t="str">
        <f>HYPERLINK("https://www.compass.com/listing/50-riverside-boulevard-unit-3e-manhattan-ny-10069/841423627022659001/","50 Riverside Blvd, Unit 3E")</f>
        <v>50 Riverside Blvd, Unit 3E</v>
      </c>
      <c r="B1737" s="2" t="str">
        <f t="shared" si="290"/>
        <v>One Riverside Park</v>
      </c>
      <c r="C1737" s="1" t="s">
        <v>50</v>
      </c>
      <c r="D1737" s="1" t="s">
        <v>41</v>
      </c>
      <c r="E1737" s="3">
        <v>2300000</v>
      </c>
      <c r="F1737" s="1">
        <v>1675.1638747268701</v>
      </c>
      <c r="G1737" s="1">
        <v>5</v>
      </c>
      <c r="H1737" s="1">
        <v>2</v>
      </c>
      <c r="I1737" s="1">
        <v>3</v>
      </c>
      <c r="J1737" s="1">
        <v>2.5</v>
      </c>
      <c r="M1737" s="4">
        <v>1373</v>
      </c>
      <c r="N1737" s="1">
        <v>1519</v>
      </c>
      <c r="O1737" s="1">
        <v>1600</v>
      </c>
      <c r="P1737" s="1">
        <v>81</v>
      </c>
      <c r="Q1737" s="1" t="s">
        <v>42</v>
      </c>
      <c r="S1737" s="1" t="s">
        <v>42</v>
      </c>
      <c r="T1737" s="1" t="s">
        <v>170</v>
      </c>
      <c r="V1737" s="5">
        <v>43299</v>
      </c>
      <c r="Y1737" s="1">
        <v>2230000</v>
      </c>
      <c r="AA1737" s="1">
        <v>2300000</v>
      </c>
      <c r="AB1737" s="1" t="s">
        <v>1372</v>
      </c>
      <c r="AC1737" s="5">
        <v>43375</v>
      </c>
      <c r="AF1737" s="1">
        <v>10069</v>
      </c>
      <c r="AI1737" s="1" t="s">
        <v>45</v>
      </c>
      <c r="AJ1737" s="1">
        <v>2016</v>
      </c>
      <c r="AK1737" s="1" t="s">
        <v>46</v>
      </c>
      <c r="AL1737" s="1">
        <v>657</v>
      </c>
    </row>
    <row r="1738" spans="1:38" x14ac:dyDescent="0.2">
      <c r="A1738" s="2" t="str">
        <f>HYPERLINK("https://www.compass.com/listing/50-riverside-boulevard-unit-5g-manhattan-ny-10069/29396631220755921/","50 Riverside Blvd, Unit 5G")</f>
        <v>50 Riverside Blvd, Unit 5G</v>
      </c>
      <c r="B1738" s="2" t="str">
        <f t="shared" si="290"/>
        <v>One Riverside Park</v>
      </c>
      <c r="C1738" s="1" t="s">
        <v>50</v>
      </c>
      <c r="D1738" s="1" t="s">
        <v>41</v>
      </c>
      <c r="E1738" s="3">
        <v>1979405</v>
      </c>
      <c r="F1738" s="1">
        <v>1352.05259562841</v>
      </c>
      <c r="G1738" s="1">
        <v>4</v>
      </c>
      <c r="H1738" s="1">
        <v>2</v>
      </c>
      <c r="I1738" s="1">
        <v>2</v>
      </c>
      <c r="J1738" s="1">
        <v>2</v>
      </c>
      <c r="K1738" s="1">
        <v>2</v>
      </c>
      <c r="M1738" s="4">
        <v>1464</v>
      </c>
      <c r="N1738" s="1">
        <v>1620</v>
      </c>
      <c r="O1738" s="1">
        <v>1710</v>
      </c>
      <c r="P1738" s="1">
        <v>90</v>
      </c>
      <c r="Q1738" s="1" t="s">
        <v>42</v>
      </c>
      <c r="S1738" s="1" t="s">
        <v>42</v>
      </c>
      <c r="T1738" s="1" t="s">
        <v>170</v>
      </c>
      <c r="U1738" s="1">
        <v>77</v>
      </c>
      <c r="V1738" s="5">
        <v>43651</v>
      </c>
      <c r="W1738" s="5">
        <v>41796</v>
      </c>
      <c r="X1738" s="1">
        <v>1940000</v>
      </c>
      <c r="Y1738" s="1">
        <v>1940000</v>
      </c>
      <c r="Z1738" s="5">
        <v>41873</v>
      </c>
      <c r="AA1738" s="1">
        <v>1979405</v>
      </c>
      <c r="AB1738" s="1" t="s">
        <v>1373</v>
      </c>
      <c r="AC1738" s="5">
        <v>42277</v>
      </c>
      <c r="AF1738" s="1">
        <v>10069</v>
      </c>
      <c r="AI1738" s="1" t="s">
        <v>45</v>
      </c>
      <c r="AJ1738" s="1">
        <v>2016</v>
      </c>
      <c r="AK1738" s="1" t="s">
        <v>73</v>
      </c>
      <c r="AL1738" s="1">
        <v>657</v>
      </c>
    </row>
    <row r="1739" spans="1:38" x14ac:dyDescent="0.2">
      <c r="A1739" s="2" t="str">
        <f>HYPERLINK("https://www.compass.com/listing/50-riverside-boulevard-unit-11g-manhattan-ny-10069/29396633611509233/","50 Riverside Blvd, Unit 11G")</f>
        <v>50 Riverside Blvd, Unit 11G</v>
      </c>
      <c r="B1739" s="2" t="str">
        <f t="shared" si="290"/>
        <v>One Riverside Park</v>
      </c>
      <c r="C1739" s="1" t="s">
        <v>50</v>
      </c>
      <c r="D1739" s="1" t="s">
        <v>41</v>
      </c>
      <c r="E1739" s="3">
        <v>2315428</v>
      </c>
      <c r="F1739" s="1">
        <v>1601.26383125864</v>
      </c>
      <c r="G1739" s="1">
        <v>4</v>
      </c>
      <c r="H1739" s="1">
        <v>2</v>
      </c>
      <c r="I1739" s="1">
        <v>2</v>
      </c>
      <c r="J1739" s="1">
        <v>2</v>
      </c>
      <c r="K1739" s="1">
        <v>2</v>
      </c>
      <c r="M1739" s="4">
        <v>1446</v>
      </c>
      <c r="N1739" s="1">
        <v>1605</v>
      </c>
      <c r="O1739" s="1">
        <v>1694</v>
      </c>
      <c r="P1739" s="1">
        <v>89</v>
      </c>
      <c r="Q1739" s="1" t="s">
        <v>42</v>
      </c>
      <c r="S1739" s="1" t="s">
        <v>42</v>
      </c>
      <c r="T1739" s="1" t="s">
        <v>170</v>
      </c>
      <c r="U1739" s="1">
        <v>14</v>
      </c>
      <c r="V1739" s="5">
        <v>43603</v>
      </c>
      <c r="W1739" s="5">
        <v>41795</v>
      </c>
      <c r="X1739" s="1">
        <v>2270000</v>
      </c>
      <c r="Y1739" s="1">
        <v>2270000</v>
      </c>
      <c r="Z1739" s="5">
        <v>41809</v>
      </c>
      <c r="AA1739" s="1">
        <v>2315427.5</v>
      </c>
      <c r="AB1739" s="1" t="s">
        <v>1374</v>
      </c>
      <c r="AC1739" s="5">
        <v>42320</v>
      </c>
      <c r="AF1739" s="1">
        <v>10069</v>
      </c>
      <c r="AI1739" s="1" t="s">
        <v>45</v>
      </c>
      <c r="AJ1739" s="1">
        <v>2016</v>
      </c>
      <c r="AK1739" s="1" t="s">
        <v>73</v>
      </c>
      <c r="AL1739" s="1">
        <v>657</v>
      </c>
    </row>
    <row r="1740" spans="1:38" x14ac:dyDescent="0.2">
      <c r="A1740" s="2" t="str">
        <f>HYPERLINK("https://www.compass.com/listing/50-riverside-boulevard-unit-11j-manhattan-ny-10069/29396645481389777/","50 Riverside Blvd, Unit 11J")</f>
        <v>50 Riverside Blvd, Unit 11J</v>
      </c>
      <c r="B1740" s="2" t="str">
        <f t="shared" si="290"/>
        <v>One Riverside Park</v>
      </c>
      <c r="C1740" s="1" t="s">
        <v>50</v>
      </c>
      <c r="D1740" s="1" t="s">
        <v>41</v>
      </c>
      <c r="E1740" s="3">
        <v>2203420</v>
      </c>
      <c r="F1740" s="1">
        <v>1562.7092198581499</v>
      </c>
      <c r="G1740" s="1">
        <v>4</v>
      </c>
      <c r="H1740" s="1">
        <v>2</v>
      </c>
      <c r="I1740" s="1">
        <v>2</v>
      </c>
      <c r="J1740" s="1">
        <v>2</v>
      </c>
      <c r="K1740" s="1">
        <v>2</v>
      </c>
      <c r="M1740" s="4">
        <v>1410</v>
      </c>
      <c r="N1740" s="1">
        <v>1565</v>
      </c>
      <c r="O1740" s="1">
        <v>1652</v>
      </c>
      <c r="P1740" s="1">
        <v>87</v>
      </c>
      <c r="Q1740" s="1" t="s">
        <v>42</v>
      </c>
      <c r="S1740" s="1" t="s">
        <v>42</v>
      </c>
      <c r="T1740" s="1" t="s">
        <v>170</v>
      </c>
      <c r="U1740" s="1">
        <v>175</v>
      </c>
      <c r="V1740" s="5">
        <v>43654</v>
      </c>
      <c r="W1740" s="5">
        <v>41733</v>
      </c>
      <c r="X1740" s="1">
        <v>2160000</v>
      </c>
      <c r="Y1740" s="1">
        <v>2160000</v>
      </c>
      <c r="Z1740" s="5">
        <v>41908</v>
      </c>
      <c r="AA1740" s="1">
        <v>2203420</v>
      </c>
      <c r="AB1740" s="1" t="s">
        <v>1375</v>
      </c>
      <c r="AC1740" s="5">
        <v>42307</v>
      </c>
      <c r="AF1740" s="1">
        <v>10069</v>
      </c>
      <c r="AI1740" s="1" t="s">
        <v>45</v>
      </c>
      <c r="AJ1740" s="1">
        <v>2016</v>
      </c>
      <c r="AK1740" s="1" t="s">
        <v>73</v>
      </c>
      <c r="AL1740" s="1">
        <v>657</v>
      </c>
    </row>
    <row r="1741" spans="1:38" x14ac:dyDescent="0.2">
      <c r="A1741" s="2" t="str">
        <f>HYPERLINK("https://www.compass.com/listing/50-riverside-boulevard-unit-10h-manhattan-ny-10069/29396639114457185/","50 Riverside Blvd, Unit 10H")</f>
        <v>50 Riverside Blvd, Unit 10H</v>
      </c>
      <c r="B1741" s="2" t="str">
        <f t="shared" si="290"/>
        <v>One Riverside Park</v>
      </c>
      <c r="C1741" s="1" t="s">
        <v>50</v>
      </c>
      <c r="D1741" s="1" t="s">
        <v>41</v>
      </c>
      <c r="E1741" s="3">
        <v>2468165</v>
      </c>
      <c r="F1741" s="1">
        <v>1593.3925112976101</v>
      </c>
      <c r="G1741" s="1">
        <v>4</v>
      </c>
      <c r="H1741" s="1">
        <v>2</v>
      </c>
      <c r="I1741" s="1">
        <v>2</v>
      </c>
      <c r="J1741" s="1">
        <v>2</v>
      </c>
      <c r="K1741" s="1">
        <v>2</v>
      </c>
      <c r="M1741" s="4">
        <v>1549</v>
      </c>
      <c r="N1741" s="1">
        <v>1719</v>
      </c>
      <c r="O1741" s="1">
        <v>1814</v>
      </c>
      <c r="P1741" s="1">
        <v>95</v>
      </c>
      <c r="Q1741" s="1" t="s">
        <v>42</v>
      </c>
      <c r="S1741" s="1" t="s">
        <v>42</v>
      </c>
      <c r="T1741" s="1" t="s">
        <v>170</v>
      </c>
      <c r="V1741" s="5">
        <v>43654</v>
      </c>
      <c r="W1741" s="5">
        <v>41924</v>
      </c>
      <c r="X1741" s="1">
        <v>2420000</v>
      </c>
      <c r="Y1741" s="1">
        <v>2420000</v>
      </c>
      <c r="Z1741" s="5">
        <v>41924</v>
      </c>
      <c r="AA1741" s="1">
        <v>2468165</v>
      </c>
      <c r="AB1741" s="1" t="s">
        <v>1376</v>
      </c>
      <c r="AC1741" s="5">
        <v>42340</v>
      </c>
      <c r="AF1741" s="1">
        <v>10069</v>
      </c>
      <c r="AI1741" s="1" t="s">
        <v>45</v>
      </c>
      <c r="AJ1741" s="1">
        <v>2016</v>
      </c>
      <c r="AK1741" s="1" t="s">
        <v>73</v>
      </c>
      <c r="AL1741" s="1">
        <v>657</v>
      </c>
    </row>
    <row r="1742" spans="1:38" x14ac:dyDescent="0.2">
      <c r="A1742" s="2" t="str">
        <f>HYPERLINK("https://www.compass.com/listing/50-riverside-boulevard-unit-9n-manhattan-ny-10069/29396665077137409/","50 Riverside Blvd, Unit 9N")</f>
        <v>50 Riverside Blvd, Unit 9N</v>
      </c>
      <c r="B1742" s="2" t="str">
        <f t="shared" si="290"/>
        <v>One Riverside Park</v>
      </c>
      <c r="C1742" s="1" t="s">
        <v>50</v>
      </c>
      <c r="D1742" s="1" t="s">
        <v>41</v>
      </c>
      <c r="E1742" s="3">
        <v>2345975</v>
      </c>
      <c r="F1742" s="1">
        <v>1662.6328844790901</v>
      </c>
      <c r="G1742" s="1">
        <v>4</v>
      </c>
      <c r="H1742" s="1">
        <v>2</v>
      </c>
      <c r="I1742" s="1">
        <v>2</v>
      </c>
      <c r="J1742" s="1">
        <v>2</v>
      </c>
      <c r="K1742" s="1">
        <v>2</v>
      </c>
      <c r="M1742" s="4">
        <v>1411</v>
      </c>
      <c r="N1742" s="1">
        <v>1565</v>
      </c>
      <c r="O1742" s="1">
        <v>1652</v>
      </c>
      <c r="P1742" s="1">
        <v>87</v>
      </c>
      <c r="Q1742" s="1" t="s">
        <v>42</v>
      </c>
      <c r="S1742" s="1" t="s">
        <v>42</v>
      </c>
      <c r="T1742" s="1" t="s">
        <v>170</v>
      </c>
      <c r="U1742" s="1">
        <v>6</v>
      </c>
      <c r="V1742" s="5">
        <v>43650</v>
      </c>
      <c r="W1742" s="5">
        <v>41657</v>
      </c>
      <c r="X1742" s="1">
        <v>2300000</v>
      </c>
      <c r="Y1742" s="1">
        <v>2300000</v>
      </c>
      <c r="Z1742" s="5">
        <v>41711</v>
      </c>
      <c r="AA1742" s="1">
        <v>2345975</v>
      </c>
      <c r="AB1742" s="1" t="s">
        <v>1377</v>
      </c>
      <c r="AC1742" s="5">
        <v>42292</v>
      </c>
      <c r="AF1742" s="1">
        <v>10069</v>
      </c>
      <c r="AI1742" s="1" t="s">
        <v>45</v>
      </c>
      <c r="AJ1742" s="1">
        <v>2016</v>
      </c>
      <c r="AK1742" s="1" t="s">
        <v>73</v>
      </c>
      <c r="AL1742" s="1">
        <v>657</v>
      </c>
    </row>
    <row r="1743" spans="1:38" x14ac:dyDescent="0.2">
      <c r="A1743" s="2" t="str">
        <f>HYPERLINK("https://www.compass.com/listing/50-riverside-boulevard-unit-14n-manhattan-ny-10069/29396666662625361/","50 Riverside Blvd, Unit 14N")</f>
        <v>50 Riverside Blvd, Unit 14N</v>
      </c>
      <c r="B1743" s="2" t="str">
        <f t="shared" si="290"/>
        <v>One Riverside Park</v>
      </c>
      <c r="C1743" s="1" t="s">
        <v>50</v>
      </c>
      <c r="D1743" s="1" t="s">
        <v>41</v>
      </c>
      <c r="E1743" s="3">
        <v>2529260</v>
      </c>
      <c r="F1743" s="1">
        <v>1792.53012048192</v>
      </c>
      <c r="G1743" s="1">
        <v>3</v>
      </c>
      <c r="H1743" s="1">
        <v>2</v>
      </c>
      <c r="I1743" s="1">
        <v>2</v>
      </c>
      <c r="J1743" s="1">
        <v>2</v>
      </c>
      <c r="K1743" s="1">
        <v>2</v>
      </c>
      <c r="M1743" s="4">
        <v>1411</v>
      </c>
      <c r="N1743" s="1">
        <v>1568</v>
      </c>
      <c r="O1743" s="1">
        <v>1655</v>
      </c>
      <c r="P1743" s="1">
        <v>87</v>
      </c>
      <c r="Q1743" s="1" t="s">
        <v>42</v>
      </c>
      <c r="S1743" s="1" t="s">
        <v>42</v>
      </c>
      <c r="T1743" s="1" t="s">
        <v>170</v>
      </c>
      <c r="U1743" s="1">
        <v>632</v>
      </c>
      <c r="V1743" s="5">
        <v>42814</v>
      </c>
      <c r="W1743" s="5">
        <v>41689</v>
      </c>
      <c r="X1743" s="1">
        <v>2480000</v>
      </c>
      <c r="Y1743" s="1">
        <v>2480000</v>
      </c>
      <c r="AA1743" s="1">
        <v>2529260</v>
      </c>
      <c r="AB1743" s="1" t="s">
        <v>1378</v>
      </c>
      <c r="AC1743" s="5">
        <v>42321</v>
      </c>
      <c r="AF1743" s="1">
        <v>10069</v>
      </c>
      <c r="AI1743" s="1" t="s">
        <v>45</v>
      </c>
      <c r="AJ1743" s="1">
        <v>2016</v>
      </c>
      <c r="AK1743" s="1" t="s">
        <v>73</v>
      </c>
      <c r="AL1743" s="1">
        <v>657</v>
      </c>
    </row>
    <row r="1744" spans="1:38" x14ac:dyDescent="0.2">
      <c r="A1744" s="2" t="str">
        <f>HYPERLINK("https://www.compass.com/listing/50-riverside-boulevard-unit-8c-manhattan-ny-10069/29396610861603953/","50 Riverside Blvd, Unit 8C")</f>
        <v>50 Riverside Blvd, Unit 8C</v>
      </c>
      <c r="B1744" s="2" t="str">
        <f t="shared" si="290"/>
        <v>One Riverside Park</v>
      </c>
      <c r="C1744" s="1" t="s">
        <v>50</v>
      </c>
      <c r="D1744" s="1" t="s">
        <v>41</v>
      </c>
      <c r="E1744" s="3">
        <v>8455475</v>
      </c>
      <c r="F1744" s="1">
        <v>1897.9741863075101</v>
      </c>
      <c r="G1744" s="1">
        <v>8</v>
      </c>
      <c r="H1744" s="1">
        <v>5</v>
      </c>
      <c r="I1744" s="1">
        <v>8</v>
      </c>
      <c r="J1744" s="1">
        <v>0.5</v>
      </c>
      <c r="L1744" s="1">
        <v>1</v>
      </c>
      <c r="M1744" s="4">
        <v>4455</v>
      </c>
      <c r="N1744" s="1">
        <v>5438</v>
      </c>
      <c r="O1744" s="1">
        <v>5739</v>
      </c>
      <c r="P1744" s="1">
        <v>301</v>
      </c>
      <c r="Q1744" s="1" t="s">
        <v>42</v>
      </c>
      <c r="S1744" s="1" t="s">
        <v>42</v>
      </c>
      <c r="T1744" s="1" t="s">
        <v>170</v>
      </c>
      <c r="U1744" s="1">
        <v>467</v>
      </c>
      <c r="V1744" s="5">
        <v>43271</v>
      </c>
      <c r="W1744" s="5">
        <v>42523</v>
      </c>
      <c r="X1744" s="1">
        <v>11900000</v>
      </c>
      <c r="Y1744" s="1">
        <v>11900000</v>
      </c>
      <c r="AA1744" s="1">
        <v>8455475</v>
      </c>
      <c r="AB1744" s="1" t="s">
        <v>1379</v>
      </c>
      <c r="AC1744" s="5">
        <v>42990</v>
      </c>
      <c r="AF1744" s="1">
        <v>10069</v>
      </c>
      <c r="AI1744" s="1" t="s">
        <v>1380</v>
      </c>
      <c r="AJ1744" s="1">
        <v>2016</v>
      </c>
      <c r="AK1744" s="1" t="s">
        <v>73</v>
      </c>
      <c r="AL1744" s="1">
        <v>657</v>
      </c>
    </row>
    <row r="1745" spans="1:38" x14ac:dyDescent="0.2">
      <c r="A1745" s="2" t="str">
        <f>HYPERLINK("https://www.compass.com/listing/50-riverside-boulevard-unit-3b-manhattan-ny-10069/29396595527228145/","50 Riverside Blvd, Unit 3B")</f>
        <v>50 Riverside Blvd, Unit 3B</v>
      </c>
      <c r="B1745" s="2" t="str">
        <f t="shared" si="290"/>
        <v>One Riverside Park</v>
      </c>
      <c r="C1745" s="1" t="s">
        <v>50</v>
      </c>
      <c r="D1745" s="1" t="s">
        <v>41</v>
      </c>
      <c r="E1745" s="3">
        <v>2447800</v>
      </c>
      <c r="F1745" s="1">
        <v>1635.1369405477601</v>
      </c>
      <c r="G1745" s="1">
        <v>4</v>
      </c>
      <c r="H1745" s="1">
        <v>2</v>
      </c>
      <c r="I1745" s="1">
        <v>3</v>
      </c>
      <c r="J1745" s="1">
        <v>2.5</v>
      </c>
      <c r="M1745" s="4">
        <v>1497</v>
      </c>
      <c r="N1745" s="1">
        <v>1655</v>
      </c>
      <c r="O1745" s="1">
        <v>1747</v>
      </c>
      <c r="P1745" s="1">
        <v>92</v>
      </c>
      <c r="Q1745" s="1" t="s">
        <v>42</v>
      </c>
      <c r="S1745" s="1" t="s">
        <v>42</v>
      </c>
      <c r="T1745" s="1" t="s">
        <v>170</v>
      </c>
      <c r="U1745" s="1">
        <v>21</v>
      </c>
      <c r="V1745" s="5">
        <v>43663</v>
      </c>
      <c r="W1745" s="5">
        <v>41753</v>
      </c>
      <c r="X1745" s="1">
        <v>2400000</v>
      </c>
      <c r="Y1745" s="1">
        <v>2400000</v>
      </c>
      <c r="Z1745" s="5">
        <v>41926</v>
      </c>
      <c r="AA1745" s="1">
        <v>2447800</v>
      </c>
      <c r="AB1745" s="1" t="s">
        <v>1381</v>
      </c>
      <c r="AC1745" s="5">
        <v>42214</v>
      </c>
      <c r="AF1745" s="1">
        <v>10069</v>
      </c>
      <c r="AI1745" s="1" t="s">
        <v>45</v>
      </c>
      <c r="AJ1745" s="1">
        <v>2016</v>
      </c>
      <c r="AK1745" s="1" t="s">
        <v>73</v>
      </c>
      <c r="AL1745" s="1">
        <v>657</v>
      </c>
    </row>
    <row r="1746" spans="1:38" x14ac:dyDescent="0.2">
      <c r="A1746" s="2" t="str">
        <f>HYPERLINK("https://www.compass.com/listing/50-riverside-boulevard-unit-4f-manhattan-ny-10069/29396627739483553/","50 Riverside Blvd, Unit 4F")</f>
        <v>50 Riverside Blvd, Unit 4F</v>
      </c>
      <c r="B1746" s="2" t="str">
        <f t="shared" si="290"/>
        <v>One Riverside Park</v>
      </c>
      <c r="C1746" s="1" t="s">
        <v>50</v>
      </c>
      <c r="D1746" s="1" t="s">
        <v>41</v>
      </c>
      <c r="E1746" s="3">
        <v>1836850</v>
      </c>
      <c r="F1746" s="1">
        <v>1407.5478927203001</v>
      </c>
      <c r="G1746" s="1">
        <v>3</v>
      </c>
      <c r="H1746" s="1">
        <v>2</v>
      </c>
      <c r="I1746" s="1">
        <v>3</v>
      </c>
      <c r="J1746" s="1">
        <v>2.5</v>
      </c>
      <c r="M1746" s="4">
        <v>1305</v>
      </c>
      <c r="N1746" s="1">
        <v>1439</v>
      </c>
      <c r="O1746" s="1">
        <v>1519</v>
      </c>
      <c r="P1746" s="1">
        <v>80</v>
      </c>
      <c r="Q1746" s="1" t="s">
        <v>42</v>
      </c>
      <c r="S1746" s="1" t="s">
        <v>42</v>
      </c>
      <c r="T1746" s="1" t="s">
        <v>170</v>
      </c>
      <c r="U1746" s="1">
        <v>12</v>
      </c>
      <c r="V1746" s="5">
        <v>43662</v>
      </c>
      <c r="W1746" s="5">
        <v>41657</v>
      </c>
      <c r="X1746" s="1">
        <v>1900000</v>
      </c>
      <c r="Y1746" s="1">
        <v>1900000</v>
      </c>
      <c r="Z1746" s="5">
        <v>41926</v>
      </c>
      <c r="AA1746" s="1">
        <v>1836850</v>
      </c>
      <c r="AB1746" s="1" t="s">
        <v>1382</v>
      </c>
      <c r="AC1746" s="5">
        <v>42249</v>
      </c>
      <c r="AF1746" s="1">
        <v>10069</v>
      </c>
      <c r="AI1746" s="1" t="s">
        <v>45</v>
      </c>
      <c r="AJ1746" s="1">
        <v>2016</v>
      </c>
      <c r="AK1746" s="1" t="s">
        <v>73</v>
      </c>
      <c r="AL1746" s="1">
        <v>657</v>
      </c>
    </row>
    <row r="1747" spans="1:38" x14ac:dyDescent="0.2">
      <c r="A1747" s="2" t="str">
        <f>HYPERLINK("https://www.compass.com/listing/50-riverside-boulevard-unit-18f-manhattan-ny-10069/29396629308174241/","50 Riverside Blvd, Unit 18F")</f>
        <v>50 Riverside Blvd, Unit 18F</v>
      </c>
      <c r="B1747" s="2" t="str">
        <f t="shared" si="290"/>
        <v>One Riverside Park</v>
      </c>
      <c r="C1747" s="1" t="s">
        <v>50</v>
      </c>
      <c r="D1747" s="1" t="s">
        <v>41</v>
      </c>
      <c r="E1747" s="3">
        <v>2366340</v>
      </c>
      <c r="F1747" s="1">
        <v>1761.9806403574</v>
      </c>
      <c r="G1747" s="1">
        <v>4</v>
      </c>
      <c r="H1747" s="1">
        <v>2</v>
      </c>
      <c r="I1747" s="1">
        <v>3</v>
      </c>
      <c r="J1747" s="1">
        <v>2.5</v>
      </c>
      <c r="M1747" s="4">
        <v>1343</v>
      </c>
      <c r="N1747" s="1">
        <v>1495</v>
      </c>
      <c r="O1747" s="1">
        <v>1578</v>
      </c>
      <c r="P1747" s="1">
        <v>83</v>
      </c>
      <c r="Q1747" s="1" t="s">
        <v>42</v>
      </c>
      <c r="S1747" s="1" t="s">
        <v>42</v>
      </c>
      <c r="T1747" s="1" t="s">
        <v>170</v>
      </c>
      <c r="V1747" s="5">
        <v>43668</v>
      </c>
      <c r="W1747" s="5">
        <v>41924</v>
      </c>
      <c r="X1747" s="1">
        <v>2320000</v>
      </c>
      <c r="Y1747" s="1">
        <v>2320000</v>
      </c>
      <c r="Z1747" s="5">
        <v>41924</v>
      </c>
      <c r="AA1747" s="1">
        <v>2366340</v>
      </c>
      <c r="AB1747" s="1" t="s">
        <v>1383</v>
      </c>
      <c r="AC1747" s="5">
        <v>42342</v>
      </c>
      <c r="AF1747" s="1">
        <v>10069</v>
      </c>
      <c r="AI1747" s="1" t="s">
        <v>45</v>
      </c>
      <c r="AJ1747" s="1">
        <v>2016</v>
      </c>
      <c r="AK1747" s="1" t="s">
        <v>73</v>
      </c>
      <c r="AL1747" s="1">
        <v>657</v>
      </c>
    </row>
    <row r="1748" spans="1:38" x14ac:dyDescent="0.2">
      <c r="A1748" s="2" t="str">
        <f>HYPERLINK("https://www.compass.com/listing/50-riverside-boulevard-unit-3m-manhattan-ny-10069/29396656864752113/","50 Riverside Blvd, Unit 3M")</f>
        <v>50 Riverside Blvd, Unit 3M</v>
      </c>
      <c r="B1748" s="2" t="str">
        <f t="shared" si="290"/>
        <v>One Riverside Park</v>
      </c>
      <c r="C1748" s="1" t="s">
        <v>50</v>
      </c>
      <c r="D1748" s="1" t="s">
        <v>41</v>
      </c>
      <c r="E1748" s="3">
        <v>2030317</v>
      </c>
      <c r="F1748" s="1">
        <v>1555.79846743295</v>
      </c>
      <c r="G1748" s="1">
        <v>4</v>
      </c>
      <c r="H1748" s="1">
        <v>2</v>
      </c>
      <c r="I1748" s="1">
        <v>3</v>
      </c>
      <c r="J1748" s="1">
        <v>2.5</v>
      </c>
      <c r="M1748" s="4">
        <v>1305</v>
      </c>
      <c r="N1748" s="1">
        <v>1443</v>
      </c>
      <c r="O1748" s="1">
        <v>1523</v>
      </c>
      <c r="P1748" s="1">
        <v>80</v>
      </c>
      <c r="Q1748" s="1" t="s">
        <v>42</v>
      </c>
      <c r="S1748" s="1" t="s">
        <v>42</v>
      </c>
      <c r="T1748" s="1" t="s">
        <v>170</v>
      </c>
      <c r="U1748" s="1">
        <v>6</v>
      </c>
      <c r="V1748" s="5">
        <v>43663</v>
      </c>
      <c r="W1748" s="5">
        <v>41663</v>
      </c>
      <c r="X1748" s="1">
        <v>1990000</v>
      </c>
      <c r="Y1748" s="1">
        <v>1990000</v>
      </c>
      <c r="Z1748" s="5">
        <v>41789</v>
      </c>
      <c r="AA1748" s="1">
        <v>2030317</v>
      </c>
      <c r="AB1748" s="1" t="s">
        <v>1384</v>
      </c>
      <c r="AC1748" s="5">
        <v>42215</v>
      </c>
      <c r="AF1748" s="1">
        <v>10069</v>
      </c>
      <c r="AI1748" s="1" t="s">
        <v>45</v>
      </c>
      <c r="AJ1748" s="1">
        <v>2016</v>
      </c>
      <c r="AK1748" s="1" t="s">
        <v>73</v>
      </c>
      <c r="AL1748" s="1">
        <v>657</v>
      </c>
    </row>
    <row r="1749" spans="1:38" x14ac:dyDescent="0.2">
      <c r="A1749" s="2" t="str">
        <f>HYPERLINK("https://www.compass.com/listing/50-riverside-boulevard-unit-6m-manhattan-ny-10069/29396658030768657/","50 Riverside Blvd, Unit 6M")</f>
        <v>50 Riverside Blvd, Unit 6M</v>
      </c>
      <c r="B1749" s="2" t="str">
        <f t="shared" si="290"/>
        <v>One Riverside Park</v>
      </c>
      <c r="C1749" s="1" t="s">
        <v>50</v>
      </c>
      <c r="D1749" s="1" t="s">
        <v>41</v>
      </c>
      <c r="E1749" s="3">
        <v>2295062</v>
      </c>
      <c r="F1749" s="1">
        <v>1758.6681992337101</v>
      </c>
      <c r="G1749" s="1">
        <v>3</v>
      </c>
      <c r="H1749" s="1">
        <v>2</v>
      </c>
      <c r="I1749" s="1">
        <v>3</v>
      </c>
      <c r="J1749" s="1">
        <v>2.5</v>
      </c>
      <c r="M1749" s="4">
        <v>1305</v>
      </c>
      <c r="N1749" s="1">
        <v>1445</v>
      </c>
      <c r="O1749" s="1">
        <v>1525</v>
      </c>
      <c r="P1749" s="1">
        <v>80</v>
      </c>
      <c r="Q1749" s="1" t="s">
        <v>42</v>
      </c>
      <c r="S1749" s="1" t="s">
        <v>42</v>
      </c>
      <c r="T1749" s="1" t="s">
        <v>170</v>
      </c>
      <c r="V1749" s="5">
        <v>43663</v>
      </c>
      <c r="W1749" s="5">
        <v>41926</v>
      </c>
      <c r="X1749" s="1">
        <v>2250000</v>
      </c>
      <c r="Y1749" s="1">
        <v>2250000</v>
      </c>
      <c r="Z1749" s="5">
        <v>41926</v>
      </c>
      <c r="AA1749" s="1">
        <v>2295062</v>
      </c>
      <c r="AB1749" s="1" t="s">
        <v>1385</v>
      </c>
      <c r="AC1749" s="5">
        <v>42248</v>
      </c>
      <c r="AF1749" s="1">
        <v>10069</v>
      </c>
      <c r="AI1749" s="1" t="s">
        <v>1386</v>
      </c>
      <c r="AJ1749" s="1">
        <v>2016</v>
      </c>
      <c r="AK1749" s="1" t="s">
        <v>73</v>
      </c>
      <c r="AL1749" s="1">
        <v>657</v>
      </c>
    </row>
    <row r="1750" spans="1:38" x14ac:dyDescent="0.2">
      <c r="A1750" s="2" t="str">
        <f>HYPERLINK("https://www.compass.com/listing/50-riverside-boulevard-unit-7m-manhattan-ny-10069/29396658567577521/","50 Riverside Blvd, Unit 7M")</f>
        <v>50 Riverside Blvd, Unit 7M</v>
      </c>
      <c r="B1750" s="2" t="str">
        <f t="shared" si="290"/>
        <v>One Riverside Park</v>
      </c>
      <c r="C1750" s="1" t="s">
        <v>50</v>
      </c>
      <c r="D1750" s="1" t="s">
        <v>41</v>
      </c>
      <c r="E1750" s="3">
        <v>2396887</v>
      </c>
      <c r="F1750" s="1">
        <v>1836.69501915708</v>
      </c>
      <c r="G1750" s="1">
        <v>4</v>
      </c>
      <c r="H1750" s="1">
        <v>2</v>
      </c>
      <c r="I1750" s="1">
        <v>3</v>
      </c>
      <c r="J1750" s="1">
        <v>2.5</v>
      </c>
      <c r="M1750" s="4">
        <v>1305</v>
      </c>
      <c r="N1750" s="1">
        <v>1446</v>
      </c>
      <c r="O1750" s="1">
        <v>1526</v>
      </c>
      <c r="P1750" s="1">
        <v>80</v>
      </c>
      <c r="Q1750" s="1" t="s">
        <v>42</v>
      </c>
      <c r="S1750" s="1" t="s">
        <v>42</v>
      </c>
      <c r="T1750" s="1" t="s">
        <v>170</v>
      </c>
      <c r="U1750" s="1">
        <v>40</v>
      </c>
      <c r="V1750" s="5">
        <v>43670</v>
      </c>
      <c r="W1750" s="5">
        <v>41663</v>
      </c>
      <c r="X1750" s="1">
        <v>2350000</v>
      </c>
      <c r="Y1750" s="1">
        <v>2350000</v>
      </c>
      <c r="Z1750" s="5">
        <v>41725</v>
      </c>
      <c r="AA1750" s="1">
        <v>2396887</v>
      </c>
      <c r="AB1750" s="1" t="s">
        <v>1387</v>
      </c>
      <c r="AC1750" s="5">
        <v>42265</v>
      </c>
      <c r="AF1750" s="1">
        <v>10069</v>
      </c>
      <c r="AI1750" s="1" t="s">
        <v>45</v>
      </c>
      <c r="AJ1750" s="1">
        <v>2016</v>
      </c>
      <c r="AK1750" s="1" t="s">
        <v>73</v>
      </c>
      <c r="AL1750" s="1">
        <v>657</v>
      </c>
    </row>
    <row r="1751" spans="1:38" x14ac:dyDescent="0.2">
      <c r="A1751" s="2" t="str">
        <f>HYPERLINK("https://www.compass.com/listing/50-riverside-boulevard-unit-16g-manhattan-ny-10069/29396635264086017/","50 Riverside Blvd, Unit 16G")</f>
        <v>50 Riverside Blvd, Unit 16G</v>
      </c>
      <c r="B1751" s="2" t="str">
        <f t="shared" si="290"/>
        <v>One Riverside Park</v>
      </c>
      <c r="C1751" s="1" t="s">
        <v>50</v>
      </c>
      <c r="D1751" s="1" t="s">
        <v>41</v>
      </c>
      <c r="E1751" s="3">
        <v>2417253</v>
      </c>
      <c r="F1751" s="1">
        <v>1671.6825726141001</v>
      </c>
      <c r="G1751" s="1">
        <v>3</v>
      </c>
      <c r="H1751" s="1">
        <v>2</v>
      </c>
      <c r="I1751" s="1">
        <v>2</v>
      </c>
      <c r="J1751" s="1">
        <v>2</v>
      </c>
      <c r="K1751" s="1">
        <v>2</v>
      </c>
      <c r="M1751" s="4">
        <v>1446</v>
      </c>
      <c r="N1751" s="1">
        <v>1609</v>
      </c>
      <c r="O1751" s="1">
        <v>1698</v>
      </c>
      <c r="P1751" s="1">
        <v>89</v>
      </c>
      <c r="Q1751" s="1" t="s">
        <v>42</v>
      </c>
      <c r="S1751" s="1" t="s">
        <v>42</v>
      </c>
      <c r="T1751" s="1" t="s">
        <v>170</v>
      </c>
      <c r="U1751" s="1">
        <v>6</v>
      </c>
      <c r="V1751" s="5">
        <v>43650</v>
      </c>
      <c r="W1751" s="5">
        <v>41663</v>
      </c>
      <c r="X1751" s="1">
        <v>2370000</v>
      </c>
      <c r="Y1751" s="1">
        <v>2370000</v>
      </c>
      <c r="Z1751" s="5">
        <v>41926</v>
      </c>
      <c r="AA1751" s="1">
        <v>2417253</v>
      </c>
      <c r="AB1751" s="1" t="s">
        <v>1388</v>
      </c>
      <c r="AC1751" s="5">
        <v>42322</v>
      </c>
      <c r="AF1751" s="1">
        <v>10069</v>
      </c>
      <c r="AI1751" s="1" t="s">
        <v>45</v>
      </c>
      <c r="AJ1751" s="1">
        <v>2016</v>
      </c>
      <c r="AK1751" s="1" t="s">
        <v>73</v>
      </c>
      <c r="AL1751" s="1">
        <v>657</v>
      </c>
    </row>
    <row r="1752" spans="1:38" x14ac:dyDescent="0.2">
      <c r="A1752" s="2" t="str">
        <f>HYPERLINK("https://www.compass.com/listing/50-riverside-boulevard-unit-9g-manhattan-ny-10069/29396632814612449/","50 Riverside Blvd, Unit 9G")</f>
        <v>50 Riverside Blvd, Unit 9G</v>
      </c>
      <c r="B1752" s="2" t="str">
        <f t="shared" si="290"/>
        <v>One Riverside Park</v>
      </c>
      <c r="C1752" s="1" t="s">
        <v>50</v>
      </c>
      <c r="D1752" s="1" t="s">
        <v>41</v>
      </c>
      <c r="E1752" s="3">
        <v>2142325</v>
      </c>
      <c r="F1752" s="1">
        <v>1481.5525587828399</v>
      </c>
      <c r="G1752" s="1">
        <v>3</v>
      </c>
      <c r="H1752" s="1">
        <v>2</v>
      </c>
      <c r="I1752" s="1">
        <v>2</v>
      </c>
      <c r="J1752" s="1">
        <v>2</v>
      </c>
      <c r="K1752" s="1">
        <v>2</v>
      </c>
      <c r="M1752" s="4">
        <v>1446</v>
      </c>
      <c r="N1752" s="1">
        <v>1604</v>
      </c>
      <c r="O1752" s="1">
        <v>1693</v>
      </c>
      <c r="P1752" s="1">
        <v>89</v>
      </c>
      <c r="Q1752" s="1" t="s">
        <v>42</v>
      </c>
      <c r="S1752" s="1" t="s">
        <v>42</v>
      </c>
      <c r="T1752" s="1" t="s">
        <v>170</v>
      </c>
      <c r="V1752" s="5">
        <v>43654</v>
      </c>
      <c r="W1752" s="5">
        <v>41924</v>
      </c>
      <c r="X1752" s="1">
        <v>2100000</v>
      </c>
      <c r="Y1752" s="1">
        <v>2100000</v>
      </c>
      <c r="Z1752" s="5">
        <v>41924</v>
      </c>
      <c r="AA1752" s="1">
        <v>2142325</v>
      </c>
      <c r="AB1752" s="1" t="s">
        <v>1389</v>
      </c>
      <c r="AC1752" s="5">
        <v>42307</v>
      </c>
      <c r="AF1752" s="1">
        <v>10069</v>
      </c>
      <c r="AI1752" s="1" t="s">
        <v>45</v>
      </c>
      <c r="AJ1752" s="1">
        <v>2016</v>
      </c>
      <c r="AK1752" s="1" t="s">
        <v>73</v>
      </c>
      <c r="AL1752" s="1">
        <v>657</v>
      </c>
    </row>
    <row r="1753" spans="1:38" x14ac:dyDescent="0.2">
      <c r="A1753" s="2" t="str">
        <f>HYPERLINK("https://www.compass.com/listing/50-riverside-boulevard-unit-9j-manhattan-ny-10069/29396644634161377/","50 Riverside Blvd, Unit 9J")</f>
        <v>50 Riverside Blvd, Unit 9J</v>
      </c>
      <c r="B1753" s="2" t="str">
        <f t="shared" si="290"/>
        <v>One Riverside Park</v>
      </c>
      <c r="C1753" s="1" t="s">
        <v>50</v>
      </c>
      <c r="D1753" s="1" t="s">
        <v>41</v>
      </c>
      <c r="E1753" s="3">
        <v>2071048</v>
      </c>
      <c r="F1753" s="1">
        <v>1468.8283687943201</v>
      </c>
      <c r="G1753" s="1">
        <v>4</v>
      </c>
      <c r="H1753" s="1">
        <v>2</v>
      </c>
      <c r="I1753" s="1">
        <v>2</v>
      </c>
      <c r="J1753" s="1">
        <v>2</v>
      </c>
      <c r="K1753" s="1">
        <v>2</v>
      </c>
      <c r="M1753" s="4">
        <v>1410</v>
      </c>
      <c r="N1753" s="1">
        <v>1564</v>
      </c>
      <c r="O1753" s="1">
        <v>1651</v>
      </c>
      <c r="P1753" s="1">
        <v>87</v>
      </c>
      <c r="Q1753" s="1" t="s">
        <v>42</v>
      </c>
      <c r="S1753" s="1" t="s">
        <v>42</v>
      </c>
      <c r="T1753" s="1" t="s">
        <v>170</v>
      </c>
      <c r="U1753" s="1">
        <v>637</v>
      </c>
      <c r="V1753" s="5">
        <v>43650</v>
      </c>
      <c r="W1753" s="5">
        <v>41663</v>
      </c>
      <c r="X1753" s="1">
        <v>2030000</v>
      </c>
      <c r="Y1753" s="1">
        <v>2030000</v>
      </c>
      <c r="AA1753" s="1">
        <v>2071048</v>
      </c>
      <c r="AB1753" s="1" t="s">
        <v>1390</v>
      </c>
      <c r="AC1753" s="5">
        <v>42301</v>
      </c>
      <c r="AF1753" s="1">
        <v>10069</v>
      </c>
      <c r="AI1753" s="1" t="s">
        <v>45</v>
      </c>
      <c r="AJ1753" s="1">
        <v>2016</v>
      </c>
      <c r="AK1753" s="1" t="s">
        <v>73</v>
      </c>
      <c r="AL1753" s="1">
        <v>657</v>
      </c>
    </row>
    <row r="1754" spans="1:38" x14ac:dyDescent="0.2">
      <c r="A1754" s="2" t="str">
        <f>HYPERLINK("https://www.compass.com/listing/50-riverside-boulevard-unit-3c-manhattan-ny-10069/29513636305221457/","50 Riverside Blvd, Unit 3C")</f>
        <v>50 Riverside Blvd, Unit 3C</v>
      </c>
      <c r="B1754" s="2" t="str">
        <f t="shared" si="290"/>
        <v>One Riverside Park</v>
      </c>
      <c r="C1754" s="1" t="s">
        <v>50</v>
      </c>
      <c r="D1754" s="1" t="s">
        <v>41</v>
      </c>
      <c r="E1754" s="3">
        <v>2790000</v>
      </c>
      <c r="F1754" s="1">
        <v>1628.72154115586</v>
      </c>
      <c r="G1754" s="1">
        <v>5</v>
      </c>
      <c r="H1754" s="1">
        <v>3</v>
      </c>
      <c r="I1754" s="1">
        <v>3</v>
      </c>
      <c r="J1754" s="1">
        <v>3</v>
      </c>
      <c r="K1754" s="1">
        <v>3</v>
      </c>
      <c r="M1754" s="4">
        <v>1713</v>
      </c>
      <c r="N1754" s="1">
        <v>1911</v>
      </c>
      <c r="O1754" s="1">
        <v>1915</v>
      </c>
      <c r="P1754" s="1">
        <v>4</v>
      </c>
      <c r="Q1754" s="1" t="s">
        <v>42</v>
      </c>
      <c r="S1754" s="1" t="s">
        <v>42</v>
      </c>
      <c r="T1754" s="1" t="s">
        <v>170</v>
      </c>
      <c r="U1754" s="1">
        <v>33</v>
      </c>
      <c r="V1754" s="5">
        <v>43970</v>
      </c>
      <c r="W1754" s="5">
        <v>43833</v>
      </c>
      <c r="X1754" s="1">
        <v>2790000</v>
      </c>
      <c r="Y1754" s="1">
        <v>2790000</v>
      </c>
      <c r="Z1754" s="5">
        <v>43866</v>
      </c>
      <c r="AA1754" s="1">
        <v>2790000</v>
      </c>
      <c r="AB1754" s="1" t="s">
        <v>1391</v>
      </c>
      <c r="AC1754" s="5">
        <v>43958</v>
      </c>
      <c r="AF1754" s="1">
        <v>10069</v>
      </c>
      <c r="AI1754" s="1" t="s">
        <v>45</v>
      </c>
      <c r="AJ1754" s="1">
        <v>2016</v>
      </c>
      <c r="AK1754" s="1" t="s">
        <v>73</v>
      </c>
      <c r="AL1754" s="1">
        <v>657</v>
      </c>
    </row>
    <row r="1755" spans="1:38" x14ac:dyDescent="0.2">
      <c r="A1755" s="2" t="str">
        <f>HYPERLINK("https://www.compass.com/listing/50-riverside-boulevard-unit-6d-manhattan-ny-10069/29396617178225857/","50 Riverside Blvd, Unit 6D")</f>
        <v>50 Riverside Blvd, Unit 6D</v>
      </c>
      <c r="B1755" s="2" t="str">
        <f t="shared" si="290"/>
        <v>One Riverside Park</v>
      </c>
      <c r="C1755" s="1" t="s">
        <v>50</v>
      </c>
      <c r="D1755" s="1" t="s">
        <v>41</v>
      </c>
      <c r="E1755" s="3">
        <v>2199420</v>
      </c>
      <c r="F1755" s="1">
        <v>1689.2626728110599</v>
      </c>
      <c r="G1755" s="1">
        <v>4</v>
      </c>
      <c r="H1755" s="1">
        <v>2</v>
      </c>
      <c r="I1755" s="1">
        <v>2</v>
      </c>
      <c r="J1755" s="1">
        <v>2</v>
      </c>
      <c r="K1755" s="1">
        <v>2</v>
      </c>
      <c r="M1755" s="4">
        <v>1302</v>
      </c>
      <c r="N1755" s="1">
        <v>1442</v>
      </c>
      <c r="O1755" s="1">
        <v>1522</v>
      </c>
      <c r="P1755" s="1">
        <v>80</v>
      </c>
      <c r="Q1755" s="1" t="s">
        <v>42</v>
      </c>
      <c r="S1755" s="1" t="s">
        <v>42</v>
      </c>
      <c r="T1755" s="1" t="s">
        <v>170</v>
      </c>
      <c r="V1755" s="5">
        <v>43651</v>
      </c>
      <c r="W1755" s="5">
        <v>41926</v>
      </c>
      <c r="X1755" s="1">
        <v>2160000</v>
      </c>
      <c r="Y1755" s="1">
        <v>2160000</v>
      </c>
      <c r="Z1755" s="5">
        <v>41926</v>
      </c>
      <c r="AA1755" s="1">
        <v>2199420</v>
      </c>
      <c r="AB1755" s="1" t="s">
        <v>1392</v>
      </c>
      <c r="AC1755" s="5">
        <v>42272</v>
      </c>
      <c r="AF1755" s="1">
        <v>10069</v>
      </c>
      <c r="AI1755" s="1" t="s">
        <v>45</v>
      </c>
      <c r="AJ1755" s="1">
        <v>2016</v>
      </c>
      <c r="AK1755" s="1" t="s">
        <v>73</v>
      </c>
      <c r="AL1755" s="1">
        <v>657</v>
      </c>
    </row>
    <row r="1756" spans="1:38" x14ac:dyDescent="0.2">
      <c r="A1756" s="2" t="str">
        <f>HYPERLINK("https://www.compass.com/listing/50-riverside-boulevard-unit-6e-manhattan-ny-10069/29396624375610673/","50 Riverside Blvd, Unit 6E")</f>
        <v>50 Riverside Blvd, Unit 6E</v>
      </c>
      <c r="B1756" s="2" t="str">
        <f t="shared" si="290"/>
        <v>One Riverside Park</v>
      </c>
      <c r="C1756" s="1" t="s">
        <v>50</v>
      </c>
      <c r="D1756" s="1" t="s">
        <v>41</v>
      </c>
      <c r="E1756" s="3">
        <v>2172873</v>
      </c>
      <c r="F1756" s="1">
        <v>1582.573197378</v>
      </c>
      <c r="G1756" s="1">
        <v>4</v>
      </c>
      <c r="H1756" s="1">
        <v>2</v>
      </c>
      <c r="I1756" s="1">
        <v>2</v>
      </c>
      <c r="J1756" s="1">
        <v>2</v>
      </c>
      <c r="K1756" s="1">
        <v>2</v>
      </c>
      <c r="M1756" s="4">
        <v>1373</v>
      </c>
      <c r="N1756" s="1">
        <v>1521</v>
      </c>
      <c r="O1756" s="1">
        <v>1605</v>
      </c>
      <c r="P1756" s="1">
        <v>84</v>
      </c>
      <c r="Q1756" s="1" t="s">
        <v>42</v>
      </c>
      <c r="S1756" s="1" t="s">
        <v>42</v>
      </c>
      <c r="T1756" s="1" t="s">
        <v>170</v>
      </c>
      <c r="V1756" s="5">
        <v>43650</v>
      </c>
      <c r="W1756" s="5">
        <v>41926</v>
      </c>
      <c r="X1756" s="1">
        <v>2130000</v>
      </c>
      <c r="Y1756" s="1">
        <v>2130000</v>
      </c>
      <c r="Z1756" s="5">
        <v>41926</v>
      </c>
      <c r="AA1756" s="1">
        <v>2172873</v>
      </c>
      <c r="AB1756" s="1" t="s">
        <v>1393</v>
      </c>
      <c r="AC1756" s="5">
        <v>42256</v>
      </c>
      <c r="AF1756" s="1">
        <v>10069</v>
      </c>
      <c r="AI1756" s="1" t="s">
        <v>45</v>
      </c>
      <c r="AJ1756" s="1">
        <v>2016</v>
      </c>
      <c r="AK1756" s="1" t="s">
        <v>73</v>
      </c>
      <c r="AL1756" s="1">
        <v>657</v>
      </c>
    </row>
    <row r="1757" spans="1:38" x14ac:dyDescent="0.2">
      <c r="A1757" s="2" t="str">
        <f>HYPERLINK("https://www.compass.com/listing/50-riverside-boulevard-unit-5f-manhattan-ny-10069/29396628108603281/","50 Riverside Blvd, Unit 5F")</f>
        <v>50 Riverside Blvd, Unit 5F</v>
      </c>
      <c r="B1757" s="2" t="str">
        <f t="shared" si="290"/>
        <v>One Riverside Park</v>
      </c>
      <c r="C1757" s="1" t="s">
        <v>50</v>
      </c>
      <c r="D1757" s="1" t="s">
        <v>41</v>
      </c>
      <c r="E1757" s="3">
        <v>1979405</v>
      </c>
      <c r="F1757" s="1">
        <v>1545.20296643247</v>
      </c>
      <c r="G1757" s="1">
        <v>4</v>
      </c>
      <c r="H1757" s="1">
        <v>2</v>
      </c>
      <c r="I1757" s="1">
        <v>2</v>
      </c>
      <c r="J1757" s="1">
        <v>2</v>
      </c>
      <c r="K1757" s="1">
        <v>2</v>
      </c>
      <c r="M1757" s="4">
        <v>1281</v>
      </c>
      <c r="N1757" s="1">
        <v>1440</v>
      </c>
      <c r="O1757" s="1">
        <v>1520</v>
      </c>
      <c r="P1757" s="1">
        <v>80</v>
      </c>
      <c r="Q1757" s="1" t="s">
        <v>42</v>
      </c>
      <c r="S1757" s="1" t="s">
        <v>42</v>
      </c>
      <c r="T1757" s="1" t="s">
        <v>170</v>
      </c>
      <c r="U1757" s="1">
        <v>135</v>
      </c>
      <c r="V1757" s="5">
        <v>43654</v>
      </c>
      <c r="W1757" s="5">
        <v>41753</v>
      </c>
      <c r="X1757" s="1">
        <v>1940000</v>
      </c>
      <c r="Y1757" s="1">
        <v>1940000</v>
      </c>
      <c r="Z1757" s="5">
        <v>41888</v>
      </c>
      <c r="AA1757" s="1">
        <v>1979405</v>
      </c>
      <c r="AB1757" s="1" t="s">
        <v>1394</v>
      </c>
      <c r="AC1757" s="5">
        <v>42244</v>
      </c>
      <c r="AF1757" s="1">
        <v>10069</v>
      </c>
      <c r="AI1757" s="1" t="s">
        <v>45</v>
      </c>
      <c r="AJ1757" s="1">
        <v>2016</v>
      </c>
      <c r="AK1757" s="1" t="s">
        <v>73</v>
      </c>
      <c r="AL1757" s="1">
        <v>657</v>
      </c>
    </row>
    <row r="1758" spans="1:38" x14ac:dyDescent="0.2">
      <c r="A1758" s="2" t="str">
        <f>HYPERLINK("https://www.compass.com/listing/50-riverside-boulevard-unit-6f-manhattan-ny-10069/29396628511194481/","50 Riverside Blvd, Unit 6F")</f>
        <v>50 Riverside Blvd, Unit 6F</v>
      </c>
      <c r="B1758" s="2" t="str">
        <f t="shared" si="290"/>
        <v>One Riverside Park</v>
      </c>
      <c r="C1758" s="1" t="s">
        <v>50</v>
      </c>
      <c r="D1758" s="1" t="s">
        <v>41</v>
      </c>
      <c r="E1758" s="3">
        <v>2020135</v>
      </c>
      <c r="F1758" s="1">
        <v>1576.9984387197501</v>
      </c>
      <c r="G1758" s="1">
        <v>4</v>
      </c>
      <c r="H1758" s="1">
        <v>2</v>
      </c>
      <c r="I1758" s="1">
        <v>2</v>
      </c>
      <c r="J1758" s="1">
        <v>2</v>
      </c>
      <c r="K1758" s="1">
        <v>2</v>
      </c>
      <c r="M1758" s="4">
        <v>1281</v>
      </c>
      <c r="N1758" s="1">
        <v>1441</v>
      </c>
      <c r="O1758" s="1">
        <v>1521</v>
      </c>
      <c r="P1758" s="1">
        <v>80</v>
      </c>
      <c r="Q1758" s="1" t="s">
        <v>42</v>
      </c>
      <c r="S1758" s="1" t="s">
        <v>42</v>
      </c>
      <c r="T1758" s="1" t="s">
        <v>170</v>
      </c>
      <c r="U1758" s="1">
        <v>55</v>
      </c>
      <c r="V1758" s="5">
        <v>43654</v>
      </c>
      <c r="W1758" s="5">
        <v>41899</v>
      </c>
      <c r="X1758" s="1">
        <v>1980000</v>
      </c>
      <c r="Y1758" s="1">
        <v>1980000</v>
      </c>
      <c r="Z1758" s="5">
        <v>41954</v>
      </c>
      <c r="AA1758" s="1">
        <v>2020135</v>
      </c>
      <c r="AB1758" s="1" t="s">
        <v>1395</v>
      </c>
      <c r="AC1758" s="5">
        <v>42332</v>
      </c>
      <c r="AF1758" s="1">
        <v>10069</v>
      </c>
      <c r="AI1758" s="1" t="s">
        <v>45</v>
      </c>
      <c r="AJ1758" s="1">
        <v>2016</v>
      </c>
      <c r="AK1758" s="1" t="s">
        <v>73</v>
      </c>
      <c r="AL1758" s="1">
        <v>657</v>
      </c>
    </row>
    <row r="1759" spans="1:38" x14ac:dyDescent="0.2">
      <c r="A1759" s="2" t="str">
        <f>HYPERLINK("https://www.compass.com/listing/50-riverside-boulevard-unit-5m-manhattan-ny-10069/29396657611317169/","50 Riverside Blvd, Unit 5M")</f>
        <v>50 Riverside Blvd, Unit 5M</v>
      </c>
      <c r="B1759" s="2" t="str">
        <f t="shared" si="290"/>
        <v>One Riverside Park</v>
      </c>
      <c r="C1759" s="1" t="s">
        <v>50</v>
      </c>
      <c r="D1759" s="1" t="s">
        <v>41</v>
      </c>
      <c r="E1759" s="3">
        <v>2254333</v>
      </c>
      <c r="F1759" s="1">
        <v>1727.4582375478899</v>
      </c>
      <c r="G1759" s="1">
        <v>4</v>
      </c>
      <c r="H1759" s="1">
        <v>2</v>
      </c>
      <c r="I1759" s="1">
        <v>2</v>
      </c>
      <c r="J1759" s="1">
        <v>2</v>
      </c>
      <c r="K1759" s="1">
        <v>2</v>
      </c>
      <c r="M1759" s="4">
        <v>1305</v>
      </c>
      <c r="N1759" s="1">
        <v>1444</v>
      </c>
      <c r="O1759" s="1">
        <v>1524</v>
      </c>
      <c r="P1759" s="1">
        <v>80</v>
      </c>
      <c r="Q1759" s="1" t="s">
        <v>42</v>
      </c>
      <c r="S1759" s="1" t="s">
        <v>42</v>
      </c>
      <c r="T1759" s="1" t="s">
        <v>170</v>
      </c>
      <c r="U1759" s="1">
        <v>125</v>
      </c>
      <c r="V1759" s="5">
        <v>43651</v>
      </c>
      <c r="W1759" s="5">
        <v>41777</v>
      </c>
      <c r="X1759" s="1">
        <v>2210000</v>
      </c>
      <c r="Y1759" s="1">
        <v>2210000</v>
      </c>
      <c r="Z1759" s="5">
        <v>41902</v>
      </c>
      <c r="AA1759" s="1">
        <v>2254333</v>
      </c>
      <c r="AB1759" s="1" t="s">
        <v>1396</v>
      </c>
      <c r="AC1759" s="5">
        <v>42270</v>
      </c>
      <c r="AF1759" s="1">
        <v>10069</v>
      </c>
      <c r="AI1759" s="1" t="s">
        <v>45</v>
      </c>
      <c r="AJ1759" s="1">
        <v>2016</v>
      </c>
      <c r="AK1759" s="1" t="s">
        <v>73</v>
      </c>
      <c r="AL1759" s="1">
        <v>657</v>
      </c>
    </row>
    <row r="1760" spans="1:38" x14ac:dyDescent="0.2">
      <c r="A1760" s="2" t="str">
        <f>HYPERLINK("https://www.compass.com/listing/50-riverside-boulevard-unit-8m-manhattan-ny-10069/29396658945105857/","50 Riverside Blvd, Unit 8M")</f>
        <v>50 Riverside Blvd, Unit 8M</v>
      </c>
      <c r="B1760" s="2" t="str">
        <f t="shared" si="290"/>
        <v>One Riverside Park</v>
      </c>
      <c r="C1760" s="1" t="s">
        <v>50</v>
      </c>
      <c r="D1760" s="1" t="s">
        <v>41</v>
      </c>
      <c r="E1760" s="3">
        <v>2468165</v>
      </c>
      <c r="F1760" s="1">
        <v>1872.65933232169</v>
      </c>
      <c r="G1760" s="1">
        <v>3</v>
      </c>
      <c r="H1760" s="1">
        <v>2</v>
      </c>
      <c r="I1760" s="1">
        <v>2</v>
      </c>
      <c r="J1760" s="1">
        <v>2</v>
      </c>
      <c r="K1760" s="1">
        <v>2</v>
      </c>
      <c r="M1760" s="4">
        <v>1318</v>
      </c>
      <c r="N1760" s="1">
        <v>1461</v>
      </c>
      <c r="O1760" s="1">
        <v>1542</v>
      </c>
      <c r="P1760" s="1">
        <v>81</v>
      </c>
      <c r="Q1760" s="1" t="s">
        <v>42</v>
      </c>
      <c r="S1760" s="1" t="s">
        <v>42</v>
      </c>
      <c r="T1760" s="1" t="s">
        <v>170</v>
      </c>
      <c r="U1760" s="1">
        <v>34</v>
      </c>
      <c r="V1760" s="5">
        <v>43654</v>
      </c>
      <c r="W1760" s="5">
        <v>41691</v>
      </c>
      <c r="X1760" s="1">
        <v>2420000</v>
      </c>
      <c r="Y1760" s="1">
        <v>2420000</v>
      </c>
      <c r="Z1760" s="5">
        <v>41725</v>
      </c>
      <c r="AA1760" s="1">
        <v>2468165</v>
      </c>
      <c r="AB1760" s="1" t="s">
        <v>1397</v>
      </c>
      <c r="AC1760" s="5">
        <v>42286</v>
      </c>
      <c r="AF1760" s="1">
        <v>10069</v>
      </c>
      <c r="AI1760" s="1" t="s">
        <v>45</v>
      </c>
      <c r="AJ1760" s="1">
        <v>2016</v>
      </c>
      <c r="AK1760" s="1" t="s">
        <v>73</v>
      </c>
      <c r="AL1760" s="1">
        <v>657</v>
      </c>
    </row>
    <row r="1761" spans="1:38" x14ac:dyDescent="0.2">
      <c r="A1761" s="2" t="str">
        <f>HYPERLINK("https://www.compass.com/listing/50-riverside-boulevard-unit-11h-manhattan-ny-10069/29396639525437009/","50 Riverside Blvd, Unit 11H")</f>
        <v>50 Riverside Blvd, Unit 11H</v>
      </c>
      <c r="B1761" s="2" t="str">
        <f t="shared" si="290"/>
        <v>One Riverside Park</v>
      </c>
      <c r="C1761" s="1" t="s">
        <v>50</v>
      </c>
      <c r="D1761" s="1" t="s">
        <v>41</v>
      </c>
      <c r="E1761" s="3">
        <v>2590355</v>
      </c>
      <c r="F1761" s="1">
        <v>1672.2756617172299</v>
      </c>
      <c r="G1761" s="1">
        <v>4</v>
      </c>
      <c r="H1761" s="1">
        <v>2</v>
      </c>
      <c r="I1761" s="1">
        <v>2</v>
      </c>
      <c r="J1761" s="1">
        <v>2</v>
      </c>
      <c r="K1761" s="1">
        <v>2</v>
      </c>
      <c r="M1761" s="4">
        <v>1549</v>
      </c>
      <c r="N1761" s="1">
        <v>1720</v>
      </c>
      <c r="O1761" s="1">
        <v>1815</v>
      </c>
      <c r="P1761" s="1">
        <v>95</v>
      </c>
      <c r="Q1761" s="1" t="s">
        <v>42</v>
      </c>
      <c r="S1761" s="1" t="s">
        <v>42</v>
      </c>
      <c r="T1761" s="1" t="s">
        <v>170</v>
      </c>
      <c r="U1761" s="1">
        <v>47</v>
      </c>
      <c r="V1761" s="5">
        <v>43650</v>
      </c>
      <c r="W1761" s="5">
        <v>41676</v>
      </c>
      <c r="X1761" s="1">
        <v>2540000</v>
      </c>
      <c r="Y1761" s="1">
        <v>2540000</v>
      </c>
      <c r="Z1761" s="5">
        <v>41723</v>
      </c>
      <c r="AA1761" s="1">
        <v>2590355</v>
      </c>
      <c r="AB1761" s="1" t="s">
        <v>1398</v>
      </c>
      <c r="AC1761" s="5">
        <v>42360</v>
      </c>
      <c r="AF1761" s="1">
        <v>10069</v>
      </c>
      <c r="AI1761" s="1" t="s">
        <v>45</v>
      </c>
      <c r="AJ1761" s="1">
        <v>2016</v>
      </c>
      <c r="AK1761" s="1" t="s">
        <v>73</v>
      </c>
      <c r="AL1761" s="1">
        <v>657</v>
      </c>
    </row>
    <row r="1762" spans="1:38" x14ac:dyDescent="0.2">
      <c r="A1762" s="2" t="str">
        <f>HYPERLINK("https://www.compass.com/listing/50-riverside-boulevard-unit-15h-manhattan-ny-10069/29396641547091553/","50 Riverside Blvd, Unit 15H")</f>
        <v>50 Riverside Blvd, Unit 15H</v>
      </c>
      <c r="B1762" s="2" t="str">
        <f t="shared" si="290"/>
        <v>One Riverside Park</v>
      </c>
      <c r="C1762" s="1" t="s">
        <v>50</v>
      </c>
      <c r="D1762" s="1" t="s">
        <v>41</v>
      </c>
      <c r="E1762" s="3">
        <v>2763458</v>
      </c>
      <c r="F1762" s="1">
        <v>1784.02711426726</v>
      </c>
      <c r="G1762" s="1">
        <v>4</v>
      </c>
      <c r="H1762" s="1">
        <v>2</v>
      </c>
      <c r="I1762" s="1">
        <v>2</v>
      </c>
      <c r="J1762" s="1">
        <v>2</v>
      </c>
      <c r="K1762" s="1">
        <v>2</v>
      </c>
      <c r="M1762" s="4">
        <v>1549</v>
      </c>
      <c r="N1762" s="1">
        <v>1722</v>
      </c>
      <c r="O1762" s="1">
        <v>1817</v>
      </c>
      <c r="P1762" s="1">
        <v>95</v>
      </c>
      <c r="Q1762" s="1" t="s">
        <v>42</v>
      </c>
      <c r="S1762" s="1" t="s">
        <v>42</v>
      </c>
      <c r="T1762" s="1" t="s">
        <v>170</v>
      </c>
      <c r="U1762" s="1">
        <v>21</v>
      </c>
      <c r="V1762" s="5">
        <v>43650</v>
      </c>
      <c r="W1762" s="5">
        <v>41711</v>
      </c>
      <c r="X1762" s="1">
        <v>2710000</v>
      </c>
      <c r="Y1762" s="1">
        <v>2710000</v>
      </c>
      <c r="Z1762" s="5">
        <v>41732</v>
      </c>
      <c r="AA1762" s="1">
        <v>2763458</v>
      </c>
      <c r="AB1762" s="1" t="s">
        <v>1399</v>
      </c>
      <c r="AC1762" s="5">
        <v>42389</v>
      </c>
      <c r="AF1762" s="1">
        <v>10069</v>
      </c>
      <c r="AI1762" s="1" t="s">
        <v>45</v>
      </c>
      <c r="AJ1762" s="1">
        <v>2016</v>
      </c>
      <c r="AK1762" s="1" t="s">
        <v>73</v>
      </c>
      <c r="AL1762" s="1">
        <v>657</v>
      </c>
    </row>
    <row r="1763" spans="1:38" x14ac:dyDescent="0.2">
      <c r="A1763" s="2" t="str">
        <f>HYPERLINK("https://www.compass.com/listing/50-riverside-boulevard-unit-14g-manhattan-ny-10069/222887887924944945/","50 Riverside Blvd, Unit 14G")</f>
        <v>50 Riverside Blvd, Unit 14G</v>
      </c>
      <c r="B1763" s="2" t="str">
        <f t="shared" si="290"/>
        <v>One Riverside Park</v>
      </c>
      <c r="C1763" s="1" t="s">
        <v>50</v>
      </c>
      <c r="D1763" s="1" t="s">
        <v>41</v>
      </c>
      <c r="E1763" s="3">
        <v>2355000</v>
      </c>
      <c r="F1763" s="1">
        <v>1628.63070539419</v>
      </c>
      <c r="G1763" s="1">
        <v>4</v>
      </c>
      <c r="H1763" s="1">
        <v>2</v>
      </c>
      <c r="I1763" s="1">
        <v>2</v>
      </c>
      <c r="J1763" s="1">
        <v>2</v>
      </c>
      <c r="K1763" s="1">
        <v>2</v>
      </c>
      <c r="M1763" s="4">
        <v>1446</v>
      </c>
      <c r="N1763" s="1">
        <v>1607</v>
      </c>
      <c r="O1763" s="1">
        <v>1607</v>
      </c>
      <c r="Q1763" s="1" t="s">
        <v>42</v>
      </c>
      <c r="S1763" s="1" t="s">
        <v>42</v>
      </c>
      <c r="T1763" s="1" t="s">
        <v>170</v>
      </c>
      <c r="U1763" s="1">
        <v>78</v>
      </c>
      <c r="V1763" s="5">
        <v>43830</v>
      </c>
      <c r="W1763" s="5">
        <v>43560</v>
      </c>
      <c r="X1763" s="1">
        <v>2480000</v>
      </c>
      <c r="Y1763" s="1">
        <v>2480000</v>
      </c>
      <c r="Z1763" s="5">
        <v>43638</v>
      </c>
      <c r="AA1763" s="1">
        <v>2355000</v>
      </c>
      <c r="AB1763" s="1" t="s">
        <v>1400</v>
      </c>
      <c r="AC1763" s="5">
        <v>43819</v>
      </c>
      <c r="AF1763" s="1">
        <v>10069</v>
      </c>
      <c r="AI1763" s="1" t="s">
        <v>101</v>
      </c>
      <c r="AJ1763" s="1">
        <v>2016</v>
      </c>
      <c r="AK1763" s="1" t="s">
        <v>73</v>
      </c>
      <c r="AL1763" s="1">
        <v>657</v>
      </c>
    </row>
    <row r="1764" spans="1:38" x14ac:dyDescent="0.2">
      <c r="A1764" s="2" t="str">
        <f>HYPERLINK("https://www.compass.com/listing/313-west-121st-street-unit-5-manhattan-ny-10027/496435009002070225/","313 W 121st St, Unit 5")</f>
        <v>313 W 121st St, Unit 5</v>
      </c>
      <c r="B1764" s="2" t="str">
        <f>HYPERLINK("https://www.compass.com/building/the-vidro-manhattan-ny/282056937623814149/","The Vidro")</f>
        <v>The Vidro</v>
      </c>
      <c r="C1764" s="1" t="s">
        <v>106</v>
      </c>
      <c r="D1764" s="1" t="s">
        <v>41</v>
      </c>
      <c r="E1764" s="3">
        <v>1205000</v>
      </c>
      <c r="F1764" s="1">
        <v>1179.06066536203</v>
      </c>
      <c r="G1764" s="1">
        <v>4</v>
      </c>
      <c r="H1764" s="1">
        <v>2</v>
      </c>
      <c r="I1764" s="1">
        <v>2</v>
      </c>
      <c r="J1764" s="1">
        <v>2</v>
      </c>
      <c r="K1764" s="1">
        <v>2</v>
      </c>
      <c r="M1764" s="4">
        <v>1022</v>
      </c>
      <c r="N1764" s="1">
        <v>395.92</v>
      </c>
      <c r="O1764" s="1">
        <v>395.92</v>
      </c>
      <c r="Q1764" s="1" t="s">
        <v>42</v>
      </c>
      <c r="S1764" s="1" t="s">
        <v>42</v>
      </c>
      <c r="T1764" s="1" t="s">
        <v>170</v>
      </c>
      <c r="V1764" s="5">
        <v>44070</v>
      </c>
      <c r="W1764" s="5">
        <v>43936</v>
      </c>
      <c r="X1764" s="1">
        <v>1205000</v>
      </c>
      <c r="Y1764" s="1">
        <v>1205000</v>
      </c>
      <c r="Z1764" s="5">
        <v>43967</v>
      </c>
      <c r="AA1764" s="1">
        <v>1205000</v>
      </c>
      <c r="AB1764" s="1" t="s">
        <v>1401</v>
      </c>
      <c r="AC1764" s="5">
        <v>44049</v>
      </c>
      <c r="AF1764" s="1">
        <v>10027</v>
      </c>
      <c r="AI1764" s="1" t="s">
        <v>80</v>
      </c>
      <c r="AJ1764" s="1">
        <v>2016</v>
      </c>
      <c r="AK1764" s="1" t="s">
        <v>253</v>
      </c>
      <c r="AL1764" s="1">
        <v>6</v>
      </c>
    </row>
    <row r="1765" spans="1:38" x14ac:dyDescent="0.2">
      <c r="A1765" s="2" t="str">
        <f>HYPERLINK("https://www.compass.com/listing/50-riverside-boulevard-unit-7e-manhattan-ny-10069/29396624727973233/","50 Riverside Blvd, Unit 7E")</f>
        <v>50 Riverside Blvd, Unit 7E</v>
      </c>
      <c r="B1765" s="2" t="str">
        <f t="shared" ref="B1765:B1768" si="291">HYPERLINK("https://www.compass.com/building/one-riverside-park-manhattan-ny/282041440266113253/","One Riverside Park")</f>
        <v>One Riverside Park</v>
      </c>
      <c r="C1765" s="1" t="s">
        <v>50</v>
      </c>
      <c r="D1765" s="1" t="s">
        <v>41</v>
      </c>
      <c r="E1765" s="3">
        <v>2101595</v>
      </c>
      <c r="F1765" s="1">
        <v>1530.6591405680899</v>
      </c>
      <c r="G1765" s="1">
        <v>4</v>
      </c>
      <c r="H1765" s="1">
        <v>2</v>
      </c>
      <c r="I1765" s="1">
        <v>2</v>
      </c>
      <c r="J1765" s="1">
        <v>2</v>
      </c>
      <c r="K1765" s="1">
        <v>2</v>
      </c>
      <c r="M1765" s="4">
        <v>1373</v>
      </c>
      <c r="N1765" s="1">
        <v>1521</v>
      </c>
      <c r="O1765" s="1">
        <v>1605</v>
      </c>
      <c r="P1765" s="1">
        <v>84</v>
      </c>
      <c r="Q1765" s="1" t="s">
        <v>42</v>
      </c>
      <c r="S1765" s="1" t="s">
        <v>42</v>
      </c>
      <c r="T1765" s="1" t="s">
        <v>170</v>
      </c>
      <c r="U1765" s="1">
        <v>6</v>
      </c>
      <c r="V1765" s="5">
        <v>43651</v>
      </c>
      <c r="W1765" s="5">
        <v>41657</v>
      </c>
      <c r="X1765" s="1">
        <v>2060000</v>
      </c>
      <c r="Y1765" s="1">
        <v>2060000</v>
      </c>
      <c r="Z1765" s="5">
        <v>41926</v>
      </c>
      <c r="AA1765" s="1">
        <v>2101595</v>
      </c>
      <c r="AB1765" s="1" t="s">
        <v>1402</v>
      </c>
      <c r="AC1765" s="5">
        <v>42271</v>
      </c>
      <c r="AF1765" s="1">
        <v>10069</v>
      </c>
      <c r="AI1765" s="1" t="s">
        <v>45</v>
      </c>
      <c r="AJ1765" s="1">
        <v>2016</v>
      </c>
      <c r="AK1765" s="1" t="s">
        <v>73</v>
      </c>
      <c r="AL1765" s="1">
        <v>657</v>
      </c>
    </row>
    <row r="1766" spans="1:38" x14ac:dyDescent="0.2">
      <c r="A1766" s="2" t="str">
        <f>HYPERLINK("https://www.compass.com/listing/50-riverside-boulevard-unit-15g-manhattan-ny-10069/29396634836246017/","50 Riverside Blvd, Unit 15G")</f>
        <v>50 Riverside Blvd, Unit 15G</v>
      </c>
      <c r="B1766" s="2" t="str">
        <f t="shared" si="291"/>
        <v>One Riverside Park</v>
      </c>
      <c r="C1766" s="1" t="s">
        <v>50</v>
      </c>
      <c r="D1766" s="1" t="s">
        <v>41</v>
      </c>
      <c r="E1766" s="3">
        <v>2468165</v>
      </c>
      <c r="F1766" s="1">
        <v>1706.89142461964</v>
      </c>
      <c r="G1766" s="1">
        <v>4</v>
      </c>
      <c r="H1766" s="1">
        <v>2</v>
      </c>
      <c r="I1766" s="1">
        <v>2</v>
      </c>
      <c r="J1766" s="1">
        <v>2</v>
      </c>
      <c r="M1766" s="4">
        <v>1446</v>
      </c>
      <c r="N1766" s="1">
        <v>1608</v>
      </c>
      <c r="O1766" s="1">
        <v>1697</v>
      </c>
      <c r="P1766" s="1">
        <v>89</v>
      </c>
      <c r="Q1766" s="1" t="s">
        <v>42</v>
      </c>
      <c r="S1766" s="1" t="s">
        <v>42</v>
      </c>
      <c r="T1766" s="1" t="s">
        <v>170</v>
      </c>
      <c r="V1766" s="5">
        <v>43663</v>
      </c>
      <c r="W1766" s="5">
        <v>41924</v>
      </c>
      <c r="X1766" s="1">
        <v>2420000</v>
      </c>
      <c r="Y1766" s="1">
        <v>2420000</v>
      </c>
      <c r="Z1766" s="5">
        <v>41924</v>
      </c>
      <c r="AA1766" s="1">
        <v>2468165</v>
      </c>
      <c r="AB1766" s="1" t="s">
        <v>1403</v>
      </c>
      <c r="AC1766" s="5">
        <v>42327</v>
      </c>
      <c r="AF1766" s="1">
        <v>10069</v>
      </c>
      <c r="AI1766" s="1" t="s">
        <v>45</v>
      </c>
      <c r="AJ1766" s="1">
        <v>2016</v>
      </c>
      <c r="AK1766" s="1" t="s">
        <v>73</v>
      </c>
      <c r="AL1766" s="1">
        <v>657</v>
      </c>
    </row>
    <row r="1767" spans="1:38" x14ac:dyDescent="0.2">
      <c r="A1767" s="2" t="str">
        <f>HYPERLINK("https://www.compass.com/listing/50-riverside-boulevard-unit-5e-manhattan-ny-10069/783843584216948785/","50 Riverside Blvd, Unit 5E")</f>
        <v>50 Riverside Blvd, Unit 5E</v>
      </c>
      <c r="B1767" s="2" t="str">
        <f t="shared" si="291"/>
        <v>One Riverside Park</v>
      </c>
      <c r="C1767" s="1" t="s">
        <v>50</v>
      </c>
      <c r="D1767" s="1" t="s">
        <v>41</v>
      </c>
      <c r="E1767" s="3">
        <v>2132143</v>
      </c>
      <c r="F1767" s="1">
        <v>1552.9078659868901</v>
      </c>
      <c r="G1767" s="1">
        <v>3</v>
      </c>
      <c r="H1767" s="1">
        <v>2</v>
      </c>
      <c r="I1767" s="1">
        <v>2</v>
      </c>
      <c r="J1767" s="1">
        <v>2</v>
      </c>
      <c r="K1767" s="1">
        <v>2</v>
      </c>
      <c r="M1767" s="4">
        <v>1373</v>
      </c>
      <c r="N1767" s="1">
        <v>1440</v>
      </c>
      <c r="O1767" s="1">
        <v>1520</v>
      </c>
      <c r="P1767" s="1">
        <v>80</v>
      </c>
      <c r="Q1767" s="1" t="s">
        <v>42</v>
      </c>
      <c r="S1767" s="1" t="s">
        <v>42</v>
      </c>
      <c r="T1767" s="1" t="s">
        <v>170</v>
      </c>
      <c r="U1767" s="1">
        <v>204</v>
      </c>
      <c r="V1767" s="5">
        <v>42276</v>
      </c>
      <c r="W1767" s="5">
        <v>41662</v>
      </c>
      <c r="X1767" s="1">
        <v>2090000</v>
      </c>
      <c r="Y1767" s="1">
        <v>2132142</v>
      </c>
      <c r="Z1767" s="5">
        <v>41867</v>
      </c>
      <c r="AA1767" s="1">
        <v>2132142.5</v>
      </c>
      <c r="AB1767" s="1" t="s">
        <v>1404</v>
      </c>
      <c r="AC1767" s="5">
        <v>42244</v>
      </c>
      <c r="AF1767" s="1">
        <v>10069</v>
      </c>
      <c r="AI1767" s="1" t="s">
        <v>45</v>
      </c>
      <c r="AJ1767" s="1">
        <v>2016</v>
      </c>
      <c r="AK1767" s="1" t="s">
        <v>73</v>
      </c>
      <c r="AL1767" s="1">
        <v>657</v>
      </c>
    </row>
    <row r="1768" spans="1:38" x14ac:dyDescent="0.2">
      <c r="A1768" s="2" t="str">
        <f>HYPERLINK("https://www.compass.com/listing/50-riverside-boulevard-unit-8b-manhattan-ny-10069/29396599427951969/","50 Riverside Blvd, Unit 8B")</f>
        <v>50 Riverside Blvd, Unit 8B</v>
      </c>
      <c r="B1768" s="2" t="str">
        <f t="shared" si="291"/>
        <v>One Riverside Park</v>
      </c>
      <c r="C1768" s="1" t="s">
        <v>50</v>
      </c>
      <c r="D1768" s="1" t="s">
        <v>41</v>
      </c>
      <c r="E1768" s="3">
        <v>2916195</v>
      </c>
      <c r="F1768" s="1">
        <v>1948.0260521042001</v>
      </c>
      <c r="G1768" s="1">
        <v>3</v>
      </c>
      <c r="H1768" s="1">
        <v>2</v>
      </c>
      <c r="I1768" s="1">
        <v>2</v>
      </c>
      <c r="J1768" s="1">
        <v>2</v>
      </c>
      <c r="K1768" s="1">
        <v>2</v>
      </c>
      <c r="M1768" s="4">
        <v>1497</v>
      </c>
      <c r="N1768" s="1">
        <v>1660</v>
      </c>
      <c r="O1768" s="1">
        <v>1752</v>
      </c>
      <c r="P1768" s="1">
        <v>92</v>
      </c>
      <c r="Q1768" s="1" t="s">
        <v>42</v>
      </c>
      <c r="S1768" s="1" t="s">
        <v>42</v>
      </c>
      <c r="T1768" s="1" t="s">
        <v>170</v>
      </c>
      <c r="V1768" s="5">
        <v>43654</v>
      </c>
      <c r="W1768" s="5">
        <v>41923</v>
      </c>
      <c r="X1768" s="1">
        <v>2860000</v>
      </c>
      <c r="Y1768" s="1">
        <v>2860000</v>
      </c>
      <c r="Z1768" s="5">
        <v>41923</v>
      </c>
      <c r="AA1768" s="1">
        <v>2916195</v>
      </c>
      <c r="AB1768" s="1" t="s">
        <v>1405</v>
      </c>
      <c r="AC1768" s="5">
        <v>42289</v>
      </c>
      <c r="AF1768" s="1">
        <v>10069</v>
      </c>
      <c r="AI1768" s="1" t="s">
        <v>45</v>
      </c>
      <c r="AJ1768" s="1">
        <v>2016</v>
      </c>
      <c r="AK1768" s="1" t="s">
        <v>73</v>
      </c>
      <c r="AL1768" s="1">
        <v>657</v>
      </c>
    </row>
    <row r="1769" spans="1:38" x14ac:dyDescent="0.2">
      <c r="A1769" s="2" t="str">
        <f>HYPERLINK("https://www.compass.com/listing/150-west-12th-street-unit-11-west-manhattan-ny-10119/192573278647280769/","150 W 12th St, Unit 11 WEST")</f>
        <v>150 W 12th St, Unit 11 WEST</v>
      </c>
      <c r="B1769" s="2" t="str">
        <f t="shared" ref="B1769:B1770" si="292">HYPERLINK("https://www.compass.com/building/the-greenwich-lane-manhattan-ny/567553885067785157/","The Greenwich Lane")</f>
        <v>The Greenwich Lane</v>
      </c>
      <c r="C1769" s="1" t="s">
        <v>71</v>
      </c>
      <c r="D1769" s="1" t="s">
        <v>41</v>
      </c>
      <c r="E1769" s="3">
        <v>6632091</v>
      </c>
      <c r="F1769" s="1">
        <v>3190.0389610389602</v>
      </c>
      <c r="G1769" s="1">
        <v>4.5</v>
      </c>
      <c r="H1769" s="1">
        <v>2</v>
      </c>
      <c r="I1769" s="1">
        <v>2</v>
      </c>
      <c r="J1769" s="1">
        <v>2</v>
      </c>
      <c r="K1769" s="1">
        <v>2</v>
      </c>
      <c r="M1769" s="4">
        <v>2079</v>
      </c>
      <c r="N1769" s="1">
        <v>3676</v>
      </c>
      <c r="O1769" s="1">
        <v>7279</v>
      </c>
      <c r="P1769" s="1">
        <v>3603</v>
      </c>
      <c r="Q1769" s="1" t="s">
        <v>42</v>
      </c>
      <c r="S1769" s="1" t="s">
        <v>42</v>
      </c>
      <c r="T1769" s="1" t="s">
        <v>170</v>
      </c>
      <c r="V1769" s="5">
        <v>43678</v>
      </c>
      <c r="W1769" s="5">
        <v>41627</v>
      </c>
      <c r="X1769" s="1">
        <v>6885000</v>
      </c>
      <c r="Y1769" s="1">
        <v>6885000</v>
      </c>
      <c r="Z1769" s="5">
        <v>41627</v>
      </c>
      <c r="AA1769" s="1">
        <v>6632091</v>
      </c>
      <c r="AB1769" s="1" t="s">
        <v>181</v>
      </c>
      <c r="AC1769" s="5">
        <v>42434</v>
      </c>
      <c r="AF1769" s="1">
        <v>10119</v>
      </c>
      <c r="AI1769" s="1" t="s">
        <v>59</v>
      </c>
      <c r="AK1769" s="1" t="s">
        <v>49</v>
      </c>
      <c r="AL1769" s="1">
        <v>24</v>
      </c>
    </row>
    <row r="1770" spans="1:38" x14ac:dyDescent="0.2">
      <c r="A1770" s="2" t="str">
        <f>HYPERLINK("https://www.compass.com/listing/150-west-12th-street-unit-10-manhattan-ny-10119/29367275270261409/","150 W 12th St, Unit 10")</f>
        <v>150 W 12th St, Unit 10</v>
      </c>
      <c r="B1770" s="2" t="str">
        <f t="shared" si="292"/>
        <v>The Greenwich Lane</v>
      </c>
      <c r="C1770" s="1" t="s">
        <v>71</v>
      </c>
      <c r="D1770" s="1" t="s">
        <v>41</v>
      </c>
      <c r="E1770" s="3">
        <v>6709375</v>
      </c>
      <c r="F1770" s="1">
        <v>3249.0920096852301</v>
      </c>
      <c r="G1770" s="1">
        <v>4</v>
      </c>
      <c r="H1770" s="1">
        <v>2</v>
      </c>
      <c r="J1770" s="1">
        <v>2</v>
      </c>
      <c r="M1770" s="4">
        <v>2065</v>
      </c>
      <c r="Q1770" s="1" t="s">
        <v>42</v>
      </c>
      <c r="S1770" s="1" t="s">
        <v>42</v>
      </c>
      <c r="T1770" s="1" t="s">
        <v>170</v>
      </c>
      <c r="V1770" s="5">
        <v>44247</v>
      </c>
      <c r="AA1770" s="1">
        <v>6709375</v>
      </c>
      <c r="AB1770" s="1" t="s">
        <v>1406</v>
      </c>
      <c r="AC1770" s="5">
        <v>42860</v>
      </c>
      <c r="AF1770" s="1">
        <v>10119</v>
      </c>
      <c r="AI1770" s="1" t="s">
        <v>59</v>
      </c>
      <c r="AK1770" s="1" t="s">
        <v>77</v>
      </c>
      <c r="AL1770" s="1">
        <v>24</v>
      </c>
    </row>
    <row r="1771" spans="1:38" x14ac:dyDescent="0.2">
      <c r="A1771" s="2" t="str">
        <f>HYPERLINK("https://www.compass.com/listing/313-west-121st-street-unit-3-manhattan-ny-10027/518172571651738361/","313 W 121st St, Unit 3")</f>
        <v>313 W 121st St, Unit 3</v>
      </c>
      <c r="B1771" s="2" t="str">
        <f>HYPERLINK("https://www.compass.com/building/the-vidro-manhattan-ny/282056937623814149/","The Vidro")</f>
        <v>The Vidro</v>
      </c>
      <c r="C1771" s="1" t="s">
        <v>106</v>
      </c>
      <c r="D1771" s="1" t="s">
        <v>41</v>
      </c>
      <c r="E1771" s="3">
        <v>1100000</v>
      </c>
      <c r="F1771" s="1">
        <v>1074.21875</v>
      </c>
      <c r="G1771" s="1">
        <v>4</v>
      </c>
      <c r="H1771" s="1">
        <v>2</v>
      </c>
      <c r="I1771" s="1">
        <v>2</v>
      </c>
      <c r="J1771" s="1">
        <v>2</v>
      </c>
      <c r="K1771" s="1">
        <v>2</v>
      </c>
      <c r="M1771" s="4">
        <v>1024</v>
      </c>
      <c r="N1771" s="1">
        <v>963</v>
      </c>
      <c r="O1771" s="1">
        <v>963</v>
      </c>
      <c r="Q1771" s="1" t="s">
        <v>42</v>
      </c>
      <c r="S1771" s="1" t="s">
        <v>42</v>
      </c>
      <c r="T1771" s="1" t="s">
        <v>170</v>
      </c>
      <c r="U1771" s="1">
        <v>238</v>
      </c>
      <c r="V1771" s="5">
        <v>44008</v>
      </c>
      <c r="W1771" s="5">
        <v>43672</v>
      </c>
      <c r="X1771" s="1">
        <v>1185000</v>
      </c>
      <c r="Y1771" s="1">
        <v>1135000</v>
      </c>
      <c r="Z1771" s="5">
        <v>43967</v>
      </c>
      <c r="AA1771" s="1">
        <v>1100000</v>
      </c>
      <c r="AB1771" s="1" t="s">
        <v>1407</v>
      </c>
      <c r="AC1771" s="5">
        <v>44109</v>
      </c>
      <c r="AF1771" s="1">
        <v>10027</v>
      </c>
      <c r="AI1771" s="1" t="s">
        <v>45</v>
      </c>
      <c r="AJ1771" s="1">
        <v>2016</v>
      </c>
      <c r="AL1771" s="1">
        <v>6</v>
      </c>
    </row>
    <row r="1772" spans="1:38" x14ac:dyDescent="0.2">
      <c r="A1772" s="2" t="str">
        <f>HYPERLINK("https://www.compass.com/listing/50-riverside-boulevard-unit-10m-manhattan-ny-10069/29396659775537089/","50 Riverside Blvd, Unit 10M")</f>
        <v>50 Riverside Blvd, Unit 10M</v>
      </c>
      <c r="B1772" s="2" t="str">
        <f t="shared" ref="B1772:B1787" si="293">HYPERLINK("https://www.compass.com/building/one-riverside-park-manhattan-ny/282041440266113253/","One Riverside Park")</f>
        <v>One Riverside Park</v>
      </c>
      <c r="C1772" s="1" t="s">
        <v>50</v>
      </c>
      <c r="D1772" s="1" t="s">
        <v>41</v>
      </c>
      <c r="E1772" s="3">
        <v>2468165</v>
      </c>
      <c r="F1772" s="1">
        <v>1872.65933232169</v>
      </c>
      <c r="G1772" s="1">
        <v>3</v>
      </c>
      <c r="H1772" s="1">
        <v>2</v>
      </c>
      <c r="I1772" s="1">
        <v>3</v>
      </c>
      <c r="J1772" s="1">
        <v>2.5</v>
      </c>
      <c r="M1772" s="4">
        <v>1318</v>
      </c>
      <c r="N1772" s="1">
        <v>1463</v>
      </c>
      <c r="O1772" s="1">
        <v>1544</v>
      </c>
      <c r="P1772" s="1">
        <v>81</v>
      </c>
      <c r="Q1772" s="1" t="s">
        <v>42</v>
      </c>
      <c r="S1772" s="1" t="s">
        <v>42</v>
      </c>
      <c r="T1772" s="1" t="s">
        <v>170</v>
      </c>
      <c r="V1772" s="5">
        <v>43664</v>
      </c>
      <c r="W1772" s="5">
        <v>41924</v>
      </c>
      <c r="X1772" s="1">
        <v>2420000</v>
      </c>
      <c r="Y1772" s="1">
        <v>2420000</v>
      </c>
      <c r="Z1772" s="5">
        <v>41924</v>
      </c>
      <c r="AA1772" s="1">
        <v>2468165</v>
      </c>
      <c r="AB1772" s="1" t="s">
        <v>1408</v>
      </c>
      <c r="AC1772" s="5">
        <v>42451</v>
      </c>
      <c r="AF1772" s="1">
        <v>10069</v>
      </c>
      <c r="AI1772" s="1" t="s">
        <v>45</v>
      </c>
      <c r="AJ1772" s="1">
        <v>2016</v>
      </c>
      <c r="AK1772" s="1" t="s">
        <v>73</v>
      </c>
      <c r="AL1772" s="1">
        <v>657</v>
      </c>
    </row>
    <row r="1773" spans="1:38" x14ac:dyDescent="0.2">
      <c r="A1773" s="2" t="str">
        <f>HYPERLINK("https://www.compass.com/listing/50-riverside-boulevard-unit-8h-manhattan-ny-10069/803402739203521825/","50 Riverside Blvd, Unit 8H")</f>
        <v>50 Riverside Blvd, Unit 8H</v>
      </c>
      <c r="B1773" s="2" t="str">
        <f t="shared" si="293"/>
        <v>One Riverside Park</v>
      </c>
      <c r="C1773" s="1" t="s">
        <v>50</v>
      </c>
      <c r="D1773" s="1" t="s">
        <v>41</v>
      </c>
      <c r="E1773" s="3">
        <v>2350000</v>
      </c>
      <c r="F1773" s="1">
        <v>1517.10781149128</v>
      </c>
      <c r="G1773" s="1">
        <v>4</v>
      </c>
      <c r="H1773" s="1">
        <v>2</v>
      </c>
      <c r="I1773" s="1">
        <v>3</v>
      </c>
      <c r="J1773" s="1">
        <v>2.5</v>
      </c>
      <c r="M1773" s="4">
        <v>1549</v>
      </c>
      <c r="N1773" s="1">
        <v>1717</v>
      </c>
      <c r="O1773" s="1">
        <v>1812</v>
      </c>
      <c r="P1773" s="1">
        <v>95</v>
      </c>
      <c r="Q1773" s="1" t="s">
        <v>42</v>
      </c>
      <c r="S1773" s="1" t="s">
        <v>42</v>
      </c>
      <c r="T1773" s="1" t="s">
        <v>170</v>
      </c>
      <c r="V1773" s="5">
        <v>42998</v>
      </c>
      <c r="W1773" s="5">
        <v>42902</v>
      </c>
      <c r="X1773" s="1">
        <v>2350000</v>
      </c>
      <c r="Y1773" s="1">
        <v>2350000</v>
      </c>
      <c r="Z1773" s="5">
        <v>41895</v>
      </c>
      <c r="AB1773" s="1" t="s">
        <v>181</v>
      </c>
      <c r="AC1773" s="5">
        <v>42902</v>
      </c>
      <c r="AF1773" s="1">
        <v>10069</v>
      </c>
      <c r="AI1773" s="1" t="s">
        <v>45</v>
      </c>
      <c r="AJ1773" s="1">
        <v>2016</v>
      </c>
      <c r="AK1773" s="1" t="s">
        <v>73</v>
      </c>
      <c r="AL1773" s="1">
        <v>657</v>
      </c>
    </row>
    <row r="1774" spans="1:38" x14ac:dyDescent="0.2">
      <c r="A1774" s="2" t="str">
        <f>HYPERLINK("https://www.compass.com/listing/50-riverside-boulevard-unit-18c-manhattan-ny-10069/29396614695197857/","50 Riverside Blvd, Unit 18C")</f>
        <v>50 Riverside Blvd, Unit 18C</v>
      </c>
      <c r="B1774" s="2" t="str">
        <f t="shared" si="293"/>
        <v>One Riverside Park</v>
      </c>
      <c r="C1774" s="1" t="s">
        <v>50</v>
      </c>
      <c r="D1774" s="1" t="s">
        <v>41</v>
      </c>
      <c r="E1774" s="3">
        <v>3252218</v>
      </c>
      <c r="F1774" s="1">
        <v>2020.0111801242199</v>
      </c>
      <c r="G1774" s="1">
        <v>4</v>
      </c>
      <c r="H1774" s="1">
        <v>3</v>
      </c>
      <c r="I1774" s="1">
        <v>3</v>
      </c>
      <c r="J1774" s="1">
        <v>3</v>
      </c>
      <c r="K1774" s="1">
        <v>3</v>
      </c>
      <c r="M1774" s="4">
        <v>1610</v>
      </c>
      <c r="N1774" s="1">
        <v>1793</v>
      </c>
      <c r="O1774" s="1">
        <v>1892</v>
      </c>
      <c r="P1774" s="1">
        <v>99</v>
      </c>
      <c r="Q1774" s="1" t="s">
        <v>42</v>
      </c>
      <c r="S1774" s="1" t="s">
        <v>42</v>
      </c>
      <c r="T1774" s="1" t="s">
        <v>170</v>
      </c>
      <c r="U1774" s="1">
        <v>103</v>
      </c>
      <c r="V1774" s="5">
        <v>43650</v>
      </c>
      <c r="W1774" s="5">
        <v>41657</v>
      </c>
      <c r="X1774" s="1">
        <v>3190000</v>
      </c>
      <c r="Y1774" s="1">
        <v>3190000</v>
      </c>
      <c r="Z1774" s="5">
        <v>41760</v>
      </c>
      <c r="AA1774" s="1">
        <v>3252218</v>
      </c>
      <c r="AB1774" s="1" t="s">
        <v>1409</v>
      </c>
      <c r="AC1774" s="5">
        <v>42367</v>
      </c>
      <c r="AF1774" s="1">
        <v>10069</v>
      </c>
      <c r="AI1774" s="1" t="s">
        <v>45</v>
      </c>
      <c r="AJ1774" s="1">
        <v>2016</v>
      </c>
      <c r="AK1774" s="1" t="s">
        <v>73</v>
      </c>
      <c r="AL1774" s="1">
        <v>657</v>
      </c>
    </row>
    <row r="1775" spans="1:38" x14ac:dyDescent="0.2">
      <c r="A1775" s="2" t="str">
        <f>HYPERLINK("https://www.compass.com/listing/50-riverside-boulevard-unit-7g-manhattan-ny-10069/29396632051187105/","50 Riverside Blvd, Unit 7G")</f>
        <v>50 Riverside Blvd, Unit 7G</v>
      </c>
      <c r="B1775" s="2" t="str">
        <f t="shared" si="293"/>
        <v>One Riverside Park</v>
      </c>
      <c r="C1775" s="1" t="s">
        <v>50</v>
      </c>
      <c r="D1775" s="1" t="s">
        <v>41</v>
      </c>
      <c r="E1775" s="3">
        <v>2121960</v>
      </c>
      <c r="F1775" s="1">
        <v>1449.4262295081901</v>
      </c>
      <c r="G1775" s="1">
        <v>3</v>
      </c>
      <c r="H1775" s="1">
        <v>2</v>
      </c>
      <c r="I1775" s="1">
        <v>2</v>
      </c>
      <c r="J1775" s="1">
        <v>2</v>
      </c>
      <c r="K1775" s="1">
        <v>2</v>
      </c>
      <c r="M1775" s="4">
        <v>1464</v>
      </c>
      <c r="N1775" s="1">
        <v>1622</v>
      </c>
      <c r="O1775" s="1">
        <v>1712</v>
      </c>
      <c r="P1775" s="1">
        <v>90</v>
      </c>
      <c r="Q1775" s="1" t="s">
        <v>42</v>
      </c>
      <c r="S1775" s="1" t="s">
        <v>42</v>
      </c>
      <c r="T1775" s="1" t="s">
        <v>170</v>
      </c>
      <c r="V1775" s="5">
        <v>43651</v>
      </c>
      <c r="W1775" s="5">
        <v>41926</v>
      </c>
      <c r="X1775" s="1">
        <v>2080000</v>
      </c>
      <c r="Y1775" s="1">
        <v>2080000</v>
      </c>
      <c r="Z1775" s="5">
        <v>41926</v>
      </c>
      <c r="AA1775" s="1">
        <v>2121960</v>
      </c>
      <c r="AB1775" s="1" t="s">
        <v>1410</v>
      </c>
      <c r="AC1775" s="5">
        <v>42268</v>
      </c>
      <c r="AF1775" s="1">
        <v>10069</v>
      </c>
      <c r="AI1775" s="1" t="s">
        <v>45</v>
      </c>
      <c r="AJ1775" s="1">
        <v>2016</v>
      </c>
      <c r="AK1775" s="1" t="s">
        <v>73</v>
      </c>
      <c r="AL1775" s="1">
        <v>657</v>
      </c>
    </row>
    <row r="1776" spans="1:38" x14ac:dyDescent="0.2">
      <c r="A1776" s="2" t="str">
        <f>HYPERLINK("https://www.compass.com/listing/50-riverside-boulevard-unit-12g-manhattan-ny-10069/29396634030960625/","50 Riverside Blvd, Unit 12G")</f>
        <v>50 Riverside Blvd, Unit 12G</v>
      </c>
      <c r="B1776" s="2" t="str">
        <f t="shared" si="293"/>
        <v>One Riverside Park</v>
      </c>
      <c r="C1776" s="1" t="s">
        <v>50</v>
      </c>
      <c r="D1776" s="1" t="s">
        <v>41</v>
      </c>
      <c r="E1776" s="3">
        <v>2366340</v>
      </c>
      <c r="F1776" s="1">
        <v>1636.47302904564</v>
      </c>
      <c r="G1776" s="1">
        <v>4</v>
      </c>
      <c r="H1776" s="1">
        <v>2</v>
      </c>
      <c r="I1776" s="1">
        <v>2</v>
      </c>
      <c r="J1776" s="1">
        <v>2</v>
      </c>
      <c r="K1776" s="1">
        <v>2</v>
      </c>
      <c r="M1776" s="4">
        <v>1446</v>
      </c>
      <c r="N1776" s="1">
        <v>1606</v>
      </c>
      <c r="O1776" s="1">
        <v>1695</v>
      </c>
      <c r="P1776" s="1">
        <v>89</v>
      </c>
      <c r="Q1776" s="1" t="s">
        <v>42</v>
      </c>
      <c r="S1776" s="1" t="s">
        <v>42</v>
      </c>
      <c r="T1776" s="1" t="s">
        <v>170</v>
      </c>
      <c r="V1776" s="5">
        <v>43654</v>
      </c>
      <c r="W1776" s="5">
        <v>41924</v>
      </c>
      <c r="X1776" s="1">
        <v>2320000</v>
      </c>
      <c r="Y1776" s="1">
        <v>2320000</v>
      </c>
      <c r="Z1776" s="5">
        <v>41924</v>
      </c>
      <c r="AA1776" s="1">
        <v>2366340</v>
      </c>
      <c r="AB1776" s="1" t="s">
        <v>1411</v>
      </c>
      <c r="AC1776" s="5">
        <v>42312</v>
      </c>
      <c r="AF1776" s="1">
        <v>10069</v>
      </c>
      <c r="AI1776" s="1" t="s">
        <v>45</v>
      </c>
      <c r="AJ1776" s="1">
        <v>2016</v>
      </c>
      <c r="AK1776" s="1" t="s">
        <v>73</v>
      </c>
      <c r="AL1776" s="1">
        <v>657</v>
      </c>
    </row>
    <row r="1777" spans="1:38" x14ac:dyDescent="0.2">
      <c r="A1777" s="2" t="str">
        <f>HYPERLINK("https://www.compass.com/listing/50-riverside-boulevard-unit-4j-manhattan-ny-10069/29396642746662513/","50 Riverside Blvd, Unit 4J")</f>
        <v>50 Riverside Blvd, Unit 4J</v>
      </c>
      <c r="B1777" s="2" t="str">
        <f t="shared" si="293"/>
        <v>One Riverside Park</v>
      </c>
      <c r="C1777" s="1" t="s">
        <v>50</v>
      </c>
      <c r="D1777" s="1" t="s">
        <v>41</v>
      </c>
      <c r="E1777" s="3">
        <v>1857215</v>
      </c>
      <c r="F1777" s="1">
        <v>1317.17375886524</v>
      </c>
      <c r="G1777" s="1">
        <v>3</v>
      </c>
      <c r="H1777" s="1">
        <v>2</v>
      </c>
      <c r="I1777" s="1">
        <v>2</v>
      </c>
      <c r="J1777" s="1">
        <v>2</v>
      </c>
      <c r="K1777" s="1">
        <v>2</v>
      </c>
      <c r="M1777" s="4">
        <v>1410</v>
      </c>
      <c r="N1777" s="1">
        <v>1560</v>
      </c>
      <c r="O1777" s="1">
        <v>1646</v>
      </c>
      <c r="P1777" s="1">
        <v>86</v>
      </c>
      <c r="Q1777" s="1" t="s">
        <v>42</v>
      </c>
      <c r="S1777" s="1" t="s">
        <v>42</v>
      </c>
      <c r="T1777" s="1" t="s">
        <v>170</v>
      </c>
      <c r="U1777" s="1">
        <v>46</v>
      </c>
      <c r="V1777" s="5">
        <v>43654</v>
      </c>
      <c r="W1777" s="5">
        <v>41908</v>
      </c>
      <c r="X1777" s="1">
        <v>1820000</v>
      </c>
      <c r="Y1777" s="1">
        <v>1820000</v>
      </c>
      <c r="Z1777" s="5">
        <v>41954</v>
      </c>
      <c r="AA1777" s="1">
        <v>1857215</v>
      </c>
      <c r="AB1777" s="1" t="s">
        <v>1412</v>
      </c>
      <c r="AC1777" s="5">
        <v>42244</v>
      </c>
      <c r="AF1777" s="1">
        <v>10069</v>
      </c>
      <c r="AI1777" s="1" t="s">
        <v>45</v>
      </c>
      <c r="AJ1777" s="1">
        <v>2016</v>
      </c>
      <c r="AK1777" s="1" t="s">
        <v>73</v>
      </c>
      <c r="AL1777" s="1">
        <v>657</v>
      </c>
    </row>
    <row r="1778" spans="1:38" x14ac:dyDescent="0.2">
      <c r="A1778" s="2" t="str">
        <f>HYPERLINK("https://www.compass.com/listing/50-riverside-boulevard-unit-8j-manhattan-ny-10069/29396644265041601/","50 Riverside Blvd, Unit 8J")</f>
        <v>50 Riverside Blvd, Unit 8J</v>
      </c>
      <c r="B1778" s="2" t="str">
        <f t="shared" si="293"/>
        <v>One Riverside Park</v>
      </c>
      <c r="C1778" s="1" t="s">
        <v>50</v>
      </c>
      <c r="D1778" s="1" t="s">
        <v>41</v>
      </c>
      <c r="E1778" s="3">
        <v>2111778</v>
      </c>
      <c r="F1778" s="1">
        <v>1497.7148936170199</v>
      </c>
      <c r="G1778" s="1">
        <v>3</v>
      </c>
      <c r="H1778" s="1">
        <v>2</v>
      </c>
      <c r="I1778" s="1">
        <v>2</v>
      </c>
      <c r="J1778" s="1">
        <v>2</v>
      </c>
      <c r="K1778" s="1">
        <v>2</v>
      </c>
      <c r="M1778" s="4">
        <v>1410</v>
      </c>
      <c r="N1778" s="1">
        <v>1563</v>
      </c>
      <c r="O1778" s="1">
        <v>1650</v>
      </c>
      <c r="P1778" s="1">
        <v>87</v>
      </c>
      <c r="Q1778" s="1" t="s">
        <v>42</v>
      </c>
      <c r="S1778" s="1" t="s">
        <v>42</v>
      </c>
      <c r="T1778" s="1" t="s">
        <v>170</v>
      </c>
      <c r="V1778" s="5">
        <v>43651</v>
      </c>
      <c r="W1778" s="5">
        <v>42066</v>
      </c>
      <c r="X1778" s="1">
        <v>2070000</v>
      </c>
      <c r="Y1778" s="1">
        <v>2070000</v>
      </c>
      <c r="Z1778" s="5">
        <v>42066</v>
      </c>
      <c r="AA1778" s="1">
        <v>2111778</v>
      </c>
      <c r="AB1778" s="1" t="s">
        <v>1413</v>
      </c>
      <c r="AC1778" s="5">
        <v>42269</v>
      </c>
      <c r="AF1778" s="1">
        <v>10069</v>
      </c>
      <c r="AI1778" s="1" t="s">
        <v>45</v>
      </c>
      <c r="AJ1778" s="1">
        <v>2016</v>
      </c>
      <c r="AK1778" s="1" t="s">
        <v>73</v>
      </c>
      <c r="AL1778" s="1">
        <v>657</v>
      </c>
    </row>
    <row r="1779" spans="1:38" x14ac:dyDescent="0.2">
      <c r="A1779" s="2" t="str">
        <f>HYPERLINK("https://www.compass.com/listing/50-riverside-boulevard-unit-10j-manhattan-ny-10069/29396645095472785/","50 Riverside Blvd, Unit 10J")</f>
        <v>50 Riverside Blvd, Unit 10J</v>
      </c>
      <c r="B1779" s="2" t="str">
        <f t="shared" si="293"/>
        <v>One Riverside Park</v>
      </c>
      <c r="C1779" s="1" t="s">
        <v>50</v>
      </c>
      <c r="D1779" s="1" t="s">
        <v>41</v>
      </c>
      <c r="E1779" s="3">
        <v>2152508</v>
      </c>
      <c r="F1779" s="1">
        <v>1526.60141843971</v>
      </c>
      <c r="G1779" s="1">
        <v>3</v>
      </c>
      <c r="H1779" s="1">
        <v>2</v>
      </c>
      <c r="I1779" s="1">
        <v>2</v>
      </c>
      <c r="J1779" s="1">
        <v>2</v>
      </c>
      <c r="K1779" s="1">
        <v>2</v>
      </c>
      <c r="M1779" s="4">
        <v>1410</v>
      </c>
      <c r="N1779" s="1">
        <v>1565</v>
      </c>
      <c r="O1779" s="1">
        <v>1652</v>
      </c>
      <c r="P1779" s="1">
        <v>87</v>
      </c>
      <c r="Q1779" s="1" t="s">
        <v>42</v>
      </c>
      <c r="S1779" s="1" t="s">
        <v>42</v>
      </c>
      <c r="T1779" s="1" t="s">
        <v>170</v>
      </c>
      <c r="V1779" s="5">
        <v>43650</v>
      </c>
      <c r="W1779" s="5">
        <v>41951</v>
      </c>
      <c r="X1779" s="1">
        <v>2110000</v>
      </c>
      <c r="Y1779" s="1">
        <v>2110000</v>
      </c>
      <c r="Z1779" s="5">
        <v>41951</v>
      </c>
      <c r="AA1779" s="1">
        <v>2152508</v>
      </c>
      <c r="AB1779" s="1" t="s">
        <v>1414</v>
      </c>
      <c r="AC1779" s="5">
        <v>42321</v>
      </c>
      <c r="AF1779" s="1">
        <v>10069</v>
      </c>
      <c r="AI1779" s="1" t="s">
        <v>45</v>
      </c>
      <c r="AJ1779" s="1">
        <v>2016</v>
      </c>
      <c r="AK1779" s="1" t="s">
        <v>73</v>
      </c>
      <c r="AL1779" s="1">
        <v>657</v>
      </c>
    </row>
    <row r="1780" spans="1:38" x14ac:dyDescent="0.2">
      <c r="A1780" s="2" t="str">
        <f>HYPERLINK("https://www.compass.com/listing/50-riverside-boulevard-unit-12j-manhattan-ny-10069/29396645858898161/","50 Riverside Blvd, Unit 12J")</f>
        <v>50 Riverside Blvd, Unit 12J</v>
      </c>
      <c r="B1780" s="2" t="str">
        <f t="shared" si="293"/>
        <v>One Riverside Park</v>
      </c>
      <c r="C1780" s="1" t="s">
        <v>50</v>
      </c>
      <c r="D1780" s="1" t="s">
        <v>41</v>
      </c>
      <c r="E1780" s="3">
        <v>2250333</v>
      </c>
      <c r="F1780" s="1">
        <v>1595.98085106382</v>
      </c>
      <c r="G1780" s="1">
        <v>4</v>
      </c>
      <c r="H1780" s="1">
        <v>2</v>
      </c>
      <c r="I1780" s="1">
        <v>2</v>
      </c>
      <c r="J1780" s="1">
        <v>2</v>
      </c>
      <c r="K1780" s="1">
        <v>2</v>
      </c>
      <c r="M1780" s="4">
        <v>1410</v>
      </c>
      <c r="N1780" s="1">
        <v>1566</v>
      </c>
      <c r="O1780" s="1">
        <v>1653</v>
      </c>
      <c r="P1780" s="1">
        <v>87</v>
      </c>
      <c r="Q1780" s="1" t="s">
        <v>42</v>
      </c>
      <c r="S1780" s="1" t="s">
        <v>42</v>
      </c>
      <c r="T1780" s="1" t="s">
        <v>170</v>
      </c>
      <c r="V1780" s="5">
        <v>43654</v>
      </c>
      <c r="W1780" s="5">
        <v>41898</v>
      </c>
      <c r="X1780" s="1">
        <v>2210000</v>
      </c>
      <c r="Y1780" s="1">
        <v>2210000</v>
      </c>
      <c r="Z1780" s="5">
        <v>41898</v>
      </c>
      <c r="AA1780" s="1">
        <v>2250333</v>
      </c>
      <c r="AB1780" s="1" t="s">
        <v>1415</v>
      </c>
      <c r="AC1780" s="5">
        <v>42315</v>
      </c>
      <c r="AF1780" s="1">
        <v>10069</v>
      </c>
      <c r="AI1780" s="1" t="s">
        <v>45</v>
      </c>
      <c r="AJ1780" s="1">
        <v>2016</v>
      </c>
      <c r="AK1780" s="1" t="s">
        <v>73</v>
      </c>
      <c r="AL1780" s="1">
        <v>657</v>
      </c>
    </row>
    <row r="1781" spans="1:38" x14ac:dyDescent="0.2">
      <c r="A1781" s="2" t="str">
        <f>HYPERLINK("https://www.compass.com/listing/50-riverside-boulevard-unit-14j-manhattan-ny-10069/29396646295043745/","50 Riverside Blvd, Unit 14J")</f>
        <v>50 Riverside Blvd, Unit 14J</v>
      </c>
      <c r="B1781" s="2" t="str">
        <f t="shared" si="293"/>
        <v>One Riverside Park</v>
      </c>
      <c r="C1781" s="1" t="s">
        <v>50</v>
      </c>
      <c r="D1781" s="1" t="s">
        <v>41</v>
      </c>
      <c r="E1781" s="3">
        <v>2315428</v>
      </c>
      <c r="F1781" s="1">
        <v>1642.1475177304901</v>
      </c>
      <c r="G1781" s="1">
        <v>4</v>
      </c>
      <c r="H1781" s="1">
        <v>2</v>
      </c>
      <c r="I1781" s="1">
        <v>2</v>
      </c>
      <c r="J1781" s="1">
        <v>2</v>
      </c>
      <c r="K1781" s="1">
        <v>2</v>
      </c>
      <c r="M1781" s="4">
        <v>1410</v>
      </c>
      <c r="N1781" s="1">
        <v>1567</v>
      </c>
      <c r="O1781" s="1">
        <v>1654</v>
      </c>
      <c r="P1781" s="1">
        <v>87</v>
      </c>
      <c r="Q1781" s="1" t="s">
        <v>42</v>
      </c>
      <c r="S1781" s="1" t="s">
        <v>42</v>
      </c>
      <c r="T1781" s="1" t="s">
        <v>170</v>
      </c>
      <c r="V1781" s="5">
        <v>43650</v>
      </c>
      <c r="W1781" s="5">
        <v>41928</v>
      </c>
      <c r="X1781" s="1">
        <v>2270000</v>
      </c>
      <c r="Y1781" s="1">
        <v>2270000</v>
      </c>
      <c r="Z1781" s="5">
        <v>41928</v>
      </c>
      <c r="AA1781" s="1">
        <v>2315428</v>
      </c>
      <c r="AB1781" s="1" t="s">
        <v>1416</v>
      </c>
      <c r="AC1781" s="5">
        <v>42321</v>
      </c>
      <c r="AF1781" s="1">
        <v>10069</v>
      </c>
      <c r="AI1781" s="1" t="s">
        <v>45</v>
      </c>
      <c r="AJ1781" s="1">
        <v>2016</v>
      </c>
      <c r="AK1781" s="1" t="s">
        <v>73</v>
      </c>
      <c r="AL1781" s="1">
        <v>657</v>
      </c>
    </row>
    <row r="1782" spans="1:38" x14ac:dyDescent="0.2">
      <c r="A1782" s="2" t="str">
        <f>HYPERLINK("https://www.compass.com/listing/50-riverside-boulevard-unit-6j-manhattan-ny-10069/29513638561757185/","50 Riverside Blvd, Unit 6J")</f>
        <v>50 Riverside Blvd, Unit 6J</v>
      </c>
      <c r="B1782" s="2" t="str">
        <f t="shared" si="293"/>
        <v>One Riverside Park</v>
      </c>
      <c r="C1782" s="1" t="s">
        <v>50</v>
      </c>
      <c r="D1782" s="1" t="s">
        <v>41</v>
      </c>
      <c r="E1782" s="3">
        <v>1948858</v>
      </c>
      <c r="F1782" s="1">
        <v>1382.16879432624</v>
      </c>
      <c r="G1782" s="1">
        <v>3</v>
      </c>
      <c r="H1782" s="1">
        <v>2</v>
      </c>
      <c r="I1782" s="1">
        <v>2</v>
      </c>
      <c r="J1782" s="1">
        <v>2</v>
      </c>
      <c r="K1782" s="1">
        <v>2</v>
      </c>
      <c r="M1782" s="4">
        <v>1410</v>
      </c>
      <c r="N1782" s="1">
        <v>1562</v>
      </c>
      <c r="O1782" s="1">
        <v>1649</v>
      </c>
      <c r="P1782" s="1">
        <v>87</v>
      </c>
      <c r="Q1782" s="1" t="s">
        <v>42</v>
      </c>
      <c r="S1782" s="1" t="s">
        <v>42</v>
      </c>
      <c r="T1782" s="1" t="s">
        <v>170</v>
      </c>
      <c r="U1782" s="1">
        <v>209</v>
      </c>
      <c r="V1782" s="5">
        <v>43654</v>
      </c>
      <c r="W1782" s="5">
        <v>41767</v>
      </c>
      <c r="X1782" s="1">
        <v>1910000</v>
      </c>
      <c r="Y1782" s="1">
        <v>1910000</v>
      </c>
      <c r="AA1782" s="1">
        <v>1948858</v>
      </c>
      <c r="AB1782" s="1" t="s">
        <v>1417</v>
      </c>
      <c r="AC1782" s="5">
        <v>42264</v>
      </c>
      <c r="AF1782" s="1">
        <v>10069</v>
      </c>
      <c r="AI1782" s="1" t="s">
        <v>45</v>
      </c>
      <c r="AJ1782" s="1">
        <v>2016</v>
      </c>
      <c r="AK1782" s="1" t="s">
        <v>73</v>
      </c>
      <c r="AL1782" s="1">
        <v>657</v>
      </c>
    </row>
    <row r="1783" spans="1:38" x14ac:dyDescent="0.2">
      <c r="A1783" s="2" t="str">
        <f>HYPERLINK("https://www.compass.com/listing/50-riverside-boulevard-unit-3g-manhattan-ny-10069/29513638981238305/","50 Riverside Blvd, Unit 3G")</f>
        <v>50 Riverside Blvd, Unit 3G</v>
      </c>
      <c r="B1783" s="2" t="str">
        <f t="shared" si="293"/>
        <v>One Riverside Park</v>
      </c>
      <c r="C1783" s="1" t="s">
        <v>50</v>
      </c>
      <c r="D1783" s="1" t="s">
        <v>41</v>
      </c>
      <c r="E1783" s="3">
        <v>1965000</v>
      </c>
      <c r="F1783" s="1">
        <v>1342.2131147540899</v>
      </c>
      <c r="G1783" s="1">
        <v>3</v>
      </c>
      <c r="H1783" s="1">
        <v>2</v>
      </c>
      <c r="I1783" s="1">
        <v>2</v>
      </c>
      <c r="J1783" s="1">
        <v>2</v>
      </c>
      <c r="M1783" s="4">
        <v>1464</v>
      </c>
      <c r="N1783" s="1">
        <v>1619</v>
      </c>
      <c r="O1783" s="1">
        <v>1706</v>
      </c>
      <c r="P1783" s="1">
        <v>87</v>
      </c>
      <c r="Q1783" s="1" t="s">
        <v>42</v>
      </c>
      <c r="S1783" s="1" t="s">
        <v>42</v>
      </c>
      <c r="T1783" s="1" t="s">
        <v>170</v>
      </c>
      <c r="U1783" s="1">
        <v>263</v>
      </c>
      <c r="V1783" s="5">
        <v>43648</v>
      </c>
      <c r="W1783" s="5">
        <v>43112</v>
      </c>
      <c r="X1783" s="1">
        <v>2400000</v>
      </c>
      <c r="Y1783" s="1">
        <v>2250000</v>
      </c>
      <c r="Z1783" s="5">
        <v>43375</v>
      </c>
      <c r="AA1783" s="1">
        <v>1965000</v>
      </c>
      <c r="AB1783" s="1" t="s">
        <v>1418</v>
      </c>
      <c r="AC1783" s="5">
        <v>43405</v>
      </c>
      <c r="AF1783" s="1">
        <v>10069</v>
      </c>
      <c r="AI1783" s="1" t="s">
        <v>45</v>
      </c>
      <c r="AJ1783" s="1">
        <v>2016</v>
      </c>
      <c r="AK1783" s="1" t="s">
        <v>73</v>
      </c>
      <c r="AL1783" s="1">
        <v>657</v>
      </c>
    </row>
    <row r="1784" spans="1:38" x14ac:dyDescent="0.2">
      <c r="A1784" s="2" t="str">
        <f>HYPERLINK("https://www.compass.com/listing/50-riverside-boulevard-unit-3a-manhattan-ny-10069/29396581878983601/","50 Riverside Blvd, Unit 3A")</f>
        <v>50 Riverside Blvd, Unit 3A</v>
      </c>
      <c r="B1784" s="2" t="str">
        <f t="shared" si="293"/>
        <v>One Riverside Park</v>
      </c>
      <c r="C1784" s="1" t="s">
        <v>50</v>
      </c>
      <c r="D1784" s="1" t="s">
        <v>41</v>
      </c>
      <c r="E1784" s="3">
        <v>3400955</v>
      </c>
      <c r="F1784" s="1">
        <v>1718.5219807983799</v>
      </c>
      <c r="G1784" s="1">
        <v>4</v>
      </c>
      <c r="H1784" s="1">
        <v>3</v>
      </c>
      <c r="I1784" s="1">
        <v>4</v>
      </c>
      <c r="J1784" s="1">
        <v>3.5</v>
      </c>
      <c r="M1784" s="4">
        <v>1979</v>
      </c>
      <c r="N1784" s="1">
        <v>2188</v>
      </c>
      <c r="O1784" s="1">
        <v>2309</v>
      </c>
      <c r="P1784" s="1">
        <v>121</v>
      </c>
      <c r="Q1784" s="1" t="s">
        <v>42</v>
      </c>
      <c r="S1784" s="1" t="s">
        <v>42</v>
      </c>
      <c r="T1784" s="1" t="s">
        <v>170</v>
      </c>
      <c r="U1784" s="1">
        <v>16</v>
      </c>
      <c r="V1784" s="5">
        <v>43664</v>
      </c>
      <c r="W1784" s="5">
        <v>41658</v>
      </c>
      <c r="X1784" s="1">
        <v>3340000</v>
      </c>
      <c r="Y1784" s="1">
        <v>3340000</v>
      </c>
      <c r="Z1784" s="5">
        <v>41924</v>
      </c>
      <c r="AA1784" s="1">
        <v>3400955</v>
      </c>
      <c r="AB1784" s="1" t="s">
        <v>1419</v>
      </c>
      <c r="AC1784" s="5">
        <v>42213</v>
      </c>
      <c r="AF1784" s="1">
        <v>10069</v>
      </c>
      <c r="AI1784" s="1" t="s">
        <v>45</v>
      </c>
      <c r="AJ1784" s="1">
        <v>2016</v>
      </c>
      <c r="AK1784" s="1" t="s">
        <v>73</v>
      </c>
      <c r="AL1784" s="1">
        <v>657</v>
      </c>
    </row>
    <row r="1785" spans="1:38" x14ac:dyDescent="0.2">
      <c r="A1785" s="2" t="str">
        <f>HYPERLINK("https://www.compass.com/listing/50-riverside-boulevard-unit-15j-manhattan-ny-10069/29396646630629089/","50 Riverside Blvd, Unit 15J")</f>
        <v>50 Riverside Blvd, Unit 15J</v>
      </c>
      <c r="B1785" s="2" t="str">
        <f t="shared" si="293"/>
        <v>One Riverside Park</v>
      </c>
      <c r="C1785" s="1" t="s">
        <v>50</v>
      </c>
      <c r="D1785" s="1" t="s">
        <v>41</v>
      </c>
      <c r="E1785" s="3">
        <v>2366340</v>
      </c>
      <c r="F1785" s="1">
        <v>1678.2553191489301</v>
      </c>
      <c r="G1785" s="1">
        <v>4</v>
      </c>
      <c r="H1785" s="1">
        <v>2</v>
      </c>
      <c r="I1785" s="1">
        <v>2</v>
      </c>
      <c r="J1785" s="1">
        <v>2</v>
      </c>
      <c r="K1785" s="1">
        <v>2</v>
      </c>
      <c r="M1785" s="4">
        <v>1410</v>
      </c>
      <c r="N1785" s="1">
        <v>1568</v>
      </c>
      <c r="O1785" s="1">
        <v>1655</v>
      </c>
      <c r="P1785" s="1">
        <v>87</v>
      </c>
      <c r="Q1785" s="1" t="s">
        <v>42</v>
      </c>
      <c r="S1785" s="1" t="s">
        <v>42</v>
      </c>
      <c r="T1785" s="1" t="s">
        <v>170</v>
      </c>
      <c r="V1785" s="5">
        <v>43654</v>
      </c>
      <c r="W1785" s="5">
        <v>41905</v>
      </c>
      <c r="X1785" s="1">
        <v>2320000</v>
      </c>
      <c r="Y1785" s="1">
        <v>2320000</v>
      </c>
      <c r="Z1785" s="5">
        <v>41905</v>
      </c>
      <c r="AA1785" s="1">
        <v>2366340</v>
      </c>
      <c r="AB1785" s="1" t="s">
        <v>1420</v>
      </c>
      <c r="AC1785" s="5">
        <v>42326</v>
      </c>
      <c r="AF1785" s="1">
        <v>10069</v>
      </c>
      <c r="AI1785" s="1" t="s">
        <v>45</v>
      </c>
      <c r="AJ1785" s="1">
        <v>2016</v>
      </c>
      <c r="AK1785" s="1" t="s">
        <v>73</v>
      </c>
      <c r="AL1785" s="1">
        <v>657</v>
      </c>
    </row>
    <row r="1786" spans="1:38" x14ac:dyDescent="0.2">
      <c r="A1786" s="2" t="str">
        <f>HYPERLINK("https://www.compass.com/listing/50-riverside-boulevard-unit-20e-manhattan-ny-10069/29396626799980417/","50 Riverside Blvd, Unit 20E")</f>
        <v>50 Riverside Blvd, Unit 20E</v>
      </c>
      <c r="B1786" s="2" t="str">
        <f t="shared" si="293"/>
        <v>One Riverside Park</v>
      </c>
      <c r="C1786" s="1" t="s">
        <v>50</v>
      </c>
      <c r="D1786" s="1" t="s">
        <v>41</v>
      </c>
      <c r="E1786" s="3">
        <v>6000000</v>
      </c>
      <c r="F1786" s="1">
        <v>2047.08290685772</v>
      </c>
      <c r="G1786" s="1">
        <v>7</v>
      </c>
      <c r="H1786" s="1">
        <v>4</v>
      </c>
      <c r="I1786" s="1">
        <v>4</v>
      </c>
      <c r="J1786" s="1">
        <v>4</v>
      </c>
      <c r="M1786" s="4">
        <v>2931</v>
      </c>
      <c r="N1786" s="1">
        <v>3267</v>
      </c>
      <c r="O1786" s="1">
        <v>3267</v>
      </c>
      <c r="Q1786" s="1" t="s">
        <v>42</v>
      </c>
      <c r="S1786" s="1" t="s">
        <v>42</v>
      </c>
      <c r="T1786" s="1" t="s">
        <v>170</v>
      </c>
      <c r="U1786" s="1">
        <v>216</v>
      </c>
      <c r="V1786" s="5">
        <v>43663</v>
      </c>
      <c r="W1786" s="5">
        <v>42517</v>
      </c>
      <c r="X1786" s="1">
        <v>6950000</v>
      </c>
      <c r="Y1786" s="1">
        <v>6250000</v>
      </c>
      <c r="Z1786" s="5">
        <v>42733</v>
      </c>
      <c r="AA1786" s="1">
        <v>6000000</v>
      </c>
      <c r="AB1786" s="1" t="s">
        <v>1421</v>
      </c>
      <c r="AC1786" s="5">
        <v>42831</v>
      </c>
      <c r="AF1786" s="1">
        <v>10069</v>
      </c>
      <c r="AI1786" s="1" t="s">
        <v>45</v>
      </c>
      <c r="AJ1786" s="1">
        <v>2016</v>
      </c>
      <c r="AK1786" s="1" t="s">
        <v>73</v>
      </c>
      <c r="AL1786" s="1">
        <v>657</v>
      </c>
    </row>
    <row r="1787" spans="1:38" x14ac:dyDescent="0.2">
      <c r="A1787" s="2" t="str">
        <f>HYPERLINK("https://www.compass.com/listing/50-riverside-boulevard-unit-8c-manhattan-ny-10069/803316294136777937/","50 Riverside Blvd, Unit 8C")</f>
        <v>50 Riverside Blvd, Unit 8C</v>
      </c>
      <c r="B1787" s="2" t="str">
        <f t="shared" si="293"/>
        <v>One Riverside Park</v>
      </c>
      <c r="C1787" s="1" t="s">
        <v>50</v>
      </c>
      <c r="D1787" s="1" t="s">
        <v>41</v>
      </c>
      <c r="E1787" s="3">
        <v>8455475</v>
      </c>
      <c r="F1787" s="1">
        <v>1897.9741863075101</v>
      </c>
      <c r="G1787" s="1">
        <v>8</v>
      </c>
      <c r="H1787" s="1">
        <v>5</v>
      </c>
      <c r="I1787" s="1">
        <v>8</v>
      </c>
      <c r="J1787" s="1">
        <v>7.5</v>
      </c>
      <c r="M1787" s="4">
        <v>4455</v>
      </c>
      <c r="N1787" s="1">
        <v>5438</v>
      </c>
      <c r="O1787" s="1">
        <v>5739</v>
      </c>
      <c r="P1787" s="1">
        <v>301</v>
      </c>
      <c r="Q1787" s="1" t="s">
        <v>42</v>
      </c>
      <c r="S1787" s="1" t="s">
        <v>42</v>
      </c>
      <c r="T1787" s="1" t="s">
        <v>170</v>
      </c>
      <c r="U1787" s="1">
        <v>392</v>
      </c>
      <c r="V1787" s="5">
        <v>42918</v>
      </c>
      <c r="W1787" s="5">
        <v>42523</v>
      </c>
      <c r="X1787" s="1">
        <v>11900000</v>
      </c>
      <c r="Y1787" s="1">
        <v>8900000</v>
      </c>
      <c r="Z1787" s="5">
        <v>42916</v>
      </c>
      <c r="AA1787" s="1">
        <v>8455475</v>
      </c>
      <c r="AB1787" s="1" t="s">
        <v>1379</v>
      </c>
      <c r="AC1787" s="5">
        <v>42990</v>
      </c>
      <c r="AF1787" s="1">
        <v>10069</v>
      </c>
      <c r="AI1787" s="1" t="s">
        <v>101</v>
      </c>
      <c r="AJ1787" s="1">
        <v>2016</v>
      </c>
      <c r="AK1787" s="1" t="s">
        <v>46</v>
      </c>
      <c r="AL1787" s="1">
        <v>657</v>
      </c>
    </row>
    <row r="1788" spans="1:38" x14ac:dyDescent="0.2">
      <c r="A1788" s="2" t="str">
        <f>HYPERLINK("https://www.compass.com/listing/150-west-12th-street-unit-5-west-manhattan-ny-10119/192573422411233665/","150 W 12th St, Unit 5 WEST")</f>
        <v>150 W 12th St, Unit 5 WEST</v>
      </c>
      <c r="B1788" s="2" t="str">
        <f>HYPERLINK("https://www.compass.com/building/the-greenwich-lane-manhattan-ny/567553885067785157/","The Greenwich Lane")</f>
        <v>The Greenwich Lane</v>
      </c>
      <c r="C1788" s="1" t="s">
        <v>71</v>
      </c>
      <c r="D1788" s="1" t="s">
        <v>41</v>
      </c>
      <c r="E1788" s="3">
        <v>6530563</v>
      </c>
      <c r="F1788" s="1">
        <v>3141.20394420394</v>
      </c>
      <c r="G1788" s="1">
        <v>5</v>
      </c>
      <c r="H1788" s="1">
        <v>2</v>
      </c>
      <c r="I1788" s="1">
        <v>3</v>
      </c>
      <c r="J1788" s="1">
        <v>2.5</v>
      </c>
      <c r="K1788" s="1">
        <v>2</v>
      </c>
      <c r="L1788" s="1">
        <v>1</v>
      </c>
      <c r="M1788" s="4">
        <v>2079</v>
      </c>
      <c r="N1788" s="1">
        <v>3757</v>
      </c>
      <c r="O1788" s="1">
        <v>7440</v>
      </c>
      <c r="P1788" s="1">
        <v>3683</v>
      </c>
      <c r="Q1788" s="1" t="s">
        <v>42</v>
      </c>
      <c r="S1788" s="1" t="s">
        <v>42</v>
      </c>
      <c r="T1788" s="1" t="s">
        <v>170</v>
      </c>
      <c r="V1788" s="5">
        <v>43780</v>
      </c>
      <c r="W1788" s="5">
        <v>41623</v>
      </c>
      <c r="X1788" s="1">
        <v>6900000</v>
      </c>
      <c r="Y1788" s="1">
        <v>6900000</v>
      </c>
      <c r="Z1788" s="5">
        <v>41623</v>
      </c>
      <c r="AA1788" s="1">
        <v>6530563</v>
      </c>
      <c r="AB1788" s="1" t="s">
        <v>181</v>
      </c>
      <c r="AC1788" s="5">
        <v>42411</v>
      </c>
      <c r="AF1788" s="1">
        <v>10119</v>
      </c>
      <c r="AI1788" s="1" t="s">
        <v>72</v>
      </c>
      <c r="AK1788" s="1" t="s">
        <v>77</v>
      </c>
      <c r="AL1788" s="1">
        <v>24</v>
      </c>
    </row>
    <row r="1789" spans="1:38" x14ac:dyDescent="0.2">
      <c r="A1789" s="2" t="str">
        <f>HYPERLINK("https://www.compass.com/listing/50-riverside-boulevard-unit-7j-manhattan-ny-10069/29396643870736001/","50 Riverside Blvd, Unit 7J")</f>
        <v>50 Riverside Blvd, Unit 7J</v>
      </c>
      <c r="B1789" s="2" t="str">
        <f t="shared" ref="B1789:B1798" si="294">HYPERLINK("https://www.compass.com/building/one-riverside-park-manhattan-ny/282041440266113253/","One Riverside Park")</f>
        <v>One Riverside Park</v>
      </c>
      <c r="C1789" s="1" t="s">
        <v>50</v>
      </c>
      <c r="D1789" s="1" t="s">
        <v>41</v>
      </c>
      <c r="E1789" s="3">
        <v>2050683</v>
      </c>
      <c r="F1789" s="1">
        <v>1454.38510638297</v>
      </c>
      <c r="G1789" s="1">
        <v>4</v>
      </c>
      <c r="H1789" s="1">
        <v>2</v>
      </c>
      <c r="I1789" s="1">
        <v>2</v>
      </c>
      <c r="J1789" s="1">
        <v>2</v>
      </c>
      <c r="K1789" s="1">
        <v>2</v>
      </c>
      <c r="M1789" s="4">
        <v>1410</v>
      </c>
      <c r="N1789" s="1">
        <v>1562</v>
      </c>
      <c r="O1789" s="1">
        <v>1649</v>
      </c>
      <c r="P1789" s="1">
        <v>87</v>
      </c>
      <c r="Q1789" s="1" t="s">
        <v>42</v>
      </c>
      <c r="S1789" s="1" t="s">
        <v>42</v>
      </c>
      <c r="T1789" s="1" t="s">
        <v>170</v>
      </c>
      <c r="U1789" s="1">
        <v>28</v>
      </c>
      <c r="V1789" s="5">
        <v>43650</v>
      </c>
      <c r="W1789" s="5">
        <v>41926</v>
      </c>
      <c r="X1789" s="1">
        <v>2010000</v>
      </c>
      <c r="Y1789" s="1">
        <v>2010000</v>
      </c>
      <c r="Z1789" s="5">
        <v>41954</v>
      </c>
      <c r="AA1789" s="1">
        <v>2050683</v>
      </c>
      <c r="AB1789" s="1" t="s">
        <v>1422</v>
      </c>
      <c r="AC1789" s="5">
        <v>42286</v>
      </c>
      <c r="AF1789" s="1">
        <v>10069</v>
      </c>
      <c r="AI1789" s="1" t="s">
        <v>45</v>
      </c>
      <c r="AJ1789" s="1">
        <v>2016</v>
      </c>
      <c r="AK1789" s="1" t="s">
        <v>73</v>
      </c>
      <c r="AL1789" s="1">
        <v>657</v>
      </c>
    </row>
    <row r="1790" spans="1:38" x14ac:dyDescent="0.2">
      <c r="A1790" s="2" t="str">
        <f>HYPERLINK("https://www.compass.com/listing/50-riverside-boulevard-unit-14c-manhattan-ny-10069/29396613084544129/","50 Riverside Blvd, Unit 14C")</f>
        <v>50 Riverside Blvd, Unit 14C</v>
      </c>
      <c r="B1790" s="2" t="str">
        <f t="shared" si="294"/>
        <v>One Riverside Park</v>
      </c>
      <c r="C1790" s="1" t="s">
        <v>50</v>
      </c>
      <c r="D1790" s="1" t="s">
        <v>41</v>
      </c>
      <c r="E1790" s="3">
        <v>5400725</v>
      </c>
      <c r="F1790" s="1">
        <v>2295.2507437313998</v>
      </c>
      <c r="G1790" s="1">
        <v>5</v>
      </c>
      <c r="H1790" s="1">
        <v>4</v>
      </c>
      <c r="I1790" s="1">
        <v>4</v>
      </c>
      <c r="J1790" s="1">
        <v>4</v>
      </c>
      <c r="K1790" s="1">
        <v>4</v>
      </c>
      <c r="M1790" s="4">
        <v>2353</v>
      </c>
      <c r="N1790" s="1">
        <v>2615</v>
      </c>
      <c r="O1790" s="1">
        <v>2760</v>
      </c>
      <c r="P1790" s="1">
        <v>145</v>
      </c>
      <c r="Q1790" s="1" t="s">
        <v>42</v>
      </c>
      <c r="S1790" s="1" t="s">
        <v>42</v>
      </c>
      <c r="T1790" s="1" t="s">
        <v>170</v>
      </c>
      <c r="U1790" s="1">
        <v>27</v>
      </c>
      <c r="V1790" s="5">
        <v>43654</v>
      </c>
      <c r="W1790" s="5">
        <v>41795</v>
      </c>
      <c r="X1790" s="1">
        <v>5300000</v>
      </c>
      <c r="Y1790" s="1">
        <v>5300000</v>
      </c>
      <c r="Z1790" s="5">
        <v>41822</v>
      </c>
      <c r="AA1790" s="1">
        <v>5400725</v>
      </c>
      <c r="AB1790" s="1" t="s">
        <v>1423</v>
      </c>
      <c r="AC1790" s="5">
        <v>42318</v>
      </c>
      <c r="AF1790" s="1">
        <v>10069</v>
      </c>
      <c r="AI1790" s="1" t="s">
        <v>45</v>
      </c>
      <c r="AJ1790" s="1">
        <v>2016</v>
      </c>
      <c r="AK1790" s="1" t="s">
        <v>73</v>
      </c>
      <c r="AL1790" s="1">
        <v>657</v>
      </c>
    </row>
    <row r="1791" spans="1:38" x14ac:dyDescent="0.2">
      <c r="A1791" s="2" t="str">
        <f>HYPERLINK("https://www.compass.com/listing/50-riverside-boulevard-unit-16c-manhattan-ny-10069/29396613847969377/","50 Riverside Blvd, Unit 16C")</f>
        <v>50 Riverside Blvd, Unit 16C</v>
      </c>
      <c r="B1791" s="2" t="str">
        <f t="shared" si="294"/>
        <v>One Riverside Park</v>
      </c>
      <c r="C1791" s="1" t="s">
        <v>50</v>
      </c>
      <c r="D1791" s="1" t="s">
        <v>41</v>
      </c>
      <c r="E1791" s="3">
        <v>4840688</v>
      </c>
      <c r="F1791" s="1">
        <v>2057.2409689757701</v>
      </c>
      <c r="G1791" s="1">
        <v>5</v>
      </c>
      <c r="H1791" s="1">
        <v>4</v>
      </c>
      <c r="I1791" s="1">
        <v>4</v>
      </c>
      <c r="J1791" s="1">
        <v>4</v>
      </c>
      <c r="K1791" s="1">
        <v>4</v>
      </c>
      <c r="M1791" s="4">
        <v>2353</v>
      </c>
      <c r="N1791" s="1">
        <v>2618</v>
      </c>
      <c r="O1791" s="1">
        <v>2763</v>
      </c>
      <c r="P1791" s="1">
        <v>145</v>
      </c>
      <c r="Q1791" s="1" t="s">
        <v>42</v>
      </c>
      <c r="S1791" s="1" t="s">
        <v>42</v>
      </c>
      <c r="T1791" s="1" t="s">
        <v>170</v>
      </c>
      <c r="U1791" s="1">
        <v>54</v>
      </c>
      <c r="V1791" s="5">
        <v>43654</v>
      </c>
      <c r="W1791" s="5">
        <v>41753</v>
      </c>
      <c r="X1791" s="1">
        <v>5250000</v>
      </c>
      <c r="Y1791" s="1">
        <v>5250000</v>
      </c>
      <c r="Z1791" s="5">
        <v>41807</v>
      </c>
      <c r="AA1791" s="1">
        <v>4840688</v>
      </c>
      <c r="AB1791" s="1" t="s">
        <v>1424</v>
      </c>
      <c r="AC1791" s="5">
        <v>42319</v>
      </c>
      <c r="AF1791" s="1">
        <v>10069</v>
      </c>
      <c r="AI1791" s="1" t="s">
        <v>45</v>
      </c>
      <c r="AJ1791" s="1">
        <v>2016</v>
      </c>
      <c r="AK1791" s="1" t="s">
        <v>73</v>
      </c>
      <c r="AL1791" s="1">
        <v>657</v>
      </c>
    </row>
    <row r="1792" spans="1:38" x14ac:dyDescent="0.2">
      <c r="A1792" s="2" t="str">
        <f>HYPERLINK("https://www.compass.com/listing/50-riverside-boulevard-unit-15l-manhattan-ny-10069/29396656009052049/","50 Riverside Blvd, Unit 15L")</f>
        <v>50 Riverside Blvd, Unit 15L</v>
      </c>
      <c r="B1792" s="2" t="str">
        <f t="shared" si="294"/>
        <v>One Riverside Park</v>
      </c>
      <c r="C1792" s="1" t="s">
        <v>50</v>
      </c>
      <c r="D1792" s="1" t="s">
        <v>41</v>
      </c>
      <c r="E1792" s="3">
        <v>5660000</v>
      </c>
      <c r="F1792" s="1">
        <v>1999.2935358530499</v>
      </c>
      <c r="G1792" s="1">
        <v>6</v>
      </c>
      <c r="H1792" s="1">
        <v>4</v>
      </c>
      <c r="I1792" s="1">
        <v>4</v>
      </c>
      <c r="J1792" s="1">
        <v>4.5</v>
      </c>
      <c r="K1792" s="1">
        <v>4</v>
      </c>
      <c r="L1792" s="1">
        <v>1</v>
      </c>
      <c r="M1792" s="4">
        <v>2831</v>
      </c>
      <c r="N1792" s="1">
        <v>3148</v>
      </c>
      <c r="O1792" s="1">
        <v>3322</v>
      </c>
      <c r="P1792" s="1">
        <v>174</v>
      </c>
      <c r="Q1792" s="1" t="s">
        <v>42</v>
      </c>
      <c r="S1792" s="1" t="s">
        <v>42</v>
      </c>
      <c r="T1792" s="1" t="s">
        <v>170</v>
      </c>
      <c r="U1792" s="1">
        <v>175</v>
      </c>
      <c r="V1792" s="5">
        <v>43808</v>
      </c>
      <c r="W1792" s="5">
        <v>42993</v>
      </c>
      <c r="X1792" s="1">
        <v>6495000</v>
      </c>
      <c r="Y1792" s="1">
        <v>5950000</v>
      </c>
      <c r="Z1792" s="5">
        <v>43168</v>
      </c>
      <c r="AA1792" s="1">
        <v>5660000</v>
      </c>
      <c r="AB1792" s="1" t="s">
        <v>1425</v>
      </c>
      <c r="AC1792" s="5">
        <v>43207</v>
      </c>
      <c r="AF1792" s="1">
        <v>10069</v>
      </c>
      <c r="AI1792" s="1" t="s">
        <v>45</v>
      </c>
      <c r="AJ1792" s="1">
        <v>2016</v>
      </c>
      <c r="AK1792" s="1" t="s">
        <v>73</v>
      </c>
      <c r="AL1792" s="1">
        <v>657</v>
      </c>
    </row>
    <row r="1793" spans="1:38" x14ac:dyDescent="0.2">
      <c r="A1793" s="2" t="str">
        <f>HYPERLINK("https://www.compass.com/listing/50-riverside-boulevard-unit-12p-manhattan-ny-10069/803377572892887113/","50 Riverside Blvd, Unit 12P")</f>
        <v>50 Riverside Blvd, Unit 12P</v>
      </c>
      <c r="B1793" s="2" t="str">
        <f t="shared" si="294"/>
        <v>One Riverside Park</v>
      </c>
      <c r="C1793" s="1" t="s">
        <v>50</v>
      </c>
      <c r="D1793" s="1" t="s">
        <v>41</v>
      </c>
      <c r="E1793" s="3">
        <v>4000000</v>
      </c>
      <c r="F1793" s="1">
        <v>1765.2250661959399</v>
      </c>
      <c r="G1793" s="1">
        <v>5</v>
      </c>
      <c r="H1793" s="1">
        <v>3</v>
      </c>
      <c r="I1793" s="1">
        <v>3</v>
      </c>
      <c r="J1793" s="1">
        <v>3.5</v>
      </c>
      <c r="K1793" s="1">
        <v>3</v>
      </c>
      <c r="L1793" s="1">
        <v>1</v>
      </c>
      <c r="M1793" s="4">
        <v>2266</v>
      </c>
      <c r="N1793" s="1">
        <v>2517</v>
      </c>
      <c r="O1793" s="1">
        <v>2656</v>
      </c>
      <c r="P1793" s="1">
        <v>139</v>
      </c>
      <c r="Q1793" s="1" t="s">
        <v>42</v>
      </c>
      <c r="S1793" s="1" t="s">
        <v>42</v>
      </c>
      <c r="T1793" s="1" t="s">
        <v>170</v>
      </c>
      <c r="U1793" s="1">
        <v>327</v>
      </c>
      <c r="V1793" s="5">
        <v>42900</v>
      </c>
      <c r="W1793" s="5">
        <v>42544</v>
      </c>
      <c r="X1793" s="1">
        <v>4700000</v>
      </c>
      <c r="Y1793" s="1">
        <v>4250000</v>
      </c>
      <c r="AA1793" s="1">
        <v>4000000</v>
      </c>
      <c r="AB1793" s="1" t="s">
        <v>1426</v>
      </c>
      <c r="AC1793" s="5">
        <v>42986</v>
      </c>
      <c r="AF1793" s="1">
        <v>10069</v>
      </c>
      <c r="AI1793" s="1" t="s">
        <v>45</v>
      </c>
      <c r="AJ1793" s="1">
        <v>2016</v>
      </c>
      <c r="AK1793" s="1" t="s">
        <v>73</v>
      </c>
      <c r="AL1793" s="1">
        <v>657</v>
      </c>
    </row>
    <row r="1794" spans="1:38" x14ac:dyDescent="0.2">
      <c r="A1794" s="2" t="str">
        <f>HYPERLINK("https://www.compass.com/listing/50-riverside-boulevard-unit-20a-manhattan-ny-10069/29396588556253793/","50 Riverside Blvd, Unit 20A")</f>
        <v>50 Riverside Blvd, Unit 20A</v>
      </c>
      <c r="B1794" s="2" t="str">
        <f t="shared" si="294"/>
        <v>One Riverside Park</v>
      </c>
      <c r="C1794" s="1" t="s">
        <v>50</v>
      </c>
      <c r="D1794" s="1" t="s">
        <v>41</v>
      </c>
      <c r="E1794" s="3">
        <v>2987472</v>
      </c>
      <c r="F1794" s="1">
        <v>2150.8077753779698</v>
      </c>
      <c r="G1794" s="1">
        <v>3</v>
      </c>
      <c r="H1794" s="1">
        <v>2</v>
      </c>
      <c r="I1794" s="1">
        <v>3</v>
      </c>
      <c r="J1794" s="1">
        <v>2.5</v>
      </c>
      <c r="M1794" s="4">
        <v>1389</v>
      </c>
      <c r="N1794" s="1">
        <v>1548</v>
      </c>
      <c r="O1794" s="1">
        <v>1634</v>
      </c>
      <c r="P1794" s="1">
        <v>86</v>
      </c>
      <c r="Q1794" s="1" t="s">
        <v>42</v>
      </c>
      <c r="S1794" s="1" t="s">
        <v>42</v>
      </c>
      <c r="T1794" s="1" t="s">
        <v>170</v>
      </c>
      <c r="V1794" s="5">
        <v>43673</v>
      </c>
      <c r="W1794" s="5">
        <v>41924</v>
      </c>
      <c r="X1794" s="1">
        <v>2930000</v>
      </c>
      <c r="Y1794" s="1">
        <v>2930000</v>
      </c>
      <c r="Z1794" s="5">
        <v>41924</v>
      </c>
      <c r="AA1794" s="1">
        <v>2987472</v>
      </c>
      <c r="AB1794" s="1" t="s">
        <v>1427</v>
      </c>
      <c r="AC1794" s="5">
        <v>42370</v>
      </c>
      <c r="AF1794" s="1">
        <v>10069</v>
      </c>
      <c r="AI1794" s="1" t="s">
        <v>45</v>
      </c>
      <c r="AJ1794" s="1">
        <v>2016</v>
      </c>
      <c r="AK1794" s="1" t="s">
        <v>73</v>
      </c>
      <c r="AL1794" s="1">
        <v>657</v>
      </c>
    </row>
    <row r="1795" spans="1:38" x14ac:dyDescent="0.2">
      <c r="A1795" s="2" t="str">
        <f>HYPERLINK("https://www.compass.com/listing/50-riverside-boulevard-unit-16h-manhattan-ny-10069/29396641916231313/","50 Riverside Blvd, Unit 16H")</f>
        <v>50 Riverside Blvd, Unit 16H</v>
      </c>
      <c r="B1795" s="2" t="str">
        <f t="shared" si="294"/>
        <v>One Riverside Park</v>
      </c>
      <c r="C1795" s="1" t="s">
        <v>50</v>
      </c>
      <c r="D1795" s="1" t="s">
        <v>41</v>
      </c>
      <c r="E1795" s="3">
        <v>2651450</v>
      </c>
      <c r="F1795" s="1">
        <v>1711.7172369270399</v>
      </c>
      <c r="G1795" s="1">
        <v>4</v>
      </c>
      <c r="H1795" s="1">
        <v>2</v>
      </c>
      <c r="I1795" s="1">
        <v>3</v>
      </c>
      <c r="J1795" s="1">
        <v>2.5</v>
      </c>
      <c r="M1795" s="4">
        <v>1549</v>
      </c>
      <c r="N1795" s="1">
        <v>1723</v>
      </c>
      <c r="O1795" s="1">
        <v>1818</v>
      </c>
      <c r="P1795" s="1">
        <v>95</v>
      </c>
      <c r="Q1795" s="1" t="s">
        <v>42</v>
      </c>
      <c r="S1795" s="1" t="s">
        <v>42</v>
      </c>
      <c r="T1795" s="1" t="s">
        <v>170</v>
      </c>
      <c r="U1795" s="1">
        <v>456</v>
      </c>
      <c r="V1795" s="5">
        <v>43673</v>
      </c>
      <c r="W1795" s="5">
        <v>41924</v>
      </c>
      <c r="X1795" s="1">
        <v>2600000</v>
      </c>
      <c r="Y1795" s="1">
        <v>2600000</v>
      </c>
      <c r="Z1795" s="5">
        <v>41680</v>
      </c>
      <c r="AA1795" s="1">
        <v>2651450</v>
      </c>
      <c r="AB1795" s="1" t="s">
        <v>1428</v>
      </c>
      <c r="AC1795" s="5">
        <v>42380</v>
      </c>
      <c r="AF1795" s="1">
        <v>10069</v>
      </c>
      <c r="AI1795" s="1" t="s">
        <v>45</v>
      </c>
      <c r="AJ1795" s="1">
        <v>2016</v>
      </c>
      <c r="AK1795" s="1" t="s">
        <v>73</v>
      </c>
      <c r="AL1795" s="1">
        <v>657</v>
      </c>
    </row>
    <row r="1796" spans="1:38" x14ac:dyDescent="0.2">
      <c r="A1796" s="2" t="str">
        <f>HYPERLINK("https://www.compass.com/listing/50-riverside-boulevard-unit-11m-manhattan-ny-10069/29396660169842641/","50 Riverside Blvd, Unit 11M")</f>
        <v>50 Riverside Blvd, Unit 11M</v>
      </c>
      <c r="B1796" s="2" t="str">
        <f t="shared" si="294"/>
        <v>One Riverside Park</v>
      </c>
      <c r="C1796" s="1" t="s">
        <v>50</v>
      </c>
      <c r="D1796" s="1" t="s">
        <v>41</v>
      </c>
      <c r="E1796" s="3">
        <v>2508895</v>
      </c>
      <c r="F1796" s="1">
        <v>1903.5622154779901</v>
      </c>
      <c r="G1796" s="1">
        <v>3</v>
      </c>
      <c r="H1796" s="1">
        <v>2</v>
      </c>
      <c r="I1796" s="1">
        <v>3</v>
      </c>
      <c r="J1796" s="1">
        <v>2.5</v>
      </c>
      <c r="M1796" s="4">
        <v>1318</v>
      </c>
      <c r="N1796" s="1">
        <v>1463</v>
      </c>
      <c r="O1796" s="1">
        <v>1544</v>
      </c>
      <c r="P1796" s="1">
        <v>81</v>
      </c>
      <c r="Q1796" s="1" t="s">
        <v>42</v>
      </c>
      <c r="S1796" s="1" t="s">
        <v>42</v>
      </c>
      <c r="T1796" s="1" t="s">
        <v>170</v>
      </c>
      <c r="V1796" s="5">
        <v>43663</v>
      </c>
      <c r="W1796" s="5">
        <v>41924</v>
      </c>
      <c r="X1796" s="1">
        <v>2460000</v>
      </c>
      <c r="Y1796" s="1">
        <v>2460000</v>
      </c>
      <c r="Z1796" s="5">
        <v>41924</v>
      </c>
      <c r="AA1796" s="1">
        <v>2508895</v>
      </c>
      <c r="AB1796" s="1" t="s">
        <v>1429</v>
      </c>
      <c r="AC1796" s="5">
        <v>42317</v>
      </c>
      <c r="AF1796" s="1">
        <v>10069</v>
      </c>
      <c r="AI1796" s="1" t="s">
        <v>1386</v>
      </c>
      <c r="AJ1796" s="1">
        <v>2016</v>
      </c>
      <c r="AK1796" s="1" t="s">
        <v>73</v>
      </c>
      <c r="AL1796" s="1">
        <v>657</v>
      </c>
    </row>
    <row r="1797" spans="1:38" x14ac:dyDescent="0.2">
      <c r="A1797" s="2" t="str">
        <f>HYPERLINK("https://www.compass.com/listing/50-riverside-boulevard-unit-8h-manhattan-ny-10069/29396638267145777/","50 Riverside Blvd, Unit 8H")</f>
        <v>50 Riverside Blvd, Unit 8H</v>
      </c>
      <c r="B1797" s="2" t="str">
        <f t="shared" si="294"/>
        <v>One Riverside Park</v>
      </c>
      <c r="C1797" s="1" t="s">
        <v>50</v>
      </c>
      <c r="D1797" s="1" t="s">
        <v>41</v>
      </c>
      <c r="E1797" s="3">
        <v>2485000</v>
      </c>
      <c r="F1797" s="1">
        <v>1604.2608134280099</v>
      </c>
      <c r="G1797" s="1">
        <v>4</v>
      </c>
      <c r="H1797" s="1">
        <v>2</v>
      </c>
      <c r="I1797" s="1">
        <v>3</v>
      </c>
      <c r="J1797" s="1">
        <v>2.5</v>
      </c>
      <c r="K1797" s="1">
        <v>2</v>
      </c>
      <c r="L1797" s="1">
        <v>1</v>
      </c>
      <c r="M1797" s="4">
        <v>1549</v>
      </c>
      <c r="N1797" s="1">
        <v>1717</v>
      </c>
      <c r="O1797" s="1">
        <v>1809</v>
      </c>
      <c r="P1797" s="1">
        <v>92</v>
      </c>
      <c r="Q1797" s="1" t="s">
        <v>42</v>
      </c>
      <c r="S1797" s="1" t="s">
        <v>42</v>
      </c>
      <c r="T1797" s="1" t="s">
        <v>170</v>
      </c>
      <c r="U1797" s="1">
        <v>197</v>
      </c>
      <c r="V1797" s="5">
        <v>44399</v>
      </c>
      <c r="W1797" s="5">
        <v>42845</v>
      </c>
      <c r="X1797" s="1">
        <v>2950000</v>
      </c>
      <c r="Y1797" s="1">
        <v>2650000</v>
      </c>
      <c r="Z1797" s="5">
        <v>43042</v>
      </c>
      <c r="AA1797" s="1">
        <v>2485000</v>
      </c>
      <c r="AB1797" s="1" t="s">
        <v>1430</v>
      </c>
      <c r="AC1797" s="5">
        <v>43082</v>
      </c>
      <c r="AF1797" s="1">
        <v>10069</v>
      </c>
      <c r="AI1797" s="1" t="s">
        <v>1347</v>
      </c>
      <c r="AJ1797" s="1">
        <v>2016</v>
      </c>
      <c r="AK1797" s="1" t="s">
        <v>73</v>
      </c>
      <c r="AL1797" s="1">
        <v>657</v>
      </c>
    </row>
    <row r="1798" spans="1:38" x14ac:dyDescent="0.2">
      <c r="A1798" s="2" t="str">
        <f>HYPERLINK("https://www.compass.com/listing/50-riverside-boulevard-unit-8h-manhattan-ny-10069/29396638267145793/","50 Riverside Blvd, Unit 8H")</f>
        <v>50 Riverside Blvd, Unit 8H</v>
      </c>
      <c r="B1798" s="2" t="str">
        <f t="shared" si="294"/>
        <v>One Riverside Park</v>
      </c>
      <c r="C1798" s="1" t="s">
        <v>50</v>
      </c>
      <c r="D1798" s="1" t="s">
        <v>41</v>
      </c>
      <c r="E1798" s="3">
        <v>2485000</v>
      </c>
      <c r="F1798" s="1">
        <v>1604.2608134280099</v>
      </c>
      <c r="G1798" s="1">
        <v>4</v>
      </c>
      <c r="H1798" s="1">
        <v>2</v>
      </c>
      <c r="I1798" s="1">
        <v>3</v>
      </c>
      <c r="J1798" s="1">
        <v>2.5</v>
      </c>
      <c r="M1798" s="4">
        <v>1549</v>
      </c>
      <c r="N1798" s="1">
        <v>1717</v>
      </c>
      <c r="O1798" s="1">
        <v>1809</v>
      </c>
      <c r="P1798" s="1">
        <v>92</v>
      </c>
      <c r="Q1798" s="1" t="s">
        <v>42</v>
      </c>
      <c r="S1798" s="1" t="s">
        <v>42</v>
      </c>
      <c r="T1798" s="1" t="s">
        <v>170</v>
      </c>
      <c r="U1798" s="1">
        <v>197</v>
      </c>
      <c r="V1798" s="5">
        <v>43153</v>
      </c>
      <c r="W1798" s="5">
        <v>42844</v>
      </c>
      <c r="X1798" s="1">
        <v>2950000</v>
      </c>
      <c r="Y1798" s="1">
        <v>2650000</v>
      </c>
      <c r="Z1798" s="5">
        <v>43042</v>
      </c>
      <c r="AA1798" s="1">
        <v>2485000</v>
      </c>
      <c r="AB1798" s="1" t="s">
        <v>1430</v>
      </c>
      <c r="AC1798" s="5">
        <v>43082</v>
      </c>
      <c r="AF1798" s="1">
        <v>10069</v>
      </c>
      <c r="AI1798" s="1" t="s">
        <v>101</v>
      </c>
      <c r="AJ1798" s="1">
        <v>2016</v>
      </c>
      <c r="AK1798" s="1" t="s">
        <v>73</v>
      </c>
      <c r="AL1798" s="1">
        <v>657</v>
      </c>
    </row>
    <row r="1799" spans="1:38" x14ac:dyDescent="0.2">
      <c r="A1799" s="2" t="str">
        <f>HYPERLINK("https://www.compass.com/listing/30-riverside-boulevard-unit-35a-manhattan-ny-10069/807137590328148513/","30 Riverside Blvd, Unit 35A")</f>
        <v>30 Riverside Blvd, Unit 35A</v>
      </c>
      <c r="B1799" s="2" t="str">
        <f>HYPERLINK("https://www.compass.com/building/two-waterline-square-manhattan-ny/282058630956612773/","Two Waterline Square")</f>
        <v>Two Waterline Square</v>
      </c>
      <c r="C1799" s="1" t="s">
        <v>50</v>
      </c>
      <c r="D1799" s="1" t="s">
        <v>41</v>
      </c>
      <c r="E1799" s="3">
        <v>5460000</v>
      </c>
      <c r="F1799" s="1">
        <v>2846.7153284671499</v>
      </c>
      <c r="G1799" s="1">
        <v>4.5</v>
      </c>
      <c r="H1799" s="1">
        <v>3</v>
      </c>
      <c r="I1799" s="1">
        <v>4</v>
      </c>
      <c r="J1799" s="1">
        <v>3.5</v>
      </c>
      <c r="K1799" s="1">
        <v>3</v>
      </c>
      <c r="L1799" s="1">
        <v>1</v>
      </c>
      <c r="M1799" s="4">
        <v>1918</v>
      </c>
      <c r="N1799" s="1">
        <v>2683</v>
      </c>
      <c r="O1799" s="1">
        <v>2825</v>
      </c>
      <c r="P1799" s="1">
        <v>142</v>
      </c>
      <c r="Q1799" s="1" t="s">
        <v>42</v>
      </c>
      <c r="S1799" s="1" t="s">
        <v>42</v>
      </c>
      <c r="T1799" s="1" t="s">
        <v>170</v>
      </c>
      <c r="V1799" s="5">
        <v>44413</v>
      </c>
      <c r="W1799" s="5">
        <v>44365</v>
      </c>
      <c r="X1799" s="1">
        <v>6105000</v>
      </c>
      <c r="Y1799" s="1">
        <v>6105000</v>
      </c>
      <c r="Z1799" s="5">
        <v>44365</v>
      </c>
      <c r="AA1799" s="1">
        <v>5460000</v>
      </c>
      <c r="AB1799" s="1" t="s">
        <v>181</v>
      </c>
      <c r="AC1799" s="5">
        <v>44406</v>
      </c>
      <c r="AF1799" s="1">
        <v>10069</v>
      </c>
      <c r="AI1799" s="1" t="s">
        <v>1431</v>
      </c>
      <c r="AJ1799" s="1">
        <v>2019</v>
      </c>
      <c r="AK1799" s="1" t="s">
        <v>77</v>
      </c>
      <c r="AL1799" s="1">
        <v>160</v>
      </c>
    </row>
    <row r="1800" spans="1:38" x14ac:dyDescent="0.2">
      <c r="A1800" s="2" t="str">
        <f>HYPERLINK("https://www.compass.com/listing/50-riverside-boulevard-unit-28b-manhattan-ny-10069/29396607732674049/","50 Riverside Blvd, Unit 28B")</f>
        <v>50 Riverside Blvd, Unit 28B</v>
      </c>
      <c r="B1800" s="2" t="str">
        <f t="shared" ref="B1800:B1823" si="295">HYPERLINK("https://www.compass.com/building/one-riverside-park-manhattan-ny/282041440266113253/","One Riverside Park")</f>
        <v>One Riverside Park</v>
      </c>
      <c r="C1800" s="1" t="s">
        <v>50</v>
      </c>
      <c r="D1800" s="1" t="s">
        <v>41</v>
      </c>
      <c r="E1800" s="3">
        <v>9300623</v>
      </c>
      <c r="F1800" s="1">
        <v>2777.9638590203099</v>
      </c>
      <c r="G1800" s="1">
        <v>7</v>
      </c>
      <c r="H1800" s="1">
        <v>4</v>
      </c>
      <c r="I1800" s="1">
        <v>4</v>
      </c>
      <c r="J1800" s="1">
        <v>4</v>
      </c>
      <c r="K1800" s="1">
        <v>4</v>
      </c>
      <c r="M1800" s="4">
        <v>3348</v>
      </c>
      <c r="N1800" s="1">
        <v>3745</v>
      </c>
      <c r="O1800" s="1">
        <v>3952</v>
      </c>
      <c r="P1800" s="1">
        <v>207</v>
      </c>
      <c r="Q1800" s="1" t="s">
        <v>42</v>
      </c>
      <c r="S1800" s="1" t="s">
        <v>42</v>
      </c>
      <c r="T1800" s="1" t="s">
        <v>170</v>
      </c>
      <c r="U1800" s="1">
        <v>1</v>
      </c>
      <c r="V1800" s="5">
        <v>43650</v>
      </c>
      <c r="W1800" s="5">
        <v>41961</v>
      </c>
      <c r="X1800" s="1">
        <v>9130000</v>
      </c>
      <c r="Y1800" s="1">
        <v>9130000</v>
      </c>
      <c r="Z1800" s="5">
        <v>41990</v>
      </c>
      <c r="AA1800" s="1">
        <v>9300623</v>
      </c>
      <c r="AB1800" s="1" t="s">
        <v>1432</v>
      </c>
      <c r="AC1800" s="5">
        <v>42357</v>
      </c>
      <c r="AF1800" s="1">
        <v>10069</v>
      </c>
      <c r="AI1800" s="1" t="s">
        <v>45</v>
      </c>
      <c r="AJ1800" s="1">
        <v>2016</v>
      </c>
      <c r="AK1800" s="1" t="s">
        <v>73</v>
      </c>
      <c r="AL1800" s="1">
        <v>657</v>
      </c>
    </row>
    <row r="1801" spans="1:38" x14ac:dyDescent="0.2">
      <c r="A1801" s="2" t="str">
        <f>HYPERLINK("https://www.compass.com/listing/50-riverside-boulevard-unit-18b-manhattan-ny-10069/29396603186048433/","50 Riverside Blvd, Unit 18B")</f>
        <v>50 Riverside Blvd, Unit 18B</v>
      </c>
      <c r="B1801" s="2" t="str">
        <f t="shared" si="295"/>
        <v>One Riverside Park</v>
      </c>
      <c r="C1801" s="1" t="s">
        <v>50</v>
      </c>
      <c r="D1801" s="1" t="s">
        <v>41</v>
      </c>
      <c r="E1801" s="3">
        <v>8455475</v>
      </c>
      <c r="F1801" s="1">
        <v>2481.7948341649499</v>
      </c>
      <c r="G1801" s="1">
        <v>7</v>
      </c>
      <c r="H1801" s="1">
        <v>4</v>
      </c>
      <c r="I1801" s="1">
        <v>4</v>
      </c>
      <c r="J1801" s="1">
        <v>4</v>
      </c>
      <c r="K1801" s="1">
        <v>4</v>
      </c>
      <c r="M1801" s="4">
        <v>3407</v>
      </c>
      <c r="N1801" s="1">
        <v>3794</v>
      </c>
      <c r="O1801" s="1">
        <v>4004</v>
      </c>
      <c r="P1801" s="1">
        <v>210</v>
      </c>
      <c r="Q1801" s="1" t="s">
        <v>42</v>
      </c>
      <c r="S1801" s="1" t="s">
        <v>42</v>
      </c>
      <c r="T1801" s="1" t="s">
        <v>170</v>
      </c>
      <c r="U1801" s="1">
        <v>299</v>
      </c>
      <c r="V1801" s="5">
        <v>43654</v>
      </c>
      <c r="W1801" s="5">
        <v>41658</v>
      </c>
      <c r="X1801" s="1">
        <v>8650000</v>
      </c>
      <c r="Y1801" s="1">
        <v>8650000</v>
      </c>
      <c r="Z1801" s="5">
        <v>42139</v>
      </c>
      <c r="AA1801" s="1">
        <v>8455475</v>
      </c>
      <c r="AB1801" s="1" t="s">
        <v>1433</v>
      </c>
      <c r="AC1801" s="5">
        <v>42341</v>
      </c>
      <c r="AF1801" s="1">
        <v>10069</v>
      </c>
      <c r="AI1801" s="1" t="s">
        <v>45</v>
      </c>
      <c r="AJ1801" s="1">
        <v>2016</v>
      </c>
      <c r="AK1801" s="1" t="s">
        <v>73</v>
      </c>
      <c r="AL1801" s="1">
        <v>657</v>
      </c>
    </row>
    <row r="1802" spans="1:38" x14ac:dyDescent="0.2">
      <c r="A1802" s="2" t="str">
        <f>HYPERLINK("https://www.compass.com/listing/50-riverside-boulevard-unit-18e-manhattan-ny-10069/29396625709399377/","50 Riverside Blvd, Unit 18E")</f>
        <v>50 Riverside Blvd, Unit 18E</v>
      </c>
      <c r="B1802" s="2" t="str">
        <f t="shared" si="295"/>
        <v>One Riverside Park</v>
      </c>
      <c r="C1802" s="1" t="s">
        <v>50</v>
      </c>
      <c r="D1802" s="1" t="s">
        <v>41</v>
      </c>
      <c r="E1802" s="3">
        <v>7589963</v>
      </c>
      <c r="F1802" s="1">
        <v>1796.8662405303</v>
      </c>
      <c r="G1802" s="1">
        <v>8</v>
      </c>
      <c r="H1802" s="1">
        <v>5</v>
      </c>
      <c r="I1802" s="1">
        <v>6</v>
      </c>
      <c r="J1802" s="1">
        <v>6.5</v>
      </c>
      <c r="K1802" s="1">
        <v>6</v>
      </c>
      <c r="L1802" s="1">
        <v>1</v>
      </c>
      <c r="M1802" s="4">
        <v>4224</v>
      </c>
      <c r="N1802" s="1">
        <v>4704</v>
      </c>
      <c r="O1802" s="1">
        <v>4956</v>
      </c>
      <c r="P1802" s="1">
        <v>252</v>
      </c>
      <c r="Q1802" s="1" t="s">
        <v>42</v>
      </c>
      <c r="S1802" s="1" t="s">
        <v>42</v>
      </c>
      <c r="T1802" s="1" t="s">
        <v>170</v>
      </c>
      <c r="U1802" s="1">
        <v>198</v>
      </c>
      <c r="V1802" s="5">
        <v>43649</v>
      </c>
      <c r="W1802" s="5">
        <v>42922</v>
      </c>
      <c r="X1802" s="1">
        <v>7800000</v>
      </c>
      <c r="Y1802" s="1">
        <v>7800000</v>
      </c>
      <c r="Z1802" s="5">
        <v>43120</v>
      </c>
      <c r="AA1802" s="1">
        <v>7589963</v>
      </c>
      <c r="AB1802" s="1" t="s">
        <v>1434</v>
      </c>
      <c r="AC1802" s="5">
        <v>43162</v>
      </c>
      <c r="AF1802" s="1">
        <v>10069</v>
      </c>
      <c r="AI1802" s="1" t="s">
        <v>101</v>
      </c>
      <c r="AJ1802" s="1">
        <v>2016</v>
      </c>
      <c r="AK1802" s="1" t="s">
        <v>73</v>
      </c>
      <c r="AL1802" s="1">
        <v>657</v>
      </c>
    </row>
    <row r="1803" spans="1:38" x14ac:dyDescent="0.2">
      <c r="A1803" s="2" t="str">
        <f>HYPERLINK("https://www.compass.com/listing/50-riverside-boulevard-unit-5e-manhattan-ny-10069/803452168161680977/","50 Riverside Blvd, Unit 5E")</f>
        <v>50 Riverside Blvd, Unit 5E</v>
      </c>
      <c r="B1803" s="2" t="str">
        <f t="shared" si="295"/>
        <v>One Riverside Park</v>
      </c>
      <c r="C1803" s="1" t="s">
        <v>50</v>
      </c>
      <c r="D1803" s="1" t="s">
        <v>41</v>
      </c>
      <c r="E1803" s="3">
        <v>2172000</v>
      </c>
      <c r="F1803" s="1">
        <v>1581.93736343772</v>
      </c>
      <c r="G1803" s="1">
        <v>4</v>
      </c>
      <c r="H1803" s="1">
        <v>2</v>
      </c>
      <c r="I1803" s="1">
        <v>2</v>
      </c>
      <c r="J1803" s="1">
        <v>2.5</v>
      </c>
      <c r="K1803" s="1">
        <v>2</v>
      </c>
      <c r="L1803" s="1">
        <v>1</v>
      </c>
      <c r="M1803" s="4">
        <v>1373</v>
      </c>
      <c r="N1803" s="1">
        <v>1520</v>
      </c>
      <c r="O1803" s="1">
        <v>1602</v>
      </c>
      <c r="P1803" s="1">
        <v>82</v>
      </c>
      <c r="Q1803" s="1" t="s">
        <v>42</v>
      </c>
      <c r="S1803" s="1" t="s">
        <v>42</v>
      </c>
      <c r="T1803" s="1" t="s">
        <v>170</v>
      </c>
      <c r="U1803" s="1">
        <v>218</v>
      </c>
      <c r="V1803" s="5">
        <v>43001</v>
      </c>
      <c r="W1803" s="5">
        <v>42638</v>
      </c>
      <c r="X1803" s="1">
        <v>2395000</v>
      </c>
      <c r="Y1803" s="1">
        <v>2275000</v>
      </c>
      <c r="Z1803" s="5">
        <v>42857</v>
      </c>
      <c r="AA1803" s="1">
        <v>2172000</v>
      </c>
      <c r="AB1803" s="1" t="s">
        <v>1435</v>
      </c>
      <c r="AC1803" s="5">
        <v>42956</v>
      </c>
      <c r="AF1803" s="1">
        <v>10069</v>
      </c>
      <c r="AI1803" s="1" t="s">
        <v>101</v>
      </c>
      <c r="AJ1803" s="1">
        <v>2016</v>
      </c>
      <c r="AK1803" s="1" t="s">
        <v>73</v>
      </c>
      <c r="AL1803" s="1">
        <v>657</v>
      </c>
    </row>
    <row r="1804" spans="1:38" x14ac:dyDescent="0.2">
      <c r="A1804" s="2" t="str">
        <f>HYPERLINK("https://www.compass.com/listing/50-riverside-boulevard-unit-5t-manhattan-ny-10069/29396680352855025/","50 Riverside Blvd, Unit 5T")</f>
        <v>50 Riverside Blvd, Unit 5T</v>
      </c>
      <c r="B1804" s="2" t="str">
        <f t="shared" si="295"/>
        <v>One Riverside Park</v>
      </c>
      <c r="C1804" s="1" t="s">
        <v>50</v>
      </c>
      <c r="D1804" s="1" t="s">
        <v>41</v>
      </c>
      <c r="E1804" s="3">
        <v>1276813</v>
      </c>
      <c r="F1804" s="1">
        <v>1491.60338785046</v>
      </c>
      <c r="G1804" s="1">
        <v>3</v>
      </c>
      <c r="H1804" s="1">
        <v>1</v>
      </c>
      <c r="I1804" s="1">
        <v>1</v>
      </c>
      <c r="J1804" s="1">
        <v>1</v>
      </c>
      <c r="K1804" s="1">
        <v>1</v>
      </c>
      <c r="M1804" s="1">
        <v>856</v>
      </c>
      <c r="N1804" s="1">
        <v>948</v>
      </c>
      <c r="O1804" s="1">
        <v>1001</v>
      </c>
      <c r="P1804" s="1">
        <v>53</v>
      </c>
      <c r="Q1804" s="1" t="s">
        <v>42</v>
      </c>
      <c r="S1804" s="1" t="s">
        <v>42</v>
      </c>
      <c r="T1804" s="1" t="s">
        <v>170</v>
      </c>
      <c r="V1804" s="5">
        <v>42431</v>
      </c>
      <c r="W1804" s="5">
        <v>41914</v>
      </c>
      <c r="X1804" s="1">
        <v>1250000</v>
      </c>
      <c r="Y1804" s="1">
        <v>1250000</v>
      </c>
      <c r="Z1804" s="5">
        <v>41915</v>
      </c>
      <c r="AA1804" s="1">
        <v>1276812.5</v>
      </c>
      <c r="AB1804" s="1" t="s">
        <v>1436</v>
      </c>
      <c r="AC1804" s="5">
        <v>42221</v>
      </c>
      <c r="AF1804" s="1">
        <v>10069</v>
      </c>
      <c r="AI1804" s="1" t="s">
        <v>45</v>
      </c>
      <c r="AJ1804" s="1">
        <v>2016</v>
      </c>
      <c r="AK1804" s="1" t="s">
        <v>73</v>
      </c>
      <c r="AL1804" s="1">
        <v>657</v>
      </c>
    </row>
    <row r="1805" spans="1:38" x14ac:dyDescent="0.2">
      <c r="A1805" s="2" t="str">
        <f>HYPERLINK("https://www.compass.com/listing/50-riverside-boulevard-unit-3h-manhattan-ny-10069/251480634915053553/","50 Riverside Blvd, Unit 3H")</f>
        <v>50 Riverside Blvd, Unit 3H</v>
      </c>
      <c r="B1805" s="2" t="str">
        <f t="shared" si="295"/>
        <v>One Riverside Park</v>
      </c>
      <c r="C1805" s="1" t="s">
        <v>50</v>
      </c>
      <c r="D1805" s="1" t="s">
        <v>41</v>
      </c>
      <c r="E1805" s="3">
        <v>2300000</v>
      </c>
      <c r="F1805" s="1">
        <v>1484.82892188508</v>
      </c>
      <c r="G1805" s="1">
        <v>4</v>
      </c>
      <c r="H1805" s="1">
        <v>2</v>
      </c>
      <c r="I1805" s="1">
        <v>3</v>
      </c>
      <c r="J1805" s="1">
        <v>2.5</v>
      </c>
      <c r="K1805" s="1">
        <v>2</v>
      </c>
      <c r="L1805" s="1">
        <v>1</v>
      </c>
      <c r="M1805" s="4">
        <v>1549</v>
      </c>
      <c r="N1805" s="1">
        <v>1713</v>
      </c>
      <c r="O1805" s="1">
        <v>1780</v>
      </c>
      <c r="P1805" s="1">
        <v>67</v>
      </c>
      <c r="Q1805" s="1" t="s">
        <v>42</v>
      </c>
      <c r="S1805" s="1" t="s">
        <v>42</v>
      </c>
      <c r="T1805" s="1" t="s">
        <v>170</v>
      </c>
      <c r="U1805" s="1">
        <v>45</v>
      </c>
      <c r="V1805" s="5">
        <v>43721</v>
      </c>
      <c r="W1805" s="5">
        <v>43598</v>
      </c>
      <c r="X1805" s="1">
        <v>2400000</v>
      </c>
      <c r="Y1805" s="1">
        <v>2400000</v>
      </c>
      <c r="Z1805" s="5">
        <v>43644</v>
      </c>
      <c r="AA1805" s="1">
        <v>2300000</v>
      </c>
      <c r="AB1805" s="1" t="s">
        <v>1437</v>
      </c>
      <c r="AC1805" s="5">
        <v>43720</v>
      </c>
      <c r="AF1805" s="1">
        <v>10069</v>
      </c>
      <c r="AI1805" s="1" t="s">
        <v>45</v>
      </c>
      <c r="AJ1805" s="1">
        <v>2016</v>
      </c>
      <c r="AK1805" s="1" t="s">
        <v>73</v>
      </c>
      <c r="AL1805" s="1">
        <v>657</v>
      </c>
    </row>
    <row r="1806" spans="1:38" x14ac:dyDescent="0.2">
      <c r="A1806" s="2" t="str">
        <f>HYPERLINK("https://www.compass.com/listing/50-riverside-boulevard-unit-5g-manhattan-ny-10069/176685788384210129/","50 Riverside Blvd, Unit 5G")</f>
        <v>50 Riverside Blvd, Unit 5G</v>
      </c>
      <c r="B1806" s="2" t="str">
        <f t="shared" si="295"/>
        <v>One Riverside Park</v>
      </c>
      <c r="C1806" s="1" t="s">
        <v>50</v>
      </c>
      <c r="D1806" s="1" t="s">
        <v>41</v>
      </c>
      <c r="E1806" s="3">
        <v>2035000</v>
      </c>
      <c r="F1806" s="1">
        <v>1390.0273224043699</v>
      </c>
      <c r="G1806" s="1">
        <v>4</v>
      </c>
      <c r="H1806" s="1">
        <v>2</v>
      </c>
      <c r="I1806" s="1">
        <v>2</v>
      </c>
      <c r="J1806" s="1">
        <v>2</v>
      </c>
      <c r="K1806" s="1">
        <v>2</v>
      </c>
      <c r="M1806" s="4">
        <v>1464</v>
      </c>
      <c r="N1806" s="1">
        <v>1621</v>
      </c>
      <c r="O1806" s="1">
        <v>1665</v>
      </c>
      <c r="P1806" s="1">
        <v>44</v>
      </c>
      <c r="Q1806" s="1" t="s">
        <v>42</v>
      </c>
      <c r="S1806" s="1" t="s">
        <v>42</v>
      </c>
      <c r="T1806" s="1" t="s">
        <v>170</v>
      </c>
      <c r="U1806" s="1">
        <v>179</v>
      </c>
      <c r="V1806" s="5">
        <v>43774</v>
      </c>
      <c r="W1806" s="5">
        <v>43496</v>
      </c>
      <c r="X1806" s="1">
        <v>2450000</v>
      </c>
      <c r="Y1806" s="1">
        <v>2250000</v>
      </c>
      <c r="Z1806" s="5">
        <v>43675</v>
      </c>
      <c r="AA1806" s="1">
        <v>2035000</v>
      </c>
      <c r="AB1806" s="1" t="s">
        <v>1438</v>
      </c>
      <c r="AC1806" s="5">
        <v>43761</v>
      </c>
      <c r="AF1806" s="1">
        <v>10069</v>
      </c>
      <c r="AI1806" s="1" t="s">
        <v>45</v>
      </c>
      <c r="AJ1806" s="1">
        <v>2016</v>
      </c>
      <c r="AK1806" s="1" t="s">
        <v>46</v>
      </c>
      <c r="AL1806" s="1">
        <v>657</v>
      </c>
    </row>
    <row r="1807" spans="1:38" x14ac:dyDescent="0.2">
      <c r="A1807" s="2" t="str">
        <f>HYPERLINK("https://www.compass.com/listing/50-riverside-boulevard-unit-4m-manhattan-ny-10069/770954767603558417/","50 Riverside Blvd, Unit 4M")</f>
        <v>50 Riverside Blvd, Unit 4M</v>
      </c>
      <c r="B1807" s="2" t="str">
        <f t="shared" si="295"/>
        <v>One Riverside Park</v>
      </c>
      <c r="C1807" s="1" t="s">
        <v>50</v>
      </c>
      <c r="D1807" s="1" t="s">
        <v>41</v>
      </c>
      <c r="E1807" s="3">
        <v>2120000</v>
      </c>
      <c r="F1807" s="1">
        <v>1624.52107279693</v>
      </c>
      <c r="G1807" s="1">
        <v>4</v>
      </c>
      <c r="H1807" s="1">
        <v>2</v>
      </c>
      <c r="I1807" s="1">
        <v>3</v>
      </c>
      <c r="J1807" s="1">
        <v>2.5</v>
      </c>
      <c r="K1807" s="1">
        <v>2</v>
      </c>
      <c r="L1807" s="1">
        <v>1</v>
      </c>
      <c r="M1807" s="4">
        <v>1305</v>
      </c>
      <c r="N1807" s="1">
        <v>1460</v>
      </c>
      <c r="O1807" s="1">
        <v>1534</v>
      </c>
      <c r="P1807" s="1">
        <v>74</v>
      </c>
      <c r="Q1807" s="1" t="s">
        <v>42</v>
      </c>
      <c r="S1807" s="1" t="s">
        <v>42</v>
      </c>
      <c r="T1807" s="1" t="s">
        <v>170</v>
      </c>
      <c r="U1807" s="1">
        <v>39</v>
      </c>
      <c r="V1807" s="5">
        <v>44399</v>
      </c>
      <c r="W1807" s="5">
        <v>44315</v>
      </c>
      <c r="X1807" s="1">
        <v>2395000</v>
      </c>
      <c r="Y1807" s="1">
        <v>2395000</v>
      </c>
      <c r="Z1807" s="5">
        <v>44355</v>
      </c>
      <c r="AA1807" s="1">
        <v>2120000</v>
      </c>
      <c r="AB1807" s="1" t="s">
        <v>173</v>
      </c>
      <c r="AC1807" s="5">
        <v>44393</v>
      </c>
      <c r="AF1807" s="1">
        <v>10069</v>
      </c>
      <c r="AI1807" s="1" t="s">
        <v>101</v>
      </c>
      <c r="AJ1807" s="1">
        <v>2016</v>
      </c>
      <c r="AK1807" s="1" t="s">
        <v>46</v>
      </c>
      <c r="AL1807" s="1">
        <v>657</v>
      </c>
    </row>
    <row r="1808" spans="1:38" x14ac:dyDescent="0.2">
      <c r="A1808" s="2" t="str">
        <f>HYPERLINK("https://www.compass.com/listing/50-riverside-boulevard-unit-3c-manhattan-ny-10069/29513636305221473/","50 Riverside Blvd, Unit 3C")</f>
        <v>50 Riverside Blvd, Unit 3C</v>
      </c>
      <c r="B1808" s="2" t="str">
        <f t="shared" si="295"/>
        <v>One Riverside Park</v>
      </c>
      <c r="C1808" s="1" t="s">
        <v>50</v>
      </c>
      <c r="D1808" s="1" t="s">
        <v>41</v>
      </c>
      <c r="E1808" s="3">
        <v>3048568</v>
      </c>
      <c r="F1808" s="1">
        <v>1779.6660828955</v>
      </c>
      <c r="G1808" s="1">
        <v>4</v>
      </c>
      <c r="H1808" s="1">
        <v>3</v>
      </c>
      <c r="I1808" s="1">
        <v>3</v>
      </c>
      <c r="J1808" s="1">
        <v>3</v>
      </c>
      <c r="K1808" s="1">
        <v>3</v>
      </c>
      <c r="M1808" s="4">
        <v>1713</v>
      </c>
      <c r="N1808" s="1">
        <v>1894</v>
      </c>
      <c r="O1808" s="1">
        <v>1999</v>
      </c>
      <c r="P1808" s="1">
        <v>105</v>
      </c>
      <c r="Q1808" s="1" t="s">
        <v>42</v>
      </c>
      <c r="S1808" s="1" t="s">
        <v>42</v>
      </c>
      <c r="T1808" s="1" t="s">
        <v>170</v>
      </c>
      <c r="U1808" s="1">
        <v>23</v>
      </c>
      <c r="V1808" s="5">
        <v>43651</v>
      </c>
      <c r="W1808" s="5">
        <v>41657</v>
      </c>
      <c r="X1808" s="1">
        <v>2990000</v>
      </c>
      <c r="Y1808" s="1">
        <v>2990000</v>
      </c>
      <c r="Z1808" s="5">
        <v>41924</v>
      </c>
      <c r="AA1808" s="1">
        <v>3048568</v>
      </c>
      <c r="AB1808" s="1" t="s">
        <v>1439</v>
      </c>
      <c r="AC1808" s="5">
        <v>42220</v>
      </c>
      <c r="AF1808" s="1">
        <v>10069</v>
      </c>
      <c r="AI1808" s="1" t="s">
        <v>45</v>
      </c>
      <c r="AJ1808" s="1">
        <v>2016</v>
      </c>
      <c r="AK1808" s="1" t="s">
        <v>73</v>
      </c>
      <c r="AL1808" s="1">
        <v>657</v>
      </c>
    </row>
    <row r="1809" spans="1:38" x14ac:dyDescent="0.2">
      <c r="A1809" s="2" t="str">
        <f>HYPERLINK("https://www.compass.com/listing/50-riverside-boulevard-unit-15a-manhattan-ny-10069/29396586450754129/","50 Riverside Blvd, Unit 15A")</f>
        <v>50 Riverside Blvd, Unit 15A</v>
      </c>
      <c r="B1809" s="2" t="str">
        <f t="shared" si="295"/>
        <v>One Riverside Park</v>
      </c>
      <c r="C1809" s="1" t="s">
        <v>50</v>
      </c>
      <c r="D1809" s="1" t="s">
        <v>41</v>
      </c>
      <c r="E1809" s="3">
        <v>4382475</v>
      </c>
      <c r="F1809" s="1">
        <v>2376.6133405639898</v>
      </c>
      <c r="G1809" s="1">
        <v>4</v>
      </c>
      <c r="H1809" s="1">
        <v>3</v>
      </c>
      <c r="I1809" s="1">
        <v>3</v>
      </c>
      <c r="J1809" s="1">
        <v>3</v>
      </c>
      <c r="K1809" s="1">
        <v>3</v>
      </c>
      <c r="M1809" s="4">
        <v>1844</v>
      </c>
      <c r="N1809" s="1">
        <v>2051</v>
      </c>
      <c r="O1809" s="1">
        <v>2165</v>
      </c>
      <c r="P1809" s="1">
        <v>114</v>
      </c>
      <c r="Q1809" s="1" t="s">
        <v>42</v>
      </c>
      <c r="S1809" s="1" t="s">
        <v>42</v>
      </c>
      <c r="T1809" s="1" t="s">
        <v>170</v>
      </c>
      <c r="V1809" s="5">
        <v>43654</v>
      </c>
      <c r="W1809" s="5">
        <v>41727</v>
      </c>
      <c r="X1809" s="1">
        <v>4300000</v>
      </c>
      <c r="Y1809" s="1">
        <v>4300000</v>
      </c>
      <c r="Z1809" s="5">
        <v>41727</v>
      </c>
      <c r="AA1809" s="1">
        <v>4382475</v>
      </c>
      <c r="AB1809" s="1" t="s">
        <v>1440</v>
      </c>
      <c r="AC1809" s="5">
        <v>42338</v>
      </c>
      <c r="AF1809" s="1">
        <v>10069</v>
      </c>
      <c r="AI1809" s="1" t="s">
        <v>45</v>
      </c>
      <c r="AJ1809" s="1">
        <v>2016</v>
      </c>
      <c r="AK1809" s="1" t="s">
        <v>73</v>
      </c>
      <c r="AL1809" s="1">
        <v>657</v>
      </c>
    </row>
    <row r="1810" spans="1:38" x14ac:dyDescent="0.2">
      <c r="A1810" s="2" t="str">
        <f>HYPERLINK("https://www.compass.com/listing/50-riverside-boulevard-unit-11d-manhattan-ny-10069/29396618763693761/","50 Riverside Blvd, Unit 11D")</f>
        <v>50 Riverside Blvd, Unit 11D</v>
      </c>
      <c r="B1810" s="2" t="str">
        <f t="shared" si="295"/>
        <v>One Riverside Park</v>
      </c>
      <c r="C1810" s="1" t="s">
        <v>50</v>
      </c>
      <c r="D1810" s="1" t="s">
        <v>41</v>
      </c>
      <c r="E1810" s="3">
        <v>3781708</v>
      </c>
      <c r="F1810" s="1">
        <v>1886.13865336658</v>
      </c>
      <c r="G1810" s="1">
        <v>4</v>
      </c>
      <c r="H1810" s="1">
        <v>3</v>
      </c>
      <c r="I1810" s="1">
        <v>3</v>
      </c>
      <c r="J1810" s="1">
        <v>3</v>
      </c>
      <c r="K1810" s="1">
        <v>3</v>
      </c>
      <c r="M1810" s="4">
        <v>2005</v>
      </c>
      <c r="N1810" s="1">
        <v>2226</v>
      </c>
      <c r="O1810" s="1">
        <v>2349</v>
      </c>
      <c r="P1810" s="1">
        <v>123</v>
      </c>
      <c r="Q1810" s="1" t="s">
        <v>42</v>
      </c>
      <c r="S1810" s="1" t="s">
        <v>42</v>
      </c>
      <c r="T1810" s="1" t="s">
        <v>170</v>
      </c>
      <c r="V1810" s="5">
        <v>43694</v>
      </c>
      <c r="W1810" s="5">
        <v>42066</v>
      </c>
      <c r="X1810" s="1">
        <v>3710000</v>
      </c>
      <c r="Y1810" s="1">
        <v>3710000</v>
      </c>
      <c r="Z1810" s="5">
        <v>42066</v>
      </c>
      <c r="AA1810" s="1">
        <v>3781708</v>
      </c>
      <c r="AB1810" s="1" t="s">
        <v>1441</v>
      </c>
      <c r="AC1810" s="5">
        <v>42315</v>
      </c>
      <c r="AF1810" s="1">
        <v>10069</v>
      </c>
      <c r="AI1810" s="1" t="s">
        <v>45</v>
      </c>
      <c r="AJ1810" s="1">
        <v>2016</v>
      </c>
      <c r="AK1810" s="1" t="s">
        <v>73</v>
      </c>
      <c r="AL1810" s="1">
        <v>657</v>
      </c>
    </row>
    <row r="1811" spans="1:38" x14ac:dyDescent="0.2">
      <c r="A1811" s="2" t="str">
        <f>HYPERLINK("https://www.compass.com/listing/50-riverside-boulevard-unit-15c-manhattan-ny-10069/29396613462072465/","50 Riverside Blvd, Unit 15C")</f>
        <v>50 Riverside Blvd, Unit 15C</v>
      </c>
      <c r="B1811" s="2" t="str">
        <f t="shared" si="295"/>
        <v>One Riverside Park</v>
      </c>
      <c r="C1811" s="1" t="s">
        <v>50</v>
      </c>
      <c r="D1811" s="1" t="s">
        <v>41</v>
      </c>
      <c r="E1811" s="3">
        <v>5512733</v>
      </c>
      <c r="F1811" s="1">
        <v>2342.8529536761498</v>
      </c>
      <c r="G1811" s="1">
        <v>5</v>
      </c>
      <c r="H1811" s="1">
        <v>4</v>
      </c>
      <c r="I1811" s="1">
        <v>4</v>
      </c>
      <c r="J1811" s="1">
        <v>4</v>
      </c>
      <c r="K1811" s="1">
        <v>4</v>
      </c>
      <c r="M1811" s="4">
        <v>2353</v>
      </c>
      <c r="N1811" s="1">
        <v>2616</v>
      </c>
      <c r="O1811" s="1">
        <v>2761</v>
      </c>
      <c r="P1811" s="1">
        <v>145</v>
      </c>
      <c r="Q1811" s="1" t="s">
        <v>42</v>
      </c>
      <c r="S1811" s="1" t="s">
        <v>42</v>
      </c>
      <c r="T1811" s="1" t="s">
        <v>170</v>
      </c>
      <c r="V1811" s="5">
        <v>43650</v>
      </c>
      <c r="W1811" s="5">
        <v>41767</v>
      </c>
      <c r="X1811" s="1">
        <v>5410000</v>
      </c>
      <c r="Y1811" s="1">
        <v>5410000</v>
      </c>
      <c r="Z1811" s="5">
        <v>41767</v>
      </c>
      <c r="AA1811" s="1">
        <v>5512733</v>
      </c>
      <c r="AB1811" s="1" t="s">
        <v>1442</v>
      </c>
      <c r="AC1811" s="5">
        <v>42326</v>
      </c>
      <c r="AF1811" s="1">
        <v>10069</v>
      </c>
      <c r="AI1811" s="1" t="s">
        <v>45</v>
      </c>
      <c r="AJ1811" s="1">
        <v>2016</v>
      </c>
      <c r="AK1811" s="1" t="s">
        <v>73</v>
      </c>
      <c r="AL1811" s="1">
        <v>657</v>
      </c>
    </row>
    <row r="1812" spans="1:38" x14ac:dyDescent="0.2">
      <c r="A1812" s="2" t="str">
        <f>HYPERLINK("https://www.compass.com/listing/50-riverside-boulevard-unit-4c-manhattan-ny-10069/29396609234172977/","50 Riverside Blvd, Unit 4C")</f>
        <v>50 Riverside Blvd, Unit 4C</v>
      </c>
      <c r="B1812" s="2" t="str">
        <f t="shared" si="295"/>
        <v>One Riverside Park</v>
      </c>
      <c r="C1812" s="1" t="s">
        <v>50</v>
      </c>
      <c r="D1812" s="1" t="s">
        <v>41</v>
      </c>
      <c r="E1812" s="3">
        <v>3608605</v>
      </c>
      <c r="F1812" s="1">
        <v>2106.5995329830698</v>
      </c>
      <c r="G1812" s="1">
        <v>4</v>
      </c>
      <c r="H1812" s="1">
        <v>3</v>
      </c>
      <c r="I1812" s="1">
        <v>3</v>
      </c>
      <c r="J1812" s="1">
        <v>3</v>
      </c>
      <c r="K1812" s="1">
        <v>3</v>
      </c>
      <c r="M1812" s="4">
        <v>1713</v>
      </c>
      <c r="N1812" s="1">
        <v>1896</v>
      </c>
      <c r="O1812" s="1">
        <v>2001</v>
      </c>
      <c r="P1812" s="1">
        <v>105</v>
      </c>
      <c r="Q1812" s="1" t="s">
        <v>42</v>
      </c>
      <c r="S1812" s="1" t="s">
        <v>42</v>
      </c>
      <c r="T1812" s="1" t="s">
        <v>170</v>
      </c>
      <c r="U1812" s="1">
        <v>14</v>
      </c>
      <c r="V1812" s="5">
        <v>43651</v>
      </c>
      <c r="W1812" s="5">
        <v>42161</v>
      </c>
      <c r="X1812" s="1">
        <v>3540000</v>
      </c>
      <c r="Y1812" s="1">
        <v>3540000</v>
      </c>
      <c r="Z1812" s="5">
        <v>42187</v>
      </c>
      <c r="AA1812" s="1">
        <v>3608605</v>
      </c>
      <c r="AB1812" s="1" t="s">
        <v>1443</v>
      </c>
      <c r="AC1812" s="5">
        <v>42234</v>
      </c>
      <c r="AF1812" s="1">
        <v>10069</v>
      </c>
      <c r="AI1812" s="1" t="s">
        <v>45</v>
      </c>
      <c r="AJ1812" s="1">
        <v>2016</v>
      </c>
      <c r="AK1812" s="1" t="s">
        <v>73</v>
      </c>
      <c r="AL1812" s="1">
        <v>657</v>
      </c>
    </row>
    <row r="1813" spans="1:38" x14ac:dyDescent="0.2">
      <c r="A1813" s="2" t="str">
        <f>HYPERLINK("https://www.compass.com/listing/50-riverside-boulevard-unit-20c-manhattan-ny-10069/29396615508851873/","50 Riverside Blvd, Unit 20C")</f>
        <v>50 Riverside Blvd, Unit 20C</v>
      </c>
      <c r="B1813" s="2" t="str">
        <f t="shared" si="295"/>
        <v>One Riverside Park</v>
      </c>
      <c r="C1813" s="1" t="s">
        <v>50</v>
      </c>
      <c r="D1813" s="1" t="s">
        <v>41</v>
      </c>
      <c r="E1813" s="3">
        <v>3199269</v>
      </c>
      <c r="F1813" s="1">
        <v>1919.1775644871</v>
      </c>
      <c r="G1813" s="1">
        <v>4</v>
      </c>
      <c r="H1813" s="1">
        <v>3</v>
      </c>
      <c r="I1813" s="1">
        <v>3</v>
      </c>
      <c r="J1813" s="1">
        <v>3</v>
      </c>
      <c r="K1813" s="1">
        <v>3</v>
      </c>
      <c r="M1813" s="4">
        <v>1667</v>
      </c>
      <c r="N1813" s="1">
        <v>1858</v>
      </c>
      <c r="O1813" s="1">
        <v>1961</v>
      </c>
      <c r="P1813" s="1">
        <v>103</v>
      </c>
      <c r="Q1813" s="1" t="s">
        <v>42</v>
      </c>
      <c r="S1813" s="1" t="s">
        <v>42</v>
      </c>
      <c r="T1813" s="1" t="s">
        <v>170</v>
      </c>
      <c r="U1813" s="1">
        <v>41</v>
      </c>
      <c r="V1813" s="5">
        <v>43654</v>
      </c>
      <c r="W1813" s="5">
        <v>41753</v>
      </c>
      <c r="X1813" s="1">
        <v>3140000</v>
      </c>
      <c r="Y1813" s="1">
        <v>3140000</v>
      </c>
      <c r="Z1813" s="5">
        <v>41794</v>
      </c>
      <c r="AA1813" s="1">
        <v>3199269</v>
      </c>
      <c r="AB1813" s="1" t="s">
        <v>1444</v>
      </c>
      <c r="AC1813" s="5">
        <v>42382</v>
      </c>
      <c r="AF1813" s="1">
        <v>10069</v>
      </c>
      <c r="AI1813" s="1" t="s">
        <v>45</v>
      </c>
      <c r="AJ1813" s="1">
        <v>2016</v>
      </c>
      <c r="AK1813" s="1" t="s">
        <v>73</v>
      </c>
      <c r="AL1813" s="1">
        <v>657</v>
      </c>
    </row>
    <row r="1814" spans="1:38" x14ac:dyDescent="0.2">
      <c r="A1814" s="2" t="str">
        <f>HYPERLINK("https://www.compass.com/listing/50-riverside-boulevard-unit-9d-manhattan-ny-10069/29396617991879889/","50 Riverside Blvd, Unit 9D")</f>
        <v>50 Riverside Blvd, Unit 9D</v>
      </c>
      <c r="B1814" s="2" t="str">
        <f t="shared" si="295"/>
        <v>One Riverside Park</v>
      </c>
      <c r="C1814" s="1" t="s">
        <v>50</v>
      </c>
      <c r="D1814" s="1" t="s">
        <v>41</v>
      </c>
      <c r="E1814" s="3">
        <v>3679883</v>
      </c>
      <c r="F1814" s="1">
        <v>1835.35311720698</v>
      </c>
      <c r="G1814" s="1">
        <v>4</v>
      </c>
      <c r="H1814" s="1">
        <v>3</v>
      </c>
      <c r="I1814" s="1">
        <v>3</v>
      </c>
      <c r="J1814" s="1">
        <v>3</v>
      </c>
      <c r="K1814" s="1">
        <v>3</v>
      </c>
      <c r="M1814" s="4">
        <v>2005</v>
      </c>
      <c r="N1814" s="1">
        <v>2224</v>
      </c>
      <c r="O1814" s="1">
        <v>2347</v>
      </c>
      <c r="P1814" s="1">
        <v>123</v>
      </c>
      <c r="Q1814" s="1" t="s">
        <v>42</v>
      </c>
      <c r="S1814" s="1" t="s">
        <v>42</v>
      </c>
      <c r="T1814" s="1" t="s">
        <v>170</v>
      </c>
      <c r="U1814" s="1">
        <v>108</v>
      </c>
      <c r="V1814" s="5">
        <v>43654</v>
      </c>
      <c r="W1814" s="5">
        <v>41958</v>
      </c>
      <c r="X1814" s="1">
        <v>3610000</v>
      </c>
      <c r="Y1814" s="1">
        <v>3610000</v>
      </c>
      <c r="Z1814" s="5">
        <v>42070</v>
      </c>
      <c r="AA1814" s="1">
        <v>3679883</v>
      </c>
      <c r="AB1814" s="1" t="s">
        <v>1445</v>
      </c>
      <c r="AC1814" s="5">
        <v>42311</v>
      </c>
      <c r="AF1814" s="1">
        <v>10069</v>
      </c>
      <c r="AI1814" s="1" t="s">
        <v>45</v>
      </c>
      <c r="AJ1814" s="1">
        <v>2016</v>
      </c>
      <c r="AK1814" s="1" t="s">
        <v>73</v>
      </c>
      <c r="AL1814" s="1">
        <v>657</v>
      </c>
    </row>
    <row r="1815" spans="1:38" x14ac:dyDescent="0.2">
      <c r="A1815" s="2" t="str">
        <f>HYPERLINK("https://www.compass.com/listing/50-riverside-boulevard-unit-15l-manhattan-ny-10069/212984109289477441/","50 Riverside Blvd, Unit 15L")</f>
        <v>50 Riverside Blvd, Unit 15L</v>
      </c>
      <c r="B1815" s="2" t="str">
        <f t="shared" si="295"/>
        <v>One Riverside Park</v>
      </c>
      <c r="C1815" s="1" t="s">
        <v>50</v>
      </c>
      <c r="D1815" s="1" t="s">
        <v>41</v>
      </c>
      <c r="E1815" s="3">
        <v>6867005</v>
      </c>
      <c r="F1815" s="1">
        <v>2425.64641469445</v>
      </c>
      <c r="G1815" s="1">
        <v>6</v>
      </c>
      <c r="H1815" s="1">
        <v>4</v>
      </c>
      <c r="I1815" s="1">
        <v>4</v>
      </c>
      <c r="J1815" s="1">
        <v>4</v>
      </c>
      <c r="K1815" s="1">
        <v>4</v>
      </c>
      <c r="M1815" s="4">
        <v>2831</v>
      </c>
      <c r="N1815" s="1">
        <v>3148</v>
      </c>
      <c r="O1815" s="1">
        <v>3322</v>
      </c>
      <c r="P1815" s="1">
        <v>174</v>
      </c>
      <c r="Q1815" s="1" t="s">
        <v>42</v>
      </c>
      <c r="S1815" s="1" t="s">
        <v>42</v>
      </c>
      <c r="T1815" s="1" t="s">
        <v>170</v>
      </c>
      <c r="V1815" s="5">
        <v>43654</v>
      </c>
      <c r="W1815" s="5">
        <v>41774</v>
      </c>
      <c r="X1815" s="1">
        <v>6740000</v>
      </c>
      <c r="Y1815" s="1">
        <v>6740000</v>
      </c>
      <c r="Z1815" s="5">
        <v>41774</v>
      </c>
      <c r="AA1815" s="1">
        <v>6867005</v>
      </c>
      <c r="AB1815" s="1" t="s">
        <v>1446</v>
      </c>
      <c r="AC1815" s="5">
        <v>42349</v>
      </c>
      <c r="AF1815" s="1">
        <v>10069</v>
      </c>
      <c r="AI1815" s="1" t="s">
        <v>45</v>
      </c>
      <c r="AJ1815" s="1">
        <v>2016</v>
      </c>
      <c r="AK1815" s="1" t="s">
        <v>73</v>
      </c>
      <c r="AL1815" s="1">
        <v>657</v>
      </c>
    </row>
    <row r="1816" spans="1:38" x14ac:dyDescent="0.2">
      <c r="A1816" s="2" t="str">
        <f>HYPERLINK("https://www.compass.com/listing/50-riverside-boulevard-unit-28a-manhattan-ny-10069/29396592029199505/","50 Riverside Blvd, Unit 28A")</f>
        <v>50 Riverside Blvd, Unit 28A</v>
      </c>
      <c r="B1816" s="2" t="str">
        <f t="shared" si="295"/>
        <v>One Riverside Park</v>
      </c>
      <c r="C1816" s="1" t="s">
        <v>50</v>
      </c>
      <c r="D1816" s="1" t="s">
        <v>41</v>
      </c>
      <c r="E1816" s="3">
        <v>7462681</v>
      </c>
      <c r="F1816" s="1">
        <v>2339.3985109717801</v>
      </c>
      <c r="G1816" s="1">
        <v>7</v>
      </c>
      <c r="H1816" s="1">
        <v>4</v>
      </c>
      <c r="I1816" s="1">
        <v>4</v>
      </c>
      <c r="J1816" s="1">
        <v>4</v>
      </c>
      <c r="K1816" s="1">
        <v>4</v>
      </c>
      <c r="M1816" s="4">
        <v>3190</v>
      </c>
      <c r="N1816" s="1">
        <v>3568</v>
      </c>
      <c r="O1816" s="1">
        <v>3766</v>
      </c>
      <c r="P1816" s="1">
        <v>198</v>
      </c>
      <c r="Q1816" s="1" t="s">
        <v>42</v>
      </c>
      <c r="S1816" s="1" t="s">
        <v>42</v>
      </c>
      <c r="T1816" s="1" t="s">
        <v>170</v>
      </c>
      <c r="U1816" s="1">
        <v>31</v>
      </c>
      <c r="V1816" s="5">
        <v>42802</v>
      </c>
      <c r="W1816" s="5">
        <v>41925</v>
      </c>
      <c r="X1816" s="1">
        <v>9130000</v>
      </c>
      <c r="Y1816" s="1">
        <v>9130000</v>
      </c>
      <c r="Z1816" s="5">
        <v>42802</v>
      </c>
      <c r="AA1816" s="1">
        <v>7462681.25</v>
      </c>
      <c r="AB1816" s="1" t="s">
        <v>1447</v>
      </c>
      <c r="AC1816" s="5">
        <v>42849</v>
      </c>
      <c r="AF1816" s="1">
        <v>10069</v>
      </c>
      <c r="AI1816" s="1" t="s">
        <v>45</v>
      </c>
      <c r="AJ1816" s="1">
        <v>2016</v>
      </c>
      <c r="AK1816" s="1" t="s">
        <v>73</v>
      </c>
      <c r="AL1816" s="1">
        <v>657</v>
      </c>
    </row>
    <row r="1817" spans="1:38" x14ac:dyDescent="0.2">
      <c r="A1817" s="2" t="str">
        <f>HYPERLINK("https://www.compass.com/listing/50-riverside-boulevard-unit-29b-manhattan-ny-10069/29396608143653921/","50 Riverside Blvd, Unit 29B")</f>
        <v>50 Riverside Blvd, Unit 29B</v>
      </c>
      <c r="B1817" s="2" t="str">
        <f t="shared" si="295"/>
        <v>One Riverside Park</v>
      </c>
      <c r="C1817" s="1" t="s">
        <v>50</v>
      </c>
      <c r="D1817" s="1" t="s">
        <v>41</v>
      </c>
      <c r="E1817" s="3">
        <v>8903505</v>
      </c>
      <c r="F1817" s="1">
        <v>2659.3503584229302</v>
      </c>
      <c r="G1817" s="1">
        <v>7</v>
      </c>
      <c r="H1817" s="1">
        <v>4</v>
      </c>
      <c r="I1817" s="1">
        <v>4</v>
      </c>
      <c r="J1817" s="1">
        <v>4</v>
      </c>
      <c r="K1817" s="1">
        <v>4</v>
      </c>
      <c r="M1817" s="4">
        <v>3348</v>
      </c>
      <c r="N1817" s="1">
        <v>3747</v>
      </c>
      <c r="O1817" s="1">
        <v>3955</v>
      </c>
      <c r="P1817" s="1">
        <v>208</v>
      </c>
      <c r="Q1817" s="1" t="s">
        <v>42</v>
      </c>
      <c r="S1817" s="1" t="s">
        <v>42</v>
      </c>
      <c r="T1817" s="1" t="s">
        <v>170</v>
      </c>
      <c r="V1817" s="5">
        <v>43650</v>
      </c>
      <c r="W1817" s="5">
        <v>41796</v>
      </c>
      <c r="X1817" s="1">
        <v>8740000</v>
      </c>
      <c r="Y1817" s="1">
        <v>8740000</v>
      </c>
      <c r="Z1817" s="5">
        <v>41796</v>
      </c>
      <c r="AA1817" s="1">
        <v>8903505</v>
      </c>
      <c r="AB1817" s="1" t="s">
        <v>1448</v>
      </c>
      <c r="AC1817" s="5">
        <v>42361</v>
      </c>
      <c r="AF1817" s="1">
        <v>10069</v>
      </c>
      <c r="AI1817" s="1" t="s">
        <v>45</v>
      </c>
      <c r="AJ1817" s="1">
        <v>2016</v>
      </c>
      <c r="AK1817" s="1" t="s">
        <v>73</v>
      </c>
      <c r="AL1817" s="1">
        <v>657</v>
      </c>
    </row>
    <row r="1818" spans="1:38" x14ac:dyDescent="0.2">
      <c r="A1818" s="2" t="str">
        <f>HYPERLINK("https://www.compass.com/listing/50-riverside-boulevard-unit-8l-manhattan-ny-10069/29396652653670801/","50 Riverside Blvd, Unit 8L")</f>
        <v>50 Riverside Blvd, Unit 8L</v>
      </c>
      <c r="B1818" s="2" t="str">
        <f t="shared" si="295"/>
        <v>One Riverside Park</v>
      </c>
      <c r="C1818" s="1" t="s">
        <v>50</v>
      </c>
      <c r="D1818" s="1" t="s">
        <v>41</v>
      </c>
      <c r="E1818" s="3">
        <v>6592078</v>
      </c>
      <c r="F1818" s="1">
        <v>2256.7880862718198</v>
      </c>
      <c r="G1818" s="1">
        <v>6</v>
      </c>
      <c r="H1818" s="1">
        <v>4</v>
      </c>
      <c r="I1818" s="1">
        <v>4</v>
      </c>
      <c r="J1818" s="1">
        <v>4</v>
      </c>
      <c r="K1818" s="1">
        <v>4</v>
      </c>
      <c r="M1818" s="4">
        <v>2921</v>
      </c>
      <c r="N1818" s="1">
        <v>3238</v>
      </c>
      <c r="O1818" s="1">
        <v>3417</v>
      </c>
      <c r="P1818" s="1">
        <v>179</v>
      </c>
      <c r="Q1818" s="1" t="s">
        <v>42</v>
      </c>
      <c r="S1818" s="1" t="s">
        <v>42</v>
      </c>
      <c r="T1818" s="1" t="s">
        <v>170</v>
      </c>
      <c r="U1818" s="1">
        <v>195</v>
      </c>
      <c r="V1818" s="5">
        <v>43650</v>
      </c>
      <c r="W1818" s="5">
        <v>41899</v>
      </c>
      <c r="X1818" s="1">
        <v>6470000</v>
      </c>
      <c r="Y1818" s="1">
        <v>6470000</v>
      </c>
      <c r="Z1818" s="5">
        <v>42139</v>
      </c>
      <c r="AA1818" s="1">
        <v>6592078</v>
      </c>
      <c r="AB1818" s="1" t="s">
        <v>1449</v>
      </c>
      <c r="AC1818" s="5">
        <v>42300</v>
      </c>
      <c r="AF1818" s="1">
        <v>10069</v>
      </c>
      <c r="AI1818" s="1" t="s">
        <v>45</v>
      </c>
      <c r="AJ1818" s="1">
        <v>2016</v>
      </c>
      <c r="AK1818" s="1" t="s">
        <v>73</v>
      </c>
      <c r="AL1818" s="1">
        <v>657</v>
      </c>
    </row>
    <row r="1819" spans="1:38" x14ac:dyDescent="0.2">
      <c r="A1819" s="2" t="str">
        <f>HYPERLINK("https://www.compass.com/listing/50-riverside-boulevard-unit-9l-manhattan-ny-10069/29396653123370817/","50 Riverside Blvd, Unit 9L")</f>
        <v>50 Riverside Blvd, Unit 9L</v>
      </c>
      <c r="B1819" s="2" t="str">
        <f t="shared" si="295"/>
        <v>One Riverside Park</v>
      </c>
      <c r="C1819" s="1" t="s">
        <v>50</v>
      </c>
      <c r="D1819" s="1" t="s">
        <v>41</v>
      </c>
      <c r="E1819" s="3">
        <v>6530983</v>
      </c>
      <c r="F1819" s="1">
        <v>2482.3196503230702</v>
      </c>
      <c r="G1819" s="1">
        <v>6</v>
      </c>
      <c r="H1819" s="1">
        <v>4</v>
      </c>
      <c r="I1819" s="1">
        <v>4</v>
      </c>
      <c r="J1819" s="1">
        <v>4</v>
      </c>
      <c r="K1819" s="1">
        <v>4</v>
      </c>
      <c r="M1819" s="4">
        <v>2631</v>
      </c>
      <c r="N1819" s="1">
        <v>3140</v>
      </c>
      <c r="O1819" s="1">
        <v>3314</v>
      </c>
      <c r="P1819" s="1">
        <v>174</v>
      </c>
      <c r="Q1819" s="1" t="s">
        <v>42</v>
      </c>
      <c r="S1819" s="1" t="s">
        <v>42</v>
      </c>
      <c r="T1819" s="1" t="s">
        <v>170</v>
      </c>
      <c r="U1819" s="1">
        <v>29</v>
      </c>
      <c r="V1819" s="5">
        <v>43650</v>
      </c>
      <c r="W1819" s="5">
        <v>41961</v>
      </c>
      <c r="X1819" s="1">
        <v>6410000</v>
      </c>
      <c r="Y1819" s="1">
        <v>6410000</v>
      </c>
      <c r="Z1819" s="5">
        <v>42066</v>
      </c>
      <c r="AA1819" s="1">
        <v>6530983</v>
      </c>
      <c r="AB1819" s="1" t="s">
        <v>1450</v>
      </c>
      <c r="AC1819" s="5">
        <v>42348</v>
      </c>
      <c r="AF1819" s="1">
        <v>10069</v>
      </c>
      <c r="AI1819" s="1" t="s">
        <v>45</v>
      </c>
      <c r="AJ1819" s="1">
        <v>2016</v>
      </c>
      <c r="AK1819" s="1" t="s">
        <v>73</v>
      </c>
      <c r="AL1819" s="1">
        <v>657</v>
      </c>
    </row>
    <row r="1820" spans="1:38" x14ac:dyDescent="0.2">
      <c r="A1820" s="2" t="str">
        <f>HYPERLINK("https://www.compass.com/listing/50-riverside-boulevard-unit-7b-manhattan-ny-10069/783609713412047345/","50 Riverside Blvd, Unit 7B")</f>
        <v>50 Riverside Blvd, Unit 7B</v>
      </c>
      <c r="B1820" s="2" t="str">
        <f t="shared" si="295"/>
        <v>One Riverside Park</v>
      </c>
      <c r="C1820" s="1" t="s">
        <v>50</v>
      </c>
      <c r="D1820" s="1" t="s">
        <v>41</v>
      </c>
      <c r="E1820" s="3">
        <v>3100000</v>
      </c>
      <c r="F1820" s="1">
        <v>2070.8082832331302</v>
      </c>
      <c r="G1820" s="1">
        <v>4</v>
      </c>
      <c r="H1820" s="1">
        <v>2</v>
      </c>
      <c r="I1820" s="1">
        <v>2</v>
      </c>
      <c r="J1820" s="1">
        <v>2.5</v>
      </c>
      <c r="K1820" s="1">
        <v>2</v>
      </c>
      <c r="L1820" s="1">
        <v>1</v>
      </c>
      <c r="M1820" s="4">
        <v>1497</v>
      </c>
      <c r="N1820" s="1">
        <v>1659</v>
      </c>
      <c r="O1820" s="1">
        <v>1751</v>
      </c>
      <c r="P1820" s="1">
        <v>92</v>
      </c>
      <c r="Q1820" s="1" t="s">
        <v>42</v>
      </c>
      <c r="S1820" s="1" t="s">
        <v>42</v>
      </c>
      <c r="T1820" s="1" t="s">
        <v>170</v>
      </c>
      <c r="U1820" s="1">
        <v>105</v>
      </c>
      <c r="V1820" s="5">
        <v>43146</v>
      </c>
      <c r="W1820" s="5">
        <v>42479</v>
      </c>
      <c r="X1820" s="1">
        <v>3495000</v>
      </c>
      <c r="Y1820" s="1">
        <v>3275000</v>
      </c>
      <c r="AA1820" s="1">
        <v>3100000</v>
      </c>
      <c r="AB1820" s="1" t="s">
        <v>1451</v>
      </c>
      <c r="AC1820" s="5">
        <v>42689</v>
      </c>
      <c r="AF1820" s="1">
        <v>10069</v>
      </c>
      <c r="AI1820" s="1" t="s">
        <v>101</v>
      </c>
      <c r="AJ1820" s="1">
        <v>2016</v>
      </c>
      <c r="AK1820" s="1" t="s">
        <v>73</v>
      </c>
      <c r="AL1820" s="1">
        <v>657</v>
      </c>
    </row>
    <row r="1821" spans="1:38" x14ac:dyDescent="0.2">
      <c r="A1821" s="2" t="str">
        <f>HYPERLINK("https://www.compass.com/listing/50-riverside-boulevard-unit-12p-manhattan-ny-10069/29396673021149393/","50 Riverside Blvd, Unit 12P")</f>
        <v>50 Riverside Blvd, Unit 12P</v>
      </c>
      <c r="B1821" s="2" t="str">
        <f t="shared" si="295"/>
        <v>One Riverside Park</v>
      </c>
      <c r="C1821" s="1" t="s">
        <v>50</v>
      </c>
      <c r="D1821" s="1" t="s">
        <v>41</v>
      </c>
      <c r="E1821" s="3">
        <v>4000000</v>
      </c>
      <c r="F1821" s="1">
        <v>1765.2250661959399</v>
      </c>
      <c r="G1821" s="1">
        <v>5</v>
      </c>
      <c r="H1821" s="1">
        <v>3</v>
      </c>
      <c r="I1821" s="1">
        <v>4</v>
      </c>
      <c r="J1821" s="1">
        <v>3.5</v>
      </c>
      <c r="M1821" s="4">
        <v>2266</v>
      </c>
      <c r="N1821" s="1">
        <v>2517</v>
      </c>
      <c r="O1821" s="1">
        <v>2656</v>
      </c>
      <c r="P1821" s="1">
        <v>139</v>
      </c>
      <c r="Q1821" s="1" t="s">
        <v>42</v>
      </c>
      <c r="S1821" s="1" t="s">
        <v>42</v>
      </c>
      <c r="T1821" s="1" t="s">
        <v>170</v>
      </c>
      <c r="U1821" s="1">
        <v>58</v>
      </c>
      <c r="V1821" s="5">
        <v>43659</v>
      </c>
      <c r="W1821" s="5">
        <v>42899</v>
      </c>
      <c r="X1821" s="1">
        <v>4200000</v>
      </c>
      <c r="Y1821" s="1">
        <v>4200000</v>
      </c>
      <c r="Z1821" s="5">
        <v>42957</v>
      </c>
      <c r="AA1821" s="1">
        <v>4000000</v>
      </c>
      <c r="AB1821" s="1" t="s">
        <v>1426</v>
      </c>
      <c r="AC1821" s="5">
        <v>42986</v>
      </c>
      <c r="AF1821" s="1">
        <v>10069</v>
      </c>
      <c r="AI1821" s="1" t="s">
        <v>101</v>
      </c>
      <c r="AJ1821" s="1">
        <v>2016</v>
      </c>
      <c r="AK1821" s="1" t="s">
        <v>46</v>
      </c>
      <c r="AL1821" s="1">
        <v>657</v>
      </c>
    </row>
    <row r="1822" spans="1:38" x14ac:dyDescent="0.2">
      <c r="A1822" s="2" t="str">
        <f>HYPERLINK("https://www.compass.com/listing/50-riverside-boulevard-unit-5a-manhattan-ny-10069/172412004437378865/","50 Riverside Blvd, Unit 5A")</f>
        <v>50 Riverside Blvd, Unit 5A</v>
      </c>
      <c r="B1822" s="2" t="str">
        <f t="shared" si="295"/>
        <v>One Riverside Park</v>
      </c>
      <c r="C1822" s="1" t="s">
        <v>50</v>
      </c>
      <c r="D1822" s="1" t="s">
        <v>41</v>
      </c>
      <c r="E1822" s="3">
        <v>3130000</v>
      </c>
      <c r="F1822" s="1">
        <v>1581.6068721576501</v>
      </c>
      <c r="G1822" s="1">
        <v>5</v>
      </c>
      <c r="H1822" s="1">
        <v>3</v>
      </c>
      <c r="I1822" s="1">
        <v>4</v>
      </c>
      <c r="J1822" s="1">
        <v>3.5</v>
      </c>
      <c r="K1822" s="1">
        <v>3</v>
      </c>
      <c r="L1822" s="1">
        <v>1</v>
      </c>
      <c r="M1822" s="4">
        <v>1979</v>
      </c>
      <c r="N1822" s="1">
        <v>2191</v>
      </c>
      <c r="O1822" s="1">
        <v>2201</v>
      </c>
      <c r="P1822" s="1">
        <v>10</v>
      </c>
      <c r="Q1822" s="1" t="s">
        <v>42</v>
      </c>
      <c r="S1822" s="1" t="s">
        <v>42</v>
      </c>
      <c r="T1822" s="1" t="s">
        <v>170</v>
      </c>
      <c r="U1822" s="1">
        <v>48</v>
      </c>
      <c r="V1822" s="5">
        <v>44040</v>
      </c>
      <c r="W1822" s="5">
        <v>43490</v>
      </c>
      <c r="X1822" s="1">
        <v>3250000</v>
      </c>
      <c r="Y1822" s="1">
        <v>3250000</v>
      </c>
      <c r="Z1822" s="5">
        <v>43538</v>
      </c>
      <c r="AA1822" s="1">
        <v>3130000</v>
      </c>
      <c r="AB1822" s="1" t="s">
        <v>1452</v>
      </c>
      <c r="AC1822" s="5">
        <v>43605</v>
      </c>
      <c r="AF1822" s="1">
        <v>10069</v>
      </c>
      <c r="AI1822" s="1" t="s">
        <v>303</v>
      </c>
      <c r="AJ1822" s="1">
        <v>2016</v>
      </c>
      <c r="AK1822" s="1" t="s">
        <v>73</v>
      </c>
      <c r="AL1822" s="1">
        <v>657</v>
      </c>
    </row>
    <row r="1823" spans="1:38" x14ac:dyDescent="0.2">
      <c r="A1823" s="2" t="str">
        <f>HYPERLINK("https://www.compass.com/listing/50-riverside-boulevard-unit-3l-manhattan-ny-10069/451470791385956657/","50 Riverside Blvd, Unit 3L")</f>
        <v>50 Riverside Blvd, Unit 3L</v>
      </c>
      <c r="B1823" s="2" t="str">
        <f t="shared" si="295"/>
        <v>One Riverside Park</v>
      </c>
      <c r="C1823" s="1" t="s">
        <v>50</v>
      </c>
      <c r="D1823" s="1" t="s">
        <v>41</v>
      </c>
      <c r="E1823" s="3">
        <v>2750000</v>
      </c>
      <c r="F1823" s="1">
        <v>1447.3684210526301</v>
      </c>
      <c r="G1823" s="1">
        <v>5</v>
      </c>
      <c r="H1823" s="1">
        <v>3</v>
      </c>
      <c r="I1823" s="1">
        <v>4</v>
      </c>
      <c r="J1823" s="1">
        <v>3.5</v>
      </c>
      <c r="K1823" s="1">
        <v>3</v>
      </c>
      <c r="L1823" s="1">
        <v>1</v>
      </c>
      <c r="M1823" s="4">
        <v>1900</v>
      </c>
      <c r="N1823" s="1">
        <v>2100</v>
      </c>
      <c r="O1823" s="1">
        <v>2105</v>
      </c>
      <c r="P1823" s="1">
        <v>5</v>
      </c>
      <c r="Q1823" s="1" t="s">
        <v>42</v>
      </c>
      <c r="S1823" s="1" t="s">
        <v>42</v>
      </c>
      <c r="T1823" s="1" t="s">
        <v>170</v>
      </c>
      <c r="U1823" s="1">
        <v>7</v>
      </c>
      <c r="V1823" s="5">
        <v>44288</v>
      </c>
      <c r="W1823" s="5">
        <v>43874</v>
      </c>
      <c r="X1823" s="1">
        <v>3490000</v>
      </c>
      <c r="Y1823" s="1">
        <v>3490000</v>
      </c>
      <c r="AA1823" s="1">
        <v>2750000</v>
      </c>
      <c r="AB1823" s="1" t="s">
        <v>1453</v>
      </c>
      <c r="AC1823" s="5">
        <v>44407</v>
      </c>
      <c r="AF1823" s="1">
        <v>10069</v>
      </c>
      <c r="AI1823" s="1" t="s">
        <v>101</v>
      </c>
      <c r="AJ1823" s="1">
        <v>2016</v>
      </c>
      <c r="AK1823" s="1" t="s">
        <v>73</v>
      </c>
      <c r="AL1823" s="1">
        <v>657</v>
      </c>
    </row>
    <row r="1824" spans="1:38" x14ac:dyDescent="0.2">
      <c r="A1824" s="2" t="str">
        <f>HYPERLINK("https://www.compass.com/listing/313-west-121st-street-unit-2-manhattan-ny-10027/546989417670634681/","313 W 121st St, Unit 2")</f>
        <v>313 W 121st St, Unit 2</v>
      </c>
      <c r="B1824" s="2" t="str">
        <f t="shared" ref="B1824:B1825" si="296">HYPERLINK("https://www.compass.com/building/the-vidro-manhattan-ny/282056937623814149/","The Vidro")</f>
        <v>The Vidro</v>
      </c>
      <c r="C1824" s="1" t="s">
        <v>106</v>
      </c>
      <c r="D1824" s="1" t="s">
        <v>41</v>
      </c>
      <c r="E1824" s="3">
        <v>1038615</v>
      </c>
      <c r="F1824" s="1">
        <v>982.60643330179698</v>
      </c>
      <c r="G1824" s="1">
        <v>5</v>
      </c>
      <c r="H1824" s="1">
        <v>2</v>
      </c>
      <c r="I1824" s="1">
        <v>2</v>
      </c>
      <c r="J1824" s="1">
        <v>2</v>
      </c>
      <c r="K1824" s="1">
        <v>2</v>
      </c>
      <c r="M1824" s="4">
        <v>1057</v>
      </c>
      <c r="N1824" s="1">
        <v>396</v>
      </c>
      <c r="O1824" s="1">
        <v>1511</v>
      </c>
      <c r="P1824" s="1">
        <v>1115</v>
      </c>
      <c r="Q1824" s="1" t="s">
        <v>42</v>
      </c>
      <c r="S1824" s="1" t="s">
        <v>42</v>
      </c>
      <c r="T1824" s="1" t="s">
        <v>170</v>
      </c>
      <c r="U1824" s="1">
        <v>184</v>
      </c>
      <c r="V1824" s="5">
        <v>44198</v>
      </c>
      <c r="W1824" s="5">
        <v>44004</v>
      </c>
      <c r="X1824" s="1">
        <v>1185000</v>
      </c>
      <c r="Y1824" s="1">
        <v>1140000</v>
      </c>
      <c r="AA1824" s="1">
        <v>1038615</v>
      </c>
      <c r="AB1824" s="1" t="s">
        <v>1454</v>
      </c>
      <c r="AC1824" s="5">
        <v>44193</v>
      </c>
      <c r="AF1824" s="1">
        <v>10027</v>
      </c>
      <c r="AI1824" s="1" t="s">
        <v>1386</v>
      </c>
      <c r="AJ1824" s="1">
        <v>2016</v>
      </c>
      <c r="AL1824" s="1">
        <v>6</v>
      </c>
    </row>
    <row r="1825" spans="1:38" x14ac:dyDescent="0.2">
      <c r="A1825" s="2" t="str">
        <f>HYPERLINK("https://www.compass.com/listing/313-west-121st-street-unit-4-manhattan-ny-10027/555687878292811065/","313 W 121st St, Unit 4")</f>
        <v>313 W 121st St, Unit 4</v>
      </c>
      <c r="B1825" s="2" t="str">
        <f t="shared" si="296"/>
        <v>The Vidro</v>
      </c>
      <c r="C1825" s="1" t="s">
        <v>106</v>
      </c>
      <c r="D1825" s="1" t="s">
        <v>41</v>
      </c>
      <c r="E1825" s="3">
        <v>1135000</v>
      </c>
      <c r="F1825" s="1">
        <v>1098.7415295256501</v>
      </c>
      <c r="G1825" s="1">
        <v>4</v>
      </c>
      <c r="H1825" s="1">
        <v>2</v>
      </c>
      <c r="I1825" s="1">
        <v>2</v>
      </c>
      <c r="J1825" s="1">
        <v>2</v>
      </c>
      <c r="K1825" s="1">
        <v>2</v>
      </c>
      <c r="M1825" s="4">
        <v>1033</v>
      </c>
      <c r="N1825" s="1">
        <v>1</v>
      </c>
      <c r="O1825" s="1">
        <v>1078</v>
      </c>
      <c r="P1825" s="1">
        <v>1077</v>
      </c>
      <c r="Q1825" s="1" t="s">
        <v>42</v>
      </c>
      <c r="S1825" s="1" t="s">
        <v>42</v>
      </c>
      <c r="T1825" s="1" t="s">
        <v>170</v>
      </c>
      <c r="U1825" s="1">
        <v>81</v>
      </c>
      <c r="V1825" s="5">
        <v>44106</v>
      </c>
      <c r="W1825" s="5">
        <v>44015</v>
      </c>
      <c r="X1825" s="1">
        <v>1195000</v>
      </c>
      <c r="Y1825" s="1">
        <v>1195000</v>
      </c>
      <c r="AA1825" s="1">
        <v>1135000</v>
      </c>
      <c r="AB1825" s="1" t="s">
        <v>1455</v>
      </c>
      <c r="AC1825" s="5">
        <v>44096</v>
      </c>
      <c r="AF1825" s="1">
        <v>10027</v>
      </c>
      <c r="AI1825" s="1" t="s">
        <v>80</v>
      </c>
      <c r="AJ1825" s="1">
        <v>2016</v>
      </c>
      <c r="AK1825" s="1" t="s">
        <v>253</v>
      </c>
      <c r="AL1825" s="1">
        <v>6</v>
      </c>
    </row>
    <row r="1826" spans="1:38" x14ac:dyDescent="0.2">
      <c r="A1826" s="2" t="str">
        <f>HYPERLINK("https://www.compass.com/listing/50-riverside-boulevard-unit-3u-manhattan-ny-10069/29396681820861457/","50 Riverside Blvd, Unit 3U")</f>
        <v>50 Riverside Blvd, Unit 3U</v>
      </c>
      <c r="B1826" s="2" t="str">
        <f t="shared" ref="B1826:B1851" si="297">HYPERLINK("https://www.compass.com/building/one-riverside-park-manhattan-ny/282041440266113253/","One Riverside Park")</f>
        <v>One Riverside Park</v>
      </c>
      <c r="C1826" s="1" t="s">
        <v>50</v>
      </c>
      <c r="D1826" s="1" t="s">
        <v>41</v>
      </c>
      <c r="E1826" s="3">
        <v>1735025</v>
      </c>
      <c r="F1826" s="1">
        <v>1420.98689598689</v>
      </c>
      <c r="G1826" s="1">
        <v>3</v>
      </c>
      <c r="H1826" s="1">
        <v>2</v>
      </c>
      <c r="I1826" s="1">
        <v>2</v>
      </c>
      <c r="J1826" s="1">
        <v>2</v>
      </c>
      <c r="K1826" s="1">
        <v>2</v>
      </c>
      <c r="M1826" s="4">
        <v>1221</v>
      </c>
      <c r="N1826" s="1">
        <v>1350</v>
      </c>
      <c r="O1826" s="1">
        <v>1425</v>
      </c>
      <c r="P1826" s="1">
        <v>75</v>
      </c>
      <c r="Q1826" s="1" t="s">
        <v>42</v>
      </c>
      <c r="S1826" s="1" t="s">
        <v>42</v>
      </c>
      <c r="T1826" s="1" t="s">
        <v>170</v>
      </c>
      <c r="U1826" s="1">
        <v>4</v>
      </c>
      <c r="V1826" s="5">
        <v>43651</v>
      </c>
      <c r="W1826" s="5">
        <v>41908</v>
      </c>
      <c r="X1826" s="1">
        <v>1700000</v>
      </c>
      <c r="Y1826" s="1">
        <v>1700000</v>
      </c>
      <c r="Z1826" s="5">
        <v>41912</v>
      </c>
      <c r="AA1826" s="1">
        <v>1735025</v>
      </c>
      <c r="AB1826" s="1" t="s">
        <v>1456</v>
      </c>
      <c r="AC1826" s="5">
        <v>42222</v>
      </c>
      <c r="AF1826" s="1">
        <v>10069</v>
      </c>
      <c r="AI1826" s="1" t="s">
        <v>45</v>
      </c>
      <c r="AJ1826" s="1">
        <v>2016</v>
      </c>
      <c r="AK1826" s="1" t="s">
        <v>73</v>
      </c>
      <c r="AL1826" s="1">
        <v>657</v>
      </c>
    </row>
    <row r="1827" spans="1:38" x14ac:dyDescent="0.2">
      <c r="A1827" s="2" t="str">
        <f>HYPERLINK("https://www.compass.com/listing/50-riverside-boulevard-unit-10d-manhattan-ny-10069/29396618377796817/","50 Riverside Blvd, Unit 10D")</f>
        <v>50 Riverside Blvd, Unit 10D</v>
      </c>
      <c r="B1827" s="2" t="str">
        <f t="shared" si="297"/>
        <v>One Riverside Park</v>
      </c>
      <c r="C1827" s="1" t="s">
        <v>50</v>
      </c>
      <c r="D1827" s="1" t="s">
        <v>41</v>
      </c>
      <c r="E1827" s="3">
        <v>3730795</v>
      </c>
      <c r="F1827" s="1">
        <v>1860.74563591022</v>
      </c>
      <c r="G1827" s="1">
        <v>5</v>
      </c>
      <c r="H1827" s="1">
        <v>3</v>
      </c>
      <c r="I1827" s="1">
        <v>3</v>
      </c>
      <c r="J1827" s="1">
        <v>3</v>
      </c>
      <c r="K1827" s="1">
        <v>3</v>
      </c>
      <c r="M1827" s="4">
        <v>2005</v>
      </c>
      <c r="N1827" s="1">
        <v>2225</v>
      </c>
      <c r="O1827" s="1">
        <v>2348</v>
      </c>
      <c r="P1827" s="1">
        <v>123</v>
      </c>
      <c r="Q1827" s="1" t="s">
        <v>42</v>
      </c>
      <c r="S1827" s="1" t="s">
        <v>42</v>
      </c>
      <c r="T1827" s="1" t="s">
        <v>170</v>
      </c>
      <c r="U1827" s="1">
        <v>192</v>
      </c>
      <c r="V1827" s="5">
        <v>43654</v>
      </c>
      <c r="W1827" s="5">
        <v>41847</v>
      </c>
      <c r="X1827" s="1">
        <v>3660000</v>
      </c>
      <c r="Y1827" s="1">
        <v>3660000</v>
      </c>
      <c r="Z1827" s="5">
        <v>42090</v>
      </c>
      <c r="AA1827" s="1">
        <v>3730795</v>
      </c>
      <c r="AB1827" s="1" t="s">
        <v>1457</v>
      </c>
      <c r="AC1827" s="5">
        <v>42313</v>
      </c>
      <c r="AF1827" s="1">
        <v>10069</v>
      </c>
      <c r="AI1827" s="1" t="s">
        <v>45</v>
      </c>
      <c r="AJ1827" s="1">
        <v>2016</v>
      </c>
      <c r="AK1827" s="1" t="s">
        <v>73</v>
      </c>
      <c r="AL1827" s="1">
        <v>657</v>
      </c>
    </row>
    <row r="1828" spans="1:38" x14ac:dyDescent="0.2">
      <c r="A1828" s="2" t="str">
        <f>HYPERLINK("https://www.compass.com/listing/50-riverside-boulevard-unit-11p-manhattan-ny-10069/655664838573134553/","50 Riverside Blvd, Unit 11P")</f>
        <v>50 Riverside Blvd, Unit 11P</v>
      </c>
      <c r="B1828" s="2" t="str">
        <f t="shared" si="297"/>
        <v>One Riverside Park</v>
      </c>
      <c r="C1828" s="1" t="s">
        <v>50</v>
      </c>
      <c r="D1828" s="1" t="s">
        <v>41</v>
      </c>
      <c r="E1828" s="3">
        <v>3450000</v>
      </c>
      <c r="F1828" s="1">
        <v>1522.5066195939901</v>
      </c>
      <c r="G1828" s="1">
        <v>5</v>
      </c>
      <c r="H1828" s="1">
        <v>3</v>
      </c>
      <c r="I1828" s="1">
        <v>4</v>
      </c>
      <c r="J1828" s="1">
        <v>3.5</v>
      </c>
      <c r="K1828" s="1">
        <v>3</v>
      </c>
      <c r="L1828" s="1">
        <v>1</v>
      </c>
      <c r="M1828" s="4">
        <v>2266</v>
      </c>
      <c r="N1828" s="1">
        <v>2516</v>
      </c>
      <c r="O1828" s="1">
        <v>2647</v>
      </c>
      <c r="P1828" s="1">
        <v>131</v>
      </c>
      <c r="Q1828" s="1" t="s">
        <v>42</v>
      </c>
      <c r="S1828" s="1" t="s">
        <v>42</v>
      </c>
      <c r="T1828" s="1" t="s">
        <v>170</v>
      </c>
      <c r="V1828" s="5">
        <v>44278</v>
      </c>
      <c r="W1828" s="5">
        <v>44156</v>
      </c>
      <c r="X1828" s="1">
        <v>3500000</v>
      </c>
      <c r="Y1828" s="1">
        <v>3500000</v>
      </c>
      <c r="Z1828" s="5">
        <v>44156</v>
      </c>
      <c r="AA1828" s="1">
        <v>3450000</v>
      </c>
      <c r="AB1828" s="1" t="s">
        <v>1458</v>
      </c>
      <c r="AC1828" s="5">
        <v>44267</v>
      </c>
      <c r="AF1828" s="1">
        <v>10069</v>
      </c>
      <c r="AI1828" s="1" t="s">
        <v>101</v>
      </c>
      <c r="AJ1828" s="1">
        <v>2016</v>
      </c>
      <c r="AK1828" s="1" t="s">
        <v>73</v>
      </c>
      <c r="AL1828" s="1">
        <v>657</v>
      </c>
    </row>
    <row r="1829" spans="1:38" x14ac:dyDescent="0.2">
      <c r="A1829" s="2" t="str">
        <f>HYPERLINK("https://www.compass.com/listing/50-riverside-boulevard-unit-12a-manhattan-ny-10069/29396585679023121/","50 Riverside Blvd, Unit 12A")</f>
        <v>50 Riverside Blvd, Unit 12A</v>
      </c>
      <c r="B1829" s="2" t="str">
        <f t="shared" si="297"/>
        <v>One Riverside Park</v>
      </c>
      <c r="C1829" s="1" t="s">
        <v>50</v>
      </c>
      <c r="D1829" s="1" t="s">
        <v>41</v>
      </c>
      <c r="E1829" s="3">
        <v>4189008</v>
      </c>
      <c r="F1829" s="1">
        <v>2271.69631236442</v>
      </c>
      <c r="G1829" s="1">
        <v>5</v>
      </c>
      <c r="H1829" s="1">
        <v>3</v>
      </c>
      <c r="I1829" s="1">
        <v>3</v>
      </c>
      <c r="J1829" s="1">
        <v>3</v>
      </c>
      <c r="K1829" s="1">
        <v>3</v>
      </c>
      <c r="M1829" s="4">
        <v>1844</v>
      </c>
      <c r="N1829" s="1">
        <v>2048</v>
      </c>
      <c r="O1829" s="1">
        <v>2161</v>
      </c>
      <c r="P1829" s="1">
        <v>113</v>
      </c>
      <c r="Q1829" s="1" t="s">
        <v>42</v>
      </c>
      <c r="S1829" s="1" t="s">
        <v>42</v>
      </c>
      <c r="T1829" s="1" t="s">
        <v>170</v>
      </c>
      <c r="V1829" s="5">
        <v>43654</v>
      </c>
      <c r="W1829" s="5">
        <v>41697</v>
      </c>
      <c r="X1829" s="1">
        <v>4110000</v>
      </c>
      <c r="Y1829" s="1">
        <v>4110000</v>
      </c>
      <c r="Z1829" s="5">
        <v>41697</v>
      </c>
      <c r="AA1829" s="1">
        <v>4189008</v>
      </c>
      <c r="AB1829" s="1" t="s">
        <v>1459</v>
      </c>
      <c r="AC1829" s="5">
        <v>42333</v>
      </c>
      <c r="AF1829" s="1">
        <v>10069</v>
      </c>
      <c r="AI1829" s="1" t="s">
        <v>45</v>
      </c>
      <c r="AJ1829" s="1">
        <v>2016</v>
      </c>
      <c r="AK1829" s="1" t="s">
        <v>73</v>
      </c>
      <c r="AL1829" s="1">
        <v>657</v>
      </c>
    </row>
    <row r="1830" spans="1:38" x14ac:dyDescent="0.2">
      <c r="A1830" s="2" t="str">
        <f>HYPERLINK("https://www.compass.com/listing/50-riverside-boulevard-unit-20b-manhattan-ny-10069/29396604167494609/","50 Riverside Blvd, Unit 20B")</f>
        <v>50 Riverside Blvd, Unit 20B</v>
      </c>
      <c r="B1830" s="2" t="str">
        <f t="shared" si="297"/>
        <v>One Riverside Park</v>
      </c>
      <c r="C1830" s="1" t="s">
        <v>50</v>
      </c>
      <c r="D1830" s="1" t="s">
        <v>41</v>
      </c>
      <c r="E1830" s="3">
        <v>4479209</v>
      </c>
      <c r="F1830" s="1">
        <v>2165.9617988394498</v>
      </c>
      <c r="G1830" s="1">
        <v>6</v>
      </c>
      <c r="H1830" s="1">
        <v>3</v>
      </c>
      <c r="I1830" s="1">
        <v>3</v>
      </c>
      <c r="J1830" s="1">
        <v>3</v>
      </c>
      <c r="K1830" s="1">
        <v>3</v>
      </c>
      <c r="M1830" s="4">
        <v>2068</v>
      </c>
      <c r="N1830" s="1">
        <v>2305</v>
      </c>
      <c r="O1830" s="1">
        <v>2433</v>
      </c>
      <c r="P1830" s="1">
        <v>128</v>
      </c>
      <c r="Q1830" s="1" t="s">
        <v>42</v>
      </c>
      <c r="S1830" s="1" t="s">
        <v>42</v>
      </c>
      <c r="T1830" s="1" t="s">
        <v>170</v>
      </c>
      <c r="V1830" s="5">
        <v>43654</v>
      </c>
      <c r="W1830" s="5">
        <v>41718</v>
      </c>
      <c r="X1830" s="1">
        <v>4395000</v>
      </c>
      <c r="Y1830" s="1">
        <v>4395000</v>
      </c>
      <c r="Z1830" s="5">
        <v>41718</v>
      </c>
      <c r="AA1830" s="1">
        <v>4479209</v>
      </c>
      <c r="AB1830" s="1" t="s">
        <v>1460</v>
      </c>
      <c r="AC1830" s="5">
        <v>42378</v>
      </c>
      <c r="AF1830" s="1">
        <v>10069</v>
      </c>
      <c r="AI1830" s="1" t="s">
        <v>45</v>
      </c>
      <c r="AJ1830" s="1">
        <v>2016</v>
      </c>
      <c r="AK1830" s="1" t="s">
        <v>73</v>
      </c>
      <c r="AL1830" s="1">
        <v>657</v>
      </c>
    </row>
    <row r="1831" spans="1:38" x14ac:dyDescent="0.2">
      <c r="A1831" s="2" t="str">
        <f>HYPERLINK("https://www.compass.com/listing/50-riverside-boulevard-unit-12d-manhattan-ny-10069/29396619191450849/","50 Riverside Blvd, Unit 12D")</f>
        <v>50 Riverside Blvd, Unit 12D</v>
      </c>
      <c r="B1831" s="2" t="str">
        <f t="shared" si="297"/>
        <v>One Riverside Park</v>
      </c>
      <c r="C1831" s="1" t="s">
        <v>50</v>
      </c>
      <c r="D1831" s="1" t="s">
        <v>41</v>
      </c>
      <c r="E1831" s="3">
        <v>3832620</v>
      </c>
      <c r="F1831" s="1">
        <v>1911.5311720698201</v>
      </c>
      <c r="G1831" s="1">
        <v>5</v>
      </c>
      <c r="H1831" s="1">
        <v>3</v>
      </c>
      <c r="I1831" s="1">
        <v>3</v>
      </c>
      <c r="J1831" s="1">
        <v>3</v>
      </c>
      <c r="K1831" s="1">
        <v>3</v>
      </c>
      <c r="M1831" s="4">
        <v>2005</v>
      </c>
      <c r="N1831" s="1">
        <v>2227</v>
      </c>
      <c r="O1831" s="1">
        <v>2350</v>
      </c>
      <c r="P1831" s="1">
        <v>123</v>
      </c>
      <c r="Q1831" s="1" t="s">
        <v>42</v>
      </c>
      <c r="S1831" s="1" t="s">
        <v>42</v>
      </c>
      <c r="T1831" s="1" t="s">
        <v>170</v>
      </c>
      <c r="V1831" s="5">
        <v>43654</v>
      </c>
      <c r="W1831" s="5">
        <v>42042</v>
      </c>
      <c r="X1831" s="1">
        <v>3760000</v>
      </c>
      <c r="Y1831" s="1">
        <v>3760000</v>
      </c>
      <c r="Z1831" s="5">
        <v>42042</v>
      </c>
      <c r="AA1831" s="1">
        <v>3832620</v>
      </c>
      <c r="AB1831" s="1" t="s">
        <v>1461</v>
      </c>
      <c r="AC1831" s="5">
        <v>42312</v>
      </c>
      <c r="AF1831" s="1">
        <v>10069</v>
      </c>
      <c r="AI1831" s="1" t="s">
        <v>45</v>
      </c>
      <c r="AJ1831" s="1">
        <v>2016</v>
      </c>
      <c r="AK1831" s="1" t="s">
        <v>73</v>
      </c>
      <c r="AL1831" s="1">
        <v>657</v>
      </c>
    </row>
    <row r="1832" spans="1:38" x14ac:dyDescent="0.2">
      <c r="A1832" s="2" t="str">
        <f>HYPERLINK("https://www.compass.com/listing/50-riverside-boulevard-unit-15d-manhattan-ny-10069/29396620147814097/","50 Riverside Blvd, Unit 15D")</f>
        <v>50 Riverside Blvd, Unit 15D</v>
      </c>
      <c r="B1832" s="2" t="str">
        <f t="shared" si="297"/>
        <v>One Riverside Park</v>
      </c>
      <c r="C1832" s="1" t="s">
        <v>50</v>
      </c>
      <c r="D1832" s="1" t="s">
        <v>41</v>
      </c>
      <c r="E1832" s="3">
        <v>3934445</v>
      </c>
      <c r="F1832" s="1">
        <v>1962.3167082294201</v>
      </c>
      <c r="G1832" s="1">
        <v>4</v>
      </c>
      <c r="H1832" s="1">
        <v>3</v>
      </c>
      <c r="I1832" s="1">
        <v>3</v>
      </c>
      <c r="J1832" s="1">
        <v>3</v>
      </c>
      <c r="K1832" s="1">
        <v>3</v>
      </c>
      <c r="M1832" s="4">
        <v>2005</v>
      </c>
      <c r="N1832" s="1">
        <v>2229</v>
      </c>
      <c r="O1832" s="1">
        <v>2353</v>
      </c>
      <c r="P1832" s="1">
        <v>124</v>
      </c>
      <c r="Q1832" s="1" t="s">
        <v>42</v>
      </c>
      <c r="S1832" s="1" t="s">
        <v>42</v>
      </c>
      <c r="T1832" s="1" t="s">
        <v>170</v>
      </c>
      <c r="U1832" s="1">
        <v>67</v>
      </c>
      <c r="V1832" s="5">
        <v>43654</v>
      </c>
      <c r="W1832" s="5">
        <v>41958</v>
      </c>
      <c r="X1832" s="1">
        <v>3860000</v>
      </c>
      <c r="Y1832" s="1">
        <v>3860000</v>
      </c>
      <c r="Z1832" s="5">
        <v>42042</v>
      </c>
      <c r="AA1832" s="1">
        <v>3934445</v>
      </c>
      <c r="AB1832" s="1" t="s">
        <v>1462</v>
      </c>
      <c r="AC1832" s="5">
        <v>42342</v>
      </c>
      <c r="AF1832" s="1">
        <v>10069</v>
      </c>
      <c r="AI1832" s="1" t="s">
        <v>45</v>
      </c>
      <c r="AJ1832" s="1">
        <v>2016</v>
      </c>
      <c r="AK1832" s="1" t="s">
        <v>73</v>
      </c>
      <c r="AL1832" s="1">
        <v>657</v>
      </c>
    </row>
    <row r="1833" spans="1:38" x14ac:dyDescent="0.2">
      <c r="A1833" s="2" t="str">
        <f>HYPERLINK("https://www.compass.com/listing/50-riverside-boulevard-unit-16d-manhattan-ny-10069/29396620533628145/","50 Riverside Blvd, Unit 16D")</f>
        <v>50 Riverside Blvd, Unit 16D</v>
      </c>
      <c r="B1833" s="2" t="str">
        <f t="shared" si="297"/>
        <v>One Riverside Park</v>
      </c>
      <c r="C1833" s="1" t="s">
        <v>50</v>
      </c>
      <c r="D1833" s="1" t="s">
        <v>41</v>
      </c>
      <c r="E1833" s="3">
        <v>3832620</v>
      </c>
      <c r="F1833" s="1">
        <v>1911.5311720698201</v>
      </c>
      <c r="G1833" s="1">
        <v>5</v>
      </c>
      <c r="H1833" s="1">
        <v>3</v>
      </c>
      <c r="I1833" s="1">
        <v>3</v>
      </c>
      <c r="J1833" s="1">
        <v>3</v>
      </c>
      <c r="K1833" s="1">
        <v>3</v>
      </c>
      <c r="M1833" s="4">
        <v>2005</v>
      </c>
      <c r="N1833" s="1">
        <v>2227</v>
      </c>
      <c r="O1833" s="1">
        <v>2350</v>
      </c>
      <c r="P1833" s="1">
        <v>123</v>
      </c>
      <c r="Q1833" s="1" t="s">
        <v>42</v>
      </c>
      <c r="S1833" s="1" t="s">
        <v>42</v>
      </c>
      <c r="T1833" s="1" t="s">
        <v>170</v>
      </c>
      <c r="V1833" s="5">
        <v>43654</v>
      </c>
      <c r="W1833" s="5">
        <v>42068</v>
      </c>
      <c r="X1833" s="1">
        <v>3684800</v>
      </c>
      <c r="Y1833" s="1">
        <v>3684800</v>
      </c>
      <c r="Z1833" s="5">
        <v>42068</v>
      </c>
      <c r="AA1833" s="1">
        <v>3832620</v>
      </c>
      <c r="AB1833" s="1" t="s">
        <v>1463</v>
      </c>
      <c r="AC1833" s="5">
        <v>42331</v>
      </c>
      <c r="AF1833" s="1">
        <v>10069</v>
      </c>
      <c r="AI1833" s="1" t="s">
        <v>45</v>
      </c>
      <c r="AJ1833" s="1">
        <v>2016</v>
      </c>
      <c r="AK1833" s="1" t="s">
        <v>73</v>
      </c>
      <c r="AL1833" s="1">
        <v>657</v>
      </c>
    </row>
    <row r="1834" spans="1:38" x14ac:dyDescent="0.2">
      <c r="A1834" s="2" t="str">
        <f>HYPERLINK("https://www.compass.com/listing/50-riverside-boulevard-unit-9p-manhattan-ny-10069/29396670210965585/","50 Riverside Blvd, Unit 9P")</f>
        <v>50 Riverside Blvd, Unit 9P</v>
      </c>
      <c r="B1834" s="2" t="str">
        <f t="shared" si="297"/>
        <v>One Riverside Park</v>
      </c>
      <c r="C1834" s="1" t="s">
        <v>50</v>
      </c>
      <c r="D1834" s="1" t="s">
        <v>41</v>
      </c>
      <c r="E1834" s="3">
        <v>3964993</v>
      </c>
      <c r="F1834" s="1">
        <v>1749.77625772285</v>
      </c>
      <c r="G1834" s="1">
        <v>5</v>
      </c>
      <c r="H1834" s="1">
        <v>3</v>
      </c>
      <c r="I1834" s="1">
        <v>3</v>
      </c>
      <c r="J1834" s="1">
        <v>3</v>
      </c>
      <c r="K1834" s="1">
        <v>3</v>
      </c>
      <c r="M1834" s="4">
        <v>2266</v>
      </c>
      <c r="N1834" s="1">
        <v>2513</v>
      </c>
      <c r="O1834" s="1">
        <v>2652</v>
      </c>
      <c r="P1834" s="1">
        <v>139</v>
      </c>
      <c r="Q1834" s="1" t="s">
        <v>42</v>
      </c>
      <c r="S1834" s="1" t="s">
        <v>42</v>
      </c>
      <c r="T1834" s="1" t="s">
        <v>170</v>
      </c>
      <c r="U1834" s="1">
        <v>158</v>
      </c>
      <c r="V1834" s="5">
        <v>43650</v>
      </c>
      <c r="W1834" s="5">
        <v>41658</v>
      </c>
      <c r="X1834" s="1">
        <v>3890000</v>
      </c>
      <c r="Y1834" s="1">
        <v>3890000</v>
      </c>
      <c r="Z1834" s="5">
        <v>41816</v>
      </c>
      <c r="AA1834" s="1">
        <v>3964993</v>
      </c>
      <c r="AB1834" s="1" t="s">
        <v>1464</v>
      </c>
      <c r="AC1834" s="5">
        <v>42325</v>
      </c>
      <c r="AF1834" s="1">
        <v>10069</v>
      </c>
      <c r="AI1834" s="1" t="s">
        <v>45</v>
      </c>
      <c r="AJ1834" s="1">
        <v>2016</v>
      </c>
      <c r="AK1834" s="1" t="s">
        <v>73</v>
      </c>
      <c r="AL1834" s="1">
        <v>657</v>
      </c>
    </row>
    <row r="1835" spans="1:38" x14ac:dyDescent="0.2">
      <c r="A1835" s="2" t="str">
        <f>HYPERLINK("https://www.compass.com/listing/50-riverside-boulevard-unit-12p-manhattan-ny-10069/29396673021149361/","50 Riverside Blvd, Unit 12P")</f>
        <v>50 Riverside Blvd, Unit 12P</v>
      </c>
      <c r="B1835" s="2" t="str">
        <f t="shared" si="297"/>
        <v>One Riverside Park</v>
      </c>
      <c r="C1835" s="1" t="s">
        <v>50</v>
      </c>
      <c r="D1835" s="1" t="s">
        <v>41</v>
      </c>
      <c r="E1835" s="3">
        <v>4117730</v>
      </c>
      <c r="F1835" s="1">
        <v>1817.1800529567499</v>
      </c>
      <c r="G1835" s="1">
        <v>4</v>
      </c>
      <c r="H1835" s="1">
        <v>3</v>
      </c>
      <c r="I1835" s="1">
        <v>3</v>
      </c>
      <c r="J1835" s="1">
        <v>3</v>
      </c>
      <c r="K1835" s="1">
        <v>3</v>
      </c>
      <c r="M1835" s="4">
        <v>2266</v>
      </c>
      <c r="N1835" s="1">
        <v>2517</v>
      </c>
      <c r="O1835" s="1">
        <v>2656</v>
      </c>
      <c r="P1835" s="1">
        <v>139</v>
      </c>
      <c r="Q1835" s="1" t="s">
        <v>42</v>
      </c>
      <c r="S1835" s="1" t="s">
        <v>42</v>
      </c>
      <c r="T1835" s="1" t="s">
        <v>170</v>
      </c>
      <c r="U1835" s="1">
        <v>16</v>
      </c>
      <c r="V1835" s="5">
        <v>43651</v>
      </c>
      <c r="W1835" s="5">
        <v>41658</v>
      </c>
      <c r="X1835" s="1">
        <v>4040000</v>
      </c>
      <c r="Y1835" s="1">
        <v>4040000</v>
      </c>
      <c r="Z1835" s="5">
        <v>41803</v>
      </c>
      <c r="AA1835" s="1">
        <v>4117730</v>
      </c>
      <c r="AB1835" s="1" t="s">
        <v>1465</v>
      </c>
      <c r="AC1835" s="5">
        <v>42317</v>
      </c>
      <c r="AF1835" s="1">
        <v>10069</v>
      </c>
      <c r="AI1835" s="1" t="s">
        <v>101</v>
      </c>
      <c r="AJ1835" s="1">
        <v>2016</v>
      </c>
      <c r="AK1835" s="1" t="s">
        <v>73</v>
      </c>
      <c r="AL1835" s="1">
        <v>657</v>
      </c>
    </row>
    <row r="1836" spans="1:38" x14ac:dyDescent="0.2">
      <c r="A1836" s="2" t="str">
        <f>HYPERLINK("https://www.compass.com/listing/50-riverside-boulevard-unit-14p-manhattan-ny-10069/29396673465786609/","50 Riverside Blvd, Unit 14P")</f>
        <v>50 Riverside Blvd, Unit 14P</v>
      </c>
      <c r="B1836" s="2" t="str">
        <f t="shared" si="297"/>
        <v>One Riverside Park</v>
      </c>
      <c r="C1836" s="1" t="s">
        <v>50</v>
      </c>
      <c r="D1836" s="1" t="s">
        <v>41</v>
      </c>
      <c r="E1836" s="3">
        <v>4168643</v>
      </c>
      <c r="F1836" s="1">
        <v>1839.6482789055599</v>
      </c>
      <c r="G1836" s="1">
        <v>5</v>
      </c>
      <c r="H1836" s="1">
        <v>3</v>
      </c>
      <c r="I1836" s="1">
        <v>3</v>
      </c>
      <c r="J1836" s="1">
        <v>3</v>
      </c>
      <c r="K1836" s="1">
        <v>3</v>
      </c>
      <c r="M1836" s="4">
        <v>2266</v>
      </c>
      <c r="N1836" s="1">
        <v>2518</v>
      </c>
      <c r="O1836" s="1">
        <v>2658</v>
      </c>
      <c r="P1836" s="1">
        <v>140</v>
      </c>
      <c r="Q1836" s="1" t="s">
        <v>42</v>
      </c>
      <c r="S1836" s="1" t="s">
        <v>42</v>
      </c>
      <c r="T1836" s="1" t="s">
        <v>170</v>
      </c>
      <c r="V1836" s="5">
        <v>43650</v>
      </c>
      <c r="W1836" s="5">
        <v>41691</v>
      </c>
      <c r="X1836" s="1">
        <v>4090000</v>
      </c>
      <c r="Y1836" s="1">
        <v>4090000</v>
      </c>
      <c r="Z1836" s="5">
        <v>41691</v>
      </c>
      <c r="AA1836" s="1">
        <v>4168643</v>
      </c>
      <c r="AB1836" s="1" t="s">
        <v>1466</v>
      </c>
      <c r="AC1836" s="5">
        <v>42322</v>
      </c>
      <c r="AF1836" s="1">
        <v>10069</v>
      </c>
      <c r="AI1836" s="1" t="s">
        <v>45</v>
      </c>
      <c r="AJ1836" s="1">
        <v>2016</v>
      </c>
      <c r="AK1836" s="1" t="s">
        <v>73</v>
      </c>
      <c r="AL1836" s="1">
        <v>657</v>
      </c>
    </row>
    <row r="1837" spans="1:38" x14ac:dyDescent="0.2">
      <c r="A1837" s="2" t="str">
        <f>HYPERLINK("https://www.compass.com/listing/50-riverside-boulevard-unit-15p-manhattan-ny-10069/29396673843295089/","50 Riverside Blvd, Unit 15P")</f>
        <v>50 Riverside Blvd, Unit 15P</v>
      </c>
      <c r="B1837" s="2" t="str">
        <f t="shared" si="297"/>
        <v>One Riverside Park</v>
      </c>
      <c r="C1837" s="1" t="s">
        <v>50</v>
      </c>
      <c r="D1837" s="1" t="s">
        <v>41</v>
      </c>
      <c r="E1837" s="3">
        <v>4026088</v>
      </c>
      <c r="F1837" s="1">
        <v>1776.7378640776601</v>
      </c>
      <c r="G1837" s="1">
        <v>5</v>
      </c>
      <c r="H1837" s="1">
        <v>3</v>
      </c>
      <c r="I1837" s="1">
        <v>3</v>
      </c>
      <c r="J1837" s="1">
        <v>3</v>
      </c>
      <c r="K1837" s="1">
        <v>3</v>
      </c>
      <c r="M1837" s="4">
        <v>2266</v>
      </c>
      <c r="N1837" s="1">
        <v>2520</v>
      </c>
      <c r="O1837" s="1">
        <v>2660</v>
      </c>
      <c r="P1837" s="1">
        <v>140</v>
      </c>
      <c r="Q1837" s="1" t="s">
        <v>42</v>
      </c>
      <c r="S1837" s="1" t="s">
        <v>42</v>
      </c>
      <c r="T1837" s="1" t="s">
        <v>170</v>
      </c>
      <c r="V1837" s="5">
        <v>43654</v>
      </c>
      <c r="W1837" s="5">
        <v>41703</v>
      </c>
      <c r="X1837" s="1">
        <v>4200000</v>
      </c>
      <c r="Y1837" s="1">
        <v>4200000</v>
      </c>
      <c r="Z1837" s="5">
        <v>41703</v>
      </c>
      <c r="AA1837" s="1">
        <v>4026088</v>
      </c>
      <c r="AB1837" s="1" t="s">
        <v>1467</v>
      </c>
      <c r="AC1837" s="5">
        <v>42328</v>
      </c>
      <c r="AF1837" s="1">
        <v>10069</v>
      </c>
      <c r="AI1837" s="1" t="s">
        <v>45</v>
      </c>
      <c r="AJ1837" s="1">
        <v>2016</v>
      </c>
      <c r="AK1837" s="1" t="s">
        <v>73</v>
      </c>
      <c r="AL1837" s="1">
        <v>657</v>
      </c>
    </row>
    <row r="1838" spans="1:38" x14ac:dyDescent="0.2">
      <c r="A1838" s="2" t="str">
        <f>HYPERLINK("https://www.compass.com/listing/50-riverside-boulevard-unit-9c-manhattan-ny-10069/29396611432050241/","50 Riverside Blvd, Unit 9C")</f>
        <v>50 Riverside Blvd, Unit 9C</v>
      </c>
      <c r="B1838" s="2" t="str">
        <f t="shared" si="297"/>
        <v>One Riverside Park</v>
      </c>
      <c r="C1838" s="1" t="s">
        <v>50</v>
      </c>
      <c r="D1838" s="1" t="s">
        <v>41</v>
      </c>
      <c r="E1838" s="3">
        <v>4789775</v>
      </c>
      <c r="F1838" s="1">
        <v>2035.60348491287</v>
      </c>
      <c r="G1838" s="1">
        <v>5</v>
      </c>
      <c r="H1838" s="1">
        <v>4</v>
      </c>
      <c r="I1838" s="1">
        <v>4</v>
      </c>
      <c r="J1838" s="1">
        <v>4</v>
      </c>
      <c r="K1838" s="1">
        <v>4</v>
      </c>
      <c r="M1838" s="4">
        <v>2353</v>
      </c>
      <c r="N1838" s="1">
        <v>2610</v>
      </c>
      <c r="O1838" s="1">
        <v>2755</v>
      </c>
      <c r="P1838" s="1">
        <v>145</v>
      </c>
      <c r="Q1838" s="1" t="s">
        <v>42</v>
      </c>
      <c r="S1838" s="1" t="s">
        <v>42</v>
      </c>
      <c r="T1838" s="1" t="s">
        <v>170</v>
      </c>
      <c r="V1838" s="5">
        <v>43650</v>
      </c>
      <c r="W1838" s="5">
        <v>41711</v>
      </c>
      <c r="X1838" s="1">
        <v>4700000</v>
      </c>
      <c r="Y1838" s="1">
        <v>4700000</v>
      </c>
      <c r="Z1838" s="5">
        <v>41711</v>
      </c>
      <c r="AA1838" s="1">
        <v>4789775</v>
      </c>
      <c r="AB1838" s="1" t="s">
        <v>1468</v>
      </c>
      <c r="AC1838" s="5">
        <v>42285</v>
      </c>
      <c r="AF1838" s="1">
        <v>10069</v>
      </c>
      <c r="AI1838" s="1" t="s">
        <v>45</v>
      </c>
      <c r="AJ1838" s="1">
        <v>2016</v>
      </c>
      <c r="AK1838" s="1" t="s">
        <v>73</v>
      </c>
      <c r="AL1838" s="1">
        <v>657</v>
      </c>
    </row>
    <row r="1839" spans="1:38" x14ac:dyDescent="0.2">
      <c r="A1839" s="2" t="str">
        <f>HYPERLINK("https://www.compass.com/listing/50-riverside-boulevard-unit-10c-manhattan-ny-10069/29396611868195921/","50 Riverside Blvd, Unit 10C")</f>
        <v>50 Riverside Blvd, Unit 10C</v>
      </c>
      <c r="B1839" s="2" t="str">
        <f t="shared" si="297"/>
        <v>One Riverside Park</v>
      </c>
      <c r="C1839" s="1" t="s">
        <v>50</v>
      </c>
      <c r="D1839" s="1" t="s">
        <v>41</v>
      </c>
      <c r="E1839" s="3">
        <v>5095250</v>
      </c>
      <c r="F1839" s="1">
        <v>2164.5072217502102</v>
      </c>
      <c r="G1839" s="1">
        <v>5</v>
      </c>
      <c r="H1839" s="1">
        <v>4</v>
      </c>
      <c r="I1839" s="1">
        <v>4</v>
      </c>
      <c r="J1839" s="1">
        <v>4</v>
      </c>
      <c r="K1839" s="1">
        <v>4</v>
      </c>
      <c r="M1839" s="4">
        <v>2354</v>
      </c>
      <c r="N1839" s="1">
        <v>2611</v>
      </c>
      <c r="O1839" s="1">
        <v>2756</v>
      </c>
      <c r="P1839" s="1">
        <v>145</v>
      </c>
      <c r="Q1839" s="1" t="s">
        <v>42</v>
      </c>
      <c r="S1839" s="1" t="s">
        <v>42</v>
      </c>
      <c r="T1839" s="1" t="s">
        <v>170</v>
      </c>
      <c r="V1839" s="5">
        <v>43650</v>
      </c>
      <c r="W1839" s="5">
        <v>41731</v>
      </c>
      <c r="X1839" s="1">
        <v>5000000</v>
      </c>
      <c r="Y1839" s="1">
        <v>5000000</v>
      </c>
      <c r="Z1839" s="5">
        <v>41731</v>
      </c>
      <c r="AA1839" s="1">
        <v>5095250</v>
      </c>
      <c r="AB1839" s="1" t="s">
        <v>1469</v>
      </c>
      <c r="AC1839" s="5">
        <v>42342</v>
      </c>
      <c r="AF1839" s="1">
        <v>10069</v>
      </c>
      <c r="AI1839" s="1" t="s">
        <v>101</v>
      </c>
      <c r="AJ1839" s="1">
        <v>2016</v>
      </c>
      <c r="AK1839" s="1" t="s">
        <v>73</v>
      </c>
      <c r="AL1839" s="1">
        <v>657</v>
      </c>
    </row>
    <row r="1840" spans="1:38" x14ac:dyDescent="0.2">
      <c r="A1840" s="2" t="str">
        <f>HYPERLINK("https://www.compass.com/listing/50-riverside-boulevard-unit-12c-manhattan-ny-10069/29396612673564241/","50 Riverside Blvd, Unit 12C")</f>
        <v>50 Riverside Blvd, Unit 12C</v>
      </c>
      <c r="B1840" s="2" t="str">
        <f t="shared" si="297"/>
        <v>One Riverside Park</v>
      </c>
      <c r="C1840" s="1" t="s">
        <v>50</v>
      </c>
      <c r="D1840" s="1" t="s">
        <v>41</v>
      </c>
      <c r="E1840" s="3">
        <v>5298900</v>
      </c>
      <c r="F1840" s="1">
        <v>2251.9762005949801</v>
      </c>
      <c r="G1840" s="1">
        <v>5</v>
      </c>
      <c r="H1840" s="1">
        <v>4</v>
      </c>
      <c r="I1840" s="1">
        <v>4</v>
      </c>
      <c r="J1840" s="1">
        <v>4</v>
      </c>
      <c r="K1840" s="1">
        <v>4</v>
      </c>
      <c r="M1840" s="4">
        <v>2353</v>
      </c>
      <c r="N1840" s="1">
        <v>2614</v>
      </c>
      <c r="O1840" s="1">
        <v>2759</v>
      </c>
      <c r="P1840" s="1">
        <v>145</v>
      </c>
      <c r="Q1840" s="1" t="s">
        <v>42</v>
      </c>
      <c r="S1840" s="1" t="s">
        <v>42</v>
      </c>
      <c r="T1840" s="1" t="s">
        <v>170</v>
      </c>
      <c r="V1840" s="5">
        <v>43650</v>
      </c>
      <c r="W1840" s="5">
        <v>41738</v>
      </c>
      <c r="X1840" s="1">
        <v>5200000</v>
      </c>
      <c r="Y1840" s="1">
        <v>5200000</v>
      </c>
      <c r="Z1840" s="5">
        <v>41738</v>
      </c>
      <c r="AA1840" s="1">
        <v>5298900</v>
      </c>
      <c r="AB1840" s="1" t="s">
        <v>1470</v>
      </c>
      <c r="AC1840" s="5">
        <v>42361</v>
      </c>
      <c r="AF1840" s="1">
        <v>10069</v>
      </c>
      <c r="AI1840" s="1" t="s">
        <v>45</v>
      </c>
      <c r="AJ1840" s="1">
        <v>2016</v>
      </c>
      <c r="AK1840" s="1" t="s">
        <v>73</v>
      </c>
      <c r="AL1840" s="1">
        <v>657</v>
      </c>
    </row>
    <row r="1841" spans="1:38" x14ac:dyDescent="0.2">
      <c r="A1841" s="2" t="str">
        <f>HYPERLINK("https://www.compass.com/listing/50-riverside-boulevard-unit-10p-manhattan-ny-10069/29396670630436993/","50 Riverside Blvd, Unit 10P")</f>
        <v>50 Riverside Blvd, Unit 10P</v>
      </c>
      <c r="B1841" s="2" t="str">
        <f t="shared" si="297"/>
        <v>One Riverside Park</v>
      </c>
      <c r="C1841" s="1" t="s">
        <v>50</v>
      </c>
      <c r="D1841" s="1" t="s">
        <v>41</v>
      </c>
      <c r="E1841" s="3">
        <v>4015905</v>
      </c>
      <c r="F1841" s="1">
        <v>1772.2440423654</v>
      </c>
      <c r="G1841" s="1">
        <v>4</v>
      </c>
      <c r="H1841" s="1">
        <v>3</v>
      </c>
      <c r="I1841" s="1">
        <v>4</v>
      </c>
      <c r="J1841" s="1">
        <v>3.5</v>
      </c>
      <c r="M1841" s="4">
        <v>2266</v>
      </c>
      <c r="N1841" s="1">
        <v>2514</v>
      </c>
      <c r="O1841" s="1">
        <v>2653</v>
      </c>
      <c r="P1841" s="1">
        <v>139</v>
      </c>
      <c r="Q1841" s="1" t="s">
        <v>42</v>
      </c>
      <c r="S1841" s="1" t="s">
        <v>42</v>
      </c>
      <c r="T1841" s="1" t="s">
        <v>170</v>
      </c>
      <c r="V1841" s="5">
        <v>43663</v>
      </c>
      <c r="W1841" s="5">
        <v>41924</v>
      </c>
      <c r="X1841" s="1">
        <v>3940000</v>
      </c>
      <c r="Y1841" s="1">
        <v>3940000</v>
      </c>
      <c r="Z1841" s="5">
        <v>41924</v>
      </c>
      <c r="AA1841" s="1">
        <v>4015905</v>
      </c>
      <c r="AB1841" s="1" t="s">
        <v>1471</v>
      </c>
      <c r="AC1841" s="5">
        <v>42311</v>
      </c>
      <c r="AF1841" s="1">
        <v>10069</v>
      </c>
      <c r="AI1841" s="1" t="s">
        <v>1386</v>
      </c>
      <c r="AJ1841" s="1">
        <v>2016</v>
      </c>
      <c r="AK1841" s="1" t="s">
        <v>73</v>
      </c>
      <c r="AL1841" s="1">
        <v>657</v>
      </c>
    </row>
    <row r="1842" spans="1:38" x14ac:dyDescent="0.2">
      <c r="A1842" s="2" t="str">
        <f>HYPERLINK("https://www.compass.com/listing/50-riverside-boulevard-unit-26b-manhattan-ny-10069/29396606650481681/","50 Riverside Blvd, Unit 26B")</f>
        <v>50 Riverside Blvd, Unit 26B</v>
      </c>
      <c r="B1842" s="2" t="str">
        <f t="shared" si="297"/>
        <v>One Riverside Park</v>
      </c>
      <c r="C1842" s="1" t="s">
        <v>50</v>
      </c>
      <c r="D1842" s="1" t="s">
        <v>41</v>
      </c>
      <c r="E1842" s="3">
        <v>7386313</v>
      </c>
      <c r="F1842" s="1">
        <v>2206.1866786140899</v>
      </c>
      <c r="G1842" s="1">
        <v>7</v>
      </c>
      <c r="H1842" s="1">
        <v>4</v>
      </c>
      <c r="I1842" s="1">
        <v>4</v>
      </c>
      <c r="J1842" s="1">
        <v>4</v>
      </c>
      <c r="M1842" s="4">
        <v>3348</v>
      </c>
      <c r="N1842" s="1">
        <v>3742</v>
      </c>
      <c r="O1842" s="1">
        <v>3949</v>
      </c>
      <c r="P1842" s="1">
        <v>207</v>
      </c>
      <c r="Q1842" s="1" t="s">
        <v>42</v>
      </c>
      <c r="S1842" s="1" t="s">
        <v>42</v>
      </c>
      <c r="T1842" s="1" t="s">
        <v>170</v>
      </c>
      <c r="U1842" s="1">
        <v>139</v>
      </c>
      <c r="V1842" s="5">
        <v>43663</v>
      </c>
      <c r="W1842" s="5">
        <v>42676</v>
      </c>
      <c r="X1842" s="1">
        <v>8250000</v>
      </c>
      <c r="Y1842" s="1">
        <v>7350000</v>
      </c>
      <c r="Z1842" s="5">
        <v>42815</v>
      </c>
      <c r="AA1842" s="1">
        <v>7386313</v>
      </c>
      <c r="AB1842" s="1" t="s">
        <v>1472</v>
      </c>
      <c r="AC1842" s="5">
        <v>42864</v>
      </c>
      <c r="AF1842" s="1">
        <v>10069</v>
      </c>
      <c r="AI1842" s="1" t="s">
        <v>101</v>
      </c>
      <c r="AJ1842" s="1">
        <v>2016</v>
      </c>
      <c r="AK1842" s="1" t="s">
        <v>73</v>
      </c>
      <c r="AL1842" s="1">
        <v>657</v>
      </c>
    </row>
    <row r="1843" spans="1:38" x14ac:dyDescent="0.2">
      <c r="A1843" s="2" t="str">
        <f>HYPERLINK("https://www.compass.com/listing/50-riverside-boulevard-unit-19e-manhattan-ny-10069/29396626229534097/","50 Riverside Blvd, Unit 19E")</f>
        <v>50 Riverside Blvd, Unit 19E</v>
      </c>
      <c r="B1843" s="2" t="str">
        <f t="shared" si="297"/>
        <v>One Riverside Park</v>
      </c>
      <c r="C1843" s="1" t="s">
        <v>50</v>
      </c>
      <c r="D1843" s="1" t="s">
        <v>41</v>
      </c>
      <c r="E1843" s="3">
        <v>7742700</v>
      </c>
      <c r="F1843" s="1">
        <v>1833.0255681818101</v>
      </c>
      <c r="G1843" s="1">
        <v>8</v>
      </c>
      <c r="H1843" s="1">
        <v>5</v>
      </c>
      <c r="I1843" s="1">
        <v>6</v>
      </c>
      <c r="J1843" s="1">
        <v>6.5</v>
      </c>
      <c r="K1843" s="1">
        <v>6</v>
      </c>
      <c r="L1843" s="1">
        <v>1</v>
      </c>
      <c r="M1843" s="4">
        <v>4224</v>
      </c>
      <c r="N1843" s="1">
        <v>4707</v>
      </c>
      <c r="O1843" s="1">
        <v>4968</v>
      </c>
      <c r="P1843" s="1">
        <v>261</v>
      </c>
      <c r="Q1843" s="1" t="s">
        <v>42</v>
      </c>
      <c r="S1843" s="1" t="s">
        <v>42</v>
      </c>
      <c r="T1843" s="1" t="s">
        <v>170</v>
      </c>
      <c r="U1843" s="1">
        <v>418</v>
      </c>
      <c r="V1843" s="5">
        <v>43662</v>
      </c>
      <c r="W1843" s="5">
        <v>42468</v>
      </c>
      <c r="X1843" s="1">
        <v>9100000</v>
      </c>
      <c r="Y1843" s="1">
        <v>7850000</v>
      </c>
      <c r="Z1843" s="5">
        <v>42886</v>
      </c>
      <c r="AA1843" s="1">
        <v>7742700</v>
      </c>
      <c r="AB1843" s="1" t="s">
        <v>1473</v>
      </c>
      <c r="AC1843" s="5">
        <v>42888</v>
      </c>
      <c r="AF1843" s="1">
        <v>10069</v>
      </c>
      <c r="AI1843" s="1" t="s">
        <v>101</v>
      </c>
      <c r="AJ1843" s="1">
        <v>2016</v>
      </c>
      <c r="AK1843" s="1" t="s">
        <v>73</v>
      </c>
      <c r="AL1843" s="1">
        <v>657</v>
      </c>
    </row>
    <row r="1844" spans="1:38" x14ac:dyDescent="0.2">
      <c r="A1844" s="2" t="str">
        <f>HYPERLINK("https://www.compass.com/listing/50-riverside-boulevard-unit-27a-manhattan-ny-10069/29396591626525377/","50 Riverside Blvd, Unit 27A")</f>
        <v>50 Riverside Blvd, Unit 27A</v>
      </c>
      <c r="B1844" s="2" t="str">
        <f t="shared" si="297"/>
        <v>One Riverside Park</v>
      </c>
      <c r="C1844" s="1" t="s">
        <v>50</v>
      </c>
      <c r="D1844" s="1" t="s">
        <v>41</v>
      </c>
      <c r="E1844" s="3">
        <v>9137703</v>
      </c>
      <c r="F1844" s="1">
        <v>2864.48369905956</v>
      </c>
      <c r="G1844" s="1">
        <v>7</v>
      </c>
      <c r="H1844" s="1">
        <v>4</v>
      </c>
      <c r="I1844" s="1">
        <v>4</v>
      </c>
      <c r="J1844" s="1">
        <v>4</v>
      </c>
      <c r="K1844" s="1">
        <v>4</v>
      </c>
      <c r="M1844" s="4">
        <v>3190</v>
      </c>
      <c r="N1844" s="1">
        <v>3566</v>
      </c>
      <c r="O1844" s="1">
        <v>3764</v>
      </c>
      <c r="P1844" s="1">
        <v>198</v>
      </c>
      <c r="Q1844" s="1" t="s">
        <v>42</v>
      </c>
      <c r="S1844" s="1" t="s">
        <v>42</v>
      </c>
      <c r="T1844" s="1" t="s">
        <v>170</v>
      </c>
      <c r="V1844" s="5">
        <v>43650</v>
      </c>
      <c r="W1844" s="5">
        <v>41912</v>
      </c>
      <c r="X1844" s="1">
        <v>8970000</v>
      </c>
      <c r="Y1844" s="1">
        <v>8970000</v>
      </c>
      <c r="Z1844" s="5">
        <v>41912</v>
      </c>
      <c r="AA1844" s="1">
        <v>9137703</v>
      </c>
      <c r="AB1844" s="1" t="s">
        <v>1474</v>
      </c>
      <c r="AC1844" s="5">
        <v>42369</v>
      </c>
      <c r="AF1844" s="1">
        <v>10069</v>
      </c>
      <c r="AI1844" s="1" t="s">
        <v>45</v>
      </c>
      <c r="AJ1844" s="1">
        <v>2016</v>
      </c>
      <c r="AK1844" s="1" t="s">
        <v>73</v>
      </c>
      <c r="AL1844" s="1">
        <v>657</v>
      </c>
    </row>
    <row r="1845" spans="1:38" x14ac:dyDescent="0.2">
      <c r="A1845" s="2" t="str">
        <f>HYPERLINK("https://www.compass.com/listing/50-riverside-boulevard-unit-30a-manhattan-ny-10069/29396592893205201/","50 Riverside Blvd, Unit 30A")</f>
        <v>50 Riverside Blvd, Unit 30A</v>
      </c>
      <c r="B1845" s="2" t="str">
        <f t="shared" si="297"/>
        <v>One Riverside Park</v>
      </c>
      <c r="C1845" s="1" t="s">
        <v>50</v>
      </c>
      <c r="D1845" s="1" t="s">
        <v>41</v>
      </c>
      <c r="E1845" s="3">
        <v>9025695</v>
      </c>
      <c r="F1845" s="1">
        <v>2829.3714733542301</v>
      </c>
      <c r="G1845" s="1">
        <v>7</v>
      </c>
      <c r="H1845" s="1">
        <v>4</v>
      </c>
      <c r="I1845" s="1">
        <v>4</v>
      </c>
      <c r="J1845" s="1">
        <v>4</v>
      </c>
      <c r="K1845" s="1">
        <v>4</v>
      </c>
      <c r="M1845" s="4">
        <v>3190</v>
      </c>
      <c r="N1845" s="1">
        <v>3572</v>
      </c>
      <c r="O1845" s="1">
        <v>3770</v>
      </c>
      <c r="P1845" s="1">
        <v>198</v>
      </c>
      <c r="Q1845" s="1" t="s">
        <v>42</v>
      </c>
      <c r="S1845" s="1" t="s">
        <v>42</v>
      </c>
      <c r="T1845" s="1" t="s">
        <v>170</v>
      </c>
      <c r="V1845" s="5">
        <v>43650</v>
      </c>
      <c r="W1845" s="5">
        <v>41839</v>
      </c>
      <c r="X1845" s="1">
        <v>8860000</v>
      </c>
      <c r="Y1845" s="1">
        <v>8860000</v>
      </c>
      <c r="Z1845" s="5">
        <v>41839</v>
      </c>
      <c r="AA1845" s="1">
        <v>9025695</v>
      </c>
      <c r="AB1845" s="1" t="s">
        <v>1475</v>
      </c>
      <c r="AC1845" s="5">
        <v>42380</v>
      </c>
      <c r="AF1845" s="1">
        <v>10069</v>
      </c>
      <c r="AI1845" s="1" t="s">
        <v>45</v>
      </c>
      <c r="AJ1845" s="1">
        <v>2016</v>
      </c>
      <c r="AK1845" s="1" t="s">
        <v>73</v>
      </c>
      <c r="AL1845" s="1">
        <v>657</v>
      </c>
    </row>
    <row r="1846" spans="1:38" x14ac:dyDescent="0.2">
      <c r="A1846" s="2" t="str">
        <f>HYPERLINK("https://www.compass.com/listing/50-riverside-boulevard-unit-ph3a-manhattan-ny-10069/29396594302491361/","50 Riverside Blvd, Unit PH3A")</f>
        <v>50 Riverside Blvd, Unit PH3A</v>
      </c>
      <c r="B1846" s="2" t="str">
        <f t="shared" si="297"/>
        <v>One Riverside Park</v>
      </c>
      <c r="C1846" s="1" t="s">
        <v>50</v>
      </c>
      <c r="D1846" s="1" t="s">
        <v>41</v>
      </c>
      <c r="E1846" s="3">
        <v>19601313</v>
      </c>
      <c r="F1846" s="1">
        <v>3177.9041828793702</v>
      </c>
      <c r="G1846" s="1">
        <v>12</v>
      </c>
      <c r="H1846" s="1">
        <v>6</v>
      </c>
      <c r="I1846" s="1">
        <v>9</v>
      </c>
      <c r="J1846" s="1">
        <v>8.5</v>
      </c>
      <c r="K1846" s="1">
        <v>8</v>
      </c>
      <c r="L1846" s="1">
        <v>1</v>
      </c>
      <c r="M1846" s="4">
        <v>6168</v>
      </c>
      <c r="N1846" s="1">
        <v>6916</v>
      </c>
      <c r="O1846" s="1">
        <v>7299</v>
      </c>
      <c r="P1846" s="1">
        <v>383</v>
      </c>
      <c r="Q1846" s="1" t="s">
        <v>42</v>
      </c>
      <c r="S1846" s="1" t="s">
        <v>42</v>
      </c>
      <c r="T1846" s="1" t="s">
        <v>170</v>
      </c>
      <c r="V1846" s="5">
        <v>43755</v>
      </c>
      <c r="W1846" s="5">
        <v>42066</v>
      </c>
      <c r="X1846" s="1">
        <v>19500000</v>
      </c>
      <c r="Y1846" s="1">
        <v>21500000</v>
      </c>
      <c r="Z1846" s="5">
        <v>42066</v>
      </c>
      <c r="AA1846" s="1">
        <v>19601313</v>
      </c>
      <c r="AB1846" s="1" t="s">
        <v>1476</v>
      </c>
      <c r="AC1846" s="5">
        <v>42361</v>
      </c>
      <c r="AF1846" s="1">
        <v>10069</v>
      </c>
      <c r="AI1846" s="1" t="s">
        <v>45</v>
      </c>
      <c r="AJ1846" s="1">
        <v>2016</v>
      </c>
      <c r="AK1846" s="1" t="s">
        <v>73</v>
      </c>
      <c r="AL1846" s="1">
        <v>657</v>
      </c>
    </row>
    <row r="1847" spans="1:38" x14ac:dyDescent="0.2">
      <c r="A1847" s="2" t="str">
        <f>HYPERLINK("https://www.compass.com/listing/50-riverside-boulevard-unit-10l-manhattan-ny-10069/29396653500899201/","50 Riverside Blvd, Unit 10L")</f>
        <v>50 Riverside Blvd, Unit 10L</v>
      </c>
      <c r="B1847" s="2" t="str">
        <f t="shared" si="297"/>
        <v>One Riverside Park</v>
      </c>
      <c r="C1847" s="1" t="s">
        <v>50</v>
      </c>
      <c r="D1847" s="1" t="s">
        <v>41</v>
      </c>
      <c r="E1847" s="3">
        <v>6683720</v>
      </c>
      <c r="F1847" s="1">
        <v>2360.9042741080798</v>
      </c>
      <c r="G1847" s="1">
        <v>6</v>
      </c>
      <c r="H1847" s="1">
        <v>4</v>
      </c>
      <c r="I1847" s="1">
        <v>4</v>
      </c>
      <c r="J1847" s="1">
        <v>4</v>
      </c>
      <c r="K1847" s="1">
        <v>4</v>
      </c>
      <c r="M1847" s="4">
        <v>2831</v>
      </c>
      <c r="N1847" s="1">
        <v>3141</v>
      </c>
      <c r="O1847" s="1">
        <v>3315</v>
      </c>
      <c r="P1847" s="1">
        <v>174</v>
      </c>
      <c r="Q1847" s="1" t="s">
        <v>42</v>
      </c>
      <c r="S1847" s="1" t="s">
        <v>42</v>
      </c>
      <c r="T1847" s="1" t="s">
        <v>170</v>
      </c>
      <c r="V1847" s="5">
        <v>43650</v>
      </c>
      <c r="W1847" s="5">
        <v>41747</v>
      </c>
      <c r="X1847" s="1">
        <v>6560000</v>
      </c>
      <c r="Y1847" s="1">
        <v>6560000</v>
      </c>
      <c r="Z1847" s="5">
        <v>41747</v>
      </c>
      <c r="AA1847" s="1">
        <v>6683720</v>
      </c>
      <c r="AB1847" s="1" t="s">
        <v>1477</v>
      </c>
      <c r="AC1847" s="5">
        <v>42300</v>
      </c>
      <c r="AF1847" s="1">
        <v>10069</v>
      </c>
      <c r="AI1847" s="1" t="s">
        <v>45</v>
      </c>
      <c r="AJ1847" s="1">
        <v>2016</v>
      </c>
      <c r="AK1847" s="1" t="s">
        <v>73</v>
      </c>
      <c r="AL1847" s="1">
        <v>657</v>
      </c>
    </row>
    <row r="1848" spans="1:38" x14ac:dyDescent="0.2">
      <c r="A1848" s="2" t="str">
        <f>HYPERLINK("https://www.compass.com/listing/50-riverside-boulevard-unit-11l-manhattan-ny-10069/29396653903573409/","50 Riverside Blvd, Unit 11L")</f>
        <v>50 Riverside Blvd, Unit 11L</v>
      </c>
      <c r="B1848" s="2" t="str">
        <f t="shared" si="297"/>
        <v>One Riverside Park</v>
      </c>
      <c r="C1848" s="1" t="s">
        <v>50</v>
      </c>
      <c r="D1848" s="1" t="s">
        <v>41</v>
      </c>
      <c r="E1848" s="3">
        <v>6836458</v>
      </c>
      <c r="F1848" s="1">
        <v>2414.85623454609</v>
      </c>
      <c r="G1848" s="1">
        <v>6</v>
      </c>
      <c r="H1848" s="1">
        <v>4</v>
      </c>
      <c r="I1848" s="1">
        <v>4</v>
      </c>
      <c r="J1848" s="1">
        <v>4</v>
      </c>
      <c r="K1848" s="1">
        <v>4</v>
      </c>
      <c r="M1848" s="4">
        <v>2831</v>
      </c>
      <c r="N1848" s="1">
        <v>3143</v>
      </c>
      <c r="O1848" s="1">
        <v>3317</v>
      </c>
      <c r="P1848" s="1">
        <v>174</v>
      </c>
      <c r="Q1848" s="1" t="s">
        <v>42</v>
      </c>
      <c r="S1848" s="1" t="s">
        <v>42</v>
      </c>
      <c r="T1848" s="1" t="s">
        <v>170</v>
      </c>
      <c r="V1848" s="5">
        <v>43654</v>
      </c>
      <c r="W1848" s="5">
        <v>41756</v>
      </c>
      <c r="X1848" s="1">
        <v>6710000</v>
      </c>
      <c r="Y1848" s="1">
        <v>6710000</v>
      </c>
      <c r="Z1848" s="5">
        <v>41756</v>
      </c>
      <c r="AA1848" s="1">
        <v>6836458</v>
      </c>
      <c r="AB1848" s="1" t="s">
        <v>1478</v>
      </c>
      <c r="AC1848" s="5">
        <v>42307</v>
      </c>
      <c r="AF1848" s="1">
        <v>10069</v>
      </c>
      <c r="AI1848" s="1" t="s">
        <v>45</v>
      </c>
      <c r="AJ1848" s="1">
        <v>2016</v>
      </c>
      <c r="AK1848" s="1" t="s">
        <v>73</v>
      </c>
      <c r="AL1848" s="1">
        <v>657</v>
      </c>
    </row>
    <row r="1849" spans="1:38" x14ac:dyDescent="0.2">
      <c r="A1849" s="2" t="str">
        <f>HYPERLINK("https://www.compass.com/listing/50-riverside-boulevard-unit-12l-manhattan-ny-10069/29396654348107601/","50 Riverside Blvd, Unit 12L")</f>
        <v>50 Riverside Blvd, Unit 12L</v>
      </c>
      <c r="B1849" s="2" t="str">
        <f t="shared" si="297"/>
        <v>One Riverside Park</v>
      </c>
      <c r="C1849" s="1" t="s">
        <v>50</v>
      </c>
      <c r="D1849" s="1" t="s">
        <v>41</v>
      </c>
      <c r="E1849" s="3">
        <v>6979013</v>
      </c>
      <c r="F1849" s="1">
        <v>2466.0823321554699</v>
      </c>
      <c r="G1849" s="1">
        <v>6</v>
      </c>
      <c r="H1849" s="1">
        <v>4</v>
      </c>
      <c r="I1849" s="1">
        <v>4</v>
      </c>
      <c r="J1849" s="1">
        <v>4</v>
      </c>
      <c r="K1849" s="1">
        <v>4</v>
      </c>
      <c r="M1849" s="4">
        <v>2830</v>
      </c>
      <c r="N1849" s="1">
        <v>3145</v>
      </c>
      <c r="O1849" s="1">
        <v>3319</v>
      </c>
      <c r="P1849" s="1">
        <v>174</v>
      </c>
      <c r="Q1849" s="1" t="s">
        <v>42</v>
      </c>
      <c r="S1849" s="1" t="s">
        <v>42</v>
      </c>
      <c r="T1849" s="1" t="s">
        <v>170</v>
      </c>
      <c r="V1849" s="5">
        <v>43654</v>
      </c>
      <c r="W1849" s="5">
        <v>41789</v>
      </c>
      <c r="X1849" s="1">
        <v>6850000</v>
      </c>
      <c r="Y1849" s="1">
        <v>6850000</v>
      </c>
      <c r="Z1849" s="5">
        <v>41789</v>
      </c>
      <c r="AA1849" s="1">
        <v>6979013</v>
      </c>
      <c r="AB1849" s="1" t="s">
        <v>1479</v>
      </c>
      <c r="AC1849" s="5">
        <v>42333</v>
      </c>
      <c r="AF1849" s="1">
        <v>10069</v>
      </c>
      <c r="AI1849" s="1" t="s">
        <v>45</v>
      </c>
      <c r="AJ1849" s="1">
        <v>2016</v>
      </c>
      <c r="AK1849" s="1" t="s">
        <v>73</v>
      </c>
      <c r="AL1849" s="1">
        <v>657</v>
      </c>
    </row>
    <row r="1850" spans="1:38" x14ac:dyDescent="0.2">
      <c r="A1850" s="2" t="str">
        <f>HYPERLINK("https://www.compass.com/listing/50-riverside-boulevard-unit-16l-manhattan-ny-10069/29396656487243681/","50 Riverside Blvd, Unit 16L")</f>
        <v>50 Riverside Blvd, Unit 16L</v>
      </c>
      <c r="B1850" s="2" t="str">
        <f t="shared" si="297"/>
        <v>One Riverside Park</v>
      </c>
      <c r="C1850" s="1" t="s">
        <v>50</v>
      </c>
      <c r="D1850" s="1" t="s">
        <v>41</v>
      </c>
      <c r="E1850" s="3">
        <v>7029925</v>
      </c>
      <c r="F1850" s="1">
        <v>2483.1949841045498</v>
      </c>
      <c r="G1850" s="1">
        <v>6</v>
      </c>
      <c r="H1850" s="1">
        <v>4</v>
      </c>
      <c r="I1850" s="1">
        <v>4</v>
      </c>
      <c r="J1850" s="1">
        <v>4</v>
      </c>
      <c r="K1850" s="1">
        <v>4</v>
      </c>
      <c r="M1850" s="4">
        <v>2831</v>
      </c>
      <c r="N1850" s="1">
        <v>3149</v>
      </c>
      <c r="O1850" s="1">
        <v>3323</v>
      </c>
      <c r="P1850" s="1">
        <v>174</v>
      </c>
      <c r="Q1850" s="1" t="s">
        <v>42</v>
      </c>
      <c r="S1850" s="1" t="s">
        <v>42</v>
      </c>
      <c r="T1850" s="1" t="s">
        <v>170</v>
      </c>
      <c r="U1850" s="1">
        <v>168</v>
      </c>
      <c r="V1850" s="5">
        <v>43654</v>
      </c>
      <c r="W1850" s="5">
        <v>41681</v>
      </c>
      <c r="X1850" s="1">
        <v>6900000</v>
      </c>
      <c r="Y1850" s="1">
        <v>6900000</v>
      </c>
      <c r="Z1850" s="5">
        <v>41849</v>
      </c>
      <c r="AA1850" s="1">
        <v>7029925</v>
      </c>
      <c r="AB1850" s="1" t="s">
        <v>1480</v>
      </c>
      <c r="AC1850" s="5">
        <v>42346</v>
      </c>
      <c r="AF1850" s="1">
        <v>10069</v>
      </c>
      <c r="AI1850" s="1" t="s">
        <v>45</v>
      </c>
      <c r="AJ1850" s="1">
        <v>2016</v>
      </c>
      <c r="AK1850" s="1" t="s">
        <v>73</v>
      </c>
      <c r="AL1850" s="1">
        <v>657</v>
      </c>
    </row>
    <row r="1851" spans="1:38" x14ac:dyDescent="0.2">
      <c r="A1851" s="2" t="str">
        <f>HYPERLINK("https://www.compass.com/listing/50-riverside-boulevard-unit-25b-manhattan-ny-10069/29396606080118257/","50 Riverside Blvd, Unit 25B")</f>
        <v>50 Riverside Blvd, Unit 25B</v>
      </c>
      <c r="B1851" s="2" t="str">
        <f t="shared" si="297"/>
        <v>One Riverside Park</v>
      </c>
      <c r="C1851" s="1" t="s">
        <v>50</v>
      </c>
      <c r="D1851" s="1" t="s">
        <v>41</v>
      </c>
      <c r="E1851" s="3">
        <v>7742700</v>
      </c>
      <c r="F1851" s="1">
        <v>2312.63440860215</v>
      </c>
      <c r="G1851" s="1">
        <v>7</v>
      </c>
      <c r="H1851" s="1">
        <v>4</v>
      </c>
      <c r="I1851" s="1">
        <v>4</v>
      </c>
      <c r="J1851" s="1">
        <v>4</v>
      </c>
      <c r="M1851" s="4">
        <v>3348</v>
      </c>
      <c r="N1851" s="1">
        <v>3740</v>
      </c>
      <c r="O1851" s="1">
        <v>3947</v>
      </c>
      <c r="P1851" s="1">
        <v>207</v>
      </c>
      <c r="Q1851" s="1" t="s">
        <v>42</v>
      </c>
      <c r="S1851" s="1" t="s">
        <v>42</v>
      </c>
      <c r="T1851" s="1" t="s">
        <v>170</v>
      </c>
      <c r="U1851" s="1">
        <v>127</v>
      </c>
      <c r="V1851" s="5">
        <v>43668</v>
      </c>
      <c r="W1851" s="5">
        <v>42548</v>
      </c>
      <c r="X1851" s="1">
        <v>8150000</v>
      </c>
      <c r="Y1851" s="1">
        <v>8150000</v>
      </c>
      <c r="Z1851" s="5">
        <v>42675</v>
      </c>
      <c r="AA1851" s="1">
        <v>7742700</v>
      </c>
      <c r="AB1851" s="1" t="s">
        <v>1481</v>
      </c>
      <c r="AC1851" s="5">
        <v>42762</v>
      </c>
      <c r="AF1851" s="1">
        <v>10069</v>
      </c>
      <c r="AI1851" s="1" t="s">
        <v>101</v>
      </c>
      <c r="AJ1851" s="1">
        <v>2016</v>
      </c>
      <c r="AK1851" s="1" t="s">
        <v>73</v>
      </c>
      <c r="AL1851" s="1">
        <v>657</v>
      </c>
    </row>
    <row r="1852" spans="1:38" x14ac:dyDescent="0.2">
      <c r="A1852" s="2" t="str">
        <f>HYPERLINK("https://www.compass.com/listing/321-west-110th-street-unit-14a-manhattan-ny-10026/4852305646470573265/","321 W 110th St, Unit 14A")</f>
        <v>321 W 110th St, Unit 14A</v>
      </c>
      <c r="B1852" s="2" t="str">
        <f>HYPERLINK("https://www.compass.com/building/one-morningside-park-manhattan-ny/294836904016796069/","One Morningside Park")</f>
        <v>One Morningside Park</v>
      </c>
      <c r="C1852" s="1" t="s">
        <v>106</v>
      </c>
      <c r="D1852" s="1" t="s">
        <v>41</v>
      </c>
      <c r="E1852" s="3">
        <v>1584397</v>
      </c>
      <c r="F1852" s="1">
        <v>1429.9611913357401</v>
      </c>
      <c r="G1852" s="1">
        <v>4</v>
      </c>
      <c r="H1852" s="1">
        <v>2</v>
      </c>
      <c r="I1852" s="1">
        <v>2</v>
      </c>
      <c r="J1852" s="1">
        <v>2</v>
      </c>
      <c r="M1852" s="4">
        <v>1108</v>
      </c>
      <c r="N1852" s="1">
        <v>1271</v>
      </c>
      <c r="O1852" s="1">
        <v>1337</v>
      </c>
      <c r="P1852" s="1">
        <v>66</v>
      </c>
      <c r="Q1852" s="1" t="s">
        <v>42</v>
      </c>
      <c r="S1852" s="1" t="s">
        <v>42</v>
      </c>
      <c r="T1852" s="1" t="s">
        <v>170</v>
      </c>
      <c r="U1852" s="1">
        <v>1</v>
      </c>
      <c r="V1852" s="5">
        <v>43654</v>
      </c>
      <c r="W1852" s="5">
        <v>41501</v>
      </c>
      <c r="X1852" s="1">
        <v>1606000</v>
      </c>
      <c r="Y1852" s="1">
        <v>1606000</v>
      </c>
      <c r="Z1852" s="5">
        <v>41502</v>
      </c>
      <c r="AA1852" s="1">
        <v>1584397</v>
      </c>
      <c r="AB1852" s="1" t="s">
        <v>1482</v>
      </c>
      <c r="AC1852" s="5">
        <v>41955</v>
      </c>
      <c r="AF1852" s="1">
        <v>10026</v>
      </c>
      <c r="AI1852" s="1" t="s">
        <v>1483</v>
      </c>
      <c r="AJ1852" s="1">
        <v>2012</v>
      </c>
      <c r="AK1852" s="1" t="s">
        <v>49</v>
      </c>
      <c r="AL1852" s="1">
        <v>88</v>
      </c>
    </row>
    <row r="1853" spans="1:38" x14ac:dyDescent="0.2">
      <c r="A1853" s="2" t="str">
        <f>HYPERLINK("https://www.compass.com/listing/313-west-121st-street-unit-3-manhattan-ny-10027/568642538158820897/","313 W 121st St, Unit 3")</f>
        <v>313 W 121st St, Unit 3</v>
      </c>
      <c r="B1853" s="2" t="str">
        <f>HYPERLINK("https://www.compass.com/building/the-vidro-manhattan-ny/282056937623814149/","The Vidro")</f>
        <v>The Vidro</v>
      </c>
      <c r="C1853" s="1" t="s">
        <v>106</v>
      </c>
      <c r="D1853" s="1" t="s">
        <v>41</v>
      </c>
      <c r="E1853" s="3">
        <v>1100000</v>
      </c>
      <c r="F1853" s="1">
        <v>1074.21875</v>
      </c>
      <c r="G1853" s="1">
        <v>5</v>
      </c>
      <c r="H1853" s="1">
        <v>2</v>
      </c>
      <c r="J1853" s="1">
        <v>2</v>
      </c>
      <c r="M1853" s="4">
        <v>1024</v>
      </c>
      <c r="N1853" s="1">
        <v>396</v>
      </c>
      <c r="O1853" s="1">
        <v>1474</v>
      </c>
      <c r="P1853" s="1">
        <v>1078</v>
      </c>
      <c r="Q1853" s="1" t="s">
        <v>42</v>
      </c>
      <c r="S1853" s="1" t="s">
        <v>42</v>
      </c>
      <c r="T1853" s="1" t="s">
        <v>170</v>
      </c>
      <c r="U1853" s="1">
        <v>13</v>
      </c>
      <c r="V1853" s="5">
        <v>44247</v>
      </c>
      <c r="W1853" s="5">
        <v>44034</v>
      </c>
      <c r="X1853" s="1">
        <v>1195000</v>
      </c>
      <c r="Y1853" s="1">
        <v>1195000</v>
      </c>
      <c r="Z1853" s="5">
        <v>44047</v>
      </c>
      <c r="AA1853" s="1">
        <v>1100000</v>
      </c>
      <c r="AB1853" s="1" t="s">
        <v>1407</v>
      </c>
      <c r="AC1853" s="5">
        <v>44109</v>
      </c>
      <c r="AF1853" s="1">
        <v>10027</v>
      </c>
      <c r="AI1853" s="1" t="s">
        <v>53</v>
      </c>
      <c r="AJ1853" s="1">
        <v>2016</v>
      </c>
      <c r="AK1853" s="1" t="s">
        <v>253</v>
      </c>
      <c r="AL1853" s="1">
        <v>6</v>
      </c>
    </row>
    <row r="1854" spans="1:38" x14ac:dyDescent="0.2">
      <c r="A1854" s="2" t="str">
        <f>HYPERLINK("https://www.compass.com/listing/50-riverside-boulevard-unit-21a-manhattan-ny-10069/29396588942170753/","50 Riverside Blvd, Unit 21A")</f>
        <v>50 Riverside Blvd, Unit 21A</v>
      </c>
      <c r="B1854" s="2" t="str">
        <f t="shared" ref="B1854:B1856" si="298">HYPERLINK("https://www.compass.com/building/one-riverside-park-manhattan-ny/282041440266113253/","One Riverside Park")</f>
        <v>One Riverside Park</v>
      </c>
      <c r="C1854" s="1" t="s">
        <v>50</v>
      </c>
      <c r="D1854" s="1" t="s">
        <v>41</v>
      </c>
      <c r="E1854" s="3">
        <v>13975481</v>
      </c>
      <c r="F1854" s="1">
        <v>2435.1770343265298</v>
      </c>
      <c r="G1854" s="1">
        <v>23</v>
      </c>
      <c r="H1854" s="1">
        <v>7</v>
      </c>
      <c r="J1854" s="1">
        <v>9.5</v>
      </c>
      <c r="M1854" s="4">
        <v>5739</v>
      </c>
      <c r="N1854" s="1">
        <v>7674</v>
      </c>
      <c r="O1854" s="1">
        <v>8099</v>
      </c>
      <c r="P1854" s="1">
        <v>425</v>
      </c>
      <c r="Q1854" s="1" t="s">
        <v>42</v>
      </c>
      <c r="S1854" s="1" t="s">
        <v>42</v>
      </c>
      <c r="T1854" s="1" t="s">
        <v>170</v>
      </c>
      <c r="U1854" s="1">
        <v>241</v>
      </c>
      <c r="V1854" s="5">
        <v>43699</v>
      </c>
      <c r="W1854" s="5">
        <v>42840</v>
      </c>
      <c r="X1854" s="1">
        <v>16250000</v>
      </c>
      <c r="Y1854" s="1">
        <v>57500</v>
      </c>
      <c r="Z1854" s="5">
        <v>43081</v>
      </c>
      <c r="AA1854" s="1">
        <v>13975481</v>
      </c>
      <c r="AB1854" s="1" t="s">
        <v>1484</v>
      </c>
      <c r="AC1854" s="5">
        <v>43218</v>
      </c>
      <c r="AF1854" s="1">
        <v>10069</v>
      </c>
      <c r="AI1854" s="1" t="s">
        <v>1485</v>
      </c>
      <c r="AJ1854" s="1">
        <v>2016</v>
      </c>
      <c r="AK1854" s="1" t="s">
        <v>73</v>
      </c>
      <c r="AL1854" s="1">
        <v>657</v>
      </c>
    </row>
    <row r="1855" spans="1:38" x14ac:dyDescent="0.2">
      <c r="A1855" s="2" t="str">
        <f>HYPERLINK("https://www.compass.com/listing/50-riverside-boulevard-unit-8n-manhattan-ny-10069/29396664523551377/","50 Riverside Blvd, Unit 8N")</f>
        <v>50 Riverside Blvd, Unit 8N</v>
      </c>
      <c r="B1855" s="2" t="str">
        <f t="shared" si="298"/>
        <v>One Riverside Park</v>
      </c>
      <c r="C1855" s="1" t="s">
        <v>50</v>
      </c>
      <c r="D1855" s="1" t="s">
        <v>41</v>
      </c>
      <c r="E1855" s="3">
        <v>6800819</v>
      </c>
      <c r="F1855" s="1">
        <v>1836.57007831487</v>
      </c>
      <c r="G1855" s="1">
        <v>8</v>
      </c>
      <c r="H1855" s="1">
        <v>5</v>
      </c>
      <c r="I1855" s="1">
        <v>6</v>
      </c>
      <c r="J1855" s="1">
        <v>5.5</v>
      </c>
      <c r="K1855" s="1">
        <v>5</v>
      </c>
      <c r="L1855" s="1">
        <v>1</v>
      </c>
      <c r="M1855" s="4">
        <v>3703</v>
      </c>
      <c r="N1855" s="1">
        <v>4797</v>
      </c>
      <c r="O1855" s="1">
        <v>5054</v>
      </c>
      <c r="P1855" s="1">
        <v>257</v>
      </c>
      <c r="Q1855" s="1" t="s">
        <v>42</v>
      </c>
      <c r="S1855" s="1" t="s">
        <v>42</v>
      </c>
      <c r="T1855" s="1" t="s">
        <v>170</v>
      </c>
      <c r="U1855" s="1">
        <v>130</v>
      </c>
      <c r="V1855" s="5">
        <v>43640</v>
      </c>
      <c r="W1855" s="5">
        <v>42899</v>
      </c>
      <c r="X1855" s="1">
        <v>6850000</v>
      </c>
      <c r="Y1855" s="1">
        <v>6850000</v>
      </c>
      <c r="Z1855" s="5">
        <v>43029</v>
      </c>
      <c r="AA1855" s="1">
        <v>6800819</v>
      </c>
      <c r="AB1855" s="1" t="s">
        <v>1486</v>
      </c>
      <c r="AC1855" s="5">
        <v>43085</v>
      </c>
      <c r="AF1855" s="1">
        <v>10069</v>
      </c>
      <c r="AI1855" s="1" t="s">
        <v>1380</v>
      </c>
      <c r="AJ1855" s="1">
        <v>2016</v>
      </c>
      <c r="AK1855" s="1" t="s">
        <v>73</v>
      </c>
      <c r="AL1855" s="1">
        <v>657</v>
      </c>
    </row>
    <row r="1856" spans="1:38" x14ac:dyDescent="0.2">
      <c r="A1856" s="2" t="str">
        <f>HYPERLINK("https://www.compass.com/listing/50-riverside-boulevard-unit-21-22a-manhattan-ny-10069/4854527397032100625/","50 Riverside Blvd, Unit 21/22A")</f>
        <v>50 Riverside Blvd, Unit 21/22A</v>
      </c>
      <c r="B1856" s="2" t="str">
        <f t="shared" si="298"/>
        <v>One Riverside Park</v>
      </c>
      <c r="C1856" s="1" t="s">
        <v>50</v>
      </c>
      <c r="D1856" s="1" t="s">
        <v>41</v>
      </c>
      <c r="E1856" s="3">
        <v>13975481</v>
      </c>
      <c r="F1856" s="1">
        <v>2435.1770343265298</v>
      </c>
      <c r="G1856" s="1">
        <v>20</v>
      </c>
      <c r="H1856" s="1">
        <v>7</v>
      </c>
      <c r="I1856" s="1">
        <v>10</v>
      </c>
      <c r="J1856" s="1">
        <v>9.5</v>
      </c>
      <c r="K1856" s="1">
        <v>9</v>
      </c>
      <c r="L1856" s="1">
        <v>1</v>
      </c>
      <c r="M1856" s="4">
        <v>5739</v>
      </c>
      <c r="N1856" s="1">
        <v>7674</v>
      </c>
      <c r="O1856" s="1">
        <v>8099</v>
      </c>
      <c r="P1856" s="1">
        <v>425</v>
      </c>
      <c r="Q1856" s="1" t="s">
        <v>42</v>
      </c>
      <c r="S1856" s="1" t="s">
        <v>42</v>
      </c>
      <c r="T1856" s="1" t="s">
        <v>170</v>
      </c>
      <c r="U1856" s="1">
        <v>241</v>
      </c>
      <c r="V1856" s="5">
        <v>44269</v>
      </c>
      <c r="W1856" s="5">
        <v>42840</v>
      </c>
      <c r="X1856" s="1">
        <v>16250000</v>
      </c>
      <c r="Y1856" s="1">
        <v>15250000</v>
      </c>
      <c r="Z1856" s="5">
        <v>43081</v>
      </c>
      <c r="AA1856" s="1">
        <v>13975481</v>
      </c>
      <c r="AB1856" s="1" t="s">
        <v>181</v>
      </c>
      <c r="AC1856" s="5">
        <v>43218</v>
      </c>
      <c r="AF1856" s="1">
        <v>10069</v>
      </c>
      <c r="AI1856" s="1" t="s">
        <v>1487</v>
      </c>
      <c r="AJ1856" s="1">
        <v>2016</v>
      </c>
      <c r="AK1856" s="1" t="s">
        <v>73</v>
      </c>
      <c r="AL1856" s="1">
        <v>657</v>
      </c>
    </row>
    <row r="1857" spans="1:38" x14ac:dyDescent="0.2">
      <c r="A1857" s="2" t="str">
        <f>HYPERLINK("https://www.compass.com/listing/313-west-121st-street-unit-1-manhattan-ny-10027/780885231640986265/","313 W 121st St, Unit 1")</f>
        <v>313 W 121st St, Unit 1</v>
      </c>
      <c r="B1857" s="2" t="str">
        <f>HYPERLINK("https://www.compass.com/building/the-vidro-manhattan-ny/282056937623814149/","The Vidro")</f>
        <v>The Vidro</v>
      </c>
      <c r="C1857" s="1" t="s">
        <v>106</v>
      </c>
      <c r="D1857" s="1" t="s">
        <v>41</v>
      </c>
      <c r="E1857" s="3">
        <v>1706828</v>
      </c>
      <c r="F1857" s="1">
        <v>822.56771084337299</v>
      </c>
      <c r="H1857" s="1">
        <v>3</v>
      </c>
      <c r="J1857" s="1">
        <v>2.5</v>
      </c>
      <c r="K1857" s="1">
        <v>2</v>
      </c>
      <c r="L1857" s="1">
        <v>1</v>
      </c>
      <c r="M1857" s="4">
        <v>2075</v>
      </c>
      <c r="N1857" s="1">
        <v>890</v>
      </c>
      <c r="O1857" s="1">
        <v>3311</v>
      </c>
      <c r="P1857" s="1">
        <v>2421</v>
      </c>
      <c r="Q1857" s="1" t="s">
        <v>42</v>
      </c>
      <c r="S1857" s="1" t="s">
        <v>42</v>
      </c>
      <c r="T1857" s="1" t="s">
        <v>170</v>
      </c>
      <c r="AA1857" s="1">
        <v>1706828</v>
      </c>
      <c r="AB1857" s="1" t="s">
        <v>1488</v>
      </c>
      <c r="AC1857" s="5">
        <v>44302</v>
      </c>
      <c r="AF1857" s="1">
        <v>10027</v>
      </c>
      <c r="AI1857" s="1" t="s">
        <v>45</v>
      </c>
      <c r="AJ1857" s="1">
        <v>2016</v>
      </c>
      <c r="AL1857" s="1">
        <v>6</v>
      </c>
    </row>
    <row r="1858" spans="1:38" x14ac:dyDescent="0.2">
      <c r="A1858" s="2" t="str">
        <f>HYPERLINK("https://www.compass.com/listing/321-west-110th-street-unit-14b-manhattan-ny-10026/192569144858760481/","321 W 110th St, Unit 14B")</f>
        <v>321 W 110th St, Unit 14B</v>
      </c>
      <c r="B1858" s="2" t="str">
        <f t="shared" ref="B1858:B1875" si="299">HYPERLINK("https://www.compass.com/building/one-morningside-park-manhattan-ny/294836904016796069/","One Morningside Park")</f>
        <v>One Morningside Park</v>
      </c>
      <c r="C1858" s="1" t="s">
        <v>106</v>
      </c>
      <c r="D1858" s="1" t="s">
        <v>41</v>
      </c>
      <c r="E1858" s="3">
        <v>1482572</v>
      </c>
      <c r="F1858" s="1">
        <v>1410.62987630827</v>
      </c>
      <c r="G1858" s="1">
        <v>4</v>
      </c>
      <c r="H1858" s="1">
        <v>2</v>
      </c>
      <c r="I1858" s="1">
        <v>2</v>
      </c>
      <c r="J1858" s="1">
        <v>2</v>
      </c>
      <c r="M1858" s="4">
        <v>1051</v>
      </c>
      <c r="N1858" s="1">
        <v>1140</v>
      </c>
      <c r="O1858" s="1">
        <v>1200</v>
      </c>
      <c r="P1858" s="1">
        <v>60</v>
      </c>
      <c r="Q1858" s="1" t="s">
        <v>42</v>
      </c>
      <c r="S1858" s="1" t="s">
        <v>42</v>
      </c>
      <c r="T1858" s="1" t="s">
        <v>170</v>
      </c>
      <c r="V1858" s="5">
        <v>43654</v>
      </c>
      <c r="W1858" s="5">
        <v>41632</v>
      </c>
      <c r="X1858" s="1">
        <v>1456000</v>
      </c>
      <c r="Y1858" s="1">
        <v>1456000</v>
      </c>
      <c r="Z1858" s="5">
        <v>41632</v>
      </c>
      <c r="AA1858" s="1">
        <v>1482572</v>
      </c>
      <c r="AB1858" s="1" t="s">
        <v>1489</v>
      </c>
      <c r="AC1858" s="5">
        <v>41981</v>
      </c>
      <c r="AF1858" s="1">
        <v>10026</v>
      </c>
      <c r="AI1858" s="1" t="s">
        <v>1483</v>
      </c>
      <c r="AJ1858" s="1">
        <v>2012</v>
      </c>
      <c r="AK1858" s="1" t="s">
        <v>49</v>
      </c>
      <c r="AL1858" s="1">
        <v>88</v>
      </c>
    </row>
    <row r="1859" spans="1:38" x14ac:dyDescent="0.2">
      <c r="A1859" s="2" t="str">
        <f>HYPERLINK("https://www.compass.com/listing/321-west-110th-street-unit-4a-manhattan-ny-10026/29430020766178449/","321 W 110th St, Unit 4A")</f>
        <v>321 W 110th St, Unit 4A</v>
      </c>
      <c r="B1859" s="2" t="str">
        <f t="shared" si="299"/>
        <v>One Morningside Park</v>
      </c>
      <c r="C1859" s="1" t="s">
        <v>106</v>
      </c>
      <c r="D1859" s="1" t="s">
        <v>41</v>
      </c>
      <c r="E1859" s="3">
        <v>1042688</v>
      </c>
      <c r="F1859" s="1">
        <v>1069.4235897435799</v>
      </c>
      <c r="G1859" s="1">
        <v>4</v>
      </c>
      <c r="H1859" s="1">
        <v>2</v>
      </c>
      <c r="I1859" s="1">
        <v>2</v>
      </c>
      <c r="J1859" s="1">
        <v>2</v>
      </c>
      <c r="M1859" s="1">
        <v>975</v>
      </c>
      <c r="N1859" s="1">
        <v>964</v>
      </c>
      <c r="O1859" s="1">
        <v>1015</v>
      </c>
      <c r="P1859" s="1">
        <v>51</v>
      </c>
      <c r="Q1859" s="1" t="s">
        <v>42</v>
      </c>
      <c r="S1859" s="1" t="s">
        <v>42</v>
      </c>
      <c r="T1859" s="1" t="s">
        <v>170</v>
      </c>
      <c r="U1859" s="1">
        <v>1</v>
      </c>
      <c r="V1859" s="5">
        <v>43655</v>
      </c>
      <c r="W1859" s="5">
        <v>41501</v>
      </c>
      <c r="X1859" s="1">
        <v>1120000</v>
      </c>
      <c r="Y1859" s="1">
        <v>1120000</v>
      </c>
      <c r="Z1859" s="5">
        <v>41502</v>
      </c>
      <c r="AA1859" s="1">
        <v>1042688</v>
      </c>
      <c r="AB1859" s="1" t="s">
        <v>1490</v>
      </c>
      <c r="AC1859" s="5">
        <v>41873</v>
      </c>
      <c r="AF1859" s="1">
        <v>10026</v>
      </c>
      <c r="AI1859" s="1" t="s">
        <v>1491</v>
      </c>
      <c r="AJ1859" s="1">
        <v>2012</v>
      </c>
      <c r="AK1859" s="1" t="s">
        <v>77</v>
      </c>
      <c r="AL1859" s="1">
        <v>88</v>
      </c>
    </row>
    <row r="1860" spans="1:38" x14ac:dyDescent="0.2">
      <c r="A1860" s="2" t="str">
        <f>HYPERLINK("https://www.compass.com/listing/321-west-110th-street-unit-4a-manhattan-ny-10026/29430020766178465/","321 W 110th St, Unit 4A")</f>
        <v>321 W 110th St, Unit 4A</v>
      </c>
      <c r="B1860" s="2" t="str">
        <f t="shared" si="299"/>
        <v>One Morningside Park</v>
      </c>
      <c r="C1860" s="1" t="s">
        <v>106</v>
      </c>
      <c r="D1860" s="1" t="s">
        <v>41</v>
      </c>
      <c r="E1860" s="3">
        <v>1550000</v>
      </c>
      <c r="G1860" s="1">
        <v>4</v>
      </c>
      <c r="H1860" s="1">
        <v>2</v>
      </c>
      <c r="I1860" s="1">
        <v>2</v>
      </c>
      <c r="J1860" s="1">
        <v>2</v>
      </c>
      <c r="N1860" s="1">
        <v>1031</v>
      </c>
      <c r="O1860" s="1">
        <v>1080</v>
      </c>
      <c r="P1860" s="1">
        <v>49</v>
      </c>
      <c r="Q1860" s="1" t="s">
        <v>42</v>
      </c>
      <c r="S1860" s="1" t="s">
        <v>42</v>
      </c>
      <c r="T1860" s="1" t="s">
        <v>170</v>
      </c>
      <c r="U1860" s="1">
        <v>232</v>
      </c>
      <c r="V1860" s="5">
        <v>42775</v>
      </c>
      <c r="W1860" s="5">
        <v>42543</v>
      </c>
      <c r="X1860" s="1">
        <v>1950000</v>
      </c>
      <c r="Y1860" s="1">
        <v>1950000</v>
      </c>
      <c r="AA1860" s="1">
        <v>1550000</v>
      </c>
      <c r="AB1860" s="1" t="s">
        <v>241</v>
      </c>
      <c r="AC1860" s="5">
        <v>42838</v>
      </c>
      <c r="AF1860" s="1">
        <v>10026</v>
      </c>
      <c r="AI1860" s="1" t="s">
        <v>1492</v>
      </c>
      <c r="AJ1860" s="1">
        <v>2012</v>
      </c>
      <c r="AK1860" s="1" t="s">
        <v>77</v>
      </c>
      <c r="AL1860" s="1">
        <v>88</v>
      </c>
    </row>
    <row r="1861" spans="1:38" x14ac:dyDescent="0.2">
      <c r="A1861" s="2" t="str">
        <f>HYPERLINK("https://www.compass.com/listing/321-west-110th-street-unit-6a-manhattan-ny-10026/4852305803127822209/","321 W 110th St, Unit 6A")</f>
        <v>321 W 110th St, Unit 6A</v>
      </c>
      <c r="B1861" s="2" t="str">
        <f t="shared" si="299"/>
        <v>One Morningside Park</v>
      </c>
      <c r="C1861" s="1" t="s">
        <v>106</v>
      </c>
      <c r="D1861" s="1" t="s">
        <v>41</v>
      </c>
      <c r="E1861" s="3">
        <v>1272812</v>
      </c>
      <c r="F1861" s="1">
        <v>1184.0111627906899</v>
      </c>
      <c r="G1861" s="1">
        <v>4</v>
      </c>
      <c r="H1861" s="1">
        <v>2</v>
      </c>
      <c r="I1861" s="1">
        <v>2</v>
      </c>
      <c r="J1861" s="1">
        <v>2</v>
      </c>
      <c r="M1861" s="4">
        <v>1075</v>
      </c>
      <c r="N1861" s="1">
        <v>1063</v>
      </c>
      <c r="O1861" s="1">
        <v>1119</v>
      </c>
      <c r="P1861" s="1">
        <v>56</v>
      </c>
      <c r="Q1861" s="1" t="s">
        <v>42</v>
      </c>
      <c r="S1861" s="1" t="s">
        <v>42</v>
      </c>
      <c r="T1861" s="1" t="s">
        <v>170</v>
      </c>
      <c r="U1861" s="1">
        <v>89</v>
      </c>
      <c r="V1861" s="5">
        <v>43654</v>
      </c>
      <c r="W1861" s="5">
        <v>41501</v>
      </c>
      <c r="X1861" s="1">
        <v>1250000</v>
      </c>
      <c r="Y1861" s="1">
        <v>1250000</v>
      </c>
      <c r="Z1861" s="5">
        <v>41590</v>
      </c>
      <c r="AA1861" s="1">
        <v>1272812</v>
      </c>
      <c r="AB1861" s="1" t="s">
        <v>1493</v>
      </c>
      <c r="AC1861" s="5">
        <v>41929</v>
      </c>
      <c r="AF1861" s="1">
        <v>10026</v>
      </c>
      <c r="AI1861" s="1" t="s">
        <v>1491</v>
      </c>
      <c r="AJ1861" s="1">
        <v>2012</v>
      </c>
      <c r="AK1861" s="1" t="s">
        <v>49</v>
      </c>
      <c r="AL1861" s="1">
        <v>88</v>
      </c>
    </row>
    <row r="1862" spans="1:38" x14ac:dyDescent="0.2">
      <c r="A1862" s="2" t="str">
        <f>HYPERLINK("https://www.compass.com/listing/321-west-110th-street-unit-5a-manhattan-ny-10026/4852305803941517393/","321 W 110th St, Unit 5A")</f>
        <v>321 W 110th St, Unit 5A</v>
      </c>
      <c r="B1862" s="2" t="str">
        <f t="shared" si="299"/>
        <v>One Morningside Park</v>
      </c>
      <c r="C1862" s="1" t="s">
        <v>106</v>
      </c>
      <c r="D1862" s="1" t="s">
        <v>41</v>
      </c>
      <c r="E1862" s="3">
        <v>1182188</v>
      </c>
      <c r="F1862" s="1">
        <v>1087.5694572217101</v>
      </c>
      <c r="G1862" s="1">
        <v>4</v>
      </c>
      <c r="H1862" s="1">
        <v>2</v>
      </c>
      <c r="I1862" s="1">
        <v>2</v>
      </c>
      <c r="J1862" s="1">
        <v>2</v>
      </c>
      <c r="M1862" s="4">
        <v>1087</v>
      </c>
      <c r="N1862" s="1">
        <v>1074</v>
      </c>
      <c r="O1862" s="1">
        <v>1131</v>
      </c>
      <c r="P1862" s="1">
        <v>57</v>
      </c>
      <c r="Q1862" s="1" t="s">
        <v>42</v>
      </c>
      <c r="S1862" s="1" t="s">
        <v>42</v>
      </c>
      <c r="T1862" s="1" t="s">
        <v>170</v>
      </c>
      <c r="U1862" s="1">
        <v>1</v>
      </c>
      <c r="V1862" s="5">
        <v>43654</v>
      </c>
      <c r="W1862" s="5">
        <v>41501</v>
      </c>
      <c r="X1862" s="1">
        <v>1240000</v>
      </c>
      <c r="Y1862" s="1">
        <v>1240000</v>
      </c>
      <c r="Z1862" s="5">
        <v>41502</v>
      </c>
      <c r="AA1862" s="1">
        <v>1182188</v>
      </c>
      <c r="AB1862" s="1" t="s">
        <v>1494</v>
      </c>
      <c r="AC1862" s="5">
        <v>41920</v>
      </c>
      <c r="AF1862" s="1">
        <v>10026</v>
      </c>
      <c r="AI1862" s="1" t="s">
        <v>1491</v>
      </c>
      <c r="AJ1862" s="1">
        <v>2012</v>
      </c>
      <c r="AK1862" s="1" t="s">
        <v>49</v>
      </c>
      <c r="AL1862" s="1">
        <v>88</v>
      </c>
    </row>
    <row r="1863" spans="1:38" x14ac:dyDescent="0.2">
      <c r="A1863" s="2" t="str">
        <f>HYPERLINK("https://www.compass.com/listing/321-west-110th-street-unit-11a-manhattan-ny-10026/4852316672549202993/","321 W 110th St, Unit 11A")</f>
        <v>321 W 110th St, Unit 11A</v>
      </c>
      <c r="B1863" s="2" t="str">
        <f t="shared" si="299"/>
        <v>One Morningside Park</v>
      </c>
      <c r="C1863" s="1" t="s">
        <v>106</v>
      </c>
      <c r="D1863" s="1" t="s">
        <v>41</v>
      </c>
      <c r="E1863" s="3">
        <v>1572178</v>
      </c>
      <c r="F1863" s="1">
        <v>1418.93321299638</v>
      </c>
      <c r="G1863" s="1">
        <v>4</v>
      </c>
      <c r="H1863" s="1">
        <v>2</v>
      </c>
      <c r="I1863" s="1">
        <v>2</v>
      </c>
      <c r="J1863" s="1">
        <v>2</v>
      </c>
      <c r="M1863" s="4">
        <v>1108</v>
      </c>
      <c r="N1863" s="1">
        <v>1271</v>
      </c>
      <c r="O1863" s="1">
        <v>1337</v>
      </c>
      <c r="P1863" s="1">
        <v>66</v>
      </c>
      <c r="Q1863" s="1" t="s">
        <v>42</v>
      </c>
      <c r="S1863" s="1" t="s">
        <v>42</v>
      </c>
      <c r="T1863" s="1" t="s">
        <v>170</v>
      </c>
      <c r="U1863" s="1">
        <v>352</v>
      </c>
      <c r="V1863" s="5">
        <v>43654</v>
      </c>
      <c r="W1863" s="5">
        <v>41570</v>
      </c>
      <c r="X1863" s="1">
        <v>1544000</v>
      </c>
      <c r="Y1863" s="1">
        <v>1544000</v>
      </c>
      <c r="AA1863" s="1">
        <v>1572178</v>
      </c>
      <c r="AB1863" s="1" t="s">
        <v>1495</v>
      </c>
      <c r="AC1863" s="5">
        <v>41922</v>
      </c>
      <c r="AF1863" s="1">
        <v>10026</v>
      </c>
      <c r="AI1863" s="1" t="s">
        <v>1483</v>
      </c>
      <c r="AJ1863" s="1">
        <v>2012</v>
      </c>
      <c r="AK1863" s="1" t="s">
        <v>49</v>
      </c>
      <c r="AL1863" s="1">
        <v>88</v>
      </c>
    </row>
    <row r="1864" spans="1:38" x14ac:dyDescent="0.2">
      <c r="A1864" s="2" t="str">
        <f>HYPERLINK("https://www.compass.com/listing/321-west-110th-street-unit-12a-manhattan-ny-10026/4852316851494986241/","321 W 110th St, Unit 12A")</f>
        <v>321 W 110th St, Unit 12A</v>
      </c>
      <c r="B1864" s="2" t="str">
        <f t="shared" si="299"/>
        <v>One Morningside Park</v>
      </c>
      <c r="C1864" s="1" t="s">
        <v>106</v>
      </c>
      <c r="D1864" s="1" t="s">
        <v>41</v>
      </c>
      <c r="E1864" s="3">
        <v>1593561</v>
      </c>
      <c r="F1864" s="1">
        <v>1438.2319494584799</v>
      </c>
      <c r="G1864" s="1">
        <v>4</v>
      </c>
      <c r="H1864" s="1">
        <v>2</v>
      </c>
      <c r="I1864" s="1">
        <v>2</v>
      </c>
      <c r="J1864" s="1">
        <v>2</v>
      </c>
      <c r="M1864" s="4">
        <v>1108</v>
      </c>
      <c r="N1864" s="1">
        <v>1271</v>
      </c>
      <c r="O1864" s="1">
        <v>1337</v>
      </c>
      <c r="P1864" s="1">
        <v>66</v>
      </c>
      <c r="Q1864" s="1" t="s">
        <v>42</v>
      </c>
      <c r="S1864" s="1" t="s">
        <v>42</v>
      </c>
      <c r="T1864" s="1" t="s">
        <v>170</v>
      </c>
      <c r="V1864" s="5">
        <v>43654</v>
      </c>
      <c r="W1864" s="5">
        <v>41569</v>
      </c>
      <c r="X1864" s="1">
        <v>1565000</v>
      </c>
      <c r="Y1864" s="1">
        <v>1565000</v>
      </c>
      <c r="Z1864" s="5">
        <v>41569</v>
      </c>
      <c r="AA1864" s="1">
        <v>1593561</v>
      </c>
      <c r="AB1864" s="1" t="s">
        <v>1496</v>
      </c>
      <c r="AC1864" s="5">
        <v>41961</v>
      </c>
      <c r="AF1864" s="1">
        <v>10026</v>
      </c>
      <c r="AI1864" s="1" t="s">
        <v>1483</v>
      </c>
      <c r="AJ1864" s="1">
        <v>2012</v>
      </c>
      <c r="AK1864" s="1" t="s">
        <v>49</v>
      </c>
      <c r="AL1864" s="1">
        <v>88</v>
      </c>
    </row>
    <row r="1865" spans="1:38" x14ac:dyDescent="0.2">
      <c r="A1865" s="2" t="str">
        <f>HYPERLINK("https://www.compass.com/listing/321-west-110th-street-unit-9a-manhattan-ny-10026/4852315695729345313/","321 W 110th St, Unit 9A")</f>
        <v>321 W 110th St, Unit 9A</v>
      </c>
      <c r="B1865" s="2" t="str">
        <f t="shared" si="299"/>
        <v>One Morningside Park</v>
      </c>
      <c r="C1865" s="1" t="s">
        <v>106</v>
      </c>
      <c r="D1865" s="1" t="s">
        <v>41</v>
      </c>
      <c r="E1865" s="3">
        <v>1629200</v>
      </c>
      <c r="F1865" s="1">
        <v>1470.39711191335</v>
      </c>
      <c r="G1865" s="1">
        <v>4</v>
      </c>
      <c r="H1865" s="1">
        <v>2</v>
      </c>
      <c r="I1865" s="1">
        <v>2</v>
      </c>
      <c r="J1865" s="1">
        <v>2</v>
      </c>
      <c r="M1865" s="4">
        <v>1108</v>
      </c>
      <c r="N1865" s="1">
        <v>1271</v>
      </c>
      <c r="O1865" s="1">
        <v>1337</v>
      </c>
      <c r="P1865" s="1">
        <v>66</v>
      </c>
      <c r="Q1865" s="1" t="s">
        <v>42</v>
      </c>
      <c r="S1865" s="1" t="s">
        <v>42</v>
      </c>
      <c r="T1865" s="1" t="s">
        <v>170</v>
      </c>
      <c r="U1865" s="1">
        <v>87</v>
      </c>
      <c r="V1865" s="5">
        <v>43654</v>
      </c>
      <c r="W1865" s="5">
        <v>41570</v>
      </c>
      <c r="X1865" s="1">
        <v>1503000</v>
      </c>
      <c r="Y1865" s="1">
        <v>1600000</v>
      </c>
      <c r="Z1865" s="5">
        <v>41657</v>
      </c>
      <c r="AA1865" s="1">
        <v>1629200</v>
      </c>
      <c r="AB1865" s="1" t="s">
        <v>1497</v>
      </c>
      <c r="AC1865" s="5">
        <v>41936</v>
      </c>
      <c r="AF1865" s="1">
        <v>10026</v>
      </c>
      <c r="AI1865" s="1" t="s">
        <v>1483</v>
      </c>
      <c r="AJ1865" s="1">
        <v>2012</v>
      </c>
      <c r="AK1865" s="1" t="s">
        <v>49</v>
      </c>
      <c r="AL1865" s="1">
        <v>88</v>
      </c>
    </row>
    <row r="1866" spans="1:38" x14ac:dyDescent="0.2">
      <c r="A1866" s="2" t="str">
        <f>HYPERLINK("https://www.compass.com/listing/321-west-110th-street-unit-13b-manhattan-ny-10026/4852316829692993281/","321 W 110th St, Unit 13B")</f>
        <v>321 W 110th St, Unit 13B</v>
      </c>
      <c r="B1866" s="2" t="str">
        <f t="shared" si="299"/>
        <v>One Morningside Park</v>
      </c>
      <c r="C1866" s="1" t="s">
        <v>106</v>
      </c>
      <c r="D1866" s="1" t="s">
        <v>41</v>
      </c>
      <c r="E1866" s="3">
        <v>1462207</v>
      </c>
      <c r="F1866" s="1">
        <v>1391.25309229305</v>
      </c>
      <c r="G1866" s="1">
        <v>4</v>
      </c>
      <c r="H1866" s="1">
        <v>2</v>
      </c>
      <c r="I1866" s="1">
        <v>2</v>
      </c>
      <c r="J1866" s="1">
        <v>2</v>
      </c>
      <c r="M1866" s="4">
        <v>1051</v>
      </c>
      <c r="N1866" s="1">
        <v>1140</v>
      </c>
      <c r="O1866" s="1">
        <v>1200</v>
      </c>
      <c r="P1866" s="1">
        <v>60</v>
      </c>
      <c r="Q1866" s="1" t="s">
        <v>42</v>
      </c>
      <c r="S1866" s="1" t="s">
        <v>42</v>
      </c>
      <c r="T1866" s="1" t="s">
        <v>170</v>
      </c>
      <c r="U1866" s="1">
        <v>101</v>
      </c>
      <c r="V1866" s="5">
        <v>43654</v>
      </c>
      <c r="W1866" s="5">
        <v>41570</v>
      </c>
      <c r="X1866" s="1">
        <v>1436000</v>
      </c>
      <c r="Y1866" s="1">
        <v>1436000</v>
      </c>
      <c r="Z1866" s="5">
        <v>41671</v>
      </c>
      <c r="AA1866" s="1">
        <v>1462207</v>
      </c>
      <c r="AB1866" s="1" t="s">
        <v>1498</v>
      </c>
      <c r="AC1866" s="5">
        <v>41964</v>
      </c>
      <c r="AF1866" s="1">
        <v>10026</v>
      </c>
      <c r="AI1866" s="1" t="s">
        <v>1483</v>
      </c>
      <c r="AJ1866" s="1">
        <v>2012</v>
      </c>
      <c r="AK1866" s="1" t="s">
        <v>49</v>
      </c>
      <c r="AL1866" s="1">
        <v>88</v>
      </c>
    </row>
    <row r="1867" spans="1:38" x14ac:dyDescent="0.2">
      <c r="A1867" s="2" t="str">
        <f>HYPERLINK("https://www.compass.com/listing/321-west-110th-street-unit-14c-manhattan-ny-10026/4852317173701426577/","321 W 110th St, Unit 14C")</f>
        <v>321 W 110th St, Unit 14C</v>
      </c>
      <c r="B1867" s="2" t="str">
        <f t="shared" si="299"/>
        <v>One Morningside Park</v>
      </c>
      <c r="C1867" s="1" t="s">
        <v>106</v>
      </c>
      <c r="D1867" s="1" t="s">
        <v>41</v>
      </c>
      <c r="E1867" s="3">
        <v>1677057</v>
      </c>
      <c r="F1867" s="1">
        <v>1458.3104347825999</v>
      </c>
      <c r="G1867" s="1">
        <v>4</v>
      </c>
      <c r="H1867" s="1">
        <v>2</v>
      </c>
      <c r="I1867" s="1">
        <v>2</v>
      </c>
      <c r="J1867" s="1">
        <v>2</v>
      </c>
      <c r="M1867" s="4">
        <v>1150</v>
      </c>
      <c r="N1867" s="1">
        <v>1238</v>
      </c>
      <c r="O1867" s="1">
        <v>1304</v>
      </c>
      <c r="P1867" s="1">
        <v>66</v>
      </c>
      <c r="Q1867" s="1" t="s">
        <v>42</v>
      </c>
      <c r="S1867" s="1" t="s">
        <v>42</v>
      </c>
      <c r="T1867" s="1" t="s">
        <v>170</v>
      </c>
      <c r="U1867" s="1">
        <v>57</v>
      </c>
      <c r="V1867" s="5">
        <v>43654</v>
      </c>
      <c r="W1867" s="5">
        <v>41612</v>
      </c>
      <c r="X1867" s="1">
        <v>1647000</v>
      </c>
      <c r="Y1867" s="1">
        <v>1647000</v>
      </c>
      <c r="Z1867" s="5">
        <v>41669</v>
      </c>
      <c r="AA1867" s="1">
        <v>1677057</v>
      </c>
      <c r="AB1867" s="1" t="s">
        <v>1499</v>
      </c>
      <c r="AC1867" s="5">
        <v>41970</v>
      </c>
      <c r="AF1867" s="1">
        <v>10026</v>
      </c>
      <c r="AI1867" s="1" t="s">
        <v>1483</v>
      </c>
      <c r="AJ1867" s="1">
        <v>2012</v>
      </c>
      <c r="AK1867" s="1" t="s">
        <v>49</v>
      </c>
      <c r="AL1867" s="1">
        <v>88</v>
      </c>
    </row>
    <row r="1868" spans="1:38" x14ac:dyDescent="0.2">
      <c r="A1868" s="2" t="str">
        <f>HYPERLINK("https://www.compass.com/listing/321-west-110th-street-unit-14b-manhattan-ny-10026/4852269978369392977/","321 W 110th St, Unit 14B")</f>
        <v>321 W 110th St, Unit 14B</v>
      </c>
      <c r="B1868" s="2" t="str">
        <f t="shared" si="299"/>
        <v>One Morningside Park</v>
      </c>
      <c r="C1868" s="1" t="s">
        <v>106</v>
      </c>
      <c r="D1868" s="1" t="s">
        <v>41</v>
      </c>
      <c r="E1868" s="3">
        <v>1640000</v>
      </c>
      <c r="F1868" s="1">
        <v>1560.4186489058</v>
      </c>
      <c r="G1868" s="1">
        <v>4</v>
      </c>
      <c r="H1868" s="1">
        <v>2</v>
      </c>
      <c r="I1868" s="1">
        <v>2</v>
      </c>
      <c r="J1868" s="1">
        <v>2</v>
      </c>
      <c r="K1868" s="1">
        <v>2</v>
      </c>
      <c r="M1868" s="4">
        <v>1051</v>
      </c>
      <c r="N1868" s="1">
        <v>1118</v>
      </c>
      <c r="O1868" s="1">
        <v>1178</v>
      </c>
      <c r="P1868" s="1">
        <v>60</v>
      </c>
      <c r="Q1868" s="1" t="s">
        <v>42</v>
      </c>
      <c r="S1868" s="1" t="s">
        <v>42</v>
      </c>
      <c r="T1868" s="1" t="s">
        <v>170</v>
      </c>
      <c r="U1868" s="1">
        <v>55</v>
      </c>
      <c r="V1868" s="5">
        <v>43670</v>
      </c>
      <c r="W1868" s="5">
        <v>42090</v>
      </c>
      <c r="X1868" s="1">
        <v>1695000</v>
      </c>
      <c r="Y1868" s="1">
        <v>1695000</v>
      </c>
      <c r="Z1868" s="5">
        <v>42145</v>
      </c>
      <c r="AA1868" s="1">
        <v>1640000</v>
      </c>
      <c r="AB1868" s="1" t="s">
        <v>1500</v>
      </c>
      <c r="AC1868" s="5">
        <v>42186</v>
      </c>
      <c r="AF1868" s="1">
        <v>10026</v>
      </c>
      <c r="AI1868" s="1" t="s">
        <v>1501</v>
      </c>
      <c r="AJ1868" s="1">
        <v>2012</v>
      </c>
      <c r="AK1868" s="1" t="s">
        <v>77</v>
      </c>
      <c r="AL1868" s="1">
        <v>88</v>
      </c>
    </row>
    <row r="1869" spans="1:38" x14ac:dyDescent="0.2">
      <c r="A1869" s="2" t="str">
        <f>HYPERLINK("https://www.compass.com/listing/321-west-110th-street-unit-11d-manhattan-ny-10026/29430024046187249/","321 W 110th St, Unit 11D")</f>
        <v>321 W 110th St, Unit 11D</v>
      </c>
      <c r="B1869" s="2" t="str">
        <f t="shared" si="299"/>
        <v>One Morningside Park</v>
      </c>
      <c r="C1869" s="1" t="s">
        <v>106</v>
      </c>
      <c r="D1869" s="1" t="s">
        <v>41</v>
      </c>
      <c r="E1869" s="3">
        <v>1500901</v>
      </c>
      <c r="F1869" s="1">
        <v>1305.1313043478201</v>
      </c>
      <c r="G1869" s="1">
        <v>4</v>
      </c>
      <c r="H1869" s="1">
        <v>2</v>
      </c>
      <c r="I1869" s="1">
        <v>2</v>
      </c>
      <c r="J1869" s="1">
        <v>2</v>
      </c>
      <c r="M1869" s="4">
        <v>1150</v>
      </c>
      <c r="N1869" s="1">
        <v>1238</v>
      </c>
      <c r="O1869" s="1">
        <v>1304</v>
      </c>
      <c r="P1869" s="1">
        <v>66</v>
      </c>
      <c r="Q1869" s="1" t="s">
        <v>42</v>
      </c>
      <c r="S1869" s="1" t="s">
        <v>42</v>
      </c>
      <c r="T1869" s="1" t="s">
        <v>170</v>
      </c>
      <c r="V1869" s="5">
        <v>43655</v>
      </c>
      <c r="W1869" s="5">
        <v>41570</v>
      </c>
      <c r="X1869" s="1">
        <v>1474000</v>
      </c>
      <c r="Y1869" s="1">
        <v>1474000</v>
      </c>
      <c r="Z1869" s="5">
        <v>41570</v>
      </c>
      <c r="AA1869" s="1">
        <v>1500901</v>
      </c>
      <c r="AB1869" s="1" t="s">
        <v>1502</v>
      </c>
      <c r="AC1869" s="5">
        <v>41940</v>
      </c>
      <c r="AF1869" s="1">
        <v>10026</v>
      </c>
      <c r="AI1869" s="1" t="s">
        <v>1483</v>
      </c>
      <c r="AJ1869" s="1">
        <v>2012</v>
      </c>
      <c r="AK1869" s="1" t="s">
        <v>49</v>
      </c>
      <c r="AL1869" s="1">
        <v>88</v>
      </c>
    </row>
    <row r="1870" spans="1:38" x14ac:dyDescent="0.2">
      <c r="A1870" s="2" t="str">
        <f>HYPERLINK("https://www.compass.com/listing/321-west-110th-street-unit-8d-manhattan-ny-10026/4852305803673081873/","321 W 110th St, Unit 8D")</f>
        <v>321 W 110th St, Unit 8D</v>
      </c>
      <c r="B1870" s="2" t="str">
        <f t="shared" si="299"/>
        <v>One Morningside Park</v>
      </c>
      <c r="C1870" s="1" t="s">
        <v>106</v>
      </c>
      <c r="D1870" s="1" t="s">
        <v>41</v>
      </c>
      <c r="E1870" s="3">
        <v>1438787</v>
      </c>
      <c r="F1870" s="1">
        <v>1251.1191304347799</v>
      </c>
      <c r="G1870" s="1">
        <v>4</v>
      </c>
      <c r="H1870" s="1">
        <v>2</v>
      </c>
      <c r="I1870" s="1">
        <v>2</v>
      </c>
      <c r="J1870" s="1">
        <v>2</v>
      </c>
      <c r="M1870" s="4">
        <v>1150</v>
      </c>
      <c r="N1870" s="1">
        <v>1238</v>
      </c>
      <c r="O1870" s="1">
        <v>1304</v>
      </c>
      <c r="P1870" s="1">
        <v>66</v>
      </c>
      <c r="Q1870" s="1" t="s">
        <v>42</v>
      </c>
      <c r="S1870" s="1" t="s">
        <v>42</v>
      </c>
      <c r="T1870" s="1" t="s">
        <v>170</v>
      </c>
      <c r="U1870" s="1">
        <v>100</v>
      </c>
      <c r="V1870" s="5">
        <v>43654</v>
      </c>
      <c r="W1870" s="5">
        <v>41501</v>
      </c>
      <c r="X1870" s="1">
        <v>1413000</v>
      </c>
      <c r="Y1870" s="1">
        <v>1413000</v>
      </c>
      <c r="Z1870" s="5">
        <v>41601</v>
      </c>
      <c r="AA1870" s="1">
        <v>1438787</v>
      </c>
      <c r="AB1870" s="1" t="s">
        <v>1503</v>
      </c>
      <c r="AC1870" s="5">
        <v>41928</v>
      </c>
      <c r="AF1870" s="1">
        <v>10026</v>
      </c>
      <c r="AI1870" s="1" t="s">
        <v>1483</v>
      </c>
      <c r="AJ1870" s="1">
        <v>2012</v>
      </c>
      <c r="AK1870" s="1" t="s">
        <v>49</v>
      </c>
      <c r="AL1870" s="1">
        <v>88</v>
      </c>
    </row>
    <row r="1871" spans="1:38" x14ac:dyDescent="0.2">
      <c r="A1871" s="2" t="str">
        <f>HYPERLINK("https://www.compass.com/listing/321-west-110th-street-unit-12b-manhattan-ny-10026/4852305981998107233/","321 W 110th St, Unit 12B")</f>
        <v>321 W 110th St, Unit 12B</v>
      </c>
      <c r="B1871" s="2" t="str">
        <f t="shared" si="299"/>
        <v>One Morningside Park</v>
      </c>
      <c r="C1871" s="1" t="s">
        <v>106</v>
      </c>
      <c r="D1871" s="1" t="s">
        <v>41</v>
      </c>
      <c r="E1871" s="3">
        <v>1440823</v>
      </c>
      <c r="F1871" s="1">
        <v>1370.90675547098</v>
      </c>
      <c r="G1871" s="1">
        <v>4</v>
      </c>
      <c r="H1871" s="1">
        <v>2</v>
      </c>
      <c r="I1871" s="1">
        <v>2</v>
      </c>
      <c r="J1871" s="1">
        <v>2</v>
      </c>
      <c r="M1871" s="4">
        <v>1051</v>
      </c>
      <c r="N1871" s="1">
        <v>1140</v>
      </c>
      <c r="O1871" s="1">
        <v>1200</v>
      </c>
      <c r="P1871" s="1">
        <v>60</v>
      </c>
      <c r="Q1871" s="1" t="s">
        <v>42</v>
      </c>
      <c r="S1871" s="1" t="s">
        <v>42</v>
      </c>
      <c r="T1871" s="1" t="s">
        <v>170</v>
      </c>
      <c r="U1871" s="1">
        <v>69</v>
      </c>
      <c r="V1871" s="5">
        <v>43654</v>
      </c>
      <c r="W1871" s="5">
        <v>41501</v>
      </c>
      <c r="X1871" s="1">
        <v>1415000</v>
      </c>
      <c r="Y1871" s="1">
        <v>1415000</v>
      </c>
      <c r="Z1871" s="5">
        <v>41625</v>
      </c>
      <c r="AA1871" s="1">
        <v>1440823</v>
      </c>
      <c r="AB1871" s="1" t="s">
        <v>1504</v>
      </c>
      <c r="AC1871" s="5">
        <v>41941</v>
      </c>
      <c r="AF1871" s="1">
        <v>10026</v>
      </c>
      <c r="AI1871" s="1" t="s">
        <v>1483</v>
      </c>
      <c r="AJ1871" s="1">
        <v>2012</v>
      </c>
      <c r="AK1871" s="1" t="s">
        <v>49</v>
      </c>
      <c r="AL1871" s="1">
        <v>88</v>
      </c>
    </row>
    <row r="1872" spans="1:38" x14ac:dyDescent="0.2">
      <c r="A1872" s="2" t="str">
        <f>HYPERLINK("https://www.compass.com/listing/321-west-110th-street-unit-12c-manhattan-ny-10026/4852316598301628577/","321 W 110th St, Unit 12C")</f>
        <v>321 W 110th St, Unit 12C</v>
      </c>
      <c r="B1872" s="2" t="str">
        <f t="shared" si="299"/>
        <v>One Morningside Park</v>
      </c>
      <c r="C1872" s="1" t="s">
        <v>106</v>
      </c>
      <c r="D1872" s="1" t="s">
        <v>41</v>
      </c>
      <c r="E1872" s="3">
        <v>1534502</v>
      </c>
      <c r="F1872" s="1">
        <v>1334.3495652173899</v>
      </c>
      <c r="G1872" s="1">
        <v>4</v>
      </c>
      <c r="H1872" s="1">
        <v>2</v>
      </c>
      <c r="I1872" s="1">
        <v>2</v>
      </c>
      <c r="J1872" s="1">
        <v>2</v>
      </c>
      <c r="M1872" s="4">
        <v>1150</v>
      </c>
      <c r="N1872" s="1">
        <v>1238</v>
      </c>
      <c r="O1872" s="1">
        <v>1304</v>
      </c>
      <c r="P1872" s="1">
        <v>66</v>
      </c>
      <c r="Q1872" s="1" t="s">
        <v>42</v>
      </c>
      <c r="S1872" s="1" t="s">
        <v>42</v>
      </c>
      <c r="T1872" s="1" t="s">
        <v>170</v>
      </c>
      <c r="U1872" s="1">
        <v>4</v>
      </c>
      <c r="V1872" s="5">
        <v>43654</v>
      </c>
      <c r="W1872" s="5">
        <v>41570</v>
      </c>
      <c r="X1872" s="1">
        <v>1507000</v>
      </c>
      <c r="Y1872" s="1">
        <v>1507000</v>
      </c>
      <c r="Z1872" s="5">
        <v>41574</v>
      </c>
      <c r="AA1872" s="1">
        <v>1534502</v>
      </c>
      <c r="AB1872" s="1" t="s">
        <v>1505</v>
      </c>
      <c r="AC1872" s="5">
        <v>41955</v>
      </c>
      <c r="AF1872" s="1">
        <v>10026</v>
      </c>
      <c r="AI1872" s="1" t="s">
        <v>1483</v>
      </c>
      <c r="AJ1872" s="1">
        <v>2012</v>
      </c>
      <c r="AK1872" s="1" t="s">
        <v>49</v>
      </c>
      <c r="AL1872" s="1">
        <v>88</v>
      </c>
    </row>
    <row r="1873" spans="1:38" x14ac:dyDescent="0.2">
      <c r="A1873" s="2" t="str">
        <f>HYPERLINK("https://www.compass.com/listing/321-west-110th-street-unit-13c-manhattan-ny-10026/4852316598947551537/","321 W 110th St, Unit 13C")</f>
        <v>321 W 110th St, Unit 13C</v>
      </c>
      <c r="B1873" s="2" t="str">
        <f t="shared" si="299"/>
        <v>One Morningside Park</v>
      </c>
      <c r="C1873" s="1" t="s">
        <v>106</v>
      </c>
      <c r="D1873" s="1" t="s">
        <v>41</v>
      </c>
      <c r="E1873" s="3">
        <v>1554867</v>
      </c>
      <c r="F1873" s="1">
        <v>1352.0582608695599</v>
      </c>
      <c r="G1873" s="1">
        <v>4</v>
      </c>
      <c r="H1873" s="1">
        <v>2</v>
      </c>
      <c r="I1873" s="1">
        <v>2</v>
      </c>
      <c r="J1873" s="1">
        <v>2</v>
      </c>
      <c r="M1873" s="4">
        <v>1150</v>
      </c>
      <c r="N1873" s="1">
        <v>1238</v>
      </c>
      <c r="O1873" s="1">
        <v>1304</v>
      </c>
      <c r="P1873" s="1">
        <v>66</v>
      </c>
      <c r="Q1873" s="1" t="s">
        <v>42</v>
      </c>
      <c r="S1873" s="1" t="s">
        <v>42</v>
      </c>
      <c r="T1873" s="1" t="s">
        <v>170</v>
      </c>
      <c r="U1873" s="1">
        <v>42</v>
      </c>
      <c r="V1873" s="5">
        <v>43654</v>
      </c>
      <c r="W1873" s="5">
        <v>41570</v>
      </c>
      <c r="X1873" s="1">
        <v>1527000</v>
      </c>
      <c r="Y1873" s="1">
        <v>1627000</v>
      </c>
      <c r="Z1873" s="5">
        <v>41612</v>
      </c>
      <c r="AA1873" s="1">
        <v>1554867</v>
      </c>
      <c r="AB1873" s="1" t="s">
        <v>1506</v>
      </c>
      <c r="AC1873" s="5">
        <v>41984</v>
      </c>
      <c r="AF1873" s="1">
        <v>10026</v>
      </c>
      <c r="AI1873" s="1" t="s">
        <v>1483</v>
      </c>
      <c r="AJ1873" s="1">
        <v>2012</v>
      </c>
      <c r="AK1873" s="1" t="s">
        <v>49</v>
      </c>
      <c r="AL1873" s="1">
        <v>88</v>
      </c>
    </row>
    <row r="1874" spans="1:38" x14ac:dyDescent="0.2">
      <c r="A1874" s="2" t="str">
        <f>HYPERLINK("https://www.compass.com/listing/321-west-110th-street-unit-10d-manhattan-ny-10026/4852329901065242401/","321 W 110th St, Unit 10D")</f>
        <v>321 W 110th St, Unit 10D</v>
      </c>
      <c r="B1874" s="2" t="str">
        <f t="shared" si="299"/>
        <v>One Morningside Park</v>
      </c>
      <c r="C1874" s="1" t="s">
        <v>106</v>
      </c>
      <c r="D1874" s="1" t="s">
        <v>41</v>
      </c>
      <c r="E1874" s="3">
        <v>1480535</v>
      </c>
      <c r="F1874" s="1">
        <v>1287.4217391304301</v>
      </c>
      <c r="G1874" s="1">
        <v>4</v>
      </c>
      <c r="H1874" s="1">
        <v>2</v>
      </c>
      <c r="I1874" s="1">
        <v>2</v>
      </c>
      <c r="J1874" s="1">
        <v>2</v>
      </c>
      <c r="M1874" s="4">
        <v>1150</v>
      </c>
      <c r="N1874" s="1">
        <v>1238</v>
      </c>
      <c r="O1874" s="1">
        <v>1304</v>
      </c>
      <c r="P1874" s="1">
        <v>66</v>
      </c>
      <c r="Q1874" s="1" t="s">
        <v>42</v>
      </c>
      <c r="S1874" s="1" t="s">
        <v>42</v>
      </c>
      <c r="T1874" s="1" t="s">
        <v>170</v>
      </c>
      <c r="U1874" s="1">
        <v>69</v>
      </c>
      <c r="V1874" s="5">
        <v>43654</v>
      </c>
      <c r="W1874" s="5">
        <v>41501</v>
      </c>
      <c r="X1874" s="1">
        <v>1454000</v>
      </c>
      <c r="Y1874" s="1">
        <v>1454000</v>
      </c>
      <c r="Z1874" s="5">
        <v>41570</v>
      </c>
      <c r="AA1874" s="1">
        <v>1480535</v>
      </c>
      <c r="AB1874" s="1" t="s">
        <v>1507</v>
      </c>
      <c r="AC1874" s="5">
        <v>41948</v>
      </c>
      <c r="AF1874" s="1">
        <v>10026</v>
      </c>
      <c r="AI1874" s="1" t="s">
        <v>1483</v>
      </c>
      <c r="AJ1874" s="1">
        <v>2012</v>
      </c>
      <c r="AK1874" s="1" t="s">
        <v>49</v>
      </c>
      <c r="AL1874" s="1">
        <v>88</v>
      </c>
    </row>
    <row r="1875" spans="1:38" x14ac:dyDescent="0.2">
      <c r="A1875" s="2" t="str">
        <f>HYPERLINK("https://www.compass.com/listing/321-west-110th-street-unit-20b-manhattan-ny-10026/4852317205653621201/","321 W 110th St, Unit 20B")</f>
        <v>321 W 110th St, Unit 20B</v>
      </c>
      <c r="B1875" s="2" t="str">
        <f t="shared" si="299"/>
        <v>One Morningside Park</v>
      </c>
      <c r="C1875" s="1" t="s">
        <v>106</v>
      </c>
      <c r="D1875" s="1" t="s">
        <v>41</v>
      </c>
      <c r="E1875" s="3">
        <v>1025000</v>
      </c>
      <c r="F1875" s="1">
        <v>1550.6807866868301</v>
      </c>
      <c r="G1875" s="1">
        <v>3</v>
      </c>
      <c r="H1875" s="1">
        <v>1</v>
      </c>
      <c r="I1875" s="1">
        <v>1</v>
      </c>
      <c r="J1875" s="1">
        <v>1</v>
      </c>
      <c r="M1875" s="1">
        <v>661</v>
      </c>
      <c r="N1875" s="1">
        <v>755</v>
      </c>
      <c r="O1875" s="1">
        <v>795</v>
      </c>
      <c r="P1875" s="1">
        <v>40</v>
      </c>
      <c r="Q1875" s="1" t="s">
        <v>42</v>
      </c>
      <c r="S1875" s="1" t="s">
        <v>42</v>
      </c>
      <c r="T1875" s="1" t="s">
        <v>170</v>
      </c>
      <c r="V1875" s="5">
        <v>43654</v>
      </c>
      <c r="W1875" s="5">
        <v>41718</v>
      </c>
      <c r="X1875" s="1">
        <v>1025000</v>
      </c>
      <c r="Y1875" s="1">
        <v>1025000</v>
      </c>
      <c r="Z1875" s="5">
        <v>41718</v>
      </c>
      <c r="AA1875" s="1">
        <v>1025000</v>
      </c>
      <c r="AB1875" s="1" t="s">
        <v>1508</v>
      </c>
      <c r="AC1875" s="5">
        <v>41989</v>
      </c>
      <c r="AF1875" s="1">
        <v>10026</v>
      </c>
      <c r="AI1875" s="1" t="s">
        <v>1483</v>
      </c>
      <c r="AJ1875" s="1">
        <v>2012</v>
      </c>
      <c r="AK1875" s="1" t="s">
        <v>49</v>
      </c>
      <c r="AL1875" s="1">
        <v>88</v>
      </c>
    </row>
    <row r="1876" spans="1:38" x14ac:dyDescent="0.2">
      <c r="A1876" s="2" t="str">
        <f>HYPERLINK("https://www.compass.com/listing/50-riverside-boulevard-unit-23a-manhattan-ny-10069/29396589328067681/","50 Riverside Blvd, Unit 23A")</f>
        <v>50 Riverside Blvd, Unit 23A</v>
      </c>
      <c r="B1876" s="2" t="str">
        <f t="shared" ref="B1876:B1880" si="300">HYPERLINK("https://www.compass.com/building/one-riverside-park-manhattan-ny/282041440266113253/","One Riverside Park")</f>
        <v>One Riverside Park</v>
      </c>
      <c r="C1876" s="1" t="s">
        <v>50</v>
      </c>
      <c r="D1876" s="1" t="s">
        <v>41</v>
      </c>
      <c r="E1876" s="3">
        <v>8200913</v>
      </c>
      <c r="F1876" s="1">
        <v>2570.8191222570499</v>
      </c>
      <c r="G1876" s="1">
        <v>7</v>
      </c>
      <c r="H1876" s="1">
        <v>4</v>
      </c>
      <c r="I1876" s="1">
        <v>4</v>
      </c>
      <c r="J1876" s="1">
        <v>4</v>
      </c>
      <c r="K1876" s="1">
        <v>4</v>
      </c>
      <c r="M1876" s="4">
        <v>3190</v>
      </c>
      <c r="N1876" s="1">
        <v>3559</v>
      </c>
      <c r="O1876" s="1">
        <v>3756</v>
      </c>
      <c r="P1876" s="1">
        <v>197</v>
      </c>
      <c r="Q1876" s="1" t="s">
        <v>42</v>
      </c>
      <c r="S1876" s="1" t="s">
        <v>42</v>
      </c>
      <c r="T1876" s="1" t="s">
        <v>170</v>
      </c>
      <c r="U1876" s="1">
        <v>72</v>
      </c>
      <c r="V1876" s="5">
        <v>43675</v>
      </c>
      <c r="W1876" s="5">
        <v>42045</v>
      </c>
      <c r="X1876" s="1">
        <v>8380000</v>
      </c>
      <c r="Y1876" s="1">
        <v>8380000</v>
      </c>
      <c r="Z1876" s="5">
        <v>42139</v>
      </c>
      <c r="AA1876" s="1">
        <v>8200913</v>
      </c>
      <c r="AB1876" s="1" t="s">
        <v>1509</v>
      </c>
      <c r="AC1876" s="5">
        <v>42567</v>
      </c>
      <c r="AF1876" s="1">
        <v>10069</v>
      </c>
      <c r="AI1876" s="1" t="s">
        <v>101</v>
      </c>
      <c r="AJ1876" s="1">
        <v>2016</v>
      </c>
      <c r="AK1876" s="1" t="s">
        <v>73</v>
      </c>
      <c r="AL1876" s="1">
        <v>657</v>
      </c>
    </row>
    <row r="1877" spans="1:38" x14ac:dyDescent="0.2">
      <c r="A1877" s="2" t="str">
        <f>HYPERLINK("https://www.compass.com/listing/50-riverside-boulevard-unit-ph2a-manhattan-ny-10069/29396593883019985/","50 Riverside Blvd, Unit PH2A")</f>
        <v>50 Riverside Blvd, Unit PH2A</v>
      </c>
      <c r="B1877" s="2" t="str">
        <f t="shared" si="300"/>
        <v>One Riverside Park</v>
      </c>
      <c r="C1877" s="1" t="s">
        <v>50</v>
      </c>
      <c r="D1877" s="1" t="s">
        <v>41</v>
      </c>
      <c r="E1877" s="3">
        <v>19695500</v>
      </c>
      <c r="F1877" s="1">
        <v>3193.1744487678302</v>
      </c>
      <c r="G1877" s="1">
        <v>12</v>
      </c>
      <c r="H1877" s="1">
        <v>6</v>
      </c>
      <c r="I1877" s="1">
        <v>8</v>
      </c>
      <c r="J1877" s="1">
        <v>8</v>
      </c>
      <c r="K1877" s="1">
        <v>8</v>
      </c>
      <c r="M1877" s="4">
        <v>6168</v>
      </c>
      <c r="N1877" s="1">
        <v>6913</v>
      </c>
      <c r="O1877" s="1">
        <v>7296</v>
      </c>
      <c r="P1877" s="1">
        <v>383</v>
      </c>
      <c r="Q1877" s="1" t="s">
        <v>42</v>
      </c>
      <c r="S1877" s="1" t="s">
        <v>42</v>
      </c>
      <c r="T1877" s="1" t="s">
        <v>170</v>
      </c>
      <c r="U1877" s="1">
        <v>409</v>
      </c>
      <c r="V1877" s="5">
        <v>43673</v>
      </c>
      <c r="W1877" s="5">
        <v>41777</v>
      </c>
      <c r="X1877" s="1">
        <v>20660000</v>
      </c>
      <c r="Y1877" s="1">
        <v>20660000</v>
      </c>
      <c r="Z1877" s="5">
        <v>42362</v>
      </c>
      <c r="AA1877" s="1">
        <v>19695500</v>
      </c>
      <c r="AB1877" s="1" t="s">
        <v>1510</v>
      </c>
      <c r="AC1877" s="5">
        <v>42709</v>
      </c>
      <c r="AF1877" s="1">
        <v>10069</v>
      </c>
      <c r="AI1877" s="1" t="s">
        <v>101</v>
      </c>
      <c r="AJ1877" s="1">
        <v>2016</v>
      </c>
      <c r="AK1877" s="1" t="s">
        <v>73</v>
      </c>
      <c r="AL1877" s="1">
        <v>657</v>
      </c>
    </row>
    <row r="1878" spans="1:38" x14ac:dyDescent="0.2">
      <c r="A1878" s="2" t="str">
        <f>HYPERLINK("https://www.compass.com/listing/50-riverside-boulevard-unit-21b-manhattan-ny-10069/29396604578557393/","50 Riverside Blvd, Unit 21B")</f>
        <v>50 Riverside Blvd, Unit 21B</v>
      </c>
      <c r="B1878" s="2" t="str">
        <f t="shared" si="300"/>
        <v>One Riverside Park</v>
      </c>
      <c r="C1878" s="1" t="s">
        <v>50</v>
      </c>
      <c r="D1878" s="1" t="s">
        <v>41</v>
      </c>
      <c r="E1878" s="3">
        <v>15074100</v>
      </c>
      <c r="F1878" s="1">
        <v>2489.1182298546801</v>
      </c>
      <c r="G1878" s="1">
        <v>11.5</v>
      </c>
      <c r="H1878" s="1">
        <v>7</v>
      </c>
      <c r="I1878" s="1">
        <v>9</v>
      </c>
      <c r="J1878" s="1">
        <v>9</v>
      </c>
      <c r="M1878" s="4">
        <v>6056</v>
      </c>
      <c r="N1878" s="1">
        <v>7765</v>
      </c>
      <c r="O1878" s="1">
        <v>8195</v>
      </c>
      <c r="P1878" s="1">
        <v>430</v>
      </c>
      <c r="Q1878" s="1" t="s">
        <v>42</v>
      </c>
      <c r="S1878" s="1" t="s">
        <v>42</v>
      </c>
      <c r="T1878" s="1" t="s">
        <v>170</v>
      </c>
      <c r="U1878" s="1">
        <v>239</v>
      </c>
      <c r="V1878" s="5">
        <v>43662</v>
      </c>
      <c r="W1878" s="5">
        <v>42566</v>
      </c>
      <c r="X1878" s="1">
        <v>21000000</v>
      </c>
      <c r="Y1878" s="1">
        <v>16250000</v>
      </c>
      <c r="Z1878" s="5">
        <v>42805</v>
      </c>
      <c r="AA1878" s="1">
        <v>15074100</v>
      </c>
      <c r="AB1878" s="1" t="s">
        <v>1511</v>
      </c>
      <c r="AC1878" s="5">
        <v>42832</v>
      </c>
      <c r="AF1878" s="1">
        <v>10069</v>
      </c>
      <c r="AI1878" s="1" t="s">
        <v>1512</v>
      </c>
      <c r="AJ1878" s="1">
        <v>2016</v>
      </c>
      <c r="AK1878" s="1" t="s">
        <v>73</v>
      </c>
      <c r="AL1878" s="1">
        <v>657</v>
      </c>
    </row>
    <row r="1879" spans="1:38" x14ac:dyDescent="0.2">
      <c r="A1879" s="2" t="str">
        <f>HYPERLINK("https://www.compass.com/listing/50-riverside-boulevard-unit-24b-manhattan-ny-10069/29396605610335217/","50 Riverside Blvd, Unit 24B")</f>
        <v>50 Riverside Blvd, Unit 24B</v>
      </c>
      <c r="B1879" s="2" t="str">
        <f t="shared" si="300"/>
        <v>One Riverside Park</v>
      </c>
      <c r="C1879" s="1" t="s">
        <v>50</v>
      </c>
      <c r="D1879" s="1" t="s">
        <v>41</v>
      </c>
      <c r="E1879" s="3">
        <v>7233575</v>
      </c>
      <c r="F1879" s="1">
        <v>2160.5660095579401</v>
      </c>
      <c r="G1879" s="1">
        <v>7</v>
      </c>
      <c r="H1879" s="1">
        <v>4</v>
      </c>
      <c r="I1879" s="1">
        <v>4</v>
      </c>
      <c r="J1879" s="1">
        <v>4.5</v>
      </c>
      <c r="K1879" s="1">
        <v>4</v>
      </c>
      <c r="L1879" s="1">
        <v>1</v>
      </c>
      <c r="M1879" s="4">
        <v>3348</v>
      </c>
      <c r="N1879" s="1">
        <v>3738</v>
      </c>
      <c r="O1879" s="1">
        <v>3945</v>
      </c>
      <c r="P1879" s="1">
        <v>207</v>
      </c>
      <c r="Q1879" s="1" t="s">
        <v>42</v>
      </c>
      <c r="S1879" s="1" t="s">
        <v>42</v>
      </c>
      <c r="T1879" s="1" t="s">
        <v>170</v>
      </c>
      <c r="V1879" s="5">
        <v>43668</v>
      </c>
      <c r="W1879" s="5">
        <v>42933</v>
      </c>
      <c r="X1879" s="1">
        <v>7250000</v>
      </c>
      <c r="Y1879" s="1">
        <v>7250000</v>
      </c>
      <c r="Z1879" s="5">
        <v>42933</v>
      </c>
      <c r="AA1879" s="1">
        <v>7233575</v>
      </c>
      <c r="AB1879" s="1" t="s">
        <v>1513</v>
      </c>
      <c r="AC1879" s="5">
        <v>42968</v>
      </c>
      <c r="AF1879" s="1">
        <v>10069</v>
      </c>
      <c r="AI1879" s="1" t="s">
        <v>101</v>
      </c>
      <c r="AJ1879" s="1">
        <v>2016</v>
      </c>
      <c r="AK1879" s="1" t="s">
        <v>73</v>
      </c>
      <c r="AL1879" s="1">
        <v>657</v>
      </c>
    </row>
    <row r="1880" spans="1:38" x14ac:dyDescent="0.2">
      <c r="A1880" s="2" t="str">
        <f>HYPERLINK("https://www.compass.com/listing/50-riverside-boulevard-unit-17e-manhattan-ny-10069/29396625147424593/","50 Riverside Blvd, Unit 17E")</f>
        <v>50 Riverside Blvd, Unit 17E</v>
      </c>
      <c r="B1880" s="2" t="str">
        <f t="shared" si="300"/>
        <v>One Riverside Park</v>
      </c>
      <c r="C1880" s="1" t="s">
        <v>50</v>
      </c>
      <c r="D1880" s="1" t="s">
        <v>41</v>
      </c>
      <c r="E1880" s="3">
        <v>12117175</v>
      </c>
      <c r="F1880" s="1">
        <v>2868.6493844696902</v>
      </c>
      <c r="G1880" s="1">
        <v>8</v>
      </c>
      <c r="H1880" s="1">
        <v>5</v>
      </c>
      <c r="I1880" s="1">
        <v>6</v>
      </c>
      <c r="J1880" s="1">
        <v>6</v>
      </c>
      <c r="K1880" s="1">
        <v>6</v>
      </c>
      <c r="M1880" s="4">
        <v>4224</v>
      </c>
      <c r="N1880" s="1">
        <v>5708</v>
      </c>
      <c r="O1880" s="1">
        <v>6024</v>
      </c>
      <c r="P1880" s="1">
        <v>316</v>
      </c>
      <c r="Q1880" s="1" t="s">
        <v>42</v>
      </c>
      <c r="S1880" s="1" t="s">
        <v>42</v>
      </c>
      <c r="T1880" s="1" t="s">
        <v>170</v>
      </c>
      <c r="U1880" s="1">
        <v>847</v>
      </c>
      <c r="V1880" s="5">
        <v>42511</v>
      </c>
      <c r="W1880" s="5">
        <v>41659</v>
      </c>
      <c r="X1880" s="1">
        <v>15350000</v>
      </c>
      <c r="Y1880" s="1">
        <v>13850000</v>
      </c>
      <c r="AA1880" s="1">
        <v>12117175</v>
      </c>
      <c r="AB1880" s="1" t="s">
        <v>1514</v>
      </c>
      <c r="AC1880" s="5">
        <v>42611</v>
      </c>
      <c r="AF1880" s="1">
        <v>10069</v>
      </c>
      <c r="AI1880" s="1" t="s">
        <v>1515</v>
      </c>
      <c r="AJ1880" s="1">
        <v>2016</v>
      </c>
      <c r="AK1880" s="1" t="s">
        <v>73</v>
      </c>
      <c r="AL1880" s="1">
        <v>657</v>
      </c>
    </row>
    <row r="1881" spans="1:38" x14ac:dyDescent="0.2">
      <c r="A1881" s="2" t="str">
        <f>HYPERLINK("https://www.compass.com/listing/321-west-110th-street-unit-15b-manhattan-ny-10026/312259486685174721/","321 W 110th St, Unit 15B")</f>
        <v>321 W 110th St, Unit 15B</v>
      </c>
      <c r="B1881" s="2" t="str">
        <f t="shared" ref="B1881:B1882" si="301">HYPERLINK("https://www.compass.com/building/one-morningside-park-manhattan-ny/294836904016796069/","One Morningside Park")</f>
        <v>One Morningside Park</v>
      </c>
      <c r="C1881" s="1" t="s">
        <v>106</v>
      </c>
      <c r="D1881" s="1" t="s">
        <v>41</v>
      </c>
      <c r="E1881" s="3">
        <v>950000</v>
      </c>
      <c r="F1881" s="1">
        <v>1437.21633888048</v>
      </c>
      <c r="G1881" s="1">
        <v>3</v>
      </c>
      <c r="H1881" s="1">
        <v>1</v>
      </c>
      <c r="I1881" s="1">
        <v>1</v>
      </c>
      <c r="J1881" s="1">
        <v>1</v>
      </c>
      <c r="K1881" s="1">
        <v>1</v>
      </c>
      <c r="M1881" s="1">
        <v>661</v>
      </c>
      <c r="N1881" s="1">
        <v>938</v>
      </c>
      <c r="O1881" s="1">
        <v>976</v>
      </c>
      <c r="P1881" s="1">
        <v>38</v>
      </c>
      <c r="Q1881" s="1" t="s">
        <v>42</v>
      </c>
      <c r="S1881" s="1" t="s">
        <v>42</v>
      </c>
      <c r="T1881" s="1" t="s">
        <v>170</v>
      </c>
      <c r="U1881" s="1">
        <v>100</v>
      </c>
      <c r="V1881" s="5">
        <v>44335</v>
      </c>
      <c r="W1881" s="5">
        <v>43682</v>
      </c>
      <c r="X1881" s="1">
        <v>1150000</v>
      </c>
      <c r="Y1881" s="1">
        <v>968000</v>
      </c>
      <c r="Z1881" s="5">
        <v>43783</v>
      </c>
      <c r="AA1881" s="1">
        <v>950000</v>
      </c>
      <c r="AB1881" s="1" t="s">
        <v>1516</v>
      </c>
      <c r="AC1881" s="5">
        <v>43857</v>
      </c>
      <c r="AF1881" s="1">
        <v>10026</v>
      </c>
      <c r="AI1881" s="1" t="s">
        <v>1517</v>
      </c>
      <c r="AJ1881" s="1">
        <v>2012</v>
      </c>
      <c r="AK1881" s="1" t="s">
        <v>73</v>
      </c>
      <c r="AL1881" s="1">
        <v>88</v>
      </c>
    </row>
    <row r="1882" spans="1:38" x14ac:dyDescent="0.2">
      <c r="A1882" s="2" t="str">
        <f>HYPERLINK("https://www.compass.com/listing/321-west-110th-street-unit-17a-manhattan-ny-10026/29430024767664657/","321 W 110th St, Unit 17A")</f>
        <v>321 W 110th St, Unit 17A</v>
      </c>
      <c r="B1882" s="2" t="str">
        <f t="shared" si="301"/>
        <v>One Morningside Park</v>
      </c>
      <c r="C1882" s="1" t="s">
        <v>106</v>
      </c>
      <c r="D1882" s="1" t="s">
        <v>41</v>
      </c>
      <c r="E1882" s="3">
        <v>2445881</v>
      </c>
      <c r="F1882" s="1">
        <v>1768.53289949385</v>
      </c>
      <c r="G1882" s="1">
        <v>5</v>
      </c>
      <c r="H1882" s="1">
        <v>3</v>
      </c>
      <c r="I1882" s="1">
        <v>2</v>
      </c>
      <c r="J1882" s="1">
        <v>2</v>
      </c>
      <c r="M1882" s="4">
        <v>1383</v>
      </c>
      <c r="N1882" s="1">
        <v>1543</v>
      </c>
      <c r="O1882" s="1">
        <v>1624</v>
      </c>
      <c r="P1882" s="1">
        <v>81</v>
      </c>
      <c r="Q1882" s="1" t="s">
        <v>42</v>
      </c>
      <c r="S1882" s="1" t="s">
        <v>42</v>
      </c>
      <c r="T1882" s="1" t="s">
        <v>170</v>
      </c>
      <c r="U1882" s="1">
        <v>29</v>
      </c>
      <c r="V1882" s="5">
        <v>43654</v>
      </c>
      <c r="W1882" s="5">
        <v>41702</v>
      </c>
      <c r="X1882" s="1">
        <v>2402044</v>
      </c>
      <c r="Y1882" s="1">
        <v>2500000</v>
      </c>
      <c r="Z1882" s="5">
        <v>41731</v>
      </c>
      <c r="AA1882" s="1">
        <v>2445881</v>
      </c>
      <c r="AB1882" s="1" t="s">
        <v>1518</v>
      </c>
      <c r="AC1882" s="5">
        <v>42004</v>
      </c>
      <c r="AF1882" s="1">
        <v>10026</v>
      </c>
      <c r="AI1882" s="1" t="s">
        <v>1483</v>
      </c>
      <c r="AJ1882" s="1">
        <v>2012</v>
      </c>
      <c r="AK1882" s="1" t="s">
        <v>49</v>
      </c>
      <c r="AL1882" s="1">
        <v>88</v>
      </c>
    </row>
    <row r="1883" spans="1:38" x14ac:dyDescent="0.2">
      <c r="A1883" s="2" t="str">
        <f>HYPERLINK("https://www.compass.com/listing/50-riverside-boulevard-unit-27b-manhattan-ny-10069/29396607271279633/","50 Riverside Blvd, Unit 27B")</f>
        <v>50 Riverside Blvd, Unit 27B</v>
      </c>
      <c r="B1883" s="2" t="str">
        <f>HYPERLINK("https://www.compass.com/building/one-riverside-park-manhattan-ny/282041440266113253/","One Riverside Park")</f>
        <v>One Riverside Park</v>
      </c>
      <c r="C1883" s="1" t="s">
        <v>50</v>
      </c>
      <c r="D1883" s="1" t="s">
        <v>41</v>
      </c>
      <c r="E1883" s="3">
        <v>7437225</v>
      </c>
      <c r="F1883" s="1">
        <v>2221.3933691756201</v>
      </c>
      <c r="G1883" s="1">
        <v>6</v>
      </c>
      <c r="H1883" s="1">
        <v>4</v>
      </c>
      <c r="J1883" s="1">
        <v>4.5</v>
      </c>
      <c r="M1883" s="4">
        <v>3348</v>
      </c>
      <c r="N1883" s="1">
        <v>3744</v>
      </c>
      <c r="O1883" s="1">
        <v>3951</v>
      </c>
      <c r="P1883" s="1">
        <v>207</v>
      </c>
      <c r="Q1883" s="1" t="s">
        <v>42</v>
      </c>
      <c r="S1883" s="1" t="s">
        <v>42</v>
      </c>
      <c r="T1883" s="1" t="s">
        <v>170</v>
      </c>
      <c r="U1883" s="1">
        <v>10</v>
      </c>
      <c r="V1883" s="5">
        <v>43699</v>
      </c>
      <c r="W1883" s="5">
        <v>42934</v>
      </c>
      <c r="X1883" s="1">
        <v>7400000</v>
      </c>
      <c r="Y1883" s="1">
        <v>7400000</v>
      </c>
      <c r="Z1883" s="5">
        <v>42944</v>
      </c>
      <c r="AA1883" s="1">
        <v>7437225</v>
      </c>
      <c r="AB1883" s="1" t="s">
        <v>1519</v>
      </c>
      <c r="AC1883" s="5">
        <v>43033</v>
      </c>
      <c r="AF1883" s="1">
        <v>10069</v>
      </c>
      <c r="AI1883" s="1" t="s">
        <v>101</v>
      </c>
      <c r="AJ1883" s="1">
        <v>2016</v>
      </c>
      <c r="AK1883" s="1" t="s">
        <v>73</v>
      </c>
      <c r="AL1883" s="1">
        <v>657</v>
      </c>
    </row>
    <row r="1884" spans="1:38" x14ac:dyDescent="0.2">
      <c r="A1884" s="2" t="str">
        <f>HYPERLINK("https://www.compass.com/listing/321-west-110th-street-unit-19b-manhattan-ny-10026/4852317090805195921/","321 W 110th St, Unit 19B")</f>
        <v>321 W 110th St, Unit 19B</v>
      </c>
      <c r="B1884" s="2" t="str">
        <f t="shared" ref="B1884:B1891" si="302">HYPERLINK("https://www.compass.com/building/one-morningside-park-manhattan-ny/294836904016796069/","One Morningside Park")</f>
        <v>One Morningside Park</v>
      </c>
      <c r="C1884" s="1" t="s">
        <v>106</v>
      </c>
      <c r="D1884" s="1" t="s">
        <v>41</v>
      </c>
      <c r="E1884" s="3">
        <v>1018250</v>
      </c>
      <c r="F1884" s="1">
        <v>1540.46898638426</v>
      </c>
      <c r="G1884" s="1">
        <v>3</v>
      </c>
      <c r="H1884" s="1">
        <v>1</v>
      </c>
      <c r="I1884" s="1">
        <v>1</v>
      </c>
      <c r="J1884" s="1">
        <v>1</v>
      </c>
      <c r="M1884" s="1">
        <v>661</v>
      </c>
      <c r="N1884" s="1">
        <v>755</v>
      </c>
      <c r="O1884" s="1">
        <v>795</v>
      </c>
      <c r="P1884" s="1">
        <v>40</v>
      </c>
      <c r="Q1884" s="1" t="s">
        <v>42</v>
      </c>
      <c r="S1884" s="1" t="s">
        <v>42</v>
      </c>
      <c r="T1884" s="1" t="s">
        <v>170</v>
      </c>
      <c r="U1884" s="1">
        <v>134</v>
      </c>
      <c r="V1884" s="5">
        <v>43654</v>
      </c>
      <c r="W1884" s="5">
        <v>41597</v>
      </c>
      <c r="X1884" s="1">
        <v>925000</v>
      </c>
      <c r="Y1884" s="1">
        <v>1050000</v>
      </c>
      <c r="Z1884" s="5">
        <v>41731</v>
      </c>
      <c r="AA1884" s="1">
        <v>1018250</v>
      </c>
      <c r="AB1884" s="1" t="s">
        <v>1520</v>
      </c>
      <c r="AC1884" s="5">
        <v>41985</v>
      </c>
      <c r="AF1884" s="1">
        <v>10026</v>
      </c>
      <c r="AI1884" s="1" t="s">
        <v>1483</v>
      </c>
      <c r="AJ1884" s="1">
        <v>2012</v>
      </c>
      <c r="AK1884" s="1" t="s">
        <v>49</v>
      </c>
      <c r="AL1884" s="1">
        <v>88</v>
      </c>
    </row>
    <row r="1885" spans="1:38" x14ac:dyDescent="0.2">
      <c r="A1885" s="2" t="str">
        <f>HYPERLINK("https://www.compass.com/listing/321-west-110th-street-unit-18c-manhattan-ny-10026/4852317097658690193/","321 W 110th St, Unit 18C")</f>
        <v>321 W 110th St, Unit 18C</v>
      </c>
      <c r="B1885" s="2" t="str">
        <f t="shared" si="302"/>
        <v>One Morningside Park</v>
      </c>
      <c r="C1885" s="1" t="s">
        <v>106</v>
      </c>
      <c r="D1885" s="1" t="s">
        <v>41</v>
      </c>
      <c r="E1885" s="3">
        <v>2341975</v>
      </c>
      <c r="F1885" s="1">
        <v>1851.3636363636299</v>
      </c>
      <c r="G1885" s="1">
        <v>5</v>
      </c>
      <c r="H1885" s="1">
        <v>3</v>
      </c>
      <c r="I1885" s="1">
        <v>2</v>
      </c>
      <c r="J1885" s="1">
        <v>2</v>
      </c>
      <c r="M1885" s="4">
        <v>1265</v>
      </c>
      <c r="N1885" s="1">
        <v>1352</v>
      </c>
      <c r="O1885" s="1">
        <v>1424</v>
      </c>
      <c r="P1885" s="1">
        <v>72</v>
      </c>
      <c r="Q1885" s="1" t="s">
        <v>42</v>
      </c>
      <c r="S1885" s="1" t="s">
        <v>42</v>
      </c>
      <c r="T1885" s="1" t="s">
        <v>170</v>
      </c>
      <c r="U1885" s="1">
        <v>276</v>
      </c>
      <c r="V1885" s="5">
        <v>43606</v>
      </c>
      <c r="W1885" s="5">
        <v>41638</v>
      </c>
      <c r="X1885" s="1">
        <v>1978000</v>
      </c>
      <c r="Y1885" s="1">
        <v>2300000</v>
      </c>
      <c r="Z1885" s="5">
        <v>41915</v>
      </c>
      <c r="AA1885" s="1">
        <v>2341975</v>
      </c>
      <c r="AB1885" s="1" t="s">
        <v>1521</v>
      </c>
      <c r="AC1885" s="5">
        <v>41984</v>
      </c>
      <c r="AF1885" s="1">
        <v>10026</v>
      </c>
      <c r="AI1885" s="1" t="s">
        <v>1483</v>
      </c>
      <c r="AJ1885" s="1">
        <v>2012</v>
      </c>
      <c r="AK1885" s="1" t="s">
        <v>49</v>
      </c>
      <c r="AL1885" s="1">
        <v>88</v>
      </c>
    </row>
    <row r="1886" spans="1:38" x14ac:dyDescent="0.2">
      <c r="A1886" s="2" t="str">
        <f>HYPERLINK("https://www.compass.com/listing/321-west-110th-street-unit-19c-manhattan-ny-10026/4852319766058108001/","321 W 110th St, Unit 19C")</f>
        <v>321 W 110th St, Unit 19C</v>
      </c>
      <c r="B1886" s="2" t="str">
        <f t="shared" si="302"/>
        <v>One Morningside Park</v>
      </c>
      <c r="C1886" s="1" t="s">
        <v>106</v>
      </c>
      <c r="D1886" s="1" t="s">
        <v>41</v>
      </c>
      <c r="E1886" s="3">
        <v>2469256</v>
      </c>
      <c r="F1886" s="1">
        <v>1951.98102766798</v>
      </c>
      <c r="G1886" s="1">
        <v>5</v>
      </c>
      <c r="H1886" s="1">
        <v>3</v>
      </c>
      <c r="I1886" s="1">
        <v>2</v>
      </c>
      <c r="J1886" s="1">
        <v>2</v>
      </c>
      <c r="M1886" s="4">
        <v>1265</v>
      </c>
      <c r="N1886" s="1">
        <v>1352</v>
      </c>
      <c r="O1886" s="1">
        <v>1424</v>
      </c>
      <c r="P1886" s="1">
        <v>72</v>
      </c>
      <c r="Q1886" s="1" t="s">
        <v>42</v>
      </c>
      <c r="S1886" s="1" t="s">
        <v>42</v>
      </c>
      <c r="T1886" s="1" t="s">
        <v>170</v>
      </c>
      <c r="U1886" s="1">
        <v>105</v>
      </c>
      <c r="V1886" s="5">
        <v>43654</v>
      </c>
      <c r="W1886" s="5">
        <v>41915</v>
      </c>
      <c r="X1886" s="1">
        <v>2425000</v>
      </c>
      <c r="Y1886" s="1">
        <v>2425000</v>
      </c>
      <c r="Z1886" s="5">
        <v>42020</v>
      </c>
      <c r="AA1886" s="1">
        <v>2469256</v>
      </c>
      <c r="AB1886" s="1" t="s">
        <v>1522</v>
      </c>
      <c r="AC1886" s="5">
        <v>42053</v>
      </c>
      <c r="AF1886" s="1">
        <v>10026</v>
      </c>
      <c r="AI1886" s="1" t="s">
        <v>1523</v>
      </c>
      <c r="AJ1886" s="1">
        <v>2012</v>
      </c>
      <c r="AK1886" s="1" t="s">
        <v>49</v>
      </c>
      <c r="AL1886" s="1">
        <v>88</v>
      </c>
    </row>
    <row r="1887" spans="1:38" x14ac:dyDescent="0.2">
      <c r="A1887" s="2" t="str">
        <f>HYPERLINK("https://www.compass.com/listing/321-west-110th-street-unit-9d-manhattan-ny-10026/4852305880185580625/","321 W 110th St, Unit 9D")</f>
        <v>321 W 110th St, Unit 9D</v>
      </c>
      <c r="B1887" s="2" t="str">
        <f t="shared" si="302"/>
        <v>One Morningside Park</v>
      </c>
      <c r="C1887" s="1" t="s">
        <v>106</v>
      </c>
      <c r="D1887" s="1" t="s">
        <v>41</v>
      </c>
      <c r="E1887" s="3">
        <v>1460170</v>
      </c>
      <c r="F1887" s="1">
        <v>1269.71304347826</v>
      </c>
      <c r="G1887" s="1">
        <v>4</v>
      </c>
      <c r="H1887" s="1">
        <v>2</v>
      </c>
      <c r="I1887" s="1">
        <v>2</v>
      </c>
      <c r="J1887" s="1">
        <v>2</v>
      </c>
      <c r="M1887" s="4">
        <v>1150</v>
      </c>
      <c r="N1887" s="1">
        <v>1238</v>
      </c>
      <c r="O1887" s="1">
        <v>1304</v>
      </c>
      <c r="P1887" s="1">
        <v>66</v>
      </c>
      <c r="Q1887" s="1" t="s">
        <v>42</v>
      </c>
      <c r="S1887" s="1" t="s">
        <v>42</v>
      </c>
      <c r="T1887" s="1" t="s">
        <v>170</v>
      </c>
      <c r="V1887" s="5">
        <v>43654</v>
      </c>
      <c r="W1887" s="5">
        <v>41506</v>
      </c>
      <c r="X1887" s="1">
        <v>1434000</v>
      </c>
      <c r="Y1887" s="1">
        <v>1434000</v>
      </c>
      <c r="Z1887" s="5">
        <v>41506</v>
      </c>
      <c r="AA1887" s="1">
        <v>1460170</v>
      </c>
      <c r="AB1887" s="1" t="s">
        <v>1524</v>
      </c>
      <c r="AC1887" s="5">
        <v>41950</v>
      </c>
      <c r="AF1887" s="1">
        <v>10026</v>
      </c>
      <c r="AI1887" s="1" t="s">
        <v>1483</v>
      </c>
      <c r="AJ1887" s="1">
        <v>2012</v>
      </c>
      <c r="AK1887" s="1" t="s">
        <v>46</v>
      </c>
      <c r="AL1887" s="1">
        <v>88</v>
      </c>
    </row>
    <row r="1888" spans="1:38" x14ac:dyDescent="0.2">
      <c r="A1888" s="2" t="str">
        <f>HYPERLINK("https://www.compass.com/listing/321-west-110th-street-unit-7c-manhattan-ny-10026/4852306057764021025/","321 W 110th St, Unit 7C")</f>
        <v>321 W 110th St, Unit 7C</v>
      </c>
      <c r="B1888" s="2" t="str">
        <f t="shared" si="302"/>
        <v>One Morningside Park</v>
      </c>
      <c r="C1888" s="1" t="s">
        <v>106</v>
      </c>
      <c r="D1888" s="1" t="s">
        <v>41</v>
      </c>
      <c r="E1888" s="3">
        <v>1740189</v>
      </c>
      <c r="F1888" s="1">
        <v>1511.89313640312</v>
      </c>
      <c r="G1888" s="1">
        <v>4</v>
      </c>
      <c r="H1888" s="1">
        <v>2</v>
      </c>
      <c r="I1888" s="1">
        <v>2</v>
      </c>
      <c r="J1888" s="1">
        <v>2</v>
      </c>
      <c r="M1888" s="4">
        <v>1151</v>
      </c>
      <c r="N1888" s="1">
        <v>1137</v>
      </c>
      <c r="O1888" s="1">
        <v>1198</v>
      </c>
      <c r="P1888" s="1">
        <v>61</v>
      </c>
      <c r="Q1888" s="1" t="s">
        <v>42</v>
      </c>
      <c r="S1888" s="1" t="s">
        <v>42</v>
      </c>
      <c r="T1888" s="1" t="s">
        <v>170</v>
      </c>
      <c r="U1888" s="1">
        <v>177</v>
      </c>
      <c r="V1888" s="5">
        <v>43654</v>
      </c>
      <c r="W1888" s="5">
        <v>41534</v>
      </c>
      <c r="X1888" s="1">
        <v>1709000</v>
      </c>
      <c r="Y1888" s="1">
        <v>1709000</v>
      </c>
      <c r="Z1888" s="5">
        <v>41711</v>
      </c>
      <c r="AA1888" s="1">
        <v>1740189</v>
      </c>
      <c r="AB1888" s="1" t="s">
        <v>1525</v>
      </c>
      <c r="AC1888" s="5">
        <v>41961</v>
      </c>
      <c r="AF1888" s="1">
        <v>10026</v>
      </c>
      <c r="AI1888" s="1" t="s">
        <v>122</v>
      </c>
      <c r="AJ1888" s="1">
        <v>2012</v>
      </c>
      <c r="AK1888" s="1" t="s">
        <v>49</v>
      </c>
      <c r="AL1888" s="1">
        <v>88</v>
      </c>
    </row>
    <row r="1889" spans="1:38" x14ac:dyDescent="0.2">
      <c r="A1889" s="2" t="str">
        <f>HYPERLINK("https://www.compass.com/listing/321-west-110th-street-unit-20c-manhattan-ny-10026/4852305597103612225/","321 W 110th St, Unit 20C")</f>
        <v>321 W 110th St, Unit 20C</v>
      </c>
      <c r="B1889" s="2" t="str">
        <f t="shared" si="302"/>
        <v>One Morningside Park</v>
      </c>
      <c r="C1889" s="1" t="s">
        <v>106</v>
      </c>
      <c r="D1889" s="1" t="s">
        <v>41</v>
      </c>
      <c r="E1889" s="3">
        <v>2007280</v>
      </c>
      <c r="F1889" s="1">
        <v>1586.78260869565</v>
      </c>
      <c r="G1889" s="1">
        <v>5</v>
      </c>
      <c r="H1889" s="1">
        <v>3</v>
      </c>
      <c r="I1889" s="1">
        <v>2</v>
      </c>
      <c r="J1889" s="1">
        <v>2</v>
      </c>
      <c r="M1889" s="4">
        <v>1265</v>
      </c>
      <c r="N1889" s="1">
        <v>1352</v>
      </c>
      <c r="O1889" s="1">
        <v>1424</v>
      </c>
      <c r="P1889" s="1">
        <v>72</v>
      </c>
      <c r="Q1889" s="1" t="s">
        <v>42</v>
      </c>
      <c r="S1889" s="1" t="s">
        <v>42</v>
      </c>
      <c r="T1889" s="1" t="s">
        <v>170</v>
      </c>
      <c r="U1889" s="1">
        <v>5</v>
      </c>
      <c r="V1889" s="5">
        <v>43654</v>
      </c>
      <c r="W1889" s="5">
        <v>41501</v>
      </c>
      <c r="X1889" s="1">
        <v>2045000</v>
      </c>
      <c r="Y1889" s="1">
        <v>2045000</v>
      </c>
      <c r="Z1889" s="5">
        <v>41506</v>
      </c>
      <c r="AA1889" s="1">
        <v>2007280</v>
      </c>
      <c r="AB1889" s="1" t="s">
        <v>1526</v>
      </c>
      <c r="AC1889" s="5">
        <v>41993</v>
      </c>
      <c r="AF1889" s="1">
        <v>10026</v>
      </c>
      <c r="AI1889" s="1" t="s">
        <v>1483</v>
      </c>
      <c r="AJ1889" s="1">
        <v>2012</v>
      </c>
      <c r="AK1889" s="1" t="s">
        <v>49</v>
      </c>
      <c r="AL1889" s="1">
        <v>88</v>
      </c>
    </row>
    <row r="1890" spans="1:38" x14ac:dyDescent="0.2">
      <c r="A1890" s="2" t="str">
        <f>HYPERLINK("https://www.compass.com/listing/321-west-110th-street-unit-17c-manhattan-ny-10026/4852316829944651585/","321 W 110th St, Unit 17C")</f>
        <v>321 W 110th St, Unit 17C</v>
      </c>
      <c r="B1890" s="2" t="str">
        <f t="shared" si="302"/>
        <v>One Morningside Park</v>
      </c>
      <c r="C1890" s="1" t="s">
        <v>106</v>
      </c>
      <c r="D1890" s="1" t="s">
        <v>41</v>
      </c>
      <c r="E1890" s="3">
        <v>1979478</v>
      </c>
      <c r="F1890" s="1">
        <v>1564.8047430829999</v>
      </c>
      <c r="G1890" s="1">
        <v>5</v>
      </c>
      <c r="H1890" s="1">
        <v>3</v>
      </c>
      <c r="I1890" s="1">
        <v>2</v>
      </c>
      <c r="J1890" s="1">
        <v>2</v>
      </c>
      <c r="M1890" s="4">
        <v>1265</v>
      </c>
      <c r="N1890" s="1">
        <v>1352</v>
      </c>
      <c r="O1890" s="1">
        <v>1424</v>
      </c>
      <c r="P1890" s="1">
        <v>72</v>
      </c>
      <c r="Q1890" s="1" t="s">
        <v>42</v>
      </c>
      <c r="S1890" s="1" t="s">
        <v>42</v>
      </c>
      <c r="T1890" s="1" t="s">
        <v>170</v>
      </c>
      <c r="U1890" s="1">
        <v>63</v>
      </c>
      <c r="V1890" s="5">
        <v>43654</v>
      </c>
      <c r="W1890" s="5">
        <v>41570</v>
      </c>
      <c r="X1890" s="1">
        <v>1944000</v>
      </c>
      <c r="Y1890" s="1">
        <v>1944000</v>
      </c>
      <c r="Z1890" s="5">
        <v>41633</v>
      </c>
      <c r="AA1890" s="1">
        <v>1979478</v>
      </c>
      <c r="AB1890" s="1" t="s">
        <v>1527</v>
      </c>
      <c r="AC1890" s="5">
        <v>41982</v>
      </c>
      <c r="AF1890" s="1">
        <v>10026</v>
      </c>
      <c r="AI1890" s="1" t="s">
        <v>1483</v>
      </c>
      <c r="AJ1890" s="1">
        <v>2012</v>
      </c>
      <c r="AK1890" s="1" t="s">
        <v>49</v>
      </c>
      <c r="AL1890" s="1">
        <v>88</v>
      </c>
    </row>
    <row r="1891" spans="1:38" x14ac:dyDescent="0.2">
      <c r="A1891" s="2" t="str">
        <f>HYPERLINK("https://www.compass.com/listing/321-west-110th-street-unit-13a-manhattan-ny-10026/4852305804495165649/","321 W 110th St, Unit 13A")</f>
        <v>321 W 110th St, Unit 13A</v>
      </c>
      <c r="B1891" s="2" t="str">
        <f t="shared" si="302"/>
        <v>One Morningside Park</v>
      </c>
      <c r="C1891" s="1" t="s">
        <v>106</v>
      </c>
      <c r="D1891" s="1" t="s">
        <v>41</v>
      </c>
      <c r="E1891" s="3">
        <v>1613926</v>
      </c>
      <c r="F1891" s="1">
        <v>1456.6119133574</v>
      </c>
      <c r="G1891" s="1">
        <v>4</v>
      </c>
      <c r="H1891" s="1">
        <v>2</v>
      </c>
      <c r="I1891" s="1">
        <v>2</v>
      </c>
      <c r="J1891" s="1">
        <v>2</v>
      </c>
      <c r="M1891" s="4">
        <v>1108</v>
      </c>
      <c r="N1891" s="1">
        <v>1271</v>
      </c>
      <c r="O1891" s="1">
        <v>1337</v>
      </c>
      <c r="P1891" s="1">
        <v>66</v>
      </c>
      <c r="Q1891" s="1" t="s">
        <v>42</v>
      </c>
      <c r="S1891" s="1" t="s">
        <v>42</v>
      </c>
      <c r="T1891" s="1" t="s">
        <v>170</v>
      </c>
      <c r="U1891" s="1">
        <v>7</v>
      </c>
      <c r="V1891" s="5">
        <v>43654</v>
      </c>
      <c r="W1891" s="5">
        <v>41591</v>
      </c>
      <c r="X1891" s="1">
        <v>1585000</v>
      </c>
      <c r="Y1891" s="1">
        <v>1585000</v>
      </c>
      <c r="Z1891" s="5">
        <v>41598</v>
      </c>
      <c r="AA1891" s="1">
        <v>1613926</v>
      </c>
      <c r="AB1891" s="1" t="s">
        <v>1528</v>
      </c>
      <c r="AC1891" s="5">
        <v>41948</v>
      </c>
      <c r="AF1891" s="1">
        <v>10026</v>
      </c>
      <c r="AI1891" s="1" t="s">
        <v>1483</v>
      </c>
      <c r="AJ1891" s="1">
        <v>2012</v>
      </c>
      <c r="AK1891" s="1" t="s">
        <v>49</v>
      </c>
      <c r="AL1891" s="1">
        <v>88</v>
      </c>
    </row>
    <row r="1892" spans="1:38" x14ac:dyDescent="0.2">
      <c r="A1892" s="2" t="str">
        <f>HYPERLINK("https://www.compass.com/listing/50-riverside-boulevard-unit-17b-manhattan-ny-10069/29396602766597041/","50 Riverside Blvd, Unit 17B")</f>
        <v>50 Riverside Blvd, Unit 17B</v>
      </c>
      <c r="B1892" s="2" t="str">
        <f>HYPERLINK("https://www.compass.com/building/one-riverside-park-manhattan-ny/282041440266113253/","One Riverside Park")</f>
        <v>One Riverside Park</v>
      </c>
      <c r="C1892" s="1" t="s">
        <v>50</v>
      </c>
      <c r="D1892" s="1" t="s">
        <v>41</v>
      </c>
      <c r="E1892" s="3">
        <v>10390150</v>
      </c>
      <c r="F1892" s="1">
        <v>3049.6477839741701</v>
      </c>
      <c r="G1892" s="1">
        <v>7</v>
      </c>
      <c r="H1892" s="1">
        <v>4</v>
      </c>
      <c r="I1892" s="1">
        <v>4</v>
      </c>
      <c r="J1892" s="1">
        <v>4</v>
      </c>
      <c r="K1892" s="1">
        <v>4</v>
      </c>
      <c r="M1892" s="4">
        <v>3407</v>
      </c>
      <c r="N1892" s="1">
        <v>4373</v>
      </c>
      <c r="O1892" s="1">
        <v>4615</v>
      </c>
      <c r="P1892" s="1">
        <v>242</v>
      </c>
      <c r="Q1892" s="1" t="s">
        <v>42</v>
      </c>
      <c r="S1892" s="1" t="s">
        <v>42</v>
      </c>
      <c r="T1892" s="1" t="s">
        <v>170</v>
      </c>
      <c r="V1892" s="5">
        <v>43654</v>
      </c>
      <c r="W1892" s="5">
        <v>41845</v>
      </c>
      <c r="X1892" s="1">
        <v>10200000</v>
      </c>
      <c r="Y1892" s="1">
        <v>10200000</v>
      </c>
      <c r="Z1892" s="5">
        <v>41845</v>
      </c>
      <c r="AA1892" s="1">
        <v>10390150</v>
      </c>
      <c r="AB1892" s="1" t="s">
        <v>1529</v>
      </c>
      <c r="AC1892" s="5">
        <v>42426</v>
      </c>
      <c r="AF1892" s="1">
        <v>10069</v>
      </c>
      <c r="AI1892" s="1" t="s">
        <v>101</v>
      </c>
      <c r="AJ1892" s="1">
        <v>2016</v>
      </c>
      <c r="AK1892" s="1" t="s">
        <v>73</v>
      </c>
      <c r="AL1892" s="1">
        <v>657</v>
      </c>
    </row>
    <row r="1893" spans="1:38" x14ac:dyDescent="0.2">
      <c r="A1893" s="2" t="str">
        <f>HYPERLINK("https://www.compass.com/listing/321-west-110th-street-unit-17b-manhattan-ny-10026/4852306080312600833/","321 W 110th St, Unit 17B")</f>
        <v>321 W 110th St, Unit 17B</v>
      </c>
      <c r="B1893" s="2" t="str">
        <f t="shared" ref="B1893:B1905" si="303">HYPERLINK("https://www.compass.com/building/one-morningside-park-manhattan-ny/294836904016796069/","One Morningside Park")</f>
        <v>One Morningside Park</v>
      </c>
      <c r="C1893" s="1" t="s">
        <v>106</v>
      </c>
      <c r="D1893" s="1" t="s">
        <v>41</v>
      </c>
      <c r="E1893" s="3">
        <v>812563</v>
      </c>
      <c r="F1893" s="1">
        <v>1229.2934947049901</v>
      </c>
      <c r="G1893" s="1">
        <v>3</v>
      </c>
      <c r="H1893" s="1">
        <v>1</v>
      </c>
      <c r="I1893" s="1">
        <v>1</v>
      </c>
      <c r="J1893" s="1">
        <v>1</v>
      </c>
      <c r="M1893" s="1">
        <v>661</v>
      </c>
      <c r="N1893" s="1">
        <v>755</v>
      </c>
      <c r="O1893" s="1">
        <v>795</v>
      </c>
      <c r="P1893" s="1">
        <v>40</v>
      </c>
      <c r="Q1893" s="1" t="s">
        <v>42</v>
      </c>
      <c r="S1893" s="1" t="s">
        <v>42</v>
      </c>
      <c r="T1893" s="1" t="s">
        <v>170</v>
      </c>
      <c r="U1893" s="1">
        <v>28</v>
      </c>
      <c r="V1893" s="5">
        <v>43654</v>
      </c>
      <c r="W1893" s="5">
        <v>41501</v>
      </c>
      <c r="X1893" s="1">
        <v>828000</v>
      </c>
      <c r="Y1893" s="1">
        <v>828000</v>
      </c>
      <c r="Z1893" s="5">
        <v>41529</v>
      </c>
      <c r="AA1893" s="1">
        <v>812563</v>
      </c>
      <c r="AB1893" s="1" t="s">
        <v>1530</v>
      </c>
      <c r="AC1893" s="5">
        <v>41982</v>
      </c>
      <c r="AF1893" s="1">
        <v>10026</v>
      </c>
      <c r="AI1893" s="1" t="s">
        <v>1483</v>
      </c>
      <c r="AJ1893" s="1">
        <v>2012</v>
      </c>
      <c r="AK1893" s="1" t="s">
        <v>49</v>
      </c>
      <c r="AL1893" s="1">
        <v>88</v>
      </c>
    </row>
    <row r="1894" spans="1:38" x14ac:dyDescent="0.2">
      <c r="A1894" s="2" t="str">
        <f>HYPERLINK("https://www.compass.com/listing/321-west-110th-street-unit-18b-manhattan-ny-10026/4852306285330179521/","321 W 110th St, Unit 18B")</f>
        <v>321 W 110th St, Unit 18B</v>
      </c>
      <c r="B1894" s="2" t="str">
        <f t="shared" si="303"/>
        <v>One Morningside Park</v>
      </c>
      <c r="C1894" s="1" t="s">
        <v>106</v>
      </c>
      <c r="D1894" s="1" t="s">
        <v>41</v>
      </c>
      <c r="E1894" s="3">
        <v>890968</v>
      </c>
      <c r="F1894" s="1">
        <v>1347.90922844175</v>
      </c>
      <c r="G1894" s="1">
        <v>3</v>
      </c>
      <c r="H1894" s="1">
        <v>1</v>
      </c>
      <c r="I1894" s="1">
        <v>1</v>
      </c>
      <c r="J1894" s="1">
        <v>1</v>
      </c>
      <c r="M1894" s="1">
        <v>661</v>
      </c>
      <c r="N1894" s="1">
        <v>755</v>
      </c>
      <c r="O1894" s="1">
        <v>795</v>
      </c>
      <c r="P1894" s="1">
        <v>40</v>
      </c>
      <c r="Q1894" s="1" t="s">
        <v>42</v>
      </c>
      <c r="S1894" s="1" t="s">
        <v>42</v>
      </c>
      <c r="T1894" s="1" t="s">
        <v>170</v>
      </c>
      <c r="U1894" s="1">
        <v>27</v>
      </c>
      <c r="V1894" s="5">
        <v>43655</v>
      </c>
      <c r="W1894" s="5">
        <v>41546</v>
      </c>
      <c r="X1894" s="1">
        <v>875000</v>
      </c>
      <c r="Y1894" s="1">
        <v>875000</v>
      </c>
      <c r="Z1894" s="5">
        <v>41573</v>
      </c>
      <c r="AA1894" s="1">
        <v>890968</v>
      </c>
      <c r="AB1894" s="1" t="s">
        <v>1531</v>
      </c>
      <c r="AC1894" s="5">
        <v>42003</v>
      </c>
      <c r="AF1894" s="1">
        <v>10026</v>
      </c>
      <c r="AI1894" s="1" t="s">
        <v>1483</v>
      </c>
      <c r="AJ1894" s="1">
        <v>2012</v>
      </c>
      <c r="AK1894" s="1" t="s">
        <v>49</v>
      </c>
      <c r="AL1894" s="1">
        <v>88</v>
      </c>
    </row>
    <row r="1895" spans="1:38" x14ac:dyDescent="0.2">
      <c r="A1895" s="2" t="str">
        <f>HYPERLINK("https://www.compass.com/listing/321-west-110th-street-unit-16b-manhattan-ny-10026/4852317063869373745/","321 W 110th St, Unit 16B")</f>
        <v>321 W 110th St, Unit 16B</v>
      </c>
      <c r="B1895" s="2" t="str">
        <f t="shared" si="303"/>
        <v>One Morningside Park</v>
      </c>
      <c r="C1895" s="1" t="s">
        <v>106</v>
      </c>
      <c r="D1895" s="1" t="s">
        <v>41</v>
      </c>
      <c r="E1895" s="3">
        <v>832928</v>
      </c>
      <c r="F1895" s="1">
        <v>1260.10287443267</v>
      </c>
      <c r="G1895" s="1">
        <v>3</v>
      </c>
      <c r="H1895" s="1">
        <v>1</v>
      </c>
      <c r="I1895" s="1">
        <v>1</v>
      </c>
      <c r="J1895" s="1">
        <v>1</v>
      </c>
      <c r="M1895" s="1">
        <v>661</v>
      </c>
      <c r="N1895" s="1">
        <v>755</v>
      </c>
      <c r="O1895" s="1">
        <v>795</v>
      </c>
      <c r="P1895" s="1">
        <v>40</v>
      </c>
      <c r="Q1895" s="1" t="s">
        <v>42</v>
      </c>
      <c r="S1895" s="1" t="s">
        <v>42</v>
      </c>
      <c r="T1895" s="1" t="s">
        <v>170</v>
      </c>
      <c r="V1895" s="5">
        <v>43654</v>
      </c>
      <c r="W1895" s="5">
        <v>41577</v>
      </c>
      <c r="X1895" s="1">
        <v>818000</v>
      </c>
      <c r="Y1895" s="1">
        <v>818000</v>
      </c>
      <c r="Z1895" s="5">
        <v>41577</v>
      </c>
      <c r="AA1895" s="1">
        <v>832928</v>
      </c>
      <c r="AB1895" s="1" t="s">
        <v>1532</v>
      </c>
      <c r="AC1895" s="5">
        <v>41970</v>
      </c>
      <c r="AF1895" s="1">
        <v>10026</v>
      </c>
      <c r="AI1895" s="1" t="s">
        <v>1483</v>
      </c>
      <c r="AJ1895" s="1">
        <v>2012</v>
      </c>
      <c r="AK1895" s="1" t="s">
        <v>49</v>
      </c>
      <c r="AL1895" s="1">
        <v>88</v>
      </c>
    </row>
    <row r="1896" spans="1:38" x14ac:dyDescent="0.2">
      <c r="A1896" s="2" t="str">
        <f>HYPERLINK("https://www.compass.com/listing/321-west-110th-street-unit-6c-manhattan-ny-10026/803326464158270873/","321 W 110th St, Unit 6C")</f>
        <v>321 W 110th St, Unit 6C</v>
      </c>
      <c r="B1896" s="2" t="str">
        <f t="shared" si="303"/>
        <v>One Morningside Park</v>
      </c>
      <c r="C1896" s="1" t="s">
        <v>106</v>
      </c>
      <c r="D1896" s="1" t="s">
        <v>41</v>
      </c>
      <c r="E1896" s="3">
        <v>750000</v>
      </c>
      <c r="F1896" s="1">
        <v>1286.4493996569399</v>
      </c>
      <c r="G1896" s="1">
        <v>3</v>
      </c>
      <c r="H1896" s="1">
        <v>1</v>
      </c>
      <c r="I1896" s="1">
        <v>1</v>
      </c>
      <c r="J1896" s="1">
        <v>1</v>
      </c>
      <c r="M1896" s="1">
        <v>583</v>
      </c>
      <c r="N1896" s="1">
        <v>576</v>
      </c>
      <c r="O1896" s="1">
        <v>607</v>
      </c>
      <c r="P1896" s="1">
        <v>31</v>
      </c>
      <c r="Q1896" s="1" t="s">
        <v>42</v>
      </c>
      <c r="S1896" s="1" t="s">
        <v>42</v>
      </c>
      <c r="T1896" s="1" t="s">
        <v>170</v>
      </c>
      <c r="U1896" s="1">
        <v>38</v>
      </c>
      <c r="V1896" s="5">
        <v>42034</v>
      </c>
      <c r="W1896" s="5">
        <v>41499</v>
      </c>
      <c r="X1896" s="1">
        <v>651000</v>
      </c>
      <c r="Y1896" s="1">
        <v>625000</v>
      </c>
      <c r="Z1896" s="5">
        <v>41537</v>
      </c>
      <c r="AA1896" s="1">
        <v>750000</v>
      </c>
      <c r="AB1896" s="1" t="s">
        <v>1533</v>
      </c>
      <c r="AC1896" s="5">
        <v>42034</v>
      </c>
      <c r="AF1896" s="1">
        <v>10026</v>
      </c>
      <c r="AI1896" s="1" t="s">
        <v>1491</v>
      </c>
      <c r="AJ1896" s="1">
        <v>2012</v>
      </c>
      <c r="AK1896" s="1" t="s">
        <v>49</v>
      </c>
      <c r="AL1896" s="1">
        <v>88</v>
      </c>
    </row>
    <row r="1897" spans="1:38" x14ac:dyDescent="0.2">
      <c r="A1897" s="2" t="str">
        <f>HYPERLINK("https://www.compass.com/listing/321-west-110th-street-unit-3b-manhattan-ny-10026/29430019793162929/","321 W 110th St, Unit 3B")</f>
        <v>321 W 110th St, Unit 3B</v>
      </c>
      <c r="B1897" s="2" t="str">
        <f t="shared" si="303"/>
        <v>One Morningside Park</v>
      </c>
      <c r="C1897" s="1" t="s">
        <v>106</v>
      </c>
      <c r="D1897" s="1" t="s">
        <v>41</v>
      </c>
      <c r="E1897" s="3">
        <v>521344</v>
      </c>
      <c r="F1897" s="1">
        <v>1676.34726688102</v>
      </c>
      <c r="G1897" s="1">
        <v>1</v>
      </c>
      <c r="H1897" s="1" t="s">
        <v>79</v>
      </c>
      <c r="I1897" s="1">
        <v>1</v>
      </c>
      <c r="J1897" s="1">
        <v>1</v>
      </c>
      <c r="M1897" s="1">
        <v>311</v>
      </c>
      <c r="N1897" s="1">
        <v>307</v>
      </c>
      <c r="O1897" s="1">
        <v>323</v>
      </c>
      <c r="P1897" s="1">
        <v>16</v>
      </c>
      <c r="Q1897" s="1" t="s">
        <v>42</v>
      </c>
      <c r="S1897" s="1" t="s">
        <v>42</v>
      </c>
      <c r="T1897" s="1" t="s">
        <v>170</v>
      </c>
      <c r="U1897" s="1">
        <v>62</v>
      </c>
      <c r="V1897" s="5">
        <v>43654</v>
      </c>
      <c r="W1897" s="5">
        <v>42221</v>
      </c>
      <c r="X1897" s="1">
        <v>500000</v>
      </c>
      <c r="Y1897" s="1">
        <v>550000</v>
      </c>
      <c r="Z1897" s="5">
        <v>42283</v>
      </c>
      <c r="AA1897" s="1">
        <v>521344</v>
      </c>
      <c r="AB1897" s="1" t="s">
        <v>1534</v>
      </c>
      <c r="AC1897" s="5">
        <v>42305</v>
      </c>
      <c r="AF1897" s="1">
        <v>10026</v>
      </c>
      <c r="AI1897" s="1" t="s">
        <v>1491</v>
      </c>
      <c r="AJ1897" s="1">
        <v>2012</v>
      </c>
      <c r="AK1897" s="1" t="s">
        <v>49</v>
      </c>
      <c r="AL1897" s="1">
        <v>88</v>
      </c>
    </row>
    <row r="1898" spans="1:38" x14ac:dyDescent="0.2">
      <c r="A1898" s="2" t="str">
        <f>HYPERLINK("https://www.compass.com/listing/321-west-110th-street-unit-11b-manhattan-ny-10026/4852305568750115185/","321 W 110th St, Unit 11B")</f>
        <v>321 W 110th St, Unit 11B</v>
      </c>
      <c r="B1898" s="2" t="str">
        <f t="shared" si="303"/>
        <v>One Morningside Park</v>
      </c>
      <c r="C1898" s="1" t="s">
        <v>106</v>
      </c>
      <c r="D1898" s="1" t="s">
        <v>41</v>
      </c>
      <c r="E1898" s="3">
        <v>733140</v>
      </c>
      <c r="F1898" s="1">
        <v>1171.1501597444001</v>
      </c>
      <c r="G1898" s="1">
        <v>3</v>
      </c>
      <c r="H1898" s="1">
        <v>1</v>
      </c>
      <c r="I1898" s="1">
        <v>1</v>
      </c>
      <c r="J1898" s="1">
        <v>1</v>
      </c>
      <c r="M1898" s="1">
        <v>626</v>
      </c>
      <c r="N1898" s="1">
        <v>619</v>
      </c>
      <c r="O1898" s="1">
        <v>655</v>
      </c>
      <c r="P1898" s="1">
        <v>36</v>
      </c>
      <c r="Q1898" s="1" t="s">
        <v>42</v>
      </c>
      <c r="S1898" s="1" t="s">
        <v>42</v>
      </c>
      <c r="T1898" s="1" t="s">
        <v>170</v>
      </c>
      <c r="U1898" s="1">
        <v>5</v>
      </c>
      <c r="V1898" s="5">
        <v>43654</v>
      </c>
      <c r="W1898" s="5">
        <v>41501</v>
      </c>
      <c r="X1898" s="1">
        <v>720000</v>
      </c>
      <c r="Y1898" s="1">
        <v>720000</v>
      </c>
      <c r="Z1898" s="5">
        <v>41506</v>
      </c>
      <c r="AA1898" s="1">
        <v>733140</v>
      </c>
      <c r="AB1898" s="1" t="s">
        <v>1535</v>
      </c>
      <c r="AC1898" s="5">
        <v>41871</v>
      </c>
      <c r="AF1898" s="1">
        <v>10026</v>
      </c>
      <c r="AI1898" s="1" t="s">
        <v>1491</v>
      </c>
      <c r="AJ1898" s="1">
        <v>2012</v>
      </c>
      <c r="AK1898" s="1" t="s">
        <v>49</v>
      </c>
      <c r="AL1898" s="1">
        <v>88</v>
      </c>
    </row>
    <row r="1899" spans="1:38" x14ac:dyDescent="0.2">
      <c r="A1899" s="2" t="str">
        <f>HYPERLINK("https://www.compass.com/listing/321-west-110th-street-unit-15b-manhattan-ny-10026/4852306229671760577/","321 W 110th St, Unit 15B")</f>
        <v>321 W 110th St, Unit 15B</v>
      </c>
      <c r="B1899" s="2" t="str">
        <f t="shared" si="303"/>
        <v>One Morningside Park</v>
      </c>
      <c r="C1899" s="1" t="s">
        <v>106</v>
      </c>
      <c r="D1899" s="1" t="s">
        <v>41</v>
      </c>
      <c r="E1899" s="3">
        <v>791810</v>
      </c>
      <c r="F1899" s="1">
        <v>1197.89712556732</v>
      </c>
      <c r="G1899" s="1">
        <v>3</v>
      </c>
      <c r="H1899" s="1">
        <v>1</v>
      </c>
      <c r="I1899" s="1">
        <v>1</v>
      </c>
      <c r="J1899" s="1">
        <v>1</v>
      </c>
      <c r="M1899" s="1">
        <v>661</v>
      </c>
      <c r="N1899" s="1">
        <v>755</v>
      </c>
      <c r="O1899" s="1">
        <v>795</v>
      </c>
      <c r="P1899" s="1">
        <v>40</v>
      </c>
      <c r="Q1899" s="1" t="s">
        <v>42</v>
      </c>
      <c r="S1899" s="1" t="s">
        <v>42</v>
      </c>
      <c r="T1899" s="1" t="s">
        <v>170</v>
      </c>
      <c r="U1899" s="1">
        <v>1</v>
      </c>
      <c r="V1899" s="5">
        <v>43654</v>
      </c>
      <c r="W1899" s="5">
        <v>41501</v>
      </c>
      <c r="X1899" s="1">
        <v>807000</v>
      </c>
      <c r="Y1899" s="1">
        <v>807000</v>
      </c>
      <c r="Z1899" s="5">
        <v>41502</v>
      </c>
      <c r="AA1899" s="1">
        <v>791810</v>
      </c>
      <c r="AB1899" s="1" t="s">
        <v>1536</v>
      </c>
      <c r="AC1899" s="5">
        <v>41965</v>
      </c>
      <c r="AF1899" s="1">
        <v>10026</v>
      </c>
      <c r="AI1899" s="1" t="s">
        <v>1483</v>
      </c>
      <c r="AJ1899" s="1">
        <v>2012</v>
      </c>
      <c r="AK1899" s="1" t="s">
        <v>49</v>
      </c>
      <c r="AL1899" s="1">
        <v>88</v>
      </c>
    </row>
    <row r="1900" spans="1:38" x14ac:dyDescent="0.2">
      <c r="A1900" s="2" t="str">
        <f>HYPERLINK("https://www.compass.com/listing/321-west-110th-street-unit-15a-manhattan-ny-10026/4852305981536733697/","321 W 110th St, Unit 15A")</f>
        <v>321 W 110th St, Unit 15A</v>
      </c>
      <c r="B1900" s="2" t="str">
        <f t="shared" si="303"/>
        <v>One Morningside Park</v>
      </c>
      <c r="C1900" s="1" t="s">
        <v>106</v>
      </c>
      <c r="D1900" s="1" t="s">
        <v>41</v>
      </c>
      <c r="E1900" s="3">
        <v>1940784</v>
      </c>
      <c r="F1900" s="1">
        <v>1403.31453362255</v>
      </c>
      <c r="G1900" s="1">
        <v>5</v>
      </c>
      <c r="H1900" s="1">
        <v>3</v>
      </c>
      <c r="I1900" s="1">
        <v>2</v>
      </c>
      <c r="J1900" s="1">
        <v>2</v>
      </c>
      <c r="M1900" s="4">
        <v>1383</v>
      </c>
      <c r="N1900" s="1">
        <v>1543</v>
      </c>
      <c r="O1900" s="1">
        <v>1624</v>
      </c>
      <c r="P1900" s="1">
        <v>81</v>
      </c>
      <c r="Q1900" s="1" t="s">
        <v>42</v>
      </c>
      <c r="S1900" s="1" t="s">
        <v>42</v>
      </c>
      <c r="T1900" s="1" t="s">
        <v>170</v>
      </c>
      <c r="U1900" s="1">
        <v>12</v>
      </c>
      <c r="V1900" s="5">
        <v>43654</v>
      </c>
      <c r="W1900" s="5">
        <v>41501</v>
      </c>
      <c r="X1900" s="1">
        <v>2162000</v>
      </c>
      <c r="Y1900" s="1">
        <v>2162000</v>
      </c>
      <c r="Z1900" s="5">
        <v>41513</v>
      </c>
      <c r="AA1900" s="1">
        <v>1940784</v>
      </c>
      <c r="AB1900" s="1" t="s">
        <v>1537</v>
      </c>
      <c r="AC1900" s="5">
        <v>41964</v>
      </c>
      <c r="AF1900" s="1">
        <v>10026</v>
      </c>
      <c r="AI1900" s="1" t="s">
        <v>1483</v>
      </c>
      <c r="AJ1900" s="1">
        <v>2012</v>
      </c>
      <c r="AK1900" s="1" t="s">
        <v>49</v>
      </c>
      <c r="AL1900" s="1">
        <v>88</v>
      </c>
    </row>
    <row r="1901" spans="1:38" x14ac:dyDescent="0.2">
      <c r="A1901" s="2" t="str">
        <f>HYPERLINK("https://www.compass.com/listing/321-west-110th-street-unit-16a-manhattan-ny-10026/4852306332222500465/","321 W 110th St, Unit 16A")</f>
        <v>321 W 110th St, Unit 16A</v>
      </c>
      <c r="B1901" s="2" t="str">
        <f t="shared" si="303"/>
        <v>One Morningside Park</v>
      </c>
      <c r="C1901" s="1" t="s">
        <v>106</v>
      </c>
      <c r="D1901" s="1" t="s">
        <v>41</v>
      </c>
      <c r="E1901" s="3">
        <v>1985587</v>
      </c>
      <c r="F1901" s="1">
        <v>1435.7100506146</v>
      </c>
      <c r="G1901" s="1">
        <v>5</v>
      </c>
      <c r="H1901" s="1">
        <v>3</v>
      </c>
      <c r="I1901" s="1">
        <v>2</v>
      </c>
      <c r="J1901" s="1">
        <v>2</v>
      </c>
      <c r="M1901" s="4">
        <v>1383</v>
      </c>
      <c r="N1901" s="1">
        <v>1543</v>
      </c>
      <c r="O1901" s="1">
        <v>1624</v>
      </c>
      <c r="P1901" s="1">
        <v>81</v>
      </c>
      <c r="Q1901" s="1" t="s">
        <v>42</v>
      </c>
      <c r="S1901" s="1" t="s">
        <v>42</v>
      </c>
      <c r="T1901" s="1" t="s">
        <v>170</v>
      </c>
      <c r="U1901" s="1">
        <v>48</v>
      </c>
      <c r="V1901" s="5">
        <v>43655</v>
      </c>
      <c r="W1901" s="5">
        <v>41501</v>
      </c>
      <c r="X1901" s="1">
        <v>2184000</v>
      </c>
      <c r="Y1901" s="1">
        <v>2184000</v>
      </c>
      <c r="Z1901" s="5">
        <v>41549</v>
      </c>
      <c r="AA1901" s="1">
        <v>1985587</v>
      </c>
      <c r="AB1901" s="1" t="s">
        <v>1538</v>
      </c>
      <c r="AC1901" s="5">
        <v>42014</v>
      </c>
      <c r="AF1901" s="1">
        <v>10026</v>
      </c>
      <c r="AI1901" s="1" t="s">
        <v>1483</v>
      </c>
      <c r="AJ1901" s="1">
        <v>2012</v>
      </c>
      <c r="AK1901" s="1" t="s">
        <v>49</v>
      </c>
      <c r="AL1901" s="1">
        <v>88</v>
      </c>
    </row>
    <row r="1902" spans="1:38" x14ac:dyDescent="0.2">
      <c r="A1902" s="2" t="str">
        <f>HYPERLINK("https://www.compass.com/listing/321-west-110th-street-unit-19a-manhattan-ny-10026/4852317310444119889/","321 W 110th St, Unit 19A")</f>
        <v>321 W 110th St, Unit 19A</v>
      </c>
      <c r="B1902" s="2" t="str">
        <f t="shared" si="303"/>
        <v>One Morningside Park</v>
      </c>
      <c r="C1902" s="1" t="s">
        <v>106</v>
      </c>
      <c r="D1902" s="1" t="s">
        <v>41</v>
      </c>
      <c r="E1902" s="3">
        <v>2596537</v>
      </c>
      <c r="F1902" s="1">
        <v>1877.46710050614</v>
      </c>
      <c r="G1902" s="1">
        <v>5</v>
      </c>
      <c r="H1902" s="1">
        <v>3</v>
      </c>
      <c r="I1902" s="1">
        <v>2</v>
      </c>
      <c r="J1902" s="1">
        <v>2</v>
      </c>
      <c r="M1902" s="4">
        <v>1383</v>
      </c>
      <c r="N1902" s="1">
        <v>1543</v>
      </c>
      <c r="O1902" s="1">
        <v>1624</v>
      </c>
      <c r="P1902" s="1">
        <v>81</v>
      </c>
      <c r="Q1902" s="1" t="s">
        <v>42</v>
      </c>
      <c r="S1902" s="1" t="s">
        <v>42</v>
      </c>
      <c r="T1902" s="1" t="s">
        <v>170</v>
      </c>
      <c r="U1902" s="1">
        <v>39</v>
      </c>
      <c r="V1902" s="5">
        <v>43654</v>
      </c>
      <c r="W1902" s="5">
        <v>41730</v>
      </c>
      <c r="X1902" s="1">
        <v>2550000</v>
      </c>
      <c r="Y1902" s="1">
        <v>2550000</v>
      </c>
      <c r="Z1902" s="5">
        <v>41769</v>
      </c>
      <c r="AA1902" s="1">
        <v>2596537</v>
      </c>
      <c r="AB1902" s="1" t="s">
        <v>1539</v>
      </c>
      <c r="AC1902" s="5">
        <v>41991</v>
      </c>
      <c r="AF1902" s="1">
        <v>10026</v>
      </c>
      <c r="AI1902" s="1" t="s">
        <v>1483</v>
      </c>
      <c r="AJ1902" s="1">
        <v>2012</v>
      </c>
      <c r="AK1902" s="1" t="s">
        <v>49</v>
      </c>
      <c r="AL1902" s="1">
        <v>88</v>
      </c>
    </row>
    <row r="1903" spans="1:38" x14ac:dyDescent="0.2">
      <c r="A1903" s="2" t="str">
        <f>HYPERLINK("https://www.compass.com/listing/321-west-110th-street-unit-18a-manhattan-ny-10026/4852321503716313953/","321 W 110th St, Unit 18A")</f>
        <v>321 W 110th St, Unit 18A</v>
      </c>
      <c r="B1903" s="2" t="str">
        <f t="shared" si="303"/>
        <v>One Morningside Park</v>
      </c>
      <c r="C1903" s="1" t="s">
        <v>106</v>
      </c>
      <c r="D1903" s="1" t="s">
        <v>41</v>
      </c>
      <c r="E1903" s="3">
        <v>2283934</v>
      </c>
      <c r="F1903" s="1">
        <v>1651.4345625451899</v>
      </c>
      <c r="G1903" s="1">
        <v>5</v>
      </c>
      <c r="H1903" s="1">
        <v>3</v>
      </c>
      <c r="I1903" s="1">
        <v>2</v>
      </c>
      <c r="J1903" s="1">
        <v>2</v>
      </c>
      <c r="M1903" s="4">
        <v>1383</v>
      </c>
      <c r="N1903" s="1">
        <v>1543</v>
      </c>
      <c r="O1903" s="1">
        <v>1624</v>
      </c>
      <c r="P1903" s="1">
        <v>81</v>
      </c>
      <c r="Q1903" s="1" t="s">
        <v>42</v>
      </c>
      <c r="S1903" s="1" t="s">
        <v>42</v>
      </c>
      <c r="T1903" s="1" t="s">
        <v>170</v>
      </c>
      <c r="U1903" s="1">
        <v>128</v>
      </c>
      <c r="V1903" s="5">
        <v>43655</v>
      </c>
      <c r="W1903" s="5">
        <v>41570</v>
      </c>
      <c r="X1903" s="1">
        <v>2243000</v>
      </c>
      <c r="Y1903" s="1">
        <v>2243000</v>
      </c>
      <c r="Z1903" s="5">
        <v>41698</v>
      </c>
      <c r="AA1903" s="1">
        <v>2283934</v>
      </c>
      <c r="AB1903" s="1" t="s">
        <v>1540</v>
      </c>
      <c r="AC1903" s="5">
        <v>41979</v>
      </c>
      <c r="AF1903" s="1">
        <v>10026</v>
      </c>
      <c r="AI1903" s="1" t="s">
        <v>1483</v>
      </c>
      <c r="AJ1903" s="1">
        <v>2012</v>
      </c>
      <c r="AK1903" s="1" t="s">
        <v>49</v>
      </c>
      <c r="AL1903" s="1">
        <v>88</v>
      </c>
    </row>
    <row r="1904" spans="1:38" x14ac:dyDescent="0.2">
      <c r="A1904" s="2" t="str">
        <f>HYPERLINK("https://www.compass.com/listing/321-west-110th-street-unit-6b-manhattan-ny-10026/4852264560318496241/","321 W 110th St, Unit 6B")</f>
        <v>321 W 110th St, Unit 6B</v>
      </c>
      <c r="B1904" s="2" t="str">
        <f t="shared" si="303"/>
        <v>One Morningside Park</v>
      </c>
      <c r="C1904" s="1" t="s">
        <v>106</v>
      </c>
      <c r="D1904" s="1" t="s">
        <v>41</v>
      </c>
      <c r="E1904" s="3">
        <v>820000</v>
      </c>
      <c r="F1904" s="1">
        <v>1561.9047619047601</v>
      </c>
      <c r="G1904" s="1">
        <v>3</v>
      </c>
      <c r="H1904" s="1">
        <v>1</v>
      </c>
      <c r="I1904" s="1">
        <v>1</v>
      </c>
      <c r="J1904" s="1">
        <v>1</v>
      </c>
      <c r="K1904" s="1">
        <v>1</v>
      </c>
      <c r="M1904" s="1">
        <v>525</v>
      </c>
      <c r="N1904" s="1">
        <v>555.13</v>
      </c>
      <c r="O1904" s="1">
        <v>581.63</v>
      </c>
      <c r="P1904" s="1">
        <v>26.5</v>
      </c>
      <c r="Q1904" s="1" t="s">
        <v>42</v>
      </c>
      <c r="S1904" s="1" t="s">
        <v>42</v>
      </c>
      <c r="T1904" s="1" t="s">
        <v>170</v>
      </c>
      <c r="U1904" s="1">
        <v>27</v>
      </c>
      <c r="V1904" s="5">
        <v>43665</v>
      </c>
      <c r="W1904" s="5">
        <v>42627</v>
      </c>
      <c r="X1904" s="1">
        <v>795000</v>
      </c>
      <c r="Y1904" s="1">
        <v>795000</v>
      </c>
      <c r="Z1904" s="5">
        <v>42654</v>
      </c>
      <c r="AA1904" s="1">
        <v>820000</v>
      </c>
      <c r="AB1904" s="1" t="s">
        <v>1541</v>
      </c>
      <c r="AC1904" s="5">
        <v>42720</v>
      </c>
      <c r="AF1904" s="1">
        <v>10026</v>
      </c>
      <c r="AI1904" s="1" t="s">
        <v>1491</v>
      </c>
      <c r="AJ1904" s="1">
        <v>2012</v>
      </c>
      <c r="AK1904" s="1" t="s">
        <v>77</v>
      </c>
      <c r="AL1904" s="1">
        <v>88</v>
      </c>
    </row>
    <row r="1905" spans="1:38" x14ac:dyDescent="0.2">
      <c r="A1905" s="2" t="str">
        <f>HYPERLINK("https://www.compass.com/listing/321-west-110th-street-unit-15c-manhattan-ny-10026/29513633830582001/","321 W 110th St, Unit 15C")</f>
        <v>321 W 110th St, Unit 15C</v>
      </c>
      <c r="B1905" s="2" t="str">
        <f t="shared" si="303"/>
        <v>One Morningside Park</v>
      </c>
      <c r="C1905" s="1" t="s">
        <v>106</v>
      </c>
      <c r="D1905" s="1" t="s">
        <v>41</v>
      </c>
      <c r="E1905" s="3">
        <v>2310000</v>
      </c>
      <c r="F1905" s="1">
        <v>1826.0869565217299</v>
      </c>
      <c r="G1905" s="1">
        <v>5</v>
      </c>
      <c r="H1905" s="1">
        <v>3</v>
      </c>
      <c r="I1905" s="1">
        <v>2</v>
      </c>
      <c r="J1905" s="1">
        <v>2</v>
      </c>
      <c r="M1905" s="4">
        <v>1265</v>
      </c>
      <c r="N1905" s="1">
        <v>1660</v>
      </c>
      <c r="O1905" s="1">
        <v>1728</v>
      </c>
      <c r="P1905" s="1">
        <v>68</v>
      </c>
      <c r="Q1905" s="1" t="s">
        <v>42</v>
      </c>
      <c r="S1905" s="1" t="s">
        <v>42</v>
      </c>
      <c r="T1905" s="1" t="s">
        <v>170</v>
      </c>
      <c r="U1905" s="1">
        <v>49</v>
      </c>
      <c r="V1905" s="5">
        <v>43642</v>
      </c>
      <c r="W1905" s="5">
        <v>43153</v>
      </c>
      <c r="X1905" s="1">
        <v>2495000</v>
      </c>
      <c r="Y1905" s="1">
        <v>2495000</v>
      </c>
      <c r="Z1905" s="5">
        <v>43202</v>
      </c>
      <c r="AA1905" s="1">
        <v>2310000</v>
      </c>
      <c r="AB1905" s="1" t="s">
        <v>1542</v>
      </c>
      <c r="AC1905" s="5">
        <v>43349</v>
      </c>
      <c r="AF1905" s="1">
        <v>10026</v>
      </c>
      <c r="AI1905" s="1" t="s">
        <v>1543</v>
      </c>
      <c r="AJ1905" s="1">
        <v>2012</v>
      </c>
      <c r="AK1905" s="1" t="s">
        <v>49</v>
      </c>
      <c r="AL1905" s="1">
        <v>88</v>
      </c>
    </row>
    <row r="1906" spans="1:38" x14ac:dyDescent="0.2">
      <c r="A1906" s="2" t="str">
        <f>HYPERLINK("https://www.compass.com/listing/50-riverside-boulevard-unit-10c-manhattan-ny-10069/384159264062198177/","50 Riverside Blvd, Unit 10C")</f>
        <v>50 Riverside Blvd, Unit 10C</v>
      </c>
      <c r="B1906" s="2" t="str">
        <f>HYPERLINK("https://www.compass.com/building/one-riverside-park-manhattan-ny/282041440266113253/","One Riverside Park")</f>
        <v>One Riverside Park</v>
      </c>
      <c r="C1906" s="1" t="s">
        <v>50</v>
      </c>
      <c r="D1906" s="1" t="s">
        <v>41</v>
      </c>
      <c r="E1906" s="3">
        <v>4200000</v>
      </c>
      <c r="F1906" s="1">
        <v>1784.9553761155901</v>
      </c>
      <c r="G1906" s="1">
        <v>9</v>
      </c>
      <c r="H1906" s="1">
        <v>4</v>
      </c>
      <c r="I1906" s="1">
        <v>4</v>
      </c>
      <c r="J1906" s="1">
        <v>4.5</v>
      </c>
      <c r="K1906" s="1">
        <v>4</v>
      </c>
      <c r="L1906" s="1">
        <v>1</v>
      </c>
      <c r="M1906" s="4">
        <v>2353</v>
      </c>
      <c r="N1906" s="1">
        <v>2638</v>
      </c>
      <c r="O1906" s="1">
        <v>2778</v>
      </c>
      <c r="P1906" s="1">
        <v>140</v>
      </c>
      <c r="Q1906" s="1" t="s">
        <v>42</v>
      </c>
      <c r="S1906" s="1" t="s">
        <v>42</v>
      </c>
      <c r="T1906" s="1" t="s">
        <v>170</v>
      </c>
      <c r="U1906" s="1">
        <v>280</v>
      </c>
      <c r="V1906" s="5">
        <v>44391</v>
      </c>
      <c r="W1906" s="5">
        <v>43781</v>
      </c>
      <c r="X1906" s="1">
        <v>4799000</v>
      </c>
      <c r="Y1906" s="1">
        <v>4500000</v>
      </c>
      <c r="Z1906" s="5">
        <v>44155</v>
      </c>
      <c r="AA1906" s="1">
        <v>4200000</v>
      </c>
      <c r="AB1906" s="1" t="s">
        <v>1544</v>
      </c>
      <c r="AC1906" s="5">
        <v>44368</v>
      </c>
      <c r="AF1906" s="1">
        <v>10069</v>
      </c>
      <c r="AI1906" s="1" t="s">
        <v>101</v>
      </c>
      <c r="AJ1906" s="1">
        <v>2016</v>
      </c>
      <c r="AK1906" s="1" t="s">
        <v>73</v>
      </c>
      <c r="AL1906" s="1">
        <v>657</v>
      </c>
    </row>
    <row r="1907" spans="1:38" x14ac:dyDescent="0.2">
      <c r="A1907" s="2" t="str">
        <f>HYPERLINK("https://www.compass.com/listing/321-west-110th-street-unit-16c-manhattan-ny-10026/4852305802792277825/","321 W 110th St, Unit 16C")</f>
        <v>321 W 110th St, Unit 16C</v>
      </c>
      <c r="B1907" s="2" t="str">
        <f t="shared" ref="B1907:B1909" si="304">HYPERLINK("https://www.compass.com/building/one-morningside-park-manhattan-ny/294836904016796069/","One Morningside Park")</f>
        <v>One Morningside Park</v>
      </c>
      <c r="C1907" s="1" t="s">
        <v>106</v>
      </c>
      <c r="D1907" s="1" t="s">
        <v>41</v>
      </c>
      <c r="E1907" s="3">
        <v>1945875</v>
      </c>
      <c r="F1907" s="1">
        <v>1538.24110671936</v>
      </c>
      <c r="G1907" s="1">
        <v>5</v>
      </c>
      <c r="H1907" s="1">
        <v>3</v>
      </c>
      <c r="I1907" s="1">
        <v>2</v>
      </c>
      <c r="J1907" s="1">
        <v>2</v>
      </c>
      <c r="M1907" s="4">
        <v>1265</v>
      </c>
      <c r="N1907" s="1">
        <v>1352</v>
      </c>
      <c r="O1907" s="1">
        <v>1424</v>
      </c>
      <c r="P1907" s="1">
        <v>72</v>
      </c>
      <c r="Q1907" s="1" t="s">
        <v>42</v>
      </c>
      <c r="S1907" s="1" t="s">
        <v>42</v>
      </c>
      <c r="T1907" s="1" t="s">
        <v>170</v>
      </c>
      <c r="U1907" s="1">
        <v>69</v>
      </c>
      <c r="V1907" s="5">
        <v>43654</v>
      </c>
      <c r="W1907" s="5">
        <v>41501</v>
      </c>
      <c r="X1907" s="1">
        <v>1911000</v>
      </c>
      <c r="Y1907" s="1">
        <v>1911000</v>
      </c>
      <c r="Z1907" s="5">
        <v>41633</v>
      </c>
      <c r="AA1907" s="1">
        <v>1945875</v>
      </c>
      <c r="AB1907" s="1" t="s">
        <v>1545</v>
      </c>
      <c r="AC1907" s="5">
        <v>41968</v>
      </c>
      <c r="AF1907" s="1">
        <v>10026</v>
      </c>
      <c r="AI1907" s="1" t="s">
        <v>1483</v>
      </c>
      <c r="AJ1907" s="1">
        <v>2012</v>
      </c>
      <c r="AK1907" s="1" t="s">
        <v>49</v>
      </c>
      <c r="AL1907" s="1">
        <v>88</v>
      </c>
    </row>
    <row r="1908" spans="1:38" x14ac:dyDescent="0.2">
      <c r="A1908" s="2" t="str">
        <f>HYPERLINK("https://www.compass.com/listing/321-west-110th-street-unit-15c-manhattan-ny-10026/50851734314097489/","321 W 110th St, Unit 15C")</f>
        <v>321 W 110th St, Unit 15C</v>
      </c>
      <c r="B1908" s="2" t="str">
        <f t="shared" si="304"/>
        <v>One Morningside Park</v>
      </c>
      <c r="C1908" s="1" t="s">
        <v>106</v>
      </c>
      <c r="D1908" s="1" t="s">
        <v>41</v>
      </c>
      <c r="E1908" s="3">
        <v>1737134</v>
      </c>
      <c r="F1908" s="1">
        <v>1373.22845849802</v>
      </c>
      <c r="G1908" s="1">
        <v>5</v>
      </c>
      <c r="H1908" s="1">
        <v>3</v>
      </c>
      <c r="I1908" s="1">
        <v>2</v>
      </c>
      <c r="J1908" s="1">
        <v>2</v>
      </c>
      <c r="M1908" s="4">
        <v>1265</v>
      </c>
      <c r="N1908" s="1">
        <v>1352</v>
      </c>
      <c r="O1908" s="1">
        <v>1424</v>
      </c>
      <c r="P1908" s="1">
        <v>72</v>
      </c>
      <c r="Q1908" s="1" t="s">
        <v>42</v>
      </c>
      <c r="S1908" s="1" t="s">
        <v>42</v>
      </c>
      <c r="T1908" s="1" t="s">
        <v>170</v>
      </c>
      <c r="U1908" s="1">
        <v>1</v>
      </c>
      <c r="V1908" s="5">
        <v>43642</v>
      </c>
      <c r="W1908" s="5">
        <v>41501</v>
      </c>
      <c r="X1908" s="1">
        <v>1877000</v>
      </c>
      <c r="Y1908" s="1">
        <v>1877000</v>
      </c>
      <c r="Z1908" s="5">
        <v>41502</v>
      </c>
      <c r="AA1908" s="1">
        <v>1737134</v>
      </c>
      <c r="AB1908" s="1" t="s">
        <v>1546</v>
      </c>
      <c r="AC1908" s="5">
        <v>41954</v>
      </c>
      <c r="AF1908" s="1">
        <v>10026</v>
      </c>
      <c r="AI1908" s="1" t="s">
        <v>1483</v>
      </c>
      <c r="AJ1908" s="1">
        <v>2012</v>
      </c>
      <c r="AK1908" s="1" t="s">
        <v>49</v>
      </c>
      <c r="AL1908" s="1">
        <v>88</v>
      </c>
    </row>
    <row r="1909" spans="1:38" x14ac:dyDescent="0.2">
      <c r="A1909" s="2" t="str">
        <f>HYPERLINK("https://www.compass.com/listing/321-west-110th-street-unit-11c-manhattan-ny-10026/29430023626693841/","321 W 110th St, Unit 11C")</f>
        <v>321 W 110th St, Unit 11C</v>
      </c>
      <c r="B1909" s="2" t="str">
        <f t="shared" si="304"/>
        <v>One Morningside Park</v>
      </c>
      <c r="C1909" s="1" t="s">
        <v>106</v>
      </c>
      <c r="D1909" s="1" t="s">
        <v>41</v>
      </c>
      <c r="E1909" s="3">
        <v>707684</v>
      </c>
      <c r="F1909" s="1">
        <v>1661.2294600938901</v>
      </c>
      <c r="G1909" s="1">
        <v>2</v>
      </c>
      <c r="H1909" s="1" t="s">
        <v>79</v>
      </c>
      <c r="I1909" s="1">
        <v>1</v>
      </c>
      <c r="J1909" s="1">
        <v>1</v>
      </c>
      <c r="M1909" s="1">
        <v>426</v>
      </c>
      <c r="N1909" s="1">
        <v>421</v>
      </c>
      <c r="O1909" s="1">
        <v>442</v>
      </c>
      <c r="P1909" s="1">
        <v>21</v>
      </c>
      <c r="Q1909" s="1" t="s">
        <v>42</v>
      </c>
      <c r="S1909" s="1" t="s">
        <v>42</v>
      </c>
      <c r="T1909" s="1" t="s">
        <v>170</v>
      </c>
      <c r="U1909" s="1">
        <v>71</v>
      </c>
      <c r="V1909" s="5">
        <v>42879</v>
      </c>
      <c r="W1909" s="5">
        <v>42229</v>
      </c>
      <c r="X1909" s="1">
        <v>695000</v>
      </c>
      <c r="Y1909" s="1">
        <v>695000</v>
      </c>
      <c r="Z1909" s="5">
        <v>42301</v>
      </c>
      <c r="AA1909" s="1">
        <v>707683.75</v>
      </c>
      <c r="AB1909" s="1" t="s">
        <v>1547</v>
      </c>
      <c r="AC1909" s="5">
        <v>42356</v>
      </c>
      <c r="AF1909" s="1">
        <v>10026</v>
      </c>
      <c r="AI1909" s="1" t="s">
        <v>1491</v>
      </c>
      <c r="AJ1909" s="1">
        <v>2012</v>
      </c>
      <c r="AK1909" s="1" t="s">
        <v>49</v>
      </c>
      <c r="AL1909" s="1">
        <v>88</v>
      </c>
    </row>
    <row r="1910" spans="1:38" x14ac:dyDescent="0.2">
      <c r="A1910" s="2" t="str">
        <f>HYPERLINK("https://www.compass.com/listing/50-riverside-boulevard-unit-ph5-manhattan-ny-10069/4852268228262498017/","50 Riverside Blvd, Unit PH5")</f>
        <v>50 Riverside Blvd, Unit PH5</v>
      </c>
      <c r="B1910" s="2" t="str">
        <f>HYPERLINK("https://www.compass.com/building/one-riverside-park-manhattan-ny/282041440266113253/","One Riverside Park")</f>
        <v>One Riverside Park</v>
      </c>
      <c r="C1910" s="1" t="s">
        <v>50</v>
      </c>
      <c r="D1910" s="1" t="s">
        <v>41</v>
      </c>
      <c r="E1910" s="3">
        <v>15509553</v>
      </c>
      <c r="F1910" s="1">
        <v>2514.51896887159</v>
      </c>
      <c r="G1910" s="1">
        <v>12</v>
      </c>
      <c r="H1910" s="1">
        <v>6</v>
      </c>
      <c r="I1910" s="1">
        <v>9</v>
      </c>
      <c r="J1910" s="1">
        <v>8.5</v>
      </c>
      <c r="M1910" s="4">
        <v>6168</v>
      </c>
      <c r="N1910" s="1">
        <v>6924</v>
      </c>
      <c r="O1910" s="1">
        <v>7308</v>
      </c>
      <c r="P1910" s="1">
        <v>384</v>
      </c>
      <c r="Q1910" s="1" t="s">
        <v>42</v>
      </c>
      <c r="S1910" s="1" t="s">
        <v>42</v>
      </c>
      <c r="T1910" s="1" t="s">
        <v>170</v>
      </c>
      <c r="U1910" s="1">
        <v>301</v>
      </c>
      <c r="V1910" s="5">
        <v>42871</v>
      </c>
      <c r="W1910" s="5">
        <v>42534</v>
      </c>
      <c r="X1910" s="1">
        <v>19950000</v>
      </c>
      <c r="Y1910" s="1">
        <v>17500000</v>
      </c>
      <c r="Z1910" s="5">
        <v>42859</v>
      </c>
      <c r="AA1910" s="1">
        <v>15509553</v>
      </c>
      <c r="AB1910" s="1" t="s">
        <v>181</v>
      </c>
      <c r="AC1910" s="5">
        <v>42864</v>
      </c>
      <c r="AF1910" s="1">
        <v>10069</v>
      </c>
      <c r="AI1910" s="1" t="s">
        <v>101</v>
      </c>
      <c r="AJ1910" s="1">
        <v>2016</v>
      </c>
      <c r="AK1910" s="1" t="s">
        <v>73</v>
      </c>
      <c r="AL1910" s="1">
        <v>657</v>
      </c>
    </row>
    <row r="1911" spans="1:38" x14ac:dyDescent="0.2">
      <c r="A1911" s="2" t="str">
        <f>HYPERLINK("https://www.compass.com/listing/321-west-110th-street-unit-6b-manhattan-ny-10026/4852264560310107617/","321 W 110th St, Unit 6B")</f>
        <v>321 W 110th St, Unit 6B</v>
      </c>
      <c r="B1911" s="2" t="str">
        <f t="shared" ref="B1911:B1912" si="305">HYPERLINK("https://www.compass.com/building/one-morningside-park-manhattan-ny/294836904016796069/","One Morningside Park")</f>
        <v>One Morningside Park</v>
      </c>
      <c r="C1911" s="1" t="s">
        <v>106</v>
      </c>
      <c r="D1911" s="1" t="s">
        <v>41</v>
      </c>
      <c r="E1911" s="3">
        <v>585493</v>
      </c>
      <c r="F1911" s="1">
        <v>1115.22476190476</v>
      </c>
      <c r="G1911" s="1">
        <v>3</v>
      </c>
      <c r="H1911" s="1">
        <v>1</v>
      </c>
      <c r="I1911" s="1">
        <v>1</v>
      </c>
      <c r="J1911" s="1">
        <v>1</v>
      </c>
      <c r="M1911" s="1">
        <v>525</v>
      </c>
      <c r="N1911" s="1">
        <v>519</v>
      </c>
      <c r="O1911" s="1">
        <v>546</v>
      </c>
      <c r="P1911" s="1">
        <v>27</v>
      </c>
      <c r="Q1911" s="1" t="s">
        <v>42</v>
      </c>
      <c r="S1911" s="1" t="s">
        <v>42</v>
      </c>
      <c r="T1911" s="1" t="s">
        <v>170</v>
      </c>
      <c r="U1911" s="1">
        <v>1</v>
      </c>
      <c r="V1911" s="5">
        <v>43654</v>
      </c>
      <c r="W1911" s="5">
        <v>41501</v>
      </c>
      <c r="X1911" s="1">
        <v>610000</v>
      </c>
      <c r="Y1911" s="1">
        <v>610000</v>
      </c>
      <c r="Z1911" s="5">
        <v>41502</v>
      </c>
      <c r="AA1911" s="1">
        <v>585493</v>
      </c>
      <c r="AB1911" s="1" t="s">
        <v>1548</v>
      </c>
      <c r="AC1911" s="5">
        <v>41922</v>
      </c>
      <c r="AF1911" s="1">
        <v>10026</v>
      </c>
      <c r="AI1911" s="1" t="s">
        <v>1491</v>
      </c>
      <c r="AJ1911" s="1">
        <v>2012</v>
      </c>
      <c r="AK1911" s="1" t="s">
        <v>77</v>
      </c>
      <c r="AL1911" s="1">
        <v>88</v>
      </c>
    </row>
    <row r="1912" spans="1:38" x14ac:dyDescent="0.2">
      <c r="A1912" s="2" t="str">
        <f>HYPERLINK("https://www.compass.com/listing/321-west-110th-street-unit-9b-manhattan-ny-10026/4852329821490916769/","321 W 110th St, Unit 9B")</f>
        <v>321 W 110th St, Unit 9B</v>
      </c>
      <c r="B1912" s="2" t="str">
        <f t="shared" si="305"/>
        <v>One Morningside Park</v>
      </c>
      <c r="C1912" s="1" t="s">
        <v>106</v>
      </c>
      <c r="D1912" s="1" t="s">
        <v>41</v>
      </c>
      <c r="E1912" s="3">
        <v>705318</v>
      </c>
      <c r="F1912" s="1">
        <v>1126.7060702875399</v>
      </c>
      <c r="G1912" s="1">
        <v>3</v>
      </c>
      <c r="H1912" s="1">
        <v>1</v>
      </c>
      <c r="I1912" s="1">
        <v>1</v>
      </c>
      <c r="J1912" s="1">
        <v>1</v>
      </c>
      <c r="M1912" s="1">
        <v>626</v>
      </c>
      <c r="N1912" s="1">
        <v>519</v>
      </c>
      <c r="O1912" s="1">
        <v>555</v>
      </c>
      <c r="P1912" s="1">
        <v>36</v>
      </c>
      <c r="Q1912" s="1" t="s">
        <v>42</v>
      </c>
      <c r="S1912" s="1" t="s">
        <v>42</v>
      </c>
      <c r="T1912" s="1" t="s">
        <v>170</v>
      </c>
      <c r="U1912" s="1">
        <v>5</v>
      </c>
      <c r="V1912" s="5">
        <v>43654</v>
      </c>
      <c r="W1912" s="5">
        <v>41501</v>
      </c>
      <c r="X1912" s="1">
        <v>700000</v>
      </c>
      <c r="Y1912" s="1">
        <v>700000</v>
      </c>
      <c r="Z1912" s="5">
        <v>41506</v>
      </c>
      <c r="AA1912" s="1">
        <v>705318</v>
      </c>
      <c r="AB1912" s="1" t="s">
        <v>1549</v>
      </c>
      <c r="AC1912" s="5">
        <v>41958</v>
      </c>
      <c r="AF1912" s="1">
        <v>10026</v>
      </c>
      <c r="AI1912" s="1" t="s">
        <v>1491</v>
      </c>
      <c r="AJ1912" s="1">
        <v>2012</v>
      </c>
      <c r="AK1912" s="1" t="s">
        <v>49</v>
      </c>
      <c r="AL1912" s="1">
        <v>88</v>
      </c>
    </row>
    <row r="1913" spans="1:38" x14ac:dyDescent="0.2">
      <c r="A1913" s="2" t="str">
        <f>HYPERLINK("https://www.compass.com/listing/50-riverside-boulevard-unit-7k-manhattan-ny-10069/167835155854064289/","50 Riverside Blvd, Unit 7K")</f>
        <v>50 Riverside Blvd, Unit 7K</v>
      </c>
      <c r="B1913" s="2" t="str">
        <f t="shared" ref="B1913:B1929" si="306">HYPERLINK("https://www.compass.com/building/one-riverside-park-manhattan-ny/282041440266113253/","One Riverside Park")</f>
        <v>One Riverside Park</v>
      </c>
      <c r="C1913" s="1" t="s">
        <v>50</v>
      </c>
      <c r="D1913" s="1" t="s">
        <v>41</v>
      </c>
      <c r="E1913" s="3">
        <v>1811394</v>
      </c>
      <c r="F1913" s="1">
        <v>1762.0561770428001</v>
      </c>
      <c r="H1913" s="1">
        <v>1</v>
      </c>
      <c r="J1913" s="1">
        <v>1</v>
      </c>
      <c r="K1913" s="1">
        <v>1</v>
      </c>
      <c r="M1913" s="4">
        <v>1028</v>
      </c>
      <c r="N1913" s="1">
        <v>1139</v>
      </c>
      <c r="O1913" s="1">
        <v>1202</v>
      </c>
      <c r="P1913" s="1">
        <v>63</v>
      </c>
      <c r="Q1913" s="1" t="s">
        <v>42</v>
      </c>
      <c r="S1913" s="1" t="s">
        <v>42</v>
      </c>
      <c r="T1913" s="1" t="s">
        <v>170</v>
      </c>
      <c r="AA1913" s="1">
        <v>1811393.75</v>
      </c>
      <c r="AB1913" s="1" t="s">
        <v>1550</v>
      </c>
      <c r="AC1913" s="5">
        <v>42268</v>
      </c>
      <c r="AF1913" s="1">
        <v>10069</v>
      </c>
      <c r="AI1913" s="1" t="s">
        <v>45</v>
      </c>
      <c r="AJ1913" s="1">
        <v>2016</v>
      </c>
      <c r="AK1913" s="1" t="s">
        <v>46</v>
      </c>
      <c r="AL1913" s="1">
        <v>657</v>
      </c>
    </row>
    <row r="1914" spans="1:38" x14ac:dyDescent="0.2">
      <c r="A1914" s="2" t="str">
        <f>HYPERLINK("https://www.compass.com/listing/50-riverside-boulevard-unit-4s-manhattan-ny-10069/202764746011714593/","50 Riverside Blvd, Unit 4S")</f>
        <v>50 Riverside Blvd, Unit 4S</v>
      </c>
      <c r="B1914" s="2" t="str">
        <f t="shared" si="306"/>
        <v>One Riverside Park</v>
      </c>
      <c r="C1914" s="1" t="s">
        <v>50</v>
      </c>
      <c r="D1914" s="1" t="s">
        <v>41</v>
      </c>
      <c r="E1914" s="3">
        <v>1180079</v>
      </c>
      <c r="F1914" s="1">
        <v>1336.44252548131</v>
      </c>
      <c r="H1914" s="1">
        <v>1</v>
      </c>
      <c r="J1914" s="1">
        <v>1.4</v>
      </c>
      <c r="M1914" s="1">
        <v>883</v>
      </c>
      <c r="N1914" s="1">
        <v>977</v>
      </c>
      <c r="O1914" s="1">
        <v>1031</v>
      </c>
      <c r="P1914" s="1">
        <v>54</v>
      </c>
      <c r="Q1914" s="1" t="s">
        <v>42</v>
      </c>
      <c r="S1914" s="1" t="s">
        <v>42</v>
      </c>
      <c r="T1914" s="1" t="s">
        <v>170</v>
      </c>
      <c r="AA1914" s="1">
        <v>1180078.75</v>
      </c>
      <c r="AB1914" s="1" t="s">
        <v>1551</v>
      </c>
      <c r="AC1914" s="5">
        <v>42223</v>
      </c>
      <c r="AF1914" s="1">
        <v>10069</v>
      </c>
      <c r="AI1914" s="1" t="s">
        <v>45</v>
      </c>
      <c r="AJ1914" s="1">
        <v>2016</v>
      </c>
      <c r="AK1914" s="1" t="s">
        <v>46</v>
      </c>
      <c r="AL1914" s="1">
        <v>657</v>
      </c>
    </row>
    <row r="1915" spans="1:38" x14ac:dyDescent="0.2">
      <c r="A1915" s="2" t="str">
        <f>HYPERLINK("https://www.compass.com/listing/50-riverside-boulevard-unit-6k-manhattan-ny-10069/79414183757657489/","50 Riverside Blvd, Unit 6K")</f>
        <v>50 Riverside Blvd, Unit 6K</v>
      </c>
      <c r="B1915" s="2" t="str">
        <f t="shared" si="306"/>
        <v>One Riverside Park</v>
      </c>
      <c r="C1915" s="1" t="s">
        <v>50</v>
      </c>
      <c r="D1915" s="1" t="s">
        <v>41</v>
      </c>
      <c r="E1915" s="3">
        <v>1816485</v>
      </c>
      <c r="F1915" s="1">
        <v>1767.0087548638101</v>
      </c>
      <c r="H1915" s="1">
        <v>1</v>
      </c>
      <c r="J1915" s="1">
        <v>1</v>
      </c>
      <c r="K1915" s="1">
        <v>1</v>
      </c>
      <c r="M1915" s="4">
        <v>1028</v>
      </c>
      <c r="N1915" s="1">
        <v>1139</v>
      </c>
      <c r="O1915" s="1">
        <v>1202</v>
      </c>
      <c r="P1915" s="1">
        <v>63</v>
      </c>
      <c r="Q1915" s="1" t="s">
        <v>42</v>
      </c>
      <c r="S1915" s="1" t="s">
        <v>42</v>
      </c>
      <c r="T1915" s="1" t="s">
        <v>170</v>
      </c>
      <c r="AA1915" s="1">
        <v>1816485</v>
      </c>
      <c r="AB1915" s="1" t="s">
        <v>1552</v>
      </c>
      <c r="AC1915" s="5">
        <v>42257</v>
      </c>
      <c r="AF1915" s="1">
        <v>10069</v>
      </c>
      <c r="AI1915" s="1" t="s">
        <v>45</v>
      </c>
      <c r="AJ1915" s="1">
        <v>2016</v>
      </c>
      <c r="AK1915" s="1" t="s">
        <v>46</v>
      </c>
      <c r="AL1915" s="1">
        <v>657</v>
      </c>
    </row>
    <row r="1916" spans="1:38" x14ac:dyDescent="0.2">
      <c r="A1916" s="2" t="str">
        <f>HYPERLINK("https://www.compass.com/listing/50-riverside-boulevard-unit-3n-manhattan-ny-10069/79414206146853153/","50 Riverside Blvd, Unit 3N")</f>
        <v>50 Riverside Blvd, Unit 3N</v>
      </c>
      <c r="B1916" s="2" t="str">
        <f t="shared" si="306"/>
        <v>One Riverside Park</v>
      </c>
      <c r="C1916" s="1" t="s">
        <v>50</v>
      </c>
      <c r="D1916" s="1" t="s">
        <v>41</v>
      </c>
      <c r="E1916" s="3">
        <v>1225900</v>
      </c>
      <c r="F1916" s="1">
        <v>1333.94994559303</v>
      </c>
      <c r="H1916" s="1">
        <v>1</v>
      </c>
      <c r="J1916" s="1">
        <v>1.5</v>
      </c>
      <c r="M1916" s="1">
        <v>919</v>
      </c>
      <c r="N1916" s="1">
        <v>1016</v>
      </c>
      <c r="O1916" s="1">
        <v>1072</v>
      </c>
      <c r="P1916" s="1">
        <v>56</v>
      </c>
      <c r="Q1916" s="1" t="s">
        <v>42</v>
      </c>
      <c r="S1916" s="1" t="s">
        <v>42</v>
      </c>
      <c r="T1916" s="1" t="s">
        <v>170</v>
      </c>
      <c r="AA1916" s="1">
        <v>1225900</v>
      </c>
      <c r="AB1916" s="1" t="s">
        <v>1553</v>
      </c>
      <c r="AC1916" s="5">
        <v>42220</v>
      </c>
      <c r="AF1916" s="1">
        <v>10069</v>
      </c>
      <c r="AI1916" s="1" t="s">
        <v>45</v>
      </c>
      <c r="AJ1916" s="1">
        <v>2016</v>
      </c>
      <c r="AK1916" s="1" t="s">
        <v>46</v>
      </c>
      <c r="AL1916" s="1">
        <v>657</v>
      </c>
    </row>
    <row r="1917" spans="1:38" x14ac:dyDescent="0.2">
      <c r="A1917" s="2" t="str">
        <f>HYPERLINK("https://www.compass.com/listing/50-riverside-boulevard-unit-5n-manhattan-ny-10069/79414207564507249/","50 Riverside Blvd, Unit 5N")</f>
        <v>50 Riverside Blvd, Unit 5N</v>
      </c>
      <c r="B1917" s="2" t="str">
        <f t="shared" si="306"/>
        <v>One Riverside Park</v>
      </c>
      <c r="C1917" s="1" t="s">
        <v>50</v>
      </c>
      <c r="D1917" s="1" t="s">
        <v>41</v>
      </c>
      <c r="E1917" s="3">
        <v>1286995</v>
      </c>
      <c r="F1917" s="1">
        <v>1400.4298150163199</v>
      </c>
      <c r="H1917" s="1">
        <v>1</v>
      </c>
      <c r="J1917" s="1">
        <v>1.5</v>
      </c>
      <c r="M1917" s="1">
        <v>919</v>
      </c>
      <c r="N1917" s="1">
        <v>1017</v>
      </c>
      <c r="O1917" s="1">
        <v>1073</v>
      </c>
      <c r="P1917" s="1">
        <v>56</v>
      </c>
      <c r="Q1917" s="1" t="s">
        <v>42</v>
      </c>
      <c r="S1917" s="1" t="s">
        <v>42</v>
      </c>
      <c r="T1917" s="1" t="s">
        <v>170</v>
      </c>
      <c r="AA1917" s="1">
        <v>1286995</v>
      </c>
      <c r="AB1917" s="1" t="s">
        <v>1554</v>
      </c>
      <c r="AC1917" s="5">
        <v>42249</v>
      </c>
      <c r="AF1917" s="1">
        <v>10069</v>
      </c>
      <c r="AI1917" s="1" t="s">
        <v>45</v>
      </c>
      <c r="AJ1917" s="1">
        <v>2016</v>
      </c>
      <c r="AK1917" s="1" t="s">
        <v>46</v>
      </c>
      <c r="AL1917" s="1">
        <v>657</v>
      </c>
    </row>
    <row r="1918" spans="1:38" x14ac:dyDescent="0.2">
      <c r="A1918" s="2" t="str">
        <f>HYPERLINK("https://www.compass.com/listing/50-riverside-boulevard-unit-6n-manhattan-ny-10069/79414208311114129/","50 Riverside Blvd, Unit 6N")</f>
        <v>50 Riverside Blvd, Unit 6N</v>
      </c>
      <c r="B1918" s="2" t="str">
        <f t="shared" si="306"/>
        <v>One Riverside Park</v>
      </c>
      <c r="C1918" s="1" t="s">
        <v>50</v>
      </c>
      <c r="D1918" s="1" t="s">
        <v>41</v>
      </c>
      <c r="E1918" s="3">
        <v>1318634</v>
      </c>
      <c r="F1918" s="1">
        <v>1434.8571817192601</v>
      </c>
      <c r="G1918" s="1">
        <v>2</v>
      </c>
      <c r="H1918" s="1">
        <v>1</v>
      </c>
      <c r="I1918" s="1">
        <v>2</v>
      </c>
      <c r="J1918" s="1">
        <v>1.5</v>
      </c>
      <c r="M1918" s="1">
        <v>919</v>
      </c>
      <c r="N1918" s="1">
        <v>1018</v>
      </c>
      <c r="O1918" s="1">
        <v>1074</v>
      </c>
      <c r="P1918" s="1">
        <v>56</v>
      </c>
      <c r="Q1918" s="1" t="s">
        <v>42</v>
      </c>
      <c r="S1918" s="1" t="s">
        <v>42</v>
      </c>
      <c r="T1918" s="1" t="s">
        <v>170</v>
      </c>
      <c r="V1918" s="5">
        <v>41640</v>
      </c>
      <c r="Y1918" s="1">
        <v>1295000</v>
      </c>
      <c r="Z1918" s="5">
        <v>42105</v>
      </c>
      <c r="AA1918" s="1">
        <v>1318633.75</v>
      </c>
      <c r="AB1918" s="1" t="s">
        <v>1555</v>
      </c>
      <c r="AC1918" s="5">
        <v>42450</v>
      </c>
      <c r="AF1918" s="1">
        <v>10069</v>
      </c>
      <c r="AI1918" s="1" t="s">
        <v>45</v>
      </c>
      <c r="AJ1918" s="1">
        <v>2016</v>
      </c>
      <c r="AK1918" s="1" t="s">
        <v>46</v>
      </c>
      <c r="AL1918" s="1">
        <v>657</v>
      </c>
    </row>
    <row r="1919" spans="1:38" x14ac:dyDescent="0.2">
      <c r="A1919" s="2" t="str">
        <f>HYPERLINK("https://www.compass.com/listing/50-riverside-boulevard-unit-7n-manhattan-ny-10069/79414209275766065/","50 Riverside Blvd, Unit 7N")</f>
        <v>50 Riverside Blvd, Unit 7N</v>
      </c>
      <c r="B1919" s="2" t="str">
        <f t="shared" si="306"/>
        <v>One Riverside Park</v>
      </c>
      <c r="C1919" s="1" t="s">
        <v>50</v>
      </c>
      <c r="D1919" s="1" t="s">
        <v>41</v>
      </c>
      <c r="E1919" s="3">
        <v>1424459</v>
      </c>
      <c r="F1919" s="1">
        <v>1550.00952121871</v>
      </c>
      <c r="H1919" s="1">
        <v>1</v>
      </c>
      <c r="J1919" s="1">
        <v>1.5</v>
      </c>
      <c r="M1919" s="1">
        <v>919</v>
      </c>
      <c r="N1919" s="1">
        <v>1018</v>
      </c>
      <c r="O1919" s="1">
        <v>1074</v>
      </c>
      <c r="P1919" s="1">
        <v>56</v>
      </c>
      <c r="Q1919" s="1" t="s">
        <v>42</v>
      </c>
      <c r="S1919" s="1" t="s">
        <v>42</v>
      </c>
      <c r="T1919" s="1" t="s">
        <v>170</v>
      </c>
      <c r="AA1919" s="1">
        <v>1424458.75</v>
      </c>
      <c r="AB1919" s="1" t="s">
        <v>1556</v>
      </c>
      <c r="AC1919" s="5">
        <v>42304</v>
      </c>
      <c r="AF1919" s="1">
        <v>10069</v>
      </c>
      <c r="AI1919" s="1" t="s">
        <v>45</v>
      </c>
      <c r="AJ1919" s="1">
        <v>2016</v>
      </c>
      <c r="AK1919" s="1" t="s">
        <v>46</v>
      </c>
      <c r="AL1919" s="1">
        <v>657</v>
      </c>
    </row>
    <row r="1920" spans="1:38" x14ac:dyDescent="0.2">
      <c r="A1920" s="2" t="str">
        <f>HYPERLINK("https://www.compass.com/listing/50-riverside-boulevard-unit-4p-manhattan-ny-10069/79414217907661169/","50 Riverside Blvd, Unit 4P")</f>
        <v>50 Riverside Blvd, Unit 4P</v>
      </c>
      <c r="B1920" s="2" t="str">
        <f t="shared" si="306"/>
        <v>One Riverside Park</v>
      </c>
      <c r="C1920" s="1" t="s">
        <v>50</v>
      </c>
      <c r="D1920" s="1" t="s">
        <v>41</v>
      </c>
      <c r="E1920" s="3">
        <v>1149531</v>
      </c>
      <c r="F1920" s="1">
        <v>1336.6642441860399</v>
      </c>
      <c r="H1920" s="1">
        <v>1</v>
      </c>
      <c r="J1920" s="1">
        <v>1.5</v>
      </c>
      <c r="M1920" s="1">
        <v>860</v>
      </c>
      <c r="N1920" s="1">
        <v>951</v>
      </c>
      <c r="O1920" s="1">
        <v>1004</v>
      </c>
      <c r="P1920" s="1">
        <v>53</v>
      </c>
      <c r="Q1920" s="1" t="s">
        <v>42</v>
      </c>
      <c r="S1920" s="1" t="s">
        <v>42</v>
      </c>
      <c r="T1920" s="1" t="s">
        <v>170</v>
      </c>
      <c r="AA1920" s="1">
        <v>1149531.25</v>
      </c>
      <c r="AB1920" s="1" t="s">
        <v>1557</v>
      </c>
      <c r="AC1920" s="5">
        <v>42243</v>
      </c>
      <c r="AF1920" s="1">
        <v>10069</v>
      </c>
      <c r="AI1920" s="1" t="s">
        <v>45</v>
      </c>
      <c r="AJ1920" s="1">
        <v>2016</v>
      </c>
      <c r="AK1920" s="1" t="s">
        <v>46</v>
      </c>
      <c r="AL1920" s="1">
        <v>657</v>
      </c>
    </row>
    <row r="1921" spans="1:38" x14ac:dyDescent="0.2">
      <c r="A1921" s="2" t="str">
        <f>HYPERLINK("https://www.compass.com/listing/50-riverside-boulevard-unit-5p-manhattan-ny-10069/79414218578770449/","50 Riverside Blvd, Unit 5P")</f>
        <v>50 Riverside Blvd, Unit 5P</v>
      </c>
      <c r="B1921" s="2" t="str">
        <f t="shared" si="306"/>
        <v>One Riverside Park</v>
      </c>
      <c r="C1921" s="1" t="s">
        <v>50</v>
      </c>
      <c r="D1921" s="1" t="s">
        <v>41</v>
      </c>
      <c r="E1921" s="3">
        <v>1174988</v>
      </c>
      <c r="F1921" s="1">
        <v>1366.26453488372</v>
      </c>
      <c r="H1921" s="1">
        <v>1</v>
      </c>
      <c r="J1921" s="1">
        <v>1.5</v>
      </c>
      <c r="M1921" s="1">
        <v>860</v>
      </c>
      <c r="N1921" s="1">
        <v>952</v>
      </c>
      <c r="O1921" s="1">
        <v>1005</v>
      </c>
      <c r="P1921" s="1">
        <v>53</v>
      </c>
      <c r="Q1921" s="1" t="s">
        <v>42</v>
      </c>
      <c r="S1921" s="1" t="s">
        <v>42</v>
      </c>
      <c r="T1921" s="1" t="s">
        <v>170</v>
      </c>
      <c r="AA1921" s="1">
        <v>1174987.5</v>
      </c>
      <c r="AB1921" s="1" t="s">
        <v>1558</v>
      </c>
      <c r="AC1921" s="5">
        <v>42249</v>
      </c>
      <c r="AF1921" s="1">
        <v>10069</v>
      </c>
      <c r="AI1921" s="1" t="s">
        <v>45</v>
      </c>
      <c r="AJ1921" s="1">
        <v>2016</v>
      </c>
      <c r="AK1921" s="1" t="s">
        <v>46</v>
      </c>
      <c r="AL1921" s="1">
        <v>657</v>
      </c>
    </row>
    <row r="1922" spans="1:38" x14ac:dyDescent="0.2">
      <c r="A1922" s="2" t="str">
        <f>HYPERLINK("https://www.compass.com/listing/50-riverside-boulevard-unit-6p-manhattan-ny-10069/79414221330195905/","50 Riverside Blvd, Unit 6P")</f>
        <v>50 Riverside Blvd, Unit 6P</v>
      </c>
      <c r="B1922" s="2" t="str">
        <f t="shared" si="306"/>
        <v>One Riverside Park</v>
      </c>
      <c r="C1922" s="1" t="s">
        <v>50</v>
      </c>
      <c r="D1922" s="1" t="s">
        <v>41</v>
      </c>
      <c r="E1922" s="3">
        <v>1200444</v>
      </c>
      <c r="F1922" s="1">
        <v>1395.8648255813901</v>
      </c>
      <c r="H1922" s="1">
        <v>1</v>
      </c>
      <c r="J1922" s="1">
        <v>1.5</v>
      </c>
      <c r="M1922" s="1">
        <v>860</v>
      </c>
      <c r="N1922" s="1">
        <v>952</v>
      </c>
      <c r="O1922" s="1">
        <v>1005</v>
      </c>
      <c r="P1922" s="1">
        <v>53</v>
      </c>
      <c r="Q1922" s="1" t="s">
        <v>42</v>
      </c>
      <c r="S1922" s="1" t="s">
        <v>42</v>
      </c>
      <c r="T1922" s="1" t="s">
        <v>170</v>
      </c>
      <c r="AA1922" s="1">
        <v>1200443.75</v>
      </c>
      <c r="AB1922" s="1" t="s">
        <v>1559</v>
      </c>
      <c r="AC1922" s="5">
        <v>42258</v>
      </c>
      <c r="AF1922" s="1">
        <v>10069</v>
      </c>
      <c r="AI1922" s="1" t="s">
        <v>45</v>
      </c>
      <c r="AJ1922" s="1">
        <v>2016</v>
      </c>
      <c r="AK1922" s="1" t="s">
        <v>46</v>
      </c>
      <c r="AL1922" s="1">
        <v>657</v>
      </c>
    </row>
    <row r="1923" spans="1:38" x14ac:dyDescent="0.2">
      <c r="A1923" s="2" t="str">
        <f>HYPERLINK("https://www.compass.com/listing/50-riverside-boulevard-unit-5r-manhattan-ny-10069/79414230473816833/","50 Riverside Blvd, Unit 5R")</f>
        <v>50 Riverside Blvd, Unit 5R</v>
      </c>
      <c r="B1923" s="2" t="str">
        <f t="shared" si="306"/>
        <v>One Riverside Park</v>
      </c>
      <c r="C1923" s="1" t="s">
        <v>50</v>
      </c>
      <c r="D1923" s="1" t="s">
        <v>41</v>
      </c>
      <c r="E1923" s="3">
        <v>1149531</v>
      </c>
      <c r="F1923" s="1">
        <v>1375.0373803827699</v>
      </c>
      <c r="H1923" s="1">
        <v>1</v>
      </c>
      <c r="J1923" s="1">
        <v>1.5</v>
      </c>
      <c r="M1923" s="1">
        <v>836</v>
      </c>
      <c r="N1923" s="1">
        <v>925</v>
      </c>
      <c r="O1923" s="1">
        <v>976</v>
      </c>
      <c r="P1923" s="1">
        <v>51</v>
      </c>
      <c r="Q1923" s="1" t="s">
        <v>42</v>
      </c>
      <c r="S1923" s="1" t="s">
        <v>42</v>
      </c>
      <c r="T1923" s="1" t="s">
        <v>170</v>
      </c>
      <c r="AA1923" s="1">
        <v>1149531.25</v>
      </c>
      <c r="AB1923" s="1" t="s">
        <v>1560</v>
      </c>
      <c r="AC1923" s="5">
        <v>42272</v>
      </c>
      <c r="AF1923" s="1">
        <v>10069</v>
      </c>
      <c r="AI1923" s="1" t="s">
        <v>45</v>
      </c>
      <c r="AJ1923" s="1">
        <v>2016</v>
      </c>
      <c r="AK1923" s="1" t="s">
        <v>46</v>
      </c>
      <c r="AL1923" s="1">
        <v>657</v>
      </c>
    </row>
    <row r="1924" spans="1:38" x14ac:dyDescent="0.2">
      <c r="A1924" s="2" t="str">
        <f>HYPERLINK("https://www.compass.com/listing/50-riverside-boulevard-unit-6r-manhattan-ny-10069/79414231170033313/","50 Riverside Blvd, Unit 6R")</f>
        <v>50 Riverside Blvd, Unit 6R</v>
      </c>
      <c r="B1924" s="2" t="str">
        <f t="shared" si="306"/>
        <v>One Riverside Park</v>
      </c>
      <c r="C1924" s="1" t="s">
        <v>50</v>
      </c>
      <c r="D1924" s="1" t="s">
        <v>41</v>
      </c>
      <c r="E1924" s="3">
        <v>1174988</v>
      </c>
      <c r="F1924" s="1">
        <v>1405.4874401913801</v>
      </c>
      <c r="H1924" s="1">
        <v>1</v>
      </c>
      <c r="J1924" s="1">
        <v>1.5</v>
      </c>
      <c r="M1924" s="1">
        <v>836</v>
      </c>
      <c r="N1924" s="1">
        <v>926</v>
      </c>
      <c r="O1924" s="1">
        <v>977</v>
      </c>
      <c r="P1924" s="1">
        <v>51</v>
      </c>
      <c r="Q1924" s="1" t="s">
        <v>42</v>
      </c>
      <c r="S1924" s="1" t="s">
        <v>42</v>
      </c>
      <c r="T1924" s="1" t="s">
        <v>170</v>
      </c>
      <c r="AA1924" s="1">
        <v>1174987.5</v>
      </c>
      <c r="AB1924" s="1" t="s">
        <v>1561</v>
      </c>
      <c r="AC1924" s="5">
        <v>42264</v>
      </c>
      <c r="AF1924" s="1">
        <v>10069</v>
      </c>
      <c r="AI1924" s="1" t="s">
        <v>45</v>
      </c>
      <c r="AJ1924" s="1">
        <v>2016</v>
      </c>
      <c r="AK1924" s="1" t="s">
        <v>46</v>
      </c>
      <c r="AL1924" s="1">
        <v>657</v>
      </c>
    </row>
    <row r="1925" spans="1:38" x14ac:dyDescent="0.2">
      <c r="A1925" s="2" t="str">
        <f>HYPERLINK("https://www.compass.com/listing/50-riverside-boulevard-unit-3s-manhattan-ny-10069/79414232512248609/","50 Riverside Blvd, Unit 3S")</f>
        <v>50 Riverside Blvd, Unit 3S</v>
      </c>
      <c r="B1925" s="2" t="str">
        <f t="shared" si="306"/>
        <v>One Riverside Park</v>
      </c>
      <c r="C1925" s="1" t="s">
        <v>50</v>
      </c>
      <c r="D1925" s="1" t="s">
        <v>41</v>
      </c>
      <c r="E1925" s="3">
        <v>1154623</v>
      </c>
      <c r="F1925" s="1">
        <v>1307.6132502831199</v>
      </c>
      <c r="H1925" s="1">
        <v>1</v>
      </c>
      <c r="J1925" s="1">
        <v>1.5</v>
      </c>
      <c r="M1925" s="1">
        <v>883</v>
      </c>
      <c r="N1925" s="1">
        <v>976</v>
      </c>
      <c r="O1925" s="1">
        <v>1030</v>
      </c>
      <c r="P1925" s="1">
        <v>54</v>
      </c>
      <c r="Q1925" s="1" t="s">
        <v>42</v>
      </c>
      <c r="S1925" s="1" t="s">
        <v>42</v>
      </c>
      <c r="T1925" s="1" t="s">
        <v>170</v>
      </c>
      <c r="AA1925" s="1">
        <v>1154622.5</v>
      </c>
      <c r="AB1925" s="1" t="s">
        <v>1562</v>
      </c>
      <c r="AC1925" s="5">
        <v>42314</v>
      </c>
      <c r="AF1925" s="1">
        <v>10069</v>
      </c>
      <c r="AI1925" s="1" t="s">
        <v>45</v>
      </c>
      <c r="AJ1925" s="1">
        <v>2016</v>
      </c>
      <c r="AK1925" s="1" t="s">
        <v>46</v>
      </c>
      <c r="AL1925" s="1">
        <v>657</v>
      </c>
    </row>
    <row r="1926" spans="1:38" x14ac:dyDescent="0.2">
      <c r="A1926" s="2" t="str">
        <f>HYPERLINK("https://www.compass.com/listing/50-riverside-boulevard-unit-4t-manhattan-ny-10069/79414238895941393/","50 Riverside Blvd, Unit 4T")</f>
        <v>50 Riverside Blvd, Unit 4T</v>
      </c>
      <c r="B1926" s="2" t="str">
        <f t="shared" si="306"/>
        <v>One Riverside Park</v>
      </c>
      <c r="C1926" s="1" t="s">
        <v>50</v>
      </c>
      <c r="D1926" s="1" t="s">
        <v>41</v>
      </c>
      <c r="E1926" s="3">
        <v>1149531</v>
      </c>
      <c r="F1926" s="1">
        <v>1342.91033878504</v>
      </c>
      <c r="H1926" s="1">
        <v>1</v>
      </c>
      <c r="J1926" s="1">
        <v>1</v>
      </c>
      <c r="M1926" s="1">
        <v>856</v>
      </c>
      <c r="N1926" s="1">
        <v>947</v>
      </c>
      <c r="O1926" s="1">
        <v>999</v>
      </c>
      <c r="P1926" s="1">
        <v>52</v>
      </c>
      <c r="Q1926" s="1" t="s">
        <v>42</v>
      </c>
      <c r="S1926" s="1" t="s">
        <v>42</v>
      </c>
      <c r="T1926" s="1" t="s">
        <v>170</v>
      </c>
      <c r="AA1926" s="1">
        <v>1149531.25</v>
      </c>
      <c r="AB1926" s="1" t="s">
        <v>1563</v>
      </c>
      <c r="AC1926" s="5">
        <v>42221</v>
      </c>
      <c r="AF1926" s="1">
        <v>10069</v>
      </c>
      <c r="AI1926" s="1" t="s">
        <v>45</v>
      </c>
      <c r="AJ1926" s="1">
        <v>2016</v>
      </c>
      <c r="AK1926" s="1" t="s">
        <v>46</v>
      </c>
      <c r="AL1926" s="1">
        <v>657</v>
      </c>
    </row>
    <row r="1927" spans="1:38" x14ac:dyDescent="0.2">
      <c r="A1927" s="2" t="str">
        <f>HYPERLINK("https://www.compass.com/listing/50-riverside-boulevard-unit-7p-manhattan-ny-10069/803336193190151353/","50 Riverside Blvd, Unit 7P")</f>
        <v>50 Riverside Blvd, Unit 7P</v>
      </c>
      <c r="B1927" s="2" t="str">
        <f t="shared" si="306"/>
        <v>One Riverside Park</v>
      </c>
      <c r="C1927" s="1" t="s">
        <v>50</v>
      </c>
      <c r="D1927" s="1" t="s">
        <v>41</v>
      </c>
      <c r="E1927" s="3">
        <v>1302269</v>
      </c>
      <c r="F1927" s="1">
        <v>1514.2659883720901</v>
      </c>
      <c r="H1927" s="1">
        <v>1</v>
      </c>
      <c r="J1927" s="1">
        <v>1.5</v>
      </c>
      <c r="M1927" s="1">
        <v>860</v>
      </c>
      <c r="N1927" s="1">
        <v>953</v>
      </c>
      <c r="O1927" s="1">
        <v>1006</v>
      </c>
      <c r="P1927" s="1">
        <v>53</v>
      </c>
      <c r="Q1927" s="1" t="s">
        <v>42</v>
      </c>
      <c r="S1927" s="1" t="s">
        <v>42</v>
      </c>
      <c r="T1927" s="1" t="s">
        <v>170</v>
      </c>
      <c r="AA1927" s="1">
        <v>1302268.75</v>
      </c>
      <c r="AB1927" s="1" t="s">
        <v>1564</v>
      </c>
      <c r="AC1927" s="5">
        <v>42286</v>
      </c>
      <c r="AF1927" s="1">
        <v>10069</v>
      </c>
      <c r="AI1927" s="1" t="s">
        <v>45</v>
      </c>
      <c r="AJ1927" s="1">
        <v>2016</v>
      </c>
      <c r="AK1927" s="1" t="s">
        <v>46</v>
      </c>
      <c r="AL1927" s="1">
        <v>657</v>
      </c>
    </row>
    <row r="1928" spans="1:38" x14ac:dyDescent="0.2">
      <c r="A1928" s="2" t="str">
        <f>HYPERLINK("https://www.compass.com/listing/50-riverside-boulevard-unit-7s-manhattan-ny-10069/803339849255474737/","50 Riverside Blvd, Unit 7S")</f>
        <v>50 Riverside Blvd, Unit 7S</v>
      </c>
      <c r="B1928" s="2" t="str">
        <f t="shared" si="306"/>
        <v>One Riverside Park</v>
      </c>
      <c r="C1928" s="1" t="s">
        <v>50</v>
      </c>
      <c r="D1928" s="1" t="s">
        <v>41</v>
      </c>
      <c r="E1928" s="3">
        <v>1200444</v>
      </c>
      <c r="F1928" s="1">
        <v>1359.5059456398601</v>
      </c>
      <c r="H1928" s="1">
        <v>1</v>
      </c>
      <c r="J1928" s="1">
        <v>1.5</v>
      </c>
      <c r="M1928" s="1">
        <v>883</v>
      </c>
      <c r="N1928" s="1">
        <v>978</v>
      </c>
      <c r="O1928" s="1">
        <v>1032</v>
      </c>
      <c r="P1928" s="1">
        <v>54</v>
      </c>
      <c r="Q1928" s="1" t="s">
        <v>42</v>
      </c>
      <c r="S1928" s="1" t="s">
        <v>42</v>
      </c>
      <c r="T1928" s="1" t="s">
        <v>170</v>
      </c>
      <c r="AA1928" s="1">
        <v>1200443.75</v>
      </c>
      <c r="AB1928" s="1" t="s">
        <v>1565</v>
      </c>
      <c r="AC1928" s="5">
        <v>42278</v>
      </c>
      <c r="AF1928" s="1">
        <v>10069</v>
      </c>
      <c r="AI1928" s="1" t="s">
        <v>45</v>
      </c>
      <c r="AJ1928" s="1">
        <v>2016</v>
      </c>
      <c r="AK1928" s="1" t="s">
        <v>46</v>
      </c>
      <c r="AL1928" s="1">
        <v>657</v>
      </c>
    </row>
    <row r="1929" spans="1:38" x14ac:dyDescent="0.2">
      <c r="A1929" s="2" t="str">
        <f>HYPERLINK("https://www.compass.com/listing/50-riverside-boulevard-unit-16n-manhattan-ny-10069/29396667476279345/","50 Riverside Blvd, Unit 16N")</f>
        <v>50 Riverside Blvd, Unit 16N</v>
      </c>
      <c r="B1929" s="2" t="str">
        <f t="shared" si="306"/>
        <v>One Riverside Park</v>
      </c>
      <c r="C1929" s="1" t="s">
        <v>50</v>
      </c>
      <c r="D1929" s="1" t="s">
        <v>41</v>
      </c>
      <c r="E1929" s="3">
        <v>3914000</v>
      </c>
      <c r="F1929" s="1">
        <v>2039.6039603960301</v>
      </c>
      <c r="G1929" s="1">
        <v>5</v>
      </c>
      <c r="H1929" s="1">
        <v>3</v>
      </c>
      <c r="I1929" s="1">
        <v>3</v>
      </c>
      <c r="J1929" s="1">
        <v>3.5</v>
      </c>
      <c r="K1929" s="1">
        <v>3</v>
      </c>
      <c r="L1929" s="1">
        <v>1</v>
      </c>
      <c r="M1929" s="4">
        <v>1919</v>
      </c>
      <c r="N1929" s="1">
        <v>2135</v>
      </c>
      <c r="O1929" s="1">
        <v>2253</v>
      </c>
      <c r="P1929" s="1">
        <v>118</v>
      </c>
      <c r="Q1929" s="1" t="s">
        <v>42</v>
      </c>
      <c r="S1929" s="1" t="s">
        <v>42</v>
      </c>
      <c r="T1929" s="1" t="s">
        <v>170</v>
      </c>
      <c r="U1929" s="1">
        <v>286</v>
      </c>
      <c r="V1929" s="5">
        <v>43664</v>
      </c>
      <c r="W1929" s="5">
        <v>41753</v>
      </c>
      <c r="X1929" s="1">
        <v>4270000</v>
      </c>
      <c r="Y1929" s="1">
        <v>4270000</v>
      </c>
      <c r="Z1929" s="5">
        <v>42172</v>
      </c>
      <c r="AA1929" s="1">
        <v>3914000</v>
      </c>
      <c r="AB1929" s="1" t="s">
        <v>1566</v>
      </c>
      <c r="AC1929" s="5">
        <v>42921</v>
      </c>
      <c r="AF1929" s="1">
        <v>10069</v>
      </c>
      <c r="AI1929" s="1" t="s">
        <v>101</v>
      </c>
      <c r="AJ1929" s="1">
        <v>2016</v>
      </c>
      <c r="AK1929" s="1" t="s">
        <v>73</v>
      </c>
      <c r="AL1929" s="1">
        <v>657</v>
      </c>
    </row>
    <row r="1930" spans="1:38" x14ac:dyDescent="0.2">
      <c r="A1930" s="2" t="str">
        <f>HYPERLINK("https://www.compass.com/listing/321-west-110th-street-unit-5c-manhattan-ny-10026/29430022007692481/","321 W 110th St, Unit 5C")</f>
        <v>321 W 110th St, Unit 5C</v>
      </c>
      <c r="B1930" s="2" t="str">
        <f t="shared" ref="B1930:B1931" si="307">HYPERLINK("https://www.compass.com/building/one-morningside-park-manhattan-ny/294836904016796069/","One Morningside Park")</f>
        <v>One Morningside Park</v>
      </c>
      <c r="C1930" s="1" t="s">
        <v>106</v>
      </c>
      <c r="D1930" s="1" t="s">
        <v>41</v>
      </c>
      <c r="E1930" s="3">
        <v>631315</v>
      </c>
      <c r="F1930" s="1">
        <v>1082.8730703259</v>
      </c>
      <c r="G1930" s="1">
        <v>3</v>
      </c>
      <c r="H1930" s="1">
        <v>1</v>
      </c>
      <c r="I1930" s="1">
        <v>1</v>
      </c>
      <c r="J1930" s="1">
        <v>1</v>
      </c>
      <c r="M1930" s="1">
        <v>583</v>
      </c>
      <c r="N1930" s="1">
        <v>573</v>
      </c>
      <c r="O1930" s="1">
        <v>604</v>
      </c>
      <c r="P1930" s="1">
        <v>31</v>
      </c>
      <c r="Q1930" s="1" t="s">
        <v>42</v>
      </c>
      <c r="S1930" s="1" t="s">
        <v>42</v>
      </c>
      <c r="T1930" s="1" t="s">
        <v>170</v>
      </c>
      <c r="U1930" s="1">
        <v>1</v>
      </c>
      <c r="V1930" s="5">
        <v>43656</v>
      </c>
      <c r="W1930" s="5">
        <v>41501</v>
      </c>
      <c r="X1930" s="1">
        <v>641000</v>
      </c>
      <c r="Y1930" s="1">
        <v>641000</v>
      </c>
      <c r="Z1930" s="5">
        <v>41502</v>
      </c>
      <c r="AA1930" s="1">
        <v>631315</v>
      </c>
      <c r="AB1930" s="1" t="s">
        <v>1567</v>
      </c>
      <c r="AC1930" s="5">
        <v>41919</v>
      </c>
      <c r="AF1930" s="1">
        <v>10026</v>
      </c>
      <c r="AI1930" s="1" t="s">
        <v>1491</v>
      </c>
      <c r="AJ1930" s="1">
        <v>2012</v>
      </c>
      <c r="AK1930" s="1" t="s">
        <v>49</v>
      </c>
      <c r="AL1930" s="1">
        <v>88</v>
      </c>
    </row>
    <row r="1931" spans="1:38" x14ac:dyDescent="0.2">
      <c r="A1931" s="2" t="str">
        <f>HYPERLINK("https://www.compass.com/listing/321-west-110th-street-unit-2a-manhattan-ny-10026/4852269952297613921/","321 W 110th St, Unit 2A")</f>
        <v>321 W 110th St, Unit 2A</v>
      </c>
      <c r="B1931" s="2" t="str">
        <f t="shared" si="307"/>
        <v>One Morningside Park</v>
      </c>
      <c r="C1931" s="1" t="s">
        <v>106</v>
      </c>
      <c r="D1931" s="1" t="s">
        <v>41</v>
      </c>
      <c r="E1931" s="3">
        <v>2650000</v>
      </c>
      <c r="F1931" s="1">
        <v>1896.9219756621301</v>
      </c>
      <c r="G1931" s="1">
        <v>4</v>
      </c>
      <c r="H1931" s="1">
        <v>2</v>
      </c>
      <c r="I1931" s="1">
        <v>3</v>
      </c>
      <c r="J1931" s="1">
        <v>2.5</v>
      </c>
      <c r="M1931" s="4">
        <v>1397</v>
      </c>
      <c r="N1931" s="1">
        <v>1381</v>
      </c>
      <c r="O1931" s="1">
        <v>1455</v>
      </c>
      <c r="P1931" s="1">
        <v>74</v>
      </c>
      <c r="Q1931" s="1" t="s">
        <v>42</v>
      </c>
      <c r="S1931" s="1" t="s">
        <v>42</v>
      </c>
      <c r="T1931" s="1" t="s">
        <v>170</v>
      </c>
      <c r="U1931" s="1">
        <v>507</v>
      </c>
      <c r="V1931" s="5">
        <v>42490</v>
      </c>
      <c r="W1931" s="5">
        <v>41950</v>
      </c>
      <c r="X1931" s="1">
        <v>2500000</v>
      </c>
      <c r="Y1931" s="1">
        <v>2650000</v>
      </c>
      <c r="Z1931" s="5">
        <v>42458</v>
      </c>
      <c r="AB1931" s="1" t="s">
        <v>181</v>
      </c>
      <c r="AC1931" s="5">
        <v>42490</v>
      </c>
      <c r="AF1931" s="1">
        <v>10026</v>
      </c>
      <c r="AI1931" s="1" t="s">
        <v>1491</v>
      </c>
      <c r="AJ1931" s="1">
        <v>2012</v>
      </c>
      <c r="AK1931" s="1" t="s">
        <v>49</v>
      </c>
      <c r="AL1931" s="1">
        <v>88</v>
      </c>
    </row>
    <row r="1932" spans="1:38" x14ac:dyDescent="0.2">
      <c r="A1932" s="2" t="str">
        <f>HYPERLINK("https://www.compass.com/listing/50-riverside-boulevard-unit-25a-manhattan-ny-10069/29396590728965249/","50 Riverside Blvd, Unit 25A")</f>
        <v>50 Riverside Blvd, Unit 25A</v>
      </c>
      <c r="B1932" s="2" t="str">
        <f t="shared" ref="B1932:B1935" si="308">HYPERLINK("https://www.compass.com/building/one-riverside-park-manhattan-ny/282041440266113253/","One Riverside Park")</f>
        <v>One Riverside Park</v>
      </c>
      <c r="C1932" s="1" t="s">
        <v>50</v>
      </c>
      <c r="D1932" s="1" t="s">
        <v>41</v>
      </c>
      <c r="E1932" s="3">
        <v>7335400</v>
      </c>
      <c r="F1932" s="1">
        <v>2299.4984326018798</v>
      </c>
      <c r="G1932" s="1">
        <v>7</v>
      </c>
      <c r="H1932" s="1">
        <v>4</v>
      </c>
      <c r="I1932" s="1">
        <v>4</v>
      </c>
      <c r="J1932" s="1">
        <v>4.5</v>
      </c>
      <c r="K1932" s="1">
        <v>4</v>
      </c>
      <c r="L1932" s="1">
        <v>1</v>
      </c>
      <c r="M1932" s="4">
        <v>3190</v>
      </c>
      <c r="N1932" s="1">
        <v>3563</v>
      </c>
      <c r="O1932" s="1">
        <v>3760</v>
      </c>
      <c r="P1932" s="1">
        <v>197</v>
      </c>
      <c r="Q1932" s="1" t="s">
        <v>42</v>
      </c>
      <c r="S1932" s="1" t="s">
        <v>42</v>
      </c>
      <c r="T1932" s="1" t="s">
        <v>170</v>
      </c>
      <c r="U1932" s="1">
        <v>442</v>
      </c>
      <c r="V1932" s="5">
        <v>43650</v>
      </c>
      <c r="W1932" s="5">
        <v>42493</v>
      </c>
      <c r="X1932" s="1">
        <v>8880000</v>
      </c>
      <c r="Y1932" s="1">
        <v>7300000</v>
      </c>
      <c r="Z1932" s="5">
        <v>42943</v>
      </c>
      <c r="AA1932" s="1">
        <v>7335400</v>
      </c>
      <c r="AB1932" s="1" t="s">
        <v>1568</v>
      </c>
      <c r="AC1932" s="5">
        <v>42969</v>
      </c>
      <c r="AF1932" s="1">
        <v>10069</v>
      </c>
      <c r="AI1932" s="1" t="s">
        <v>101</v>
      </c>
      <c r="AJ1932" s="1">
        <v>2016</v>
      </c>
      <c r="AK1932" s="1" t="s">
        <v>73</v>
      </c>
      <c r="AL1932" s="1">
        <v>657</v>
      </c>
    </row>
    <row r="1933" spans="1:38" x14ac:dyDescent="0.2">
      <c r="A1933" s="2" t="str">
        <f>HYPERLINK("https://www.compass.com/listing/50-riverside-boulevard-unit-26a-manhattan-ny-10069/29396591215442593/","50 Riverside Blvd, Unit 26A")</f>
        <v>50 Riverside Blvd, Unit 26A</v>
      </c>
      <c r="B1933" s="2" t="str">
        <f t="shared" si="308"/>
        <v>One Riverside Park</v>
      </c>
      <c r="C1933" s="1" t="s">
        <v>50</v>
      </c>
      <c r="D1933" s="1" t="s">
        <v>41</v>
      </c>
      <c r="E1933" s="3">
        <v>8995148</v>
      </c>
      <c r="F1933" s="1">
        <v>2819.7956112852598</v>
      </c>
      <c r="G1933" s="1">
        <v>7</v>
      </c>
      <c r="H1933" s="1">
        <v>4</v>
      </c>
      <c r="I1933" s="1">
        <v>4</v>
      </c>
      <c r="J1933" s="1">
        <v>4</v>
      </c>
      <c r="K1933" s="1">
        <v>4</v>
      </c>
      <c r="M1933" s="4">
        <v>3190</v>
      </c>
      <c r="N1933" s="1">
        <v>3565</v>
      </c>
      <c r="O1933" s="1">
        <v>3763</v>
      </c>
      <c r="P1933" s="1">
        <v>198</v>
      </c>
      <c r="Q1933" s="1" t="s">
        <v>42</v>
      </c>
      <c r="S1933" s="1" t="s">
        <v>42</v>
      </c>
      <c r="T1933" s="1" t="s">
        <v>170</v>
      </c>
      <c r="U1933" s="1">
        <v>31</v>
      </c>
      <c r="V1933" s="5">
        <v>43650</v>
      </c>
      <c r="W1933" s="5">
        <v>41926</v>
      </c>
      <c r="X1933" s="1">
        <v>8830000</v>
      </c>
      <c r="Y1933" s="1">
        <v>8830000</v>
      </c>
      <c r="Z1933" s="5">
        <v>42139</v>
      </c>
      <c r="AA1933" s="1">
        <v>8995148</v>
      </c>
      <c r="AB1933" s="1" t="s">
        <v>1569</v>
      </c>
      <c r="AC1933" s="5">
        <v>42420</v>
      </c>
      <c r="AF1933" s="1">
        <v>10069</v>
      </c>
      <c r="AI1933" s="1" t="s">
        <v>101</v>
      </c>
      <c r="AJ1933" s="1">
        <v>2016</v>
      </c>
      <c r="AK1933" s="1" t="s">
        <v>73</v>
      </c>
      <c r="AL1933" s="1">
        <v>657</v>
      </c>
    </row>
    <row r="1934" spans="1:38" x14ac:dyDescent="0.2">
      <c r="A1934" s="2" t="str">
        <f>HYPERLINK("https://www.compass.com/listing/50-riverside-boulevard-unit-19b-manhattan-ny-10069/29396603647359953/","50 Riverside Blvd, Unit 19B")</f>
        <v>50 Riverside Blvd, Unit 19B</v>
      </c>
      <c r="B1934" s="2" t="str">
        <f t="shared" si="308"/>
        <v>One Riverside Park</v>
      </c>
      <c r="C1934" s="1" t="s">
        <v>50</v>
      </c>
      <c r="D1934" s="1" t="s">
        <v>41</v>
      </c>
      <c r="E1934" s="3">
        <v>6858859</v>
      </c>
      <c r="F1934" s="1">
        <v>2013.16671558555</v>
      </c>
      <c r="G1934" s="1">
        <v>7.5</v>
      </c>
      <c r="H1934" s="1">
        <v>4</v>
      </c>
      <c r="I1934" s="1">
        <v>4</v>
      </c>
      <c r="J1934" s="1">
        <v>4</v>
      </c>
      <c r="K1934" s="1">
        <v>4</v>
      </c>
      <c r="M1934" s="4">
        <v>3407</v>
      </c>
      <c r="N1934" s="1">
        <v>3796</v>
      </c>
      <c r="O1934" s="1">
        <v>4006</v>
      </c>
      <c r="P1934" s="1">
        <v>210</v>
      </c>
      <c r="Q1934" s="1" t="s">
        <v>42</v>
      </c>
      <c r="S1934" s="1" t="s">
        <v>42</v>
      </c>
      <c r="T1934" s="1" t="s">
        <v>170</v>
      </c>
      <c r="U1934" s="1">
        <v>185</v>
      </c>
      <c r="V1934" s="5">
        <v>43672</v>
      </c>
      <c r="W1934" s="5">
        <v>42487</v>
      </c>
      <c r="X1934" s="1">
        <v>7985000</v>
      </c>
      <c r="Y1934" s="1">
        <v>7250000</v>
      </c>
      <c r="Z1934" s="5">
        <v>42672</v>
      </c>
      <c r="AA1934" s="1">
        <v>6858859</v>
      </c>
      <c r="AB1934" s="1" t="s">
        <v>1570</v>
      </c>
      <c r="AC1934" s="5">
        <v>42691</v>
      </c>
      <c r="AF1934" s="1">
        <v>10069</v>
      </c>
      <c r="AI1934" s="1" t="s">
        <v>101</v>
      </c>
      <c r="AJ1934" s="1">
        <v>2016</v>
      </c>
      <c r="AK1934" s="1" t="s">
        <v>73</v>
      </c>
      <c r="AL1934" s="1">
        <v>657</v>
      </c>
    </row>
    <row r="1935" spans="1:38" x14ac:dyDescent="0.2">
      <c r="A1935" s="2" t="str">
        <f>HYPERLINK("https://www.compass.com/listing/50-riverside-boulevard-unit-14l-manhattan-ny-10069/29396654809522065/","50 Riverside Blvd, Unit 14L")</f>
        <v>50 Riverside Blvd, Unit 14L</v>
      </c>
      <c r="B1935" s="2" t="str">
        <f t="shared" si="308"/>
        <v>One Riverside Park</v>
      </c>
      <c r="C1935" s="1" t="s">
        <v>50</v>
      </c>
      <c r="D1935" s="1" t="s">
        <v>41</v>
      </c>
      <c r="E1935" s="3">
        <v>6924100</v>
      </c>
      <c r="F1935" s="1">
        <v>2445.8141999293498</v>
      </c>
      <c r="G1935" s="1">
        <v>6</v>
      </c>
      <c r="H1935" s="1">
        <v>4</v>
      </c>
      <c r="I1935" s="1">
        <v>4</v>
      </c>
      <c r="J1935" s="1">
        <v>4</v>
      </c>
      <c r="K1935" s="1">
        <v>4</v>
      </c>
      <c r="M1935" s="4">
        <v>2831</v>
      </c>
      <c r="N1935" s="1">
        <v>3146</v>
      </c>
      <c r="O1935" s="1">
        <v>3320</v>
      </c>
      <c r="P1935" s="1">
        <v>174</v>
      </c>
      <c r="Q1935" s="1" t="s">
        <v>42</v>
      </c>
      <c r="S1935" s="1" t="s">
        <v>42</v>
      </c>
      <c r="T1935" s="1" t="s">
        <v>170</v>
      </c>
      <c r="U1935" s="1">
        <v>36</v>
      </c>
      <c r="V1935" s="5">
        <v>43673</v>
      </c>
      <c r="W1935" s="5">
        <v>42315</v>
      </c>
      <c r="X1935" s="1">
        <v>7000000</v>
      </c>
      <c r="Y1935" s="1">
        <v>7000000</v>
      </c>
      <c r="Z1935" s="5">
        <v>42351</v>
      </c>
      <c r="AA1935" s="1">
        <v>6924100</v>
      </c>
      <c r="AB1935" s="1" t="s">
        <v>1571</v>
      </c>
      <c r="AC1935" s="5">
        <v>42639</v>
      </c>
      <c r="AF1935" s="1">
        <v>10069</v>
      </c>
      <c r="AI1935" s="1" t="s">
        <v>101</v>
      </c>
      <c r="AJ1935" s="1">
        <v>2016</v>
      </c>
      <c r="AK1935" s="1" t="s">
        <v>73</v>
      </c>
      <c r="AL1935" s="1">
        <v>657</v>
      </c>
    </row>
    <row r="1936" spans="1:38" x14ac:dyDescent="0.2">
      <c r="A1936" s="2" t="str">
        <f>HYPERLINK("https://www.compass.com/listing/321-west-110th-street-unit-20a-manhattan-ny-10026/4852271746646021665/","321 W 110th St, Unit 20A")</f>
        <v>321 W 110th St, Unit 20A</v>
      </c>
      <c r="B1936" s="2" t="str">
        <f>HYPERLINK("https://www.compass.com/building/one-morningside-park-manhattan-ny/294836904016796069/","One Morningside Park")</f>
        <v>One Morningside Park</v>
      </c>
      <c r="C1936" s="1" t="s">
        <v>106</v>
      </c>
      <c r="D1936" s="1" t="s">
        <v>41</v>
      </c>
      <c r="E1936" s="3">
        <v>2699409</v>
      </c>
      <c r="F1936" s="1">
        <v>1951.8503253796</v>
      </c>
      <c r="G1936" s="1">
        <v>5</v>
      </c>
      <c r="H1936" s="1">
        <v>3</v>
      </c>
      <c r="I1936" s="1">
        <v>2</v>
      </c>
      <c r="J1936" s="1">
        <v>2</v>
      </c>
      <c r="M1936" s="4">
        <v>1383</v>
      </c>
      <c r="N1936" s="1">
        <v>1543</v>
      </c>
      <c r="O1936" s="1">
        <v>1624</v>
      </c>
      <c r="P1936" s="1">
        <v>81</v>
      </c>
      <c r="Q1936" s="1" t="s">
        <v>42</v>
      </c>
      <c r="S1936" s="1" t="s">
        <v>42</v>
      </c>
      <c r="T1936" s="1" t="s">
        <v>170</v>
      </c>
      <c r="U1936" s="1">
        <v>240</v>
      </c>
      <c r="V1936" s="5">
        <v>43654</v>
      </c>
      <c r="W1936" s="5">
        <v>41779</v>
      </c>
      <c r="X1936" s="1">
        <v>2600000</v>
      </c>
      <c r="Y1936" s="1">
        <v>2675000</v>
      </c>
      <c r="Z1936" s="5">
        <v>42019</v>
      </c>
      <c r="AA1936" s="1">
        <v>2699409</v>
      </c>
      <c r="AB1936" s="1" t="s">
        <v>1572</v>
      </c>
      <c r="AC1936" s="5">
        <v>42049</v>
      </c>
      <c r="AF1936" s="1">
        <v>10026</v>
      </c>
      <c r="AI1936" s="1" t="s">
        <v>1483</v>
      </c>
      <c r="AJ1936" s="1">
        <v>2012</v>
      </c>
      <c r="AK1936" s="1" t="s">
        <v>49</v>
      </c>
      <c r="AL1936" s="1">
        <v>88</v>
      </c>
    </row>
    <row r="1937" spans="1:38" x14ac:dyDescent="0.2">
      <c r="A1937" s="2" t="str">
        <f>HYPERLINK("https://www.compass.com/listing/50-riverside-boulevard-unit-3j-manhattan-ny-10069/167438250267454641/","50 Riverside Blvd, Unit 3J")</f>
        <v>50 Riverside Blvd, Unit 3J</v>
      </c>
      <c r="B1937" s="2" t="str">
        <f t="shared" ref="B1937:B1939" si="309">HYPERLINK("https://www.compass.com/building/one-riverside-park-manhattan-ny/282041440266113253/","One Riverside Park")</f>
        <v>One Riverside Park</v>
      </c>
      <c r="C1937" s="1" t="s">
        <v>50</v>
      </c>
      <c r="D1937" s="1" t="s">
        <v>41</v>
      </c>
      <c r="E1937" s="3">
        <v>1867398</v>
      </c>
      <c r="F1937" s="1">
        <v>1324.39539007092</v>
      </c>
      <c r="H1937" s="1">
        <v>2</v>
      </c>
      <c r="J1937" s="1">
        <v>2</v>
      </c>
      <c r="M1937" s="4">
        <v>1410</v>
      </c>
      <c r="N1937" s="1">
        <v>1637</v>
      </c>
      <c r="O1937" s="1">
        <v>1728</v>
      </c>
      <c r="P1937" s="1">
        <v>91</v>
      </c>
      <c r="Q1937" s="1" t="s">
        <v>42</v>
      </c>
      <c r="S1937" s="1" t="s">
        <v>42</v>
      </c>
      <c r="T1937" s="1" t="s">
        <v>170</v>
      </c>
      <c r="AA1937" s="1">
        <v>1867397.5</v>
      </c>
      <c r="AB1937" s="1" t="s">
        <v>1573</v>
      </c>
      <c r="AC1937" s="5">
        <v>42293</v>
      </c>
      <c r="AF1937" s="1">
        <v>10069</v>
      </c>
      <c r="AI1937" s="1" t="s">
        <v>45</v>
      </c>
      <c r="AJ1937" s="1">
        <v>2016</v>
      </c>
      <c r="AK1937" s="1" t="s">
        <v>46</v>
      </c>
      <c r="AL1937" s="1">
        <v>657</v>
      </c>
    </row>
    <row r="1938" spans="1:38" x14ac:dyDescent="0.2">
      <c r="A1938" s="2" t="str">
        <f>HYPERLINK("https://www.compass.com/listing/50-riverside-boulevard-unit-3g-manhattan-ny-10069/803351019483924841/","50 Riverside Blvd, Unit 3G")</f>
        <v>50 Riverside Blvd, Unit 3G</v>
      </c>
      <c r="B1938" s="2" t="str">
        <f t="shared" si="309"/>
        <v>One Riverside Park</v>
      </c>
      <c r="C1938" s="1" t="s">
        <v>50</v>
      </c>
      <c r="D1938" s="1" t="s">
        <v>41</v>
      </c>
      <c r="E1938" s="3">
        <v>1887763</v>
      </c>
      <c r="F1938" s="1">
        <v>1289.45525956284</v>
      </c>
      <c r="H1938" s="1">
        <v>2</v>
      </c>
      <c r="J1938" s="1">
        <v>2</v>
      </c>
      <c r="M1938" s="4">
        <v>1464</v>
      </c>
      <c r="N1938" s="1">
        <v>1619</v>
      </c>
      <c r="O1938" s="1">
        <v>1709</v>
      </c>
      <c r="P1938" s="1">
        <v>90</v>
      </c>
      <c r="Q1938" s="1" t="s">
        <v>42</v>
      </c>
      <c r="S1938" s="1" t="s">
        <v>42</v>
      </c>
      <c r="T1938" s="1" t="s">
        <v>170</v>
      </c>
      <c r="AA1938" s="1">
        <v>1887762.5</v>
      </c>
      <c r="AB1938" s="1" t="s">
        <v>1574</v>
      </c>
      <c r="AC1938" s="5">
        <v>42251</v>
      </c>
      <c r="AF1938" s="1">
        <v>10069</v>
      </c>
      <c r="AI1938" s="1" t="s">
        <v>45</v>
      </c>
      <c r="AJ1938" s="1">
        <v>2016</v>
      </c>
      <c r="AK1938" s="1" t="s">
        <v>46</v>
      </c>
      <c r="AL1938" s="1">
        <v>657</v>
      </c>
    </row>
    <row r="1939" spans="1:38" x14ac:dyDescent="0.2">
      <c r="A1939" s="2" t="str">
        <f>HYPERLINK("https://www.compass.com/listing/50-riverside-boulevard-unit-3e-manhattan-ny-10069/841423618046537545/","50 Riverside Blvd, Unit 3E")</f>
        <v>50 Riverside Blvd, Unit 3E</v>
      </c>
      <c r="B1939" s="2" t="str">
        <f t="shared" si="309"/>
        <v>One Riverside Park</v>
      </c>
      <c r="C1939" s="1" t="s">
        <v>50</v>
      </c>
      <c r="D1939" s="1" t="s">
        <v>41</v>
      </c>
      <c r="E1939" s="3">
        <v>2050683</v>
      </c>
      <c r="F1939" s="1">
        <v>1493.5779315367799</v>
      </c>
      <c r="H1939" s="1">
        <v>2</v>
      </c>
      <c r="J1939" s="1">
        <v>2</v>
      </c>
      <c r="K1939" s="1">
        <v>2</v>
      </c>
      <c r="M1939" s="4">
        <v>1373</v>
      </c>
      <c r="N1939" s="1">
        <v>1518</v>
      </c>
      <c r="O1939" s="1">
        <v>1602</v>
      </c>
      <c r="P1939" s="1">
        <v>84</v>
      </c>
      <c r="Q1939" s="1" t="s">
        <v>42</v>
      </c>
      <c r="S1939" s="1" t="s">
        <v>42</v>
      </c>
      <c r="T1939" s="1" t="s">
        <v>170</v>
      </c>
      <c r="AA1939" s="1">
        <v>2050682.5</v>
      </c>
      <c r="AB1939" s="1" t="s">
        <v>1575</v>
      </c>
      <c r="AC1939" s="5">
        <v>42220</v>
      </c>
      <c r="AF1939" s="1">
        <v>10069</v>
      </c>
      <c r="AI1939" s="1" t="s">
        <v>45</v>
      </c>
      <c r="AJ1939" s="1">
        <v>2016</v>
      </c>
      <c r="AK1939" s="1" t="s">
        <v>46</v>
      </c>
      <c r="AL1939" s="1">
        <v>657</v>
      </c>
    </row>
    <row r="1940" spans="1:38" x14ac:dyDescent="0.2">
      <c r="A1940" s="2" t="str">
        <f>HYPERLINK("https://www.compass.com/listing/321-west-110th-street-unit-10a-manhattan-ny-10026/4852284982074289329/","321 W 110th St, Unit 10A")</f>
        <v>321 W 110th St, Unit 10A</v>
      </c>
      <c r="B1940" s="2" t="str">
        <f t="shared" ref="B1940:B1942" si="310">HYPERLINK("https://www.compass.com/building/one-morningside-park-manhattan-ny/294836904016796069/","One Morningside Park")</f>
        <v>One Morningside Park</v>
      </c>
      <c r="C1940" s="1" t="s">
        <v>106</v>
      </c>
      <c r="D1940" s="1" t="s">
        <v>41</v>
      </c>
      <c r="E1940" s="3">
        <v>1</v>
      </c>
      <c r="F1940" s="1">
        <v>9.0252707581227397E-4</v>
      </c>
      <c r="G1940" s="1">
        <v>4</v>
      </c>
      <c r="H1940" s="1">
        <v>2</v>
      </c>
      <c r="I1940" s="1">
        <v>2</v>
      </c>
      <c r="J1940" s="1">
        <v>2</v>
      </c>
      <c r="M1940" s="4">
        <v>1108</v>
      </c>
      <c r="N1940" s="1">
        <v>1271</v>
      </c>
      <c r="O1940" s="1">
        <v>1337</v>
      </c>
      <c r="P1940" s="1">
        <v>66</v>
      </c>
      <c r="Q1940" s="1" t="s">
        <v>42</v>
      </c>
      <c r="S1940" s="1" t="s">
        <v>42</v>
      </c>
      <c r="T1940" s="1" t="s">
        <v>170</v>
      </c>
      <c r="V1940" s="5">
        <v>43074</v>
      </c>
      <c r="W1940" s="5">
        <v>41589</v>
      </c>
      <c r="X1940" s="1">
        <v>1523000</v>
      </c>
      <c r="Y1940" s="1">
        <v>1523000</v>
      </c>
      <c r="Z1940" s="5">
        <v>41590</v>
      </c>
      <c r="AA1940" s="1">
        <v>1</v>
      </c>
      <c r="AB1940" s="1" t="s">
        <v>181</v>
      </c>
      <c r="AC1940" s="5">
        <v>41943</v>
      </c>
      <c r="AF1940" s="1">
        <v>10026</v>
      </c>
      <c r="AI1940" s="1" t="s">
        <v>1483</v>
      </c>
      <c r="AJ1940" s="1">
        <v>2012</v>
      </c>
      <c r="AK1940" s="1" t="s">
        <v>77</v>
      </c>
      <c r="AL1940" s="1">
        <v>88</v>
      </c>
    </row>
    <row r="1941" spans="1:38" x14ac:dyDescent="0.2">
      <c r="A1941" s="2" t="str">
        <f>HYPERLINK("https://www.compass.com/listing/321-west-110th-street-unit-8a-manhattan-ny-10026/4852285044594573393/","321 W 110th St, Unit 8A")</f>
        <v>321 W 110th St, Unit 8A</v>
      </c>
      <c r="B1941" s="2" t="str">
        <f t="shared" si="310"/>
        <v>One Morningside Park</v>
      </c>
      <c r="C1941" s="1" t="s">
        <v>106</v>
      </c>
      <c r="D1941" s="1" t="s">
        <v>41</v>
      </c>
      <c r="E1941" s="3">
        <v>1</v>
      </c>
      <c r="F1941" s="1">
        <v>9.1996320147194101E-4</v>
      </c>
      <c r="G1941" s="1">
        <v>4</v>
      </c>
      <c r="H1941" s="1">
        <v>2</v>
      </c>
      <c r="I1941" s="1">
        <v>2</v>
      </c>
      <c r="J1941" s="1">
        <v>2</v>
      </c>
      <c r="M1941" s="4">
        <v>1087</v>
      </c>
      <c r="N1941" s="1">
        <v>1250</v>
      </c>
      <c r="O1941" s="1">
        <v>1315</v>
      </c>
      <c r="P1941" s="1">
        <v>65</v>
      </c>
      <c r="Q1941" s="1" t="s">
        <v>42</v>
      </c>
      <c r="S1941" s="1" t="s">
        <v>42</v>
      </c>
      <c r="T1941" s="1" t="s">
        <v>170</v>
      </c>
      <c r="U1941" s="1">
        <v>38</v>
      </c>
      <c r="V1941" s="5">
        <v>43074</v>
      </c>
      <c r="W1941" s="5">
        <v>41499</v>
      </c>
      <c r="X1941" s="1">
        <v>1449000</v>
      </c>
      <c r="Y1941" s="1">
        <v>1449000</v>
      </c>
      <c r="Z1941" s="5">
        <v>41537</v>
      </c>
      <c r="AA1941" s="1">
        <v>1</v>
      </c>
      <c r="AB1941" s="1" t="s">
        <v>181</v>
      </c>
      <c r="AC1941" s="5">
        <v>41943</v>
      </c>
      <c r="AF1941" s="1">
        <v>10026</v>
      </c>
      <c r="AI1941" s="1" t="s">
        <v>1483</v>
      </c>
      <c r="AJ1941" s="1">
        <v>2012</v>
      </c>
      <c r="AK1941" s="1" t="s">
        <v>77</v>
      </c>
      <c r="AL1941" s="1">
        <v>88</v>
      </c>
    </row>
    <row r="1942" spans="1:38" x14ac:dyDescent="0.2">
      <c r="A1942" s="2" t="str">
        <f>HYPERLINK("https://www.compass.com/listing/321-west-110th-street-unit-7a-manhattan-ny-10026/4852317173265218881/","321 W 110th St, Unit 7A")</f>
        <v>321 W 110th St, Unit 7A</v>
      </c>
      <c r="B1942" s="2" t="str">
        <f t="shared" si="310"/>
        <v>One Morningside Park</v>
      </c>
      <c r="C1942" s="1" t="s">
        <v>106</v>
      </c>
      <c r="D1942" s="1" t="s">
        <v>41</v>
      </c>
      <c r="E1942" s="3">
        <v>2445881</v>
      </c>
      <c r="F1942" s="1">
        <v>1734.6673758865199</v>
      </c>
      <c r="G1942" s="1">
        <v>5</v>
      </c>
      <c r="H1942" s="1">
        <v>3</v>
      </c>
      <c r="I1942" s="1">
        <v>3</v>
      </c>
      <c r="J1942" s="1">
        <v>3</v>
      </c>
      <c r="M1942" s="4">
        <v>1410</v>
      </c>
      <c r="N1942" s="1">
        <v>2259</v>
      </c>
      <c r="O1942" s="1">
        <v>2378</v>
      </c>
      <c r="P1942" s="1">
        <v>119</v>
      </c>
      <c r="Q1942" s="1" t="s">
        <v>42</v>
      </c>
      <c r="S1942" s="1" t="s">
        <v>42</v>
      </c>
      <c r="T1942" s="1" t="s">
        <v>170</v>
      </c>
      <c r="U1942" s="1">
        <v>29</v>
      </c>
      <c r="V1942" s="5">
        <v>43654</v>
      </c>
      <c r="W1942" s="5">
        <v>41702</v>
      </c>
      <c r="X1942" s="1">
        <v>2402044</v>
      </c>
      <c r="Y1942" s="1">
        <v>2500000</v>
      </c>
      <c r="Z1942" s="5">
        <v>41731</v>
      </c>
      <c r="AA1942" s="1">
        <v>2445881</v>
      </c>
      <c r="AB1942" s="1" t="s">
        <v>1576</v>
      </c>
      <c r="AC1942" s="5">
        <v>42004</v>
      </c>
      <c r="AF1942" s="1">
        <v>10026</v>
      </c>
      <c r="AI1942" s="1" t="s">
        <v>107</v>
      </c>
      <c r="AJ1942" s="1">
        <v>2012</v>
      </c>
      <c r="AK1942" s="1" t="s">
        <v>49</v>
      </c>
      <c r="AL1942" s="1">
        <v>88</v>
      </c>
    </row>
    <row r="1943" spans="1:38" x14ac:dyDescent="0.2">
      <c r="A1943" s="2" t="str">
        <f>HYPERLINK("https://www.compass.com/listing/50-riverside-boulevard-unit-10b-manhattan-ny-10069/167434758492524993/","50 Riverside Blvd, Unit 10B")</f>
        <v>50 Riverside Blvd, Unit 10B</v>
      </c>
      <c r="B1943" s="2" t="str">
        <f t="shared" ref="B1943:B1945" si="311">HYPERLINK("https://www.compass.com/building/one-riverside-park-manhattan-ny/282041440266113253/","One Riverside Park")</f>
        <v>One Riverside Park</v>
      </c>
      <c r="C1943" s="1" t="s">
        <v>50</v>
      </c>
      <c r="D1943" s="1" t="s">
        <v>41</v>
      </c>
      <c r="E1943" s="3">
        <v>2569990</v>
      </c>
      <c r="F1943" s="1">
        <v>1906.5207715133499</v>
      </c>
      <c r="H1943" s="1">
        <v>2</v>
      </c>
      <c r="J1943" s="1">
        <v>2</v>
      </c>
      <c r="M1943" s="4">
        <v>1348</v>
      </c>
      <c r="N1943" s="1">
        <v>1499</v>
      </c>
      <c r="O1943" s="1">
        <v>1582</v>
      </c>
      <c r="P1943" s="1">
        <v>83</v>
      </c>
      <c r="Q1943" s="1" t="s">
        <v>42</v>
      </c>
      <c r="S1943" s="1" t="s">
        <v>42</v>
      </c>
      <c r="T1943" s="1" t="s">
        <v>170</v>
      </c>
      <c r="AA1943" s="1">
        <v>2569990</v>
      </c>
      <c r="AB1943" s="1" t="s">
        <v>1577</v>
      </c>
      <c r="AC1943" s="5">
        <v>42310</v>
      </c>
      <c r="AF1943" s="1">
        <v>10069</v>
      </c>
      <c r="AI1943" s="1" t="s">
        <v>45</v>
      </c>
      <c r="AJ1943" s="1">
        <v>2016</v>
      </c>
      <c r="AK1943" s="1" t="s">
        <v>46</v>
      </c>
      <c r="AL1943" s="1">
        <v>657</v>
      </c>
    </row>
    <row r="1944" spans="1:38" x14ac:dyDescent="0.2">
      <c r="A1944" s="2" t="str">
        <f>HYPERLINK("https://www.compass.com/listing/50-riverside-boulevard-unit-12b-manhattan-ny-10069/167835098400520529/","50 Riverside Blvd, Unit 12B")</f>
        <v>50 Riverside Blvd, Unit 12B</v>
      </c>
      <c r="B1944" s="2" t="str">
        <f t="shared" si="311"/>
        <v>One Riverside Park</v>
      </c>
      <c r="C1944" s="1" t="s">
        <v>50</v>
      </c>
      <c r="D1944" s="1" t="s">
        <v>41</v>
      </c>
      <c r="E1944" s="3">
        <v>2692180</v>
      </c>
      <c r="F1944" s="1">
        <v>1997.1661721068201</v>
      </c>
      <c r="H1944" s="1">
        <v>2</v>
      </c>
      <c r="J1944" s="1">
        <v>2</v>
      </c>
      <c r="M1944" s="4">
        <v>1348</v>
      </c>
      <c r="N1944" s="1">
        <v>1501</v>
      </c>
      <c r="O1944" s="1">
        <v>1584</v>
      </c>
      <c r="P1944" s="1">
        <v>83</v>
      </c>
      <c r="Q1944" s="1" t="s">
        <v>42</v>
      </c>
      <c r="S1944" s="1" t="s">
        <v>42</v>
      </c>
      <c r="T1944" s="1" t="s">
        <v>170</v>
      </c>
      <c r="AA1944" s="1">
        <v>2692180</v>
      </c>
      <c r="AB1944" s="1" t="s">
        <v>1578</v>
      </c>
      <c r="AC1944" s="5">
        <v>42311</v>
      </c>
      <c r="AF1944" s="1">
        <v>10069</v>
      </c>
      <c r="AI1944" s="1" t="s">
        <v>45</v>
      </c>
      <c r="AJ1944" s="1">
        <v>2016</v>
      </c>
      <c r="AK1944" s="1" t="s">
        <v>46</v>
      </c>
      <c r="AL1944" s="1">
        <v>657</v>
      </c>
    </row>
    <row r="1945" spans="1:38" x14ac:dyDescent="0.2">
      <c r="A1945" s="2" t="str">
        <f>HYPERLINK("https://www.compass.com/listing/50-riverside-boulevard-unit-14b-manhattan-ny-10069/784771385988142113/","50 Riverside Blvd, Unit 14B")</f>
        <v>50 Riverside Blvd, Unit 14B</v>
      </c>
      <c r="B1945" s="2" t="str">
        <f t="shared" si="311"/>
        <v>One Riverside Park</v>
      </c>
      <c r="C1945" s="1" t="s">
        <v>50</v>
      </c>
      <c r="D1945" s="1" t="s">
        <v>41</v>
      </c>
      <c r="E1945" s="3">
        <v>3068933</v>
      </c>
      <c r="F1945" s="1">
        <v>2276.6561572700298</v>
      </c>
      <c r="H1945" s="1">
        <v>2</v>
      </c>
      <c r="J1945" s="1">
        <v>2</v>
      </c>
      <c r="M1945" s="4">
        <v>1348</v>
      </c>
      <c r="N1945" s="1">
        <v>1501</v>
      </c>
      <c r="O1945" s="1">
        <v>1584</v>
      </c>
      <c r="P1945" s="1">
        <v>83</v>
      </c>
      <c r="Q1945" s="1" t="s">
        <v>42</v>
      </c>
      <c r="S1945" s="1" t="s">
        <v>42</v>
      </c>
      <c r="T1945" s="1" t="s">
        <v>170</v>
      </c>
      <c r="AA1945" s="1">
        <v>3068932.5</v>
      </c>
      <c r="AB1945" s="1" t="s">
        <v>1579</v>
      </c>
      <c r="AC1945" s="5">
        <v>42318</v>
      </c>
      <c r="AF1945" s="1">
        <v>10069</v>
      </c>
      <c r="AI1945" s="1" t="s">
        <v>45</v>
      </c>
      <c r="AJ1945" s="1">
        <v>2016</v>
      </c>
      <c r="AK1945" s="1" t="s">
        <v>46</v>
      </c>
      <c r="AL1945" s="1">
        <v>657</v>
      </c>
    </row>
    <row r="1946" spans="1:38" x14ac:dyDescent="0.2">
      <c r="A1946" s="2" t="str">
        <f>HYPERLINK("https://www.compass.com/listing/321-west-110th-street-unit-8a-manhattan-ny-10026/483980193856376377/","321 W 110th St, Unit 8A")</f>
        <v>321 W 110th St, Unit 8A</v>
      </c>
      <c r="B1946" s="2" t="str">
        <f>HYPERLINK("https://www.compass.com/building/one-morningside-park-manhattan-ny/294836904016796069/","One Morningside Park")</f>
        <v>One Morningside Park</v>
      </c>
      <c r="C1946" s="1" t="s">
        <v>106</v>
      </c>
      <c r="D1946" s="1" t="s">
        <v>41</v>
      </c>
      <c r="E1946" s="3">
        <v>2090377</v>
      </c>
      <c r="F1946" s="1">
        <v>1923.0701471941099</v>
      </c>
      <c r="H1946" s="1">
        <v>2</v>
      </c>
      <c r="J1946" s="1">
        <v>2</v>
      </c>
      <c r="M1946" s="4">
        <v>1087</v>
      </c>
      <c r="N1946" s="1">
        <v>1250</v>
      </c>
      <c r="O1946" s="1">
        <v>1315</v>
      </c>
      <c r="P1946" s="1">
        <v>65</v>
      </c>
      <c r="Q1946" s="1" t="s">
        <v>42</v>
      </c>
      <c r="S1946" s="1" t="s">
        <v>42</v>
      </c>
      <c r="T1946" s="1" t="s">
        <v>170</v>
      </c>
      <c r="AA1946" s="1">
        <v>2090377.25</v>
      </c>
      <c r="AB1946" s="1" t="s">
        <v>1580</v>
      </c>
      <c r="AC1946" s="5">
        <v>41929</v>
      </c>
      <c r="AF1946" s="1">
        <v>10026</v>
      </c>
      <c r="AI1946" s="1" t="s">
        <v>242</v>
      </c>
      <c r="AJ1946" s="1">
        <v>2012</v>
      </c>
      <c r="AK1946" s="1" t="s">
        <v>49</v>
      </c>
      <c r="AL1946" s="1">
        <v>88</v>
      </c>
    </row>
    <row r="1947" spans="1:38" x14ac:dyDescent="0.2">
      <c r="A1947" s="2" t="str">
        <f>HYPERLINK("https://www.compass.com/listing/50-riverside-boulevard-unit-7s-manhattan-ny-10069/167438247759252881/","50 Riverside Blvd, Unit 7S")</f>
        <v>50 Riverside Blvd, Unit 7S</v>
      </c>
      <c r="B1947" s="2" t="str">
        <f t="shared" ref="B1947:B1977" si="312">HYPERLINK("https://www.compass.com/building/one-riverside-park-manhattan-ny/282041440266113253/","One Riverside Park")</f>
        <v>One Riverside Park</v>
      </c>
      <c r="C1947" s="1" t="s">
        <v>50</v>
      </c>
      <c r="D1947" s="1" t="s">
        <v>41</v>
      </c>
      <c r="E1947" s="3">
        <v>1175000</v>
      </c>
      <c r="F1947" s="1">
        <v>1330.6908267270601</v>
      </c>
      <c r="G1947" s="1">
        <v>2</v>
      </c>
      <c r="H1947" s="1">
        <v>1</v>
      </c>
      <c r="I1947" s="1">
        <v>2</v>
      </c>
      <c r="J1947" s="1">
        <v>1.5</v>
      </c>
      <c r="M1947" s="1">
        <v>883</v>
      </c>
      <c r="N1947" s="1">
        <v>978</v>
      </c>
      <c r="O1947" s="1">
        <v>1032</v>
      </c>
      <c r="P1947" s="1">
        <v>54</v>
      </c>
      <c r="Q1947" s="1" t="s">
        <v>42</v>
      </c>
      <c r="S1947" s="1" t="s">
        <v>42</v>
      </c>
      <c r="T1947" s="1" t="s">
        <v>170</v>
      </c>
      <c r="V1947" s="5">
        <v>42998</v>
      </c>
      <c r="W1947" s="5">
        <v>42902</v>
      </c>
      <c r="X1947" s="1">
        <v>1175000</v>
      </c>
      <c r="Y1947" s="1">
        <v>1175000</v>
      </c>
      <c r="Z1947" s="5">
        <v>41809</v>
      </c>
      <c r="AB1947" s="1" t="s">
        <v>181</v>
      </c>
      <c r="AC1947" s="5">
        <v>42902</v>
      </c>
      <c r="AF1947" s="1">
        <v>10069</v>
      </c>
      <c r="AI1947" s="1" t="s">
        <v>45</v>
      </c>
      <c r="AJ1947" s="1">
        <v>2016</v>
      </c>
      <c r="AK1947" s="1" t="s">
        <v>73</v>
      </c>
      <c r="AL1947" s="1">
        <v>657</v>
      </c>
    </row>
    <row r="1948" spans="1:38" x14ac:dyDescent="0.2">
      <c r="A1948" s="2" t="str">
        <f>HYPERLINK("https://www.compass.com/listing/50-riverside-boulevard-unit-3k-manhattan-ny-10069/167835153270406625/","50 Riverside Blvd, Unit 3K")</f>
        <v>50 Riverside Blvd, Unit 3K</v>
      </c>
      <c r="B1948" s="2" t="str">
        <f t="shared" si="312"/>
        <v>One Riverside Park</v>
      </c>
      <c r="C1948" s="1" t="s">
        <v>50</v>
      </c>
      <c r="D1948" s="1" t="s">
        <v>41</v>
      </c>
      <c r="E1948" s="3">
        <v>1653565</v>
      </c>
      <c r="F1948" s="1">
        <v>1608.5262645914299</v>
      </c>
      <c r="G1948" s="1">
        <v>3</v>
      </c>
      <c r="H1948" s="1">
        <v>1</v>
      </c>
      <c r="I1948" s="1">
        <v>1</v>
      </c>
      <c r="J1948" s="1">
        <v>1</v>
      </c>
      <c r="K1948" s="1">
        <v>1</v>
      </c>
      <c r="M1948" s="4">
        <v>1028</v>
      </c>
      <c r="N1948" s="1">
        <v>1137</v>
      </c>
      <c r="O1948" s="1">
        <v>1200</v>
      </c>
      <c r="P1948" s="1">
        <v>63</v>
      </c>
      <c r="Q1948" s="1" t="s">
        <v>42</v>
      </c>
      <c r="S1948" s="1" t="s">
        <v>42</v>
      </c>
      <c r="T1948" s="1" t="s">
        <v>170</v>
      </c>
      <c r="U1948" s="1">
        <v>572</v>
      </c>
      <c r="V1948" s="5">
        <v>42993</v>
      </c>
      <c r="W1948" s="5">
        <v>41653</v>
      </c>
      <c r="X1948" s="1">
        <v>1620000</v>
      </c>
      <c r="Y1948" s="1">
        <v>1620000</v>
      </c>
      <c r="AA1948" s="1">
        <v>1653565</v>
      </c>
      <c r="AB1948" s="1" t="s">
        <v>1581</v>
      </c>
      <c r="AC1948" s="5">
        <v>42226</v>
      </c>
      <c r="AF1948" s="1">
        <v>10069</v>
      </c>
      <c r="AI1948" s="1" t="s">
        <v>45</v>
      </c>
      <c r="AJ1948" s="1">
        <v>2016</v>
      </c>
      <c r="AK1948" s="1" t="s">
        <v>73</v>
      </c>
      <c r="AL1948" s="1">
        <v>657</v>
      </c>
    </row>
    <row r="1949" spans="1:38" x14ac:dyDescent="0.2">
      <c r="A1949" s="2" t="str">
        <f>HYPERLINK("https://www.compass.com/listing/50-riverside-boulevard-unit-7p-manhattan-ny-10069/167835180919195201/","50 Riverside Blvd, Unit 7P")</f>
        <v>50 Riverside Blvd, Unit 7P</v>
      </c>
      <c r="B1949" s="2" t="str">
        <f t="shared" si="312"/>
        <v>One Riverside Park</v>
      </c>
      <c r="C1949" s="1" t="s">
        <v>50</v>
      </c>
      <c r="D1949" s="1" t="s">
        <v>41</v>
      </c>
      <c r="E1949" s="3">
        <v>1275000</v>
      </c>
      <c r="F1949" s="1">
        <v>1482.55813953488</v>
      </c>
      <c r="G1949" s="1">
        <v>2</v>
      </c>
      <c r="H1949" s="1">
        <v>1</v>
      </c>
      <c r="I1949" s="1">
        <v>2</v>
      </c>
      <c r="J1949" s="1">
        <v>1.5</v>
      </c>
      <c r="M1949" s="1">
        <v>860</v>
      </c>
      <c r="N1949" s="1">
        <v>953</v>
      </c>
      <c r="O1949" s="1">
        <v>1006</v>
      </c>
      <c r="P1949" s="1">
        <v>53</v>
      </c>
      <c r="Q1949" s="1" t="s">
        <v>42</v>
      </c>
      <c r="S1949" s="1" t="s">
        <v>42</v>
      </c>
      <c r="T1949" s="1" t="s">
        <v>170</v>
      </c>
      <c r="V1949" s="5">
        <v>42998</v>
      </c>
      <c r="W1949" s="5">
        <v>42902</v>
      </c>
      <c r="X1949" s="1">
        <v>1275000</v>
      </c>
      <c r="Y1949" s="1">
        <v>1275000</v>
      </c>
      <c r="Z1949" s="5">
        <v>41809</v>
      </c>
      <c r="AB1949" s="1" t="s">
        <v>181</v>
      </c>
      <c r="AC1949" s="5">
        <v>42902</v>
      </c>
      <c r="AF1949" s="1">
        <v>10069</v>
      </c>
      <c r="AI1949" s="1" t="s">
        <v>45</v>
      </c>
      <c r="AJ1949" s="1">
        <v>2016</v>
      </c>
      <c r="AK1949" s="1" t="s">
        <v>73</v>
      </c>
      <c r="AL1949" s="1">
        <v>657</v>
      </c>
    </row>
    <row r="1950" spans="1:38" x14ac:dyDescent="0.2">
      <c r="A1950" s="2" t="str">
        <f>HYPERLINK("https://www.compass.com/listing/50-riverside-boulevard-unit-3k-manhattan-ny-10069/29396647477837489/","50 Riverside Blvd, Unit 3K")</f>
        <v>50 Riverside Blvd, Unit 3K</v>
      </c>
      <c r="B1950" s="2" t="str">
        <f t="shared" si="312"/>
        <v>One Riverside Park</v>
      </c>
      <c r="C1950" s="1" t="s">
        <v>50</v>
      </c>
      <c r="D1950" s="1" t="s">
        <v>41</v>
      </c>
      <c r="E1950" s="3">
        <v>1653565</v>
      </c>
      <c r="F1950" s="1">
        <v>1608.5262645914299</v>
      </c>
      <c r="G1950" s="1">
        <v>2</v>
      </c>
      <c r="H1950" s="1">
        <v>1</v>
      </c>
      <c r="I1950" s="1">
        <v>2</v>
      </c>
      <c r="J1950" s="1">
        <v>1.5</v>
      </c>
      <c r="M1950" s="4">
        <v>1028</v>
      </c>
      <c r="N1950" s="1">
        <v>1137</v>
      </c>
      <c r="O1950" s="1">
        <v>1200</v>
      </c>
      <c r="P1950" s="1">
        <v>63</v>
      </c>
      <c r="Q1950" s="1" t="s">
        <v>42</v>
      </c>
      <c r="S1950" s="1" t="s">
        <v>42</v>
      </c>
      <c r="T1950" s="1" t="s">
        <v>170</v>
      </c>
      <c r="V1950" s="5">
        <v>43668</v>
      </c>
      <c r="W1950" s="5">
        <v>41924</v>
      </c>
      <c r="X1950" s="1">
        <v>1620000</v>
      </c>
      <c r="Y1950" s="1">
        <v>1620000</v>
      </c>
      <c r="Z1950" s="5">
        <v>41924</v>
      </c>
      <c r="AA1950" s="1">
        <v>1653565</v>
      </c>
      <c r="AB1950" s="1" t="s">
        <v>1581</v>
      </c>
      <c r="AC1950" s="5">
        <v>42226</v>
      </c>
      <c r="AF1950" s="1">
        <v>10069</v>
      </c>
      <c r="AI1950" s="1" t="s">
        <v>45</v>
      </c>
      <c r="AJ1950" s="1">
        <v>2016</v>
      </c>
      <c r="AK1950" s="1" t="s">
        <v>73</v>
      </c>
      <c r="AL1950" s="1">
        <v>657</v>
      </c>
    </row>
    <row r="1951" spans="1:38" x14ac:dyDescent="0.2">
      <c r="A1951" s="2" t="str">
        <f>HYPERLINK("https://www.compass.com/listing/50-riverside-boulevard-unit-4k-manhattan-ny-10069/29396647905697521/","50 Riverside Blvd, Unit 4K")</f>
        <v>50 Riverside Blvd, Unit 4K</v>
      </c>
      <c r="B1951" s="2" t="str">
        <f t="shared" si="312"/>
        <v>One Riverside Park</v>
      </c>
      <c r="C1951" s="1" t="s">
        <v>50</v>
      </c>
      <c r="D1951" s="1" t="s">
        <v>41</v>
      </c>
      <c r="E1951" s="3">
        <v>1714660</v>
      </c>
      <c r="F1951" s="1">
        <v>1667.95719844357</v>
      </c>
      <c r="G1951" s="1">
        <v>2</v>
      </c>
      <c r="H1951" s="1">
        <v>1</v>
      </c>
      <c r="I1951" s="1">
        <v>2</v>
      </c>
      <c r="J1951" s="1">
        <v>1.5</v>
      </c>
      <c r="M1951" s="4">
        <v>1028</v>
      </c>
      <c r="N1951" s="1">
        <v>1137</v>
      </c>
      <c r="O1951" s="1">
        <v>1200</v>
      </c>
      <c r="P1951" s="1">
        <v>63</v>
      </c>
      <c r="Q1951" s="1" t="s">
        <v>42</v>
      </c>
      <c r="S1951" s="1" t="s">
        <v>42</v>
      </c>
      <c r="T1951" s="1" t="s">
        <v>170</v>
      </c>
      <c r="V1951" s="5">
        <v>43668</v>
      </c>
      <c r="W1951" s="5">
        <v>41924</v>
      </c>
      <c r="X1951" s="1">
        <v>1680000</v>
      </c>
      <c r="Y1951" s="1">
        <v>1680000</v>
      </c>
      <c r="Z1951" s="5">
        <v>41924</v>
      </c>
      <c r="AA1951" s="1">
        <v>1714660</v>
      </c>
      <c r="AB1951" s="1" t="s">
        <v>1582</v>
      </c>
      <c r="AC1951" s="5">
        <v>42256</v>
      </c>
      <c r="AF1951" s="1">
        <v>10069</v>
      </c>
      <c r="AI1951" s="1" t="s">
        <v>45</v>
      </c>
      <c r="AJ1951" s="1">
        <v>2016</v>
      </c>
      <c r="AK1951" s="1" t="s">
        <v>73</v>
      </c>
      <c r="AL1951" s="1">
        <v>657</v>
      </c>
    </row>
    <row r="1952" spans="1:38" x14ac:dyDescent="0.2">
      <c r="A1952" s="2" t="str">
        <f>HYPERLINK("https://www.compass.com/listing/50-riverside-boulevard-unit-5k-manhattan-ny-10069/29396648333537553/","50 Riverside Blvd, Unit 5K")</f>
        <v>50 Riverside Blvd, Unit 5K</v>
      </c>
      <c r="B1952" s="2" t="str">
        <f t="shared" si="312"/>
        <v>One Riverside Park</v>
      </c>
      <c r="C1952" s="1" t="s">
        <v>50</v>
      </c>
      <c r="D1952" s="1" t="s">
        <v>41</v>
      </c>
      <c r="E1952" s="3">
        <v>1633200</v>
      </c>
      <c r="F1952" s="1">
        <v>1588.71595330739</v>
      </c>
      <c r="G1952" s="1">
        <v>2</v>
      </c>
      <c r="H1952" s="1">
        <v>1</v>
      </c>
      <c r="I1952" s="1">
        <v>2</v>
      </c>
      <c r="J1952" s="1">
        <v>1.5</v>
      </c>
      <c r="M1952" s="4">
        <v>1028</v>
      </c>
      <c r="N1952" s="1">
        <v>1138</v>
      </c>
      <c r="O1952" s="1">
        <v>1191</v>
      </c>
      <c r="P1952" s="1">
        <v>53</v>
      </c>
      <c r="Q1952" s="1" t="s">
        <v>42</v>
      </c>
      <c r="S1952" s="1" t="s">
        <v>42</v>
      </c>
      <c r="T1952" s="1" t="s">
        <v>170</v>
      </c>
      <c r="V1952" s="5">
        <v>43668</v>
      </c>
      <c r="W1952" s="5">
        <v>42266</v>
      </c>
      <c r="X1952" s="1">
        <v>1600000</v>
      </c>
      <c r="Y1952" s="1">
        <v>1600000</v>
      </c>
      <c r="Z1952" s="5">
        <v>42266</v>
      </c>
      <c r="AA1952" s="1">
        <v>1633200</v>
      </c>
      <c r="AB1952" s="1" t="s">
        <v>1583</v>
      </c>
      <c r="AC1952" s="5">
        <v>42278</v>
      </c>
      <c r="AF1952" s="1">
        <v>10069</v>
      </c>
      <c r="AI1952" s="1" t="s">
        <v>45</v>
      </c>
      <c r="AJ1952" s="1">
        <v>2016</v>
      </c>
      <c r="AK1952" s="1" t="s">
        <v>73</v>
      </c>
      <c r="AL1952" s="1">
        <v>657</v>
      </c>
    </row>
    <row r="1953" spans="1:38" x14ac:dyDescent="0.2">
      <c r="A1953" s="2" t="str">
        <f>HYPERLINK("https://www.compass.com/listing/50-riverside-boulevard-unit-6k-manhattan-ny-10069/29396648836792049/","50 Riverside Blvd, Unit 6K")</f>
        <v>50 Riverside Blvd, Unit 6K</v>
      </c>
      <c r="B1953" s="2" t="str">
        <f t="shared" si="312"/>
        <v>One Riverside Park</v>
      </c>
      <c r="C1953" s="1" t="s">
        <v>50</v>
      </c>
      <c r="D1953" s="1" t="s">
        <v>41</v>
      </c>
      <c r="E1953" s="3">
        <v>1780000</v>
      </c>
      <c r="F1953" s="1">
        <v>1731.5175097276201</v>
      </c>
      <c r="G1953" s="1">
        <v>2</v>
      </c>
      <c r="H1953" s="1">
        <v>1</v>
      </c>
      <c r="I1953" s="1">
        <v>2</v>
      </c>
      <c r="J1953" s="1">
        <v>1.5</v>
      </c>
      <c r="M1953" s="4">
        <v>1028</v>
      </c>
      <c r="N1953" s="1">
        <v>1138</v>
      </c>
      <c r="O1953" s="1">
        <v>1201</v>
      </c>
      <c r="P1953" s="1">
        <v>63</v>
      </c>
      <c r="Q1953" s="1" t="s">
        <v>42</v>
      </c>
      <c r="S1953" s="1" t="s">
        <v>42</v>
      </c>
      <c r="T1953" s="1" t="s">
        <v>170</v>
      </c>
      <c r="V1953" s="5">
        <v>42998</v>
      </c>
      <c r="W1953" s="5">
        <v>42902</v>
      </c>
      <c r="X1953" s="1">
        <v>1780000</v>
      </c>
      <c r="Y1953" s="1">
        <v>1780000</v>
      </c>
      <c r="Z1953" s="5">
        <v>41670</v>
      </c>
      <c r="AB1953" s="1" t="s">
        <v>181</v>
      </c>
      <c r="AC1953" s="5">
        <v>42902</v>
      </c>
      <c r="AF1953" s="1">
        <v>10069</v>
      </c>
      <c r="AI1953" s="1" t="s">
        <v>1386</v>
      </c>
      <c r="AJ1953" s="1">
        <v>2016</v>
      </c>
      <c r="AK1953" s="1" t="s">
        <v>73</v>
      </c>
      <c r="AL1953" s="1">
        <v>657</v>
      </c>
    </row>
    <row r="1954" spans="1:38" x14ac:dyDescent="0.2">
      <c r="A1954" s="2" t="str">
        <f>HYPERLINK("https://www.compass.com/listing/50-riverside-boulevard-unit-3n-manhattan-ny-10069/29396662334062561/","50 Riverside Blvd, Unit 3N")</f>
        <v>50 Riverside Blvd, Unit 3N</v>
      </c>
      <c r="B1954" s="2" t="str">
        <f t="shared" si="312"/>
        <v>One Riverside Park</v>
      </c>
      <c r="C1954" s="1" t="s">
        <v>50</v>
      </c>
      <c r="D1954" s="1" t="s">
        <v>41</v>
      </c>
      <c r="E1954" s="3">
        <v>1200000</v>
      </c>
      <c r="F1954" s="1">
        <v>1305.76713819368</v>
      </c>
      <c r="G1954" s="1">
        <v>2</v>
      </c>
      <c r="H1954" s="1">
        <v>1</v>
      </c>
      <c r="I1954" s="1">
        <v>2</v>
      </c>
      <c r="J1954" s="1">
        <v>1.5</v>
      </c>
      <c r="M1954" s="1">
        <v>919</v>
      </c>
      <c r="N1954" s="1">
        <v>1016</v>
      </c>
      <c r="O1954" s="1">
        <v>1072</v>
      </c>
      <c r="P1954" s="1">
        <v>56</v>
      </c>
      <c r="Q1954" s="1" t="s">
        <v>42</v>
      </c>
      <c r="S1954" s="1" t="s">
        <v>42</v>
      </c>
      <c r="T1954" s="1" t="s">
        <v>170</v>
      </c>
      <c r="V1954" s="5">
        <v>42998</v>
      </c>
      <c r="W1954" s="5">
        <v>42902</v>
      </c>
      <c r="X1954" s="1">
        <v>1200000</v>
      </c>
      <c r="Y1954" s="1">
        <v>1200000</v>
      </c>
      <c r="Z1954" s="5">
        <v>41809</v>
      </c>
      <c r="AB1954" s="1" t="s">
        <v>181</v>
      </c>
      <c r="AC1954" s="5">
        <v>42902</v>
      </c>
      <c r="AF1954" s="1">
        <v>10069</v>
      </c>
      <c r="AI1954" s="1" t="s">
        <v>1386</v>
      </c>
      <c r="AJ1954" s="1">
        <v>2016</v>
      </c>
      <c r="AK1954" s="1" t="s">
        <v>73</v>
      </c>
      <c r="AL1954" s="1">
        <v>657</v>
      </c>
    </row>
    <row r="1955" spans="1:38" x14ac:dyDescent="0.2">
      <c r="A1955" s="2" t="str">
        <f>HYPERLINK("https://www.compass.com/listing/50-riverside-boulevard-unit-4n-manhattan-ny-10069/29396662694813697/","50 Riverside Blvd, Unit 4N")</f>
        <v>50 Riverside Blvd, Unit 4N</v>
      </c>
      <c r="B1955" s="2" t="str">
        <f t="shared" si="312"/>
        <v>One Riverside Park</v>
      </c>
      <c r="C1955" s="1" t="s">
        <v>50</v>
      </c>
      <c r="D1955" s="1" t="s">
        <v>41</v>
      </c>
      <c r="E1955" s="3">
        <v>1251356</v>
      </c>
      <c r="F1955" s="1">
        <v>1361.6496191512499</v>
      </c>
      <c r="G1955" s="1">
        <v>2</v>
      </c>
      <c r="H1955" s="1">
        <v>1</v>
      </c>
      <c r="I1955" s="1">
        <v>2</v>
      </c>
      <c r="J1955" s="1">
        <v>1.5</v>
      </c>
      <c r="M1955" s="1">
        <v>919</v>
      </c>
      <c r="N1955" s="1">
        <v>1017</v>
      </c>
      <c r="O1955" s="1">
        <v>1073</v>
      </c>
      <c r="P1955" s="1">
        <v>56</v>
      </c>
      <c r="Q1955" s="1" t="s">
        <v>42</v>
      </c>
      <c r="S1955" s="1" t="s">
        <v>42</v>
      </c>
      <c r="T1955" s="1" t="s">
        <v>170</v>
      </c>
      <c r="V1955" s="5">
        <v>43662</v>
      </c>
      <c r="W1955" s="5">
        <v>41923</v>
      </c>
      <c r="X1955" s="1">
        <v>1225000</v>
      </c>
      <c r="Y1955" s="1">
        <v>1225000</v>
      </c>
      <c r="Z1955" s="5">
        <v>41923</v>
      </c>
      <c r="AA1955" s="1">
        <v>1251356</v>
      </c>
      <c r="AB1955" s="1" t="s">
        <v>1584</v>
      </c>
      <c r="AC1955" s="5">
        <v>42259</v>
      </c>
      <c r="AF1955" s="1">
        <v>10069</v>
      </c>
      <c r="AI1955" s="1" t="s">
        <v>45</v>
      </c>
      <c r="AJ1955" s="1">
        <v>2016</v>
      </c>
      <c r="AK1955" s="1" t="s">
        <v>73</v>
      </c>
      <c r="AL1955" s="1">
        <v>657</v>
      </c>
    </row>
    <row r="1956" spans="1:38" x14ac:dyDescent="0.2">
      <c r="A1956" s="2" t="str">
        <f>HYPERLINK("https://www.compass.com/listing/50-riverside-boulevard-unit-5n-manhattan-ny-10069/29396663131042417/","50 Riverside Blvd, Unit 5N")</f>
        <v>50 Riverside Blvd, Unit 5N</v>
      </c>
      <c r="B1956" s="2" t="str">
        <f t="shared" si="312"/>
        <v>One Riverside Park</v>
      </c>
      <c r="C1956" s="1" t="s">
        <v>50</v>
      </c>
      <c r="D1956" s="1" t="s">
        <v>41</v>
      </c>
      <c r="E1956" s="3">
        <v>1260000</v>
      </c>
      <c r="F1956" s="1">
        <v>1371.05549510337</v>
      </c>
      <c r="G1956" s="1">
        <v>2</v>
      </c>
      <c r="H1956" s="1">
        <v>1</v>
      </c>
      <c r="I1956" s="1">
        <v>2</v>
      </c>
      <c r="J1956" s="1">
        <v>1.5</v>
      </c>
      <c r="M1956" s="1">
        <v>919</v>
      </c>
      <c r="N1956" s="1">
        <v>1017</v>
      </c>
      <c r="O1956" s="1">
        <v>1073</v>
      </c>
      <c r="P1956" s="1">
        <v>56</v>
      </c>
      <c r="Q1956" s="1" t="s">
        <v>42</v>
      </c>
      <c r="S1956" s="1" t="s">
        <v>42</v>
      </c>
      <c r="T1956" s="1" t="s">
        <v>170</v>
      </c>
      <c r="V1956" s="5">
        <v>42998</v>
      </c>
      <c r="W1956" s="5">
        <v>42902</v>
      </c>
      <c r="X1956" s="1">
        <v>1260000</v>
      </c>
      <c r="Y1956" s="1">
        <v>1260000</v>
      </c>
      <c r="Z1956" s="5">
        <v>41809</v>
      </c>
      <c r="AB1956" s="1" t="s">
        <v>181</v>
      </c>
      <c r="AC1956" s="5">
        <v>42902</v>
      </c>
      <c r="AF1956" s="1">
        <v>10069</v>
      </c>
      <c r="AI1956" s="1" t="s">
        <v>1386</v>
      </c>
      <c r="AJ1956" s="1">
        <v>2016</v>
      </c>
      <c r="AK1956" s="1" t="s">
        <v>73</v>
      </c>
      <c r="AL1956" s="1">
        <v>657</v>
      </c>
    </row>
    <row r="1957" spans="1:38" x14ac:dyDescent="0.2">
      <c r="A1957" s="2" t="str">
        <f>HYPERLINK("https://www.compass.com/listing/50-riverside-boulevard-unit-6n-manhattan-ny-10069/29396663583965169/","50 Riverside Blvd, Unit 6N")</f>
        <v>50 Riverside Blvd, Unit 6N</v>
      </c>
      <c r="B1957" s="2" t="str">
        <f t="shared" si="312"/>
        <v>One Riverside Park</v>
      </c>
      <c r="C1957" s="1" t="s">
        <v>50</v>
      </c>
      <c r="D1957" s="1" t="s">
        <v>41</v>
      </c>
      <c r="E1957" s="3">
        <v>1318633</v>
      </c>
      <c r="F1957" s="1">
        <v>1434.8563656147901</v>
      </c>
      <c r="G1957" s="1">
        <v>2</v>
      </c>
      <c r="H1957" s="1">
        <v>1</v>
      </c>
      <c r="I1957" s="1">
        <v>2</v>
      </c>
      <c r="J1957" s="1">
        <v>1.5</v>
      </c>
      <c r="M1957" s="1">
        <v>919</v>
      </c>
      <c r="N1957" s="1">
        <v>1018</v>
      </c>
      <c r="O1957" s="1">
        <v>1074</v>
      </c>
      <c r="P1957" s="1">
        <v>56</v>
      </c>
      <c r="Q1957" s="1" t="s">
        <v>42</v>
      </c>
      <c r="S1957" s="1" t="s">
        <v>42</v>
      </c>
      <c r="T1957" s="1" t="s">
        <v>170</v>
      </c>
      <c r="V1957" s="5">
        <v>43673</v>
      </c>
      <c r="W1957" s="5">
        <v>42406</v>
      </c>
      <c r="X1957" s="1">
        <v>1295000</v>
      </c>
      <c r="Y1957" s="1">
        <v>1295000</v>
      </c>
      <c r="Z1957" s="5">
        <v>42406</v>
      </c>
      <c r="AA1957" s="1">
        <v>1318633</v>
      </c>
      <c r="AB1957" s="1" t="s">
        <v>1555</v>
      </c>
      <c r="AC1957" s="5">
        <v>42451</v>
      </c>
      <c r="AF1957" s="1">
        <v>10069</v>
      </c>
      <c r="AI1957" s="1" t="s">
        <v>45</v>
      </c>
      <c r="AJ1957" s="1">
        <v>2016</v>
      </c>
      <c r="AK1957" s="1" t="s">
        <v>73</v>
      </c>
      <c r="AL1957" s="1">
        <v>657</v>
      </c>
    </row>
    <row r="1958" spans="1:38" x14ac:dyDescent="0.2">
      <c r="A1958" s="2" t="str">
        <f>HYPERLINK("https://www.compass.com/listing/50-riverside-boulevard-unit-7n-manhattan-ny-10069/29396663986659361/","50 Riverside Blvd, Unit 7N")</f>
        <v>50 Riverside Blvd, Unit 7N</v>
      </c>
      <c r="B1958" s="2" t="str">
        <f t="shared" si="312"/>
        <v>One Riverside Park</v>
      </c>
      <c r="C1958" s="1" t="s">
        <v>50</v>
      </c>
      <c r="D1958" s="1" t="s">
        <v>41</v>
      </c>
      <c r="E1958" s="3">
        <v>1395000</v>
      </c>
      <c r="F1958" s="1">
        <v>1517.95429815016</v>
      </c>
      <c r="G1958" s="1">
        <v>2</v>
      </c>
      <c r="H1958" s="1">
        <v>1</v>
      </c>
      <c r="I1958" s="1">
        <v>2</v>
      </c>
      <c r="J1958" s="1">
        <v>1.5</v>
      </c>
      <c r="M1958" s="1">
        <v>919</v>
      </c>
      <c r="N1958" s="1">
        <v>1018</v>
      </c>
      <c r="O1958" s="1">
        <v>1074</v>
      </c>
      <c r="P1958" s="1">
        <v>56</v>
      </c>
      <c r="Q1958" s="1" t="s">
        <v>42</v>
      </c>
      <c r="S1958" s="1" t="s">
        <v>42</v>
      </c>
      <c r="T1958" s="1" t="s">
        <v>170</v>
      </c>
      <c r="V1958" s="5">
        <v>42998</v>
      </c>
      <c r="W1958" s="5">
        <v>42902</v>
      </c>
      <c r="X1958" s="1">
        <v>1395000</v>
      </c>
      <c r="Y1958" s="1">
        <v>1395000</v>
      </c>
      <c r="Z1958" s="5">
        <v>41809</v>
      </c>
      <c r="AB1958" s="1" t="s">
        <v>181</v>
      </c>
      <c r="AC1958" s="5">
        <v>42902</v>
      </c>
      <c r="AF1958" s="1">
        <v>10069</v>
      </c>
      <c r="AI1958" s="1" t="s">
        <v>1386</v>
      </c>
      <c r="AJ1958" s="1">
        <v>2016</v>
      </c>
      <c r="AK1958" s="1" t="s">
        <v>73</v>
      </c>
      <c r="AL1958" s="1">
        <v>657</v>
      </c>
    </row>
    <row r="1959" spans="1:38" x14ac:dyDescent="0.2">
      <c r="A1959" s="2" t="str">
        <f>HYPERLINK("https://www.compass.com/listing/50-riverside-boulevard-unit-3p-manhattan-ny-10069/29396667887362145/","50 Riverside Blvd, Unit 3P")</f>
        <v>50 Riverside Blvd, Unit 3P</v>
      </c>
      <c r="B1959" s="2" t="str">
        <f t="shared" si="312"/>
        <v>One Riverside Park</v>
      </c>
      <c r="C1959" s="1" t="s">
        <v>50</v>
      </c>
      <c r="D1959" s="1" t="s">
        <v>41</v>
      </c>
      <c r="E1959" s="3">
        <v>1100000</v>
      </c>
      <c r="F1959" s="1">
        <v>1279.06976744186</v>
      </c>
      <c r="G1959" s="1">
        <v>2</v>
      </c>
      <c r="H1959" s="1">
        <v>1</v>
      </c>
      <c r="I1959" s="1">
        <v>2</v>
      </c>
      <c r="J1959" s="1">
        <v>1.5</v>
      </c>
      <c r="M1959" s="1">
        <v>860</v>
      </c>
      <c r="N1959" s="1">
        <v>951</v>
      </c>
      <c r="O1959" s="1">
        <v>1004</v>
      </c>
      <c r="P1959" s="1">
        <v>53</v>
      </c>
      <c r="Q1959" s="1" t="s">
        <v>42</v>
      </c>
      <c r="S1959" s="1" t="s">
        <v>42</v>
      </c>
      <c r="T1959" s="1" t="s">
        <v>170</v>
      </c>
      <c r="V1959" s="5">
        <v>42998</v>
      </c>
      <c r="W1959" s="5">
        <v>42902</v>
      </c>
      <c r="X1959" s="1">
        <v>1100000</v>
      </c>
      <c r="Y1959" s="1">
        <v>1100000</v>
      </c>
      <c r="Z1959" s="5">
        <v>41809</v>
      </c>
      <c r="AB1959" s="1" t="s">
        <v>181</v>
      </c>
      <c r="AC1959" s="5">
        <v>42902</v>
      </c>
      <c r="AF1959" s="1">
        <v>10069</v>
      </c>
      <c r="AI1959" s="1" t="s">
        <v>1386</v>
      </c>
      <c r="AJ1959" s="1">
        <v>2016</v>
      </c>
      <c r="AK1959" s="1" t="s">
        <v>73</v>
      </c>
      <c r="AL1959" s="1">
        <v>657</v>
      </c>
    </row>
    <row r="1960" spans="1:38" x14ac:dyDescent="0.2">
      <c r="A1960" s="2" t="str">
        <f>HYPERLINK("https://www.compass.com/listing/50-riverside-boulevard-unit-4p-manhattan-ny-10069/29396668331979457/","50 Riverside Blvd, Unit 4P")</f>
        <v>50 Riverside Blvd, Unit 4P</v>
      </c>
      <c r="B1960" s="2" t="str">
        <f t="shared" si="312"/>
        <v>One Riverside Park</v>
      </c>
      <c r="C1960" s="1" t="s">
        <v>50</v>
      </c>
      <c r="D1960" s="1" t="s">
        <v>41</v>
      </c>
      <c r="E1960" s="3">
        <v>1125000</v>
      </c>
      <c r="F1960" s="1">
        <v>1308.13953488372</v>
      </c>
      <c r="G1960" s="1">
        <v>2</v>
      </c>
      <c r="H1960" s="1">
        <v>1</v>
      </c>
      <c r="I1960" s="1">
        <v>2</v>
      </c>
      <c r="J1960" s="1">
        <v>1.5</v>
      </c>
      <c r="M1960" s="1">
        <v>860</v>
      </c>
      <c r="N1960" s="1">
        <v>951</v>
      </c>
      <c r="O1960" s="1">
        <v>1004</v>
      </c>
      <c r="P1960" s="1">
        <v>53</v>
      </c>
      <c r="Q1960" s="1" t="s">
        <v>42</v>
      </c>
      <c r="S1960" s="1" t="s">
        <v>42</v>
      </c>
      <c r="T1960" s="1" t="s">
        <v>170</v>
      </c>
      <c r="V1960" s="5">
        <v>42998</v>
      </c>
      <c r="W1960" s="5">
        <v>42902</v>
      </c>
      <c r="X1960" s="1">
        <v>1125000</v>
      </c>
      <c r="Y1960" s="1">
        <v>1125000</v>
      </c>
      <c r="Z1960" s="5">
        <v>41809</v>
      </c>
      <c r="AB1960" s="1" t="s">
        <v>181</v>
      </c>
      <c r="AC1960" s="5">
        <v>42902</v>
      </c>
      <c r="AF1960" s="1">
        <v>10069</v>
      </c>
      <c r="AI1960" s="1" t="s">
        <v>1386</v>
      </c>
      <c r="AJ1960" s="1">
        <v>2016</v>
      </c>
      <c r="AK1960" s="1" t="s">
        <v>73</v>
      </c>
      <c r="AL1960" s="1">
        <v>657</v>
      </c>
    </row>
    <row r="1961" spans="1:38" x14ac:dyDescent="0.2">
      <c r="A1961" s="2" t="str">
        <f>HYPERLINK("https://www.compass.com/listing/50-riverside-boulevard-unit-5p-manhattan-ny-10069/29396668776513601/","50 Riverside Blvd, Unit 5P")</f>
        <v>50 Riverside Blvd, Unit 5P</v>
      </c>
      <c r="B1961" s="2" t="str">
        <f t="shared" si="312"/>
        <v>One Riverside Park</v>
      </c>
      <c r="C1961" s="1" t="s">
        <v>50</v>
      </c>
      <c r="D1961" s="1" t="s">
        <v>41</v>
      </c>
      <c r="E1961" s="3">
        <v>1150000</v>
      </c>
      <c r="F1961" s="1">
        <v>1337.20930232558</v>
      </c>
      <c r="G1961" s="1">
        <v>2</v>
      </c>
      <c r="H1961" s="1">
        <v>1</v>
      </c>
      <c r="I1961" s="1">
        <v>2</v>
      </c>
      <c r="J1961" s="1">
        <v>1.5</v>
      </c>
      <c r="M1961" s="1">
        <v>860</v>
      </c>
      <c r="N1961" s="1">
        <v>952</v>
      </c>
      <c r="O1961" s="1">
        <v>1005</v>
      </c>
      <c r="P1961" s="1">
        <v>53</v>
      </c>
      <c r="Q1961" s="1" t="s">
        <v>42</v>
      </c>
      <c r="S1961" s="1" t="s">
        <v>42</v>
      </c>
      <c r="T1961" s="1" t="s">
        <v>170</v>
      </c>
      <c r="V1961" s="5">
        <v>42998</v>
      </c>
      <c r="W1961" s="5">
        <v>42902</v>
      </c>
      <c r="X1961" s="1">
        <v>1150000</v>
      </c>
      <c r="Y1961" s="1">
        <v>1150000</v>
      </c>
      <c r="Z1961" s="5">
        <v>41809</v>
      </c>
      <c r="AB1961" s="1" t="s">
        <v>181</v>
      </c>
      <c r="AC1961" s="5">
        <v>42902</v>
      </c>
      <c r="AF1961" s="1">
        <v>10069</v>
      </c>
      <c r="AI1961" s="1" t="s">
        <v>1386</v>
      </c>
      <c r="AJ1961" s="1">
        <v>2016</v>
      </c>
      <c r="AK1961" s="1" t="s">
        <v>73</v>
      </c>
      <c r="AL1961" s="1">
        <v>657</v>
      </c>
    </row>
    <row r="1962" spans="1:38" x14ac:dyDescent="0.2">
      <c r="A1962" s="2" t="str">
        <f>HYPERLINK("https://www.compass.com/listing/50-riverside-boulevard-unit-6p-manhattan-ny-10069/29396669221150833/","50 Riverside Blvd, Unit 6P")</f>
        <v>50 Riverside Blvd, Unit 6P</v>
      </c>
      <c r="B1962" s="2" t="str">
        <f t="shared" si="312"/>
        <v>One Riverside Park</v>
      </c>
      <c r="C1962" s="1" t="s">
        <v>50</v>
      </c>
      <c r="D1962" s="1" t="s">
        <v>41</v>
      </c>
      <c r="E1962" s="3">
        <v>1175000</v>
      </c>
      <c r="F1962" s="1">
        <v>1366.27906976744</v>
      </c>
      <c r="G1962" s="1">
        <v>2</v>
      </c>
      <c r="H1962" s="1">
        <v>1</v>
      </c>
      <c r="I1962" s="1">
        <v>2</v>
      </c>
      <c r="J1962" s="1">
        <v>1.5</v>
      </c>
      <c r="M1962" s="1">
        <v>860</v>
      </c>
      <c r="N1962" s="1">
        <v>952</v>
      </c>
      <c r="O1962" s="1">
        <v>1005</v>
      </c>
      <c r="P1962" s="1">
        <v>53</v>
      </c>
      <c r="Q1962" s="1" t="s">
        <v>42</v>
      </c>
      <c r="S1962" s="1" t="s">
        <v>42</v>
      </c>
      <c r="T1962" s="1" t="s">
        <v>170</v>
      </c>
      <c r="V1962" s="5">
        <v>42998</v>
      </c>
      <c r="W1962" s="5">
        <v>42902</v>
      </c>
      <c r="X1962" s="1">
        <v>1175000</v>
      </c>
      <c r="Y1962" s="1">
        <v>1175000</v>
      </c>
      <c r="Z1962" s="5">
        <v>41809</v>
      </c>
      <c r="AB1962" s="1" t="s">
        <v>181</v>
      </c>
      <c r="AC1962" s="5">
        <v>42902</v>
      </c>
      <c r="AF1962" s="1">
        <v>10069</v>
      </c>
      <c r="AI1962" s="1" t="s">
        <v>1386</v>
      </c>
      <c r="AJ1962" s="1">
        <v>2016</v>
      </c>
      <c r="AK1962" s="1" t="s">
        <v>73</v>
      </c>
      <c r="AL1962" s="1">
        <v>657</v>
      </c>
    </row>
    <row r="1963" spans="1:38" x14ac:dyDescent="0.2">
      <c r="A1963" s="2" t="str">
        <f>HYPERLINK("https://www.compass.com/listing/50-riverside-boulevard-unit-3r-manhattan-ny-10069/29396674237497601/","50 Riverside Blvd, Unit 3R")</f>
        <v>50 Riverside Blvd, Unit 3R</v>
      </c>
      <c r="B1963" s="2" t="str">
        <f t="shared" si="312"/>
        <v>One Riverside Park</v>
      </c>
      <c r="C1963" s="1" t="s">
        <v>50</v>
      </c>
      <c r="D1963" s="1" t="s">
        <v>41</v>
      </c>
      <c r="E1963" s="3">
        <v>1075000</v>
      </c>
      <c r="F1963" s="1">
        <v>1285.8851674641101</v>
      </c>
      <c r="G1963" s="1">
        <v>2</v>
      </c>
      <c r="H1963" s="1">
        <v>1</v>
      </c>
      <c r="I1963" s="1">
        <v>2</v>
      </c>
      <c r="J1963" s="1">
        <v>1.5</v>
      </c>
      <c r="M1963" s="1">
        <v>836</v>
      </c>
      <c r="N1963" s="1">
        <v>924</v>
      </c>
      <c r="O1963" s="1">
        <v>975</v>
      </c>
      <c r="P1963" s="1">
        <v>51</v>
      </c>
      <c r="Q1963" s="1" t="s">
        <v>42</v>
      </c>
      <c r="S1963" s="1" t="s">
        <v>42</v>
      </c>
      <c r="T1963" s="1" t="s">
        <v>170</v>
      </c>
      <c r="V1963" s="5">
        <v>42998</v>
      </c>
      <c r="W1963" s="5">
        <v>42902</v>
      </c>
      <c r="X1963" s="1">
        <v>1075000</v>
      </c>
      <c r="Y1963" s="1">
        <v>1075000</v>
      </c>
      <c r="Z1963" s="5">
        <v>41809</v>
      </c>
      <c r="AB1963" s="1" t="s">
        <v>181</v>
      </c>
      <c r="AC1963" s="5">
        <v>42902</v>
      </c>
      <c r="AF1963" s="1">
        <v>10069</v>
      </c>
      <c r="AI1963" s="1" t="s">
        <v>1386</v>
      </c>
      <c r="AJ1963" s="1">
        <v>2016</v>
      </c>
      <c r="AK1963" s="1" t="s">
        <v>73</v>
      </c>
      <c r="AL1963" s="1">
        <v>657</v>
      </c>
    </row>
    <row r="1964" spans="1:38" x14ac:dyDescent="0.2">
      <c r="A1964" s="2" t="str">
        <f>HYPERLINK("https://www.compass.com/listing/50-riverside-boulevard-unit-4r-manhattan-ny-10069/29396675252581249/","50 Riverside Blvd, Unit 4R")</f>
        <v>50 Riverside Blvd, Unit 4R</v>
      </c>
      <c r="B1964" s="2" t="str">
        <f t="shared" si="312"/>
        <v>One Riverside Park</v>
      </c>
      <c r="C1964" s="1" t="s">
        <v>50</v>
      </c>
      <c r="D1964" s="1" t="s">
        <v>41</v>
      </c>
      <c r="E1964" s="3">
        <v>1124075</v>
      </c>
      <c r="F1964" s="1">
        <v>1344.58732057416</v>
      </c>
      <c r="G1964" s="1">
        <v>3</v>
      </c>
      <c r="H1964" s="1">
        <v>1</v>
      </c>
      <c r="I1964" s="1">
        <v>1</v>
      </c>
      <c r="J1964" s="1">
        <v>1</v>
      </c>
      <c r="K1964" s="1">
        <v>1</v>
      </c>
      <c r="M1964" s="1">
        <v>836</v>
      </c>
      <c r="N1964" s="1">
        <v>925</v>
      </c>
      <c r="O1964" s="1">
        <v>976</v>
      </c>
      <c r="P1964" s="1">
        <v>51</v>
      </c>
      <c r="Q1964" s="1" t="s">
        <v>42</v>
      </c>
      <c r="S1964" s="1" t="s">
        <v>42</v>
      </c>
      <c r="T1964" s="1" t="s">
        <v>170</v>
      </c>
      <c r="U1964" s="1">
        <v>43</v>
      </c>
      <c r="V1964" s="5">
        <v>42346</v>
      </c>
      <c r="W1964" s="5">
        <v>41582</v>
      </c>
      <c r="X1964" s="1">
        <v>1100000</v>
      </c>
      <c r="Y1964" s="1">
        <v>1100000</v>
      </c>
      <c r="Z1964" s="5">
        <v>41681</v>
      </c>
      <c r="AA1964" s="1">
        <v>1124075</v>
      </c>
      <c r="AB1964" s="1" t="s">
        <v>1585</v>
      </c>
      <c r="AC1964" s="5">
        <v>42234</v>
      </c>
      <c r="AF1964" s="1">
        <v>10069</v>
      </c>
      <c r="AI1964" s="1" t="s">
        <v>45</v>
      </c>
      <c r="AJ1964" s="1">
        <v>2016</v>
      </c>
      <c r="AK1964" s="1" t="s">
        <v>73</v>
      </c>
      <c r="AL1964" s="1">
        <v>657</v>
      </c>
    </row>
    <row r="1965" spans="1:38" x14ac:dyDescent="0.2">
      <c r="A1965" s="2" t="str">
        <f>HYPERLINK("https://www.compass.com/listing/50-riverside-boulevard-unit-5r-manhattan-ny-10069/29396675688726801/","50 Riverside Blvd, Unit 5R")</f>
        <v>50 Riverside Blvd, Unit 5R</v>
      </c>
      <c r="B1965" s="2" t="str">
        <f t="shared" si="312"/>
        <v>One Riverside Park</v>
      </c>
      <c r="C1965" s="1" t="s">
        <v>50</v>
      </c>
      <c r="D1965" s="1" t="s">
        <v>41</v>
      </c>
      <c r="E1965" s="3">
        <v>1125000</v>
      </c>
      <c r="F1965" s="1">
        <v>1345.6937799043001</v>
      </c>
      <c r="G1965" s="1">
        <v>2</v>
      </c>
      <c r="H1965" s="1">
        <v>1</v>
      </c>
      <c r="I1965" s="1">
        <v>2</v>
      </c>
      <c r="J1965" s="1">
        <v>1.5</v>
      </c>
      <c r="M1965" s="1">
        <v>836</v>
      </c>
      <c r="N1965" s="1">
        <v>925</v>
      </c>
      <c r="O1965" s="1">
        <v>976</v>
      </c>
      <c r="P1965" s="1">
        <v>51</v>
      </c>
      <c r="Q1965" s="1" t="s">
        <v>42</v>
      </c>
      <c r="S1965" s="1" t="s">
        <v>42</v>
      </c>
      <c r="T1965" s="1" t="s">
        <v>170</v>
      </c>
      <c r="V1965" s="5">
        <v>42998</v>
      </c>
      <c r="W1965" s="5">
        <v>42902</v>
      </c>
      <c r="X1965" s="1">
        <v>1125000</v>
      </c>
      <c r="Y1965" s="1">
        <v>1125000</v>
      </c>
      <c r="Z1965" s="5">
        <v>41809</v>
      </c>
      <c r="AB1965" s="1" t="s">
        <v>181</v>
      </c>
      <c r="AC1965" s="5">
        <v>42902</v>
      </c>
      <c r="AF1965" s="1">
        <v>10069</v>
      </c>
      <c r="AI1965" s="1" t="s">
        <v>1386</v>
      </c>
      <c r="AJ1965" s="1">
        <v>2016</v>
      </c>
      <c r="AK1965" s="1" t="s">
        <v>73</v>
      </c>
      <c r="AL1965" s="1">
        <v>657</v>
      </c>
    </row>
    <row r="1966" spans="1:38" x14ac:dyDescent="0.2">
      <c r="A1966" s="2" t="str">
        <f>HYPERLINK("https://www.compass.com/listing/50-riverside-boulevard-unit-6r-manhattan-ny-10069/29396676074643745/","50 Riverside Blvd, Unit 6R")</f>
        <v>50 Riverside Blvd, Unit 6R</v>
      </c>
      <c r="B1966" s="2" t="str">
        <f t="shared" si="312"/>
        <v>One Riverside Park</v>
      </c>
      <c r="C1966" s="1" t="s">
        <v>50</v>
      </c>
      <c r="D1966" s="1" t="s">
        <v>41</v>
      </c>
      <c r="E1966" s="3">
        <v>1150000</v>
      </c>
      <c r="F1966" s="1">
        <v>1375.5980861244</v>
      </c>
      <c r="G1966" s="1">
        <v>2</v>
      </c>
      <c r="H1966" s="1">
        <v>1</v>
      </c>
      <c r="I1966" s="1">
        <v>2</v>
      </c>
      <c r="J1966" s="1">
        <v>1.5</v>
      </c>
      <c r="M1966" s="1">
        <v>836</v>
      </c>
      <c r="N1966" s="1">
        <v>926</v>
      </c>
      <c r="O1966" s="1">
        <v>977</v>
      </c>
      <c r="P1966" s="1">
        <v>51</v>
      </c>
      <c r="Q1966" s="1" t="s">
        <v>42</v>
      </c>
      <c r="S1966" s="1" t="s">
        <v>42</v>
      </c>
      <c r="T1966" s="1" t="s">
        <v>170</v>
      </c>
      <c r="V1966" s="5">
        <v>42998</v>
      </c>
      <c r="W1966" s="5">
        <v>42902</v>
      </c>
      <c r="X1966" s="1">
        <v>1150000</v>
      </c>
      <c r="Y1966" s="1">
        <v>1150000</v>
      </c>
      <c r="Z1966" s="5">
        <v>41809</v>
      </c>
      <c r="AB1966" s="1" t="s">
        <v>181</v>
      </c>
      <c r="AC1966" s="5">
        <v>42902</v>
      </c>
      <c r="AF1966" s="1">
        <v>10069</v>
      </c>
      <c r="AI1966" s="1" t="s">
        <v>1386</v>
      </c>
      <c r="AJ1966" s="1">
        <v>2016</v>
      </c>
      <c r="AK1966" s="1" t="s">
        <v>73</v>
      </c>
      <c r="AL1966" s="1">
        <v>657</v>
      </c>
    </row>
    <row r="1967" spans="1:38" x14ac:dyDescent="0.2">
      <c r="A1967" s="2" t="str">
        <f>HYPERLINK("https://www.compass.com/listing/50-riverside-boulevard-unit-7r-manhattan-ny-10069/29396676452152225/","50 Riverside Blvd, Unit 7R")</f>
        <v>50 Riverside Blvd, Unit 7R</v>
      </c>
      <c r="B1967" s="2" t="str">
        <f t="shared" si="312"/>
        <v>One Riverside Park</v>
      </c>
      <c r="C1967" s="1" t="s">
        <v>50</v>
      </c>
      <c r="D1967" s="1" t="s">
        <v>41</v>
      </c>
      <c r="E1967" s="3">
        <v>1378637</v>
      </c>
      <c r="F1967" s="1">
        <v>1649.08732057416</v>
      </c>
      <c r="G1967" s="1">
        <v>2</v>
      </c>
      <c r="H1967" s="1">
        <v>1</v>
      </c>
      <c r="I1967" s="1">
        <v>2</v>
      </c>
      <c r="J1967" s="1">
        <v>1.5</v>
      </c>
      <c r="M1967" s="1">
        <v>836</v>
      </c>
      <c r="N1967" s="1">
        <v>926</v>
      </c>
      <c r="O1967" s="1">
        <v>977</v>
      </c>
      <c r="P1967" s="1">
        <v>51</v>
      </c>
      <c r="Q1967" s="1" t="s">
        <v>42</v>
      </c>
      <c r="S1967" s="1" t="s">
        <v>42</v>
      </c>
      <c r="T1967" s="1" t="s">
        <v>170</v>
      </c>
      <c r="V1967" s="5">
        <v>43670</v>
      </c>
      <c r="W1967" s="5">
        <v>41923</v>
      </c>
      <c r="X1967" s="1">
        <v>1350000</v>
      </c>
      <c r="Y1967" s="1">
        <v>1350000</v>
      </c>
      <c r="Z1967" s="5">
        <v>41923</v>
      </c>
      <c r="AA1967" s="1">
        <v>1378637</v>
      </c>
      <c r="AB1967" s="1" t="s">
        <v>1586</v>
      </c>
      <c r="AC1967" s="5">
        <v>42273</v>
      </c>
      <c r="AF1967" s="1">
        <v>10069</v>
      </c>
      <c r="AI1967" s="1" t="s">
        <v>45</v>
      </c>
      <c r="AJ1967" s="1">
        <v>2016</v>
      </c>
      <c r="AK1967" s="1" t="s">
        <v>73</v>
      </c>
      <c r="AL1967" s="1">
        <v>657</v>
      </c>
    </row>
    <row r="1968" spans="1:38" x14ac:dyDescent="0.2">
      <c r="A1968" s="2" t="str">
        <f>HYPERLINK("https://www.compass.com/listing/50-riverside-boulevard-unit-3s-manhattan-ny-10069/29396676863131937/","50 Riverside Blvd, Unit 3S")</f>
        <v>50 Riverside Blvd, Unit 3S</v>
      </c>
      <c r="B1968" s="2" t="str">
        <f t="shared" si="312"/>
        <v>One Riverside Park</v>
      </c>
      <c r="C1968" s="1" t="s">
        <v>50</v>
      </c>
      <c r="D1968" s="1" t="s">
        <v>41</v>
      </c>
      <c r="E1968" s="3">
        <v>1130000</v>
      </c>
      <c r="F1968" s="1">
        <v>1279.7281993204899</v>
      </c>
      <c r="G1968" s="1">
        <v>2</v>
      </c>
      <c r="H1968" s="1">
        <v>1</v>
      </c>
      <c r="I1968" s="1">
        <v>2</v>
      </c>
      <c r="J1968" s="1">
        <v>1.5</v>
      </c>
      <c r="M1968" s="1">
        <v>883</v>
      </c>
      <c r="N1968" s="1">
        <v>976</v>
      </c>
      <c r="O1968" s="1">
        <v>1030</v>
      </c>
      <c r="P1968" s="1">
        <v>54</v>
      </c>
      <c r="Q1968" s="1" t="s">
        <v>42</v>
      </c>
      <c r="S1968" s="1" t="s">
        <v>42</v>
      </c>
      <c r="T1968" s="1" t="s">
        <v>170</v>
      </c>
      <c r="V1968" s="5">
        <v>42998</v>
      </c>
      <c r="W1968" s="5">
        <v>42902</v>
      </c>
      <c r="X1968" s="1">
        <v>1130000</v>
      </c>
      <c r="Y1968" s="1">
        <v>1130000</v>
      </c>
      <c r="Z1968" s="5">
        <v>41809</v>
      </c>
      <c r="AB1968" s="1" t="s">
        <v>181</v>
      </c>
      <c r="AC1968" s="5">
        <v>42902</v>
      </c>
      <c r="AF1968" s="1">
        <v>10069</v>
      </c>
      <c r="AI1968" s="1" t="s">
        <v>1386</v>
      </c>
      <c r="AJ1968" s="1">
        <v>2016</v>
      </c>
      <c r="AK1968" s="1" t="s">
        <v>73</v>
      </c>
      <c r="AL1968" s="1">
        <v>657</v>
      </c>
    </row>
    <row r="1969" spans="1:38" x14ac:dyDescent="0.2">
      <c r="A1969" s="2" t="str">
        <f>HYPERLINK("https://www.compass.com/listing/50-riverside-boulevard-unit-5s-manhattan-ny-10069/29396677710443441/","50 Riverside Blvd, Unit 5S")</f>
        <v>50 Riverside Blvd, Unit 5S</v>
      </c>
      <c r="B1969" s="2" t="str">
        <f t="shared" si="312"/>
        <v>One Riverside Park</v>
      </c>
      <c r="C1969" s="1" t="s">
        <v>50</v>
      </c>
      <c r="D1969" s="1" t="s">
        <v>41</v>
      </c>
      <c r="E1969" s="3">
        <v>1180000</v>
      </c>
      <c r="F1969" s="1">
        <v>1336.35334088335</v>
      </c>
      <c r="G1969" s="1">
        <v>2</v>
      </c>
      <c r="H1969" s="1">
        <v>1</v>
      </c>
      <c r="I1969" s="1">
        <v>2</v>
      </c>
      <c r="J1969" s="1">
        <v>1.5</v>
      </c>
      <c r="M1969" s="1">
        <v>883</v>
      </c>
      <c r="N1969" s="1">
        <v>977</v>
      </c>
      <c r="O1969" s="1">
        <v>1031</v>
      </c>
      <c r="P1969" s="1">
        <v>54</v>
      </c>
      <c r="Q1969" s="1" t="s">
        <v>42</v>
      </c>
      <c r="S1969" s="1" t="s">
        <v>42</v>
      </c>
      <c r="T1969" s="1" t="s">
        <v>170</v>
      </c>
      <c r="V1969" s="5">
        <v>42998</v>
      </c>
      <c r="W1969" s="5">
        <v>42902</v>
      </c>
      <c r="X1969" s="1">
        <v>1180000</v>
      </c>
      <c r="Y1969" s="1">
        <v>1180000</v>
      </c>
      <c r="Z1969" s="5">
        <v>41809</v>
      </c>
      <c r="AB1969" s="1" t="s">
        <v>181</v>
      </c>
      <c r="AC1969" s="5">
        <v>42902</v>
      </c>
      <c r="AF1969" s="1">
        <v>10069</v>
      </c>
      <c r="AI1969" s="1" t="s">
        <v>1386</v>
      </c>
      <c r="AJ1969" s="1">
        <v>2016</v>
      </c>
      <c r="AK1969" s="1" t="s">
        <v>73</v>
      </c>
      <c r="AL1969" s="1">
        <v>657</v>
      </c>
    </row>
    <row r="1970" spans="1:38" x14ac:dyDescent="0.2">
      <c r="A1970" s="2" t="str">
        <f>HYPERLINK("https://www.compass.com/listing/50-riverside-boulevard-unit-6s-manhattan-ny-10069/29396678146588977/","50 Riverside Blvd, Unit 6S")</f>
        <v>50 Riverside Blvd, Unit 6S</v>
      </c>
      <c r="B1970" s="2" t="str">
        <f t="shared" si="312"/>
        <v>One Riverside Park</v>
      </c>
      <c r="C1970" s="1" t="s">
        <v>50</v>
      </c>
      <c r="D1970" s="1" t="s">
        <v>41</v>
      </c>
      <c r="E1970" s="3">
        <v>1236082</v>
      </c>
      <c r="F1970" s="1">
        <v>1399.8663646659099</v>
      </c>
      <c r="G1970" s="1">
        <v>2</v>
      </c>
      <c r="H1970" s="1">
        <v>1</v>
      </c>
      <c r="I1970" s="1">
        <v>2</v>
      </c>
      <c r="J1970" s="1">
        <v>1.5</v>
      </c>
      <c r="M1970" s="1">
        <v>883</v>
      </c>
      <c r="N1970" s="1">
        <v>978</v>
      </c>
      <c r="O1970" s="1">
        <v>1032</v>
      </c>
      <c r="P1970" s="1">
        <v>54</v>
      </c>
      <c r="Q1970" s="1" t="s">
        <v>42</v>
      </c>
      <c r="S1970" s="1" t="s">
        <v>42</v>
      </c>
      <c r="T1970" s="1" t="s">
        <v>170</v>
      </c>
      <c r="V1970" s="5">
        <v>43670</v>
      </c>
      <c r="W1970" s="5">
        <v>41923</v>
      </c>
      <c r="X1970" s="1">
        <v>1210000</v>
      </c>
      <c r="Y1970" s="1">
        <v>1210000</v>
      </c>
      <c r="Z1970" s="5">
        <v>41923</v>
      </c>
      <c r="AA1970" s="1">
        <v>1236082</v>
      </c>
      <c r="AB1970" s="1" t="s">
        <v>1587</v>
      </c>
      <c r="AC1970" s="5">
        <v>42264</v>
      </c>
      <c r="AF1970" s="1">
        <v>10069</v>
      </c>
      <c r="AI1970" s="1" t="s">
        <v>45</v>
      </c>
      <c r="AJ1970" s="1">
        <v>2016</v>
      </c>
      <c r="AK1970" s="1" t="s">
        <v>73</v>
      </c>
      <c r="AL1970" s="1">
        <v>657</v>
      </c>
    </row>
    <row r="1971" spans="1:38" x14ac:dyDescent="0.2">
      <c r="A1971" s="2" t="str">
        <f>HYPERLINK("https://www.compass.com/listing/50-riverside-boulevard-unit-3t-manhattan-ny-10069/29396679581040961/","50 Riverside Blvd, Unit 3T")</f>
        <v>50 Riverside Blvd, Unit 3T</v>
      </c>
      <c r="B1971" s="2" t="str">
        <f t="shared" si="312"/>
        <v>One Riverside Park</v>
      </c>
      <c r="C1971" s="1" t="s">
        <v>50</v>
      </c>
      <c r="D1971" s="1" t="s">
        <v>41</v>
      </c>
      <c r="E1971" s="3">
        <v>1100000</v>
      </c>
      <c r="F1971" s="1">
        <v>1285.04672897196</v>
      </c>
      <c r="G1971" s="1">
        <v>3</v>
      </c>
      <c r="H1971" s="1">
        <v>1</v>
      </c>
      <c r="I1971" s="1">
        <v>1</v>
      </c>
      <c r="J1971" s="1">
        <v>1</v>
      </c>
      <c r="M1971" s="1">
        <v>856</v>
      </c>
      <c r="N1971" s="1">
        <v>947</v>
      </c>
      <c r="O1971" s="1">
        <v>999</v>
      </c>
      <c r="P1971" s="1">
        <v>52</v>
      </c>
      <c r="Q1971" s="1" t="s">
        <v>42</v>
      </c>
      <c r="S1971" s="1" t="s">
        <v>42</v>
      </c>
      <c r="T1971" s="1" t="s">
        <v>170</v>
      </c>
      <c r="V1971" s="5">
        <v>42998</v>
      </c>
      <c r="W1971" s="5">
        <v>42902</v>
      </c>
      <c r="X1971" s="1">
        <v>1100000</v>
      </c>
      <c r="Y1971" s="1">
        <v>1100000</v>
      </c>
      <c r="Z1971" s="5">
        <v>41809</v>
      </c>
      <c r="AB1971" s="1" t="s">
        <v>181</v>
      </c>
      <c r="AC1971" s="5">
        <v>42902</v>
      </c>
      <c r="AF1971" s="1">
        <v>10069</v>
      </c>
      <c r="AI1971" s="1" t="s">
        <v>45</v>
      </c>
      <c r="AJ1971" s="1">
        <v>2016</v>
      </c>
      <c r="AK1971" s="1" t="s">
        <v>73</v>
      </c>
      <c r="AL1971" s="1">
        <v>657</v>
      </c>
    </row>
    <row r="1972" spans="1:38" x14ac:dyDescent="0.2">
      <c r="A1972" s="2" t="str">
        <f>HYPERLINK("https://www.compass.com/listing/50-riverside-boulevard-unit-4t-manhattan-ny-10069/29396679933403505/","50 Riverside Blvd, Unit 4T")</f>
        <v>50 Riverside Blvd, Unit 4T</v>
      </c>
      <c r="B1972" s="2" t="str">
        <f t="shared" si="312"/>
        <v>One Riverside Park</v>
      </c>
      <c r="C1972" s="1" t="s">
        <v>50</v>
      </c>
      <c r="D1972" s="1" t="s">
        <v>41</v>
      </c>
      <c r="E1972" s="3">
        <v>1125000</v>
      </c>
      <c r="F1972" s="1">
        <v>1314.2523364485901</v>
      </c>
      <c r="G1972" s="1">
        <v>2</v>
      </c>
      <c r="H1972" s="1">
        <v>1</v>
      </c>
      <c r="I1972" s="1">
        <v>1</v>
      </c>
      <c r="J1972" s="1">
        <v>1</v>
      </c>
      <c r="M1972" s="1">
        <v>856</v>
      </c>
      <c r="N1972" s="1">
        <v>947</v>
      </c>
      <c r="O1972" s="1">
        <v>999</v>
      </c>
      <c r="P1972" s="1">
        <v>52</v>
      </c>
      <c r="Q1972" s="1" t="s">
        <v>42</v>
      </c>
      <c r="S1972" s="1" t="s">
        <v>42</v>
      </c>
      <c r="T1972" s="1" t="s">
        <v>170</v>
      </c>
      <c r="V1972" s="5">
        <v>42998</v>
      </c>
      <c r="W1972" s="5">
        <v>42902</v>
      </c>
      <c r="X1972" s="1">
        <v>1125000</v>
      </c>
      <c r="Y1972" s="1">
        <v>1125000</v>
      </c>
      <c r="Z1972" s="5">
        <v>41809</v>
      </c>
      <c r="AB1972" s="1" t="s">
        <v>181</v>
      </c>
      <c r="AC1972" s="5">
        <v>42902</v>
      </c>
      <c r="AF1972" s="1">
        <v>10069</v>
      </c>
      <c r="AI1972" s="1" t="s">
        <v>1386</v>
      </c>
      <c r="AJ1972" s="1">
        <v>2016</v>
      </c>
      <c r="AK1972" s="1" t="s">
        <v>73</v>
      </c>
      <c r="AL1972" s="1">
        <v>657</v>
      </c>
    </row>
    <row r="1973" spans="1:38" x14ac:dyDescent="0.2">
      <c r="A1973" s="2" t="str">
        <f>HYPERLINK("https://www.compass.com/listing/50-riverside-boulevard-unit-6t-manhattan-ny-10069/29396680847720817/","50 Riverside Blvd, Unit 6T")</f>
        <v>50 Riverside Blvd, Unit 6T</v>
      </c>
      <c r="B1973" s="2" t="str">
        <f t="shared" si="312"/>
        <v>One Riverside Park</v>
      </c>
      <c r="C1973" s="1" t="s">
        <v>50</v>
      </c>
      <c r="D1973" s="1" t="s">
        <v>41</v>
      </c>
      <c r="E1973" s="3">
        <v>1307360</v>
      </c>
      <c r="F1973" s="1">
        <v>1527.2897196261599</v>
      </c>
      <c r="G1973" s="1">
        <v>2</v>
      </c>
      <c r="H1973" s="1">
        <v>1</v>
      </c>
      <c r="I1973" s="1">
        <v>1</v>
      </c>
      <c r="J1973" s="1">
        <v>1</v>
      </c>
      <c r="M1973" s="1">
        <v>856</v>
      </c>
      <c r="N1973" s="1">
        <v>948</v>
      </c>
      <c r="O1973" s="1">
        <v>1001</v>
      </c>
      <c r="P1973" s="1">
        <v>53</v>
      </c>
      <c r="Q1973" s="1" t="s">
        <v>42</v>
      </c>
      <c r="S1973" s="1" t="s">
        <v>42</v>
      </c>
      <c r="T1973" s="1" t="s">
        <v>170</v>
      </c>
      <c r="V1973" s="5">
        <v>43663</v>
      </c>
      <c r="W1973" s="5">
        <v>41924</v>
      </c>
      <c r="X1973" s="1">
        <v>1280000</v>
      </c>
      <c r="Y1973" s="1">
        <v>1280000</v>
      </c>
      <c r="Z1973" s="5">
        <v>41924</v>
      </c>
      <c r="AA1973" s="1">
        <v>1307360</v>
      </c>
      <c r="AB1973" s="1" t="s">
        <v>1588</v>
      </c>
      <c r="AC1973" s="5">
        <v>42263</v>
      </c>
      <c r="AF1973" s="1">
        <v>10069</v>
      </c>
      <c r="AI1973" s="1" t="s">
        <v>45</v>
      </c>
      <c r="AJ1973" s="1">
        <v>2016</v>
      </c>
      <c r="AK1973" s="1" t="s">
        <v>73</v>
      </c>
      <c r="AL1973" s="1">
        <v>657</v>
      </c>
    </row>
    <row r="1974" spans="1:38" x14ac:dyDescent="0.2">
      <c r="A1974" s="2" t="str">
        <f>HYPERLINK("https://www.compass.com/listing/50-riverside-boulevard-unit-7k-manhattan-ny-10069/783245074433776089/","50 Riverside Blvd, Unit 7K")</f>
        <v>50 Riverside Blvd, Unit 7K</v>
      </c>
      <c r="B1974" s="2" t="str">
        <f t="shared" si="312"/>
        <v>One Riverside Park</v>
      </c>
      <c r="C1974" s="1" t="s">
        <v>50</v>
      </c>
      <c r="D1974" s="1" t="s">
        <v>41</v>
      </c>
      <c r="E1974" s="3">
        <v>1775000</v>
      </c>
      <c r="F1974" s="1">
        <v>1726.6536964980501</v>
      </c>
      <c r="G1974" s="1">
        <v>2</v>
      </c>
      <c r="H1974" s="1">
        <v>1</v>
      </c>
      <c r="I1974" s="1">
        <v>2</v>
      </c>
      <c r="J1974" s="1">
        <v>1.5</v>
      </c>
      <c r="M1974" s="4">
        <v>1028</v>
      </c>
      <c r="N1974" s="1">
        <v>1139</v>
      </c>
      <c r="O1974" s="1">
        <v>1202</v>
      </c>
      <c r="P1974" s="1">
        <v>63</v>
      </c>
      <c r="Q1974" s="1" t="s">
        <v>42</v>
      </c>
      <c r="S1974" s="1" t="s">
        <v>42</v>
      </c>
      <c r="T1974" s="1" t="s">
        <v>170</v>
      </c>
      <c r="V1974" s="5">
        <v>42998</v>
      </c>
      <c r="W1974" s="5">
        <v>42902</v>
      </c>
      <c r="X1974" s="1">
        <v>1775000</v>
      </c>
      <c r="Y1974" s="1">
        <v>1775000</v>
      </c>
      <c r="Z1974" s="5">
        <v>41809</v>
      </c>
      <c r="AB1974" s="1" t="s">
        <v>181</v>
      </c>
      <c r="AC1974" s="5">
        <v>42902</v>
      </c>
      <c r="AF1974" s="1">
        <v>10069</v>
      </c>
      <c r="AI1974" s="1" t="s">
        <v>1386</v>
      </c>
      <c r="AJ1974" s="1">
        <v>2016</v>
      </c>
      <c r="AK1974" s="1" t="s">
        <v>73</v>
      </c>
      <c r="AL1974" s="1">
        <v>657</v>
      </c>
    </row>
    <row r="1975" spans="1:38" x14ac:dyDescent="0.2">
      <c r="A1975" s="2" t="str">
        <f>HYPERLINK("https://www.compass.com/listing/50-riverside-boulevard-unit-3t-manhattan-ny-10069/79414237167905521/","50 Riverside Blvd, Unit 3T")</f>
        <v>50 Riverside Blvd, Unit 3T</v>
      </c>
      <c r="B1975" s="2" t="str">
        <f t="shared" si="312"/>
        <v>One Riverside Park</v>
      </c>
      <c r="C1975" s="1" t="s">
        <v>50</v>
      </c>
      <c r="D1975" s="1" t="s">
        <v>41</v>
      </c>
      <c r="E1975" s="3">
        <v>1124075</v>
      </c>
      <c r="F1975" s="1">
        <v>1313.17172897196</v>
      </c>
      <c r="G1975" s="1">
        <v>3</v>
      </c>
      <c r="H1975" s="1">
        <v>1</v>
      </c>
      <c r="I1975" s="1">
        <v>1</v>
      </c>
      <c r="J1975" s="1">
        <v>1</v>
      </c>
      <c r="K1975" s="1">
        <v>1</v>
      </c>
      <c r="M1975" s="1">
        <v>856</v>
      </c>
      <c r="N1975" s="1">
        <v>947</v>
      </c>
      <c r="O1975" s="1">
        <v>999</v>
      </c>
      <c r="P1975" s="1">
        <v>52</v>
      </c>
      <c r="Q1975" s="1" t="s">
        <v>42</v>
      </c>
      <c r="S1975" s="1" t="s">
        <v>42</v>
      </c>
      <c r="T1975" s="1" t="s">
        <v>170</v>
      </c>
      <c r="U1975" s="1">
        <v>607</v>
      </c>
      <c r="V1975" s="5">
        <v>42993</v>
      </c>
      <c r="W1975" s="5">
        <v>41605</v>
      </c>
      <c r="X1975" s="1">
        <v>1100000</v>
      </c>
      <c r="Y1975" s="1">
        <v>1100000</v>
      </c>
      <c r="AA1975" s="1">
        <v>1124075</v>
      </c>
      <c r="AB1975" s="1" t="s">
        <v>1589</v>
      </c>
      <c r="AC1975" s="5">
        <v>42213</v>
      </c>
      <c r="AF1975" s="1">
        <v>10069</v>
      </c>
      <c r="AI1975" s="1" t="s">
        <v>45</v>
      </c>
      <c r="AJ1975" s="1">
        <v>2016</v>
      </c>
      <c r="AK1975" s="1" t="s">
        <v>73</v>
      </c>
      <c r="AL1975" s="1">
        <v>657</v>
      </c>
    </row>
    <row r="1976" spans="1:38" x14ac:dyDescent="0.2">
      <c r="A1976" s="2" t="str">
        <f>HYPERLINK("https://www.compass.com/listing/50-riverside-boulevard-unit-4s-manhattan-ny-10069/803336398887433633/","50 Riverside Blvd, Unit 4S")</f>
        <v>50 Riverside Blvd, Unit 4S</v>
      </c>
      <c r="B1976" s="2" t="str">
        <f t="shared" si="312"/>
        <v>One Riverside Park</v>
      </c>
      <c r="C1976" s="1" t="s">
        <v>50</v>
      </c>
      <c r="D1976" s="1" t="s">
        <v>41</v>
      </c>
      <c r="E1976" s="3">
        <v>1155000</v>
      </c>
      <c r="F1976" s="1">
        <v>1308.0407701019201</v>
      </c>
      <c r="G1976" s="1">
        <v>2</v>
      </c>
      <c r="H1976" s="1">
        <v>1</v>
      </c>
      <c r="I1976" s="1">
        <v>2</v>
      </c>
      <c r="J1976" s="1">
        <v>1.4</v>
      </c>
      <c r="M1976" s="1">
        <v>883</v>
      </c>
      <c r="N1976" s="1">
        <v>977</v>
      </c>
      <c r="O1976" s="1">
        <v>1031</v>
      </c>
      <c r="P1976" s="1">
        <v>54</v>
      </c>
      <c r="Q1976" s="1" t="s">
        <v>42</v>
      </c>
      <c r="S1976" s="1" t="s">
        <v>42</v>
      </c>
      <c r="T1976" s="1" t="s">
        <v>170</v>
      </c>
      <c r="V1976" s="5">
        <v>42998</v>
      </c>
      <c r="W1976" s="5">
        <v>42902</v>
      </c>
      <c r="X1976" s="1">
        <v>1155000</v>
      </c>
      <c r="Y1976" s="1">
        <v>1155000</v>
      </c>
      <c r="Z1976" s="5">
        <v>41809</v>
      </c>
      <c r="AB1976" s="1" t="s">
        <v>181</v>
      </c>
      <c r="AC1976" s="5">
        <v>42902</v>
      </c>
      <c r="AF1976" s="1">
        <v>10069</v>
      </c>
      <c r="AI1976" s="1" t="s">
        <v>45</v>
      </c>
      <c r="AJ1976" s="1">
        <v>2016</v>
      </c>
      <c r="AK1976" s="1" t="s">
        <v>73</v>
      </c>
      <c r="AL1976" s="1">
        <v>657</v>
      </c>
    </row>
    <row r="1977" spans="1:38" x14ac:dyDescent="0.2">
      <c r="A1977" s="2" t="str">
        <f>HYPERLINK("https://www.compass.com/listing/50-riverside-boulevard-unit-3k-manhattan-ny-10069/803415490433035537/","50 Riverside Blvd, Unit 3K")</f>
        <v>50 Riverside Blvd, Unit 3K</v>
      </c>
      <c r="B1977" s="2" t="str">
        <f t="shared" si="312"/>
        <v>One Riverside Park</v>
      </c>
      <c r="C1977" s="1" t="s">
        <v>50</v>
      </c>
      <c r="D1977" s="1" t="s">
        <v>41</v>
      </c>
      <c r="E1977" s="3">
        <v>1653565</v>
      </c>
      <c r="F1977" s="1">
        <v>1608.5262645914299</v>
      </c>
      <c r="G1977" s="1">
        <v>2</v>
      </c>
      <c r="H1977" s="1">
        <v>1</v>
      </c>
      <c r="I1977" s="1">
        <v>1</v>
      </c>
      <c r="J1977" s="1">
        <v>1</v>
      </c>
      <c r="K1977" s="1">
        <v>1</v>
      </c>
      <c r="M1977" s="4">
        <v>1028</v>
      </c>
      <c r="N1977" s="1">
        <v>1137</v>
      </c>
      <c r="O1977" s="1">
        <v>1200</v>
      </c>
      <c r="P1977" s="1">
        <v>63</v>
      </c>
      <c r="Q1977" s="1" t="s">
        <v>42</v>
      </c>
      <c r="S1977" s="1" t="s">
        <v>42</v>
      </c>
      <c r="T1977" s="1" t="s">
        <v>170</v>
      </c>
      <c r="U1977" s="1">
        <v>572</v>
      </c>
      <c r="V1977" s="5">
        <v>42993</v>
      </c>
      <c r="W1977" s="5">
        <v>41653</v>
      </c>
      <c r="AA1977" s="1">
        <v>1653565</v>
      </c>
      <c r="AB1977" s="1" t="s">
        <v>1581</v>
      </c>
      <c r="AC1977" s="5">
        <v>42226</v>
      </c>
      <c r="AF1977" s="1">
        <v>10069</v>
      </c>
      <c r="AI1977" s="1" t="s">
        <v>45</v>
      </c>
      <c r="AJ1977" s="1">
        <v>2016</v>
      </c>
      <c r="AK1977" s="1" t="s">
        <v>73</v>
      </c>
      <c r="AL1977" s="1">
        <v>657</v>
      </c>
    </row>
    <row r="1978" spans="1:38" x14ac:dyDescent="0.2">
      <c r="A1978" s="2" t="str">
        <f>HYPERLINK("https://www.compass.com/listing/321-west-110th-street-unit-10b-manhattan-ny-10026/4852284985412955601/","321 W 110th St, Unit 10B")</f>
        <v>321 W 110th St, Unit 10B</v>
      </c>
      <c r="B1978" s="2" t="str">
        <f t="shared" ref="B1978:B1979" si="313">HYPERLINK("https://www.compass.com/building/one-morningside-park-manhattan-ny/294836904016796069/","One Morningside Park")</f>
        <v>One Morningside Park</v>
      </c>
      <c r="C1978" s="1" t="s">
        <v>106</v>
      </c>
      <c r="D1978" s="1" t="s">
        <v>41</v>
      </c>
      <c r="E1978" s="3">
        <v>1</v>
      </c>
      <c r="F1978" s="1">
        <v>1.5974440894568601E-3</v>
      </c>
      <c r="G1978" s="1">
        <v>3</v>
      </c>
      <c r="H1978" s="1">
        <v>1</v>
      </c>
      <c r="I1978" s="1">
        <v>1</v>
      </c>
      <c r="J1978" s="1">
        <v>1</v>
      </c>
      <c r="M1978" s="1">
        <v>626</v>
      </c>
      <c r="N1978" s="1">
        <v>617</v>
      </c>
      <c r="O1978" s="1">
        <v>653</v>
      </c>
      <c r="P1978" s="1">
        <v>36</v>
      </c>
      <c r="Q1978" s="1" t="s">
        <v>42</v>
      </c>
      <c r="S1978" s="1" t="s">
        <v>42</v>
      </c>
      <c r="T1978" s="1" t="s">
        <v>170</v>
      </c>
      <c r="U1978" s="1">
        <v>1</v>
      </c>
      <c r="V1978" s="5">
        <v>43074</v>
      </c>
      <c r="W1978" s="5">
        <v>41589</v>
      </c>
      <c r="X1978" s="1">
        <v>710</v>
      </c>
      <c r="Y1978" s="1">
        <v>710000</v>
      </c>
      <c r="Z1978" s="5">
        <v>41590</v>
      </c>
      <c r="AA1978" s="1">
        <v>1</v>
      </c>
      <c r="AB1978" s="1" t="s">
        <v>181</v>
      </c>
      <c r="AC1978" s="5">
        <v>41943</v>
      </c>
      <c r="AF1978" s="1">
        <v>10026</v>
      </c>
      <c r="AI1978" s="1" t="s">
        <v>1491</v>
      </c>
      <c r="AJ1978" s="1">
        <v>2012</v>
      </c>
      <c r="AK1978" s="1" t="s">
        <v>77</v>
      </c>
      <c r="AL1978" s="1">
        <v>88</v>
      </c>
    </row>
    <row r="1979" spans="1:38" x14ac:dyDescent="0.2">
      <c r="A1979" s="2" t="str">
        <f>HYPERLINK("https://www.compass.com/listing/321-west-110th-street-unit-8b-manhattan-ny-10026/4852285016828295361/","321 W 110th St, Unit 8B")</f>
        <v>321 W 110th St, Unit 8B</v>
      </c>
      <c r="B1979" s="2" t="str">
        <f t="shared" si="313"/>
        <v>One Morningside Park</v>
      </c>
      <c r="C1979" s="1" t="s">
        <v>106</v>
      </c>
      <c r="D1979" s="1" t="s">
        <v>41</v>
      </c>
      <c r="E1979" s="3">
        <v>1</v>
      </c>
      <c r="F1979" s="1">
        <v>1.8248175182481699E-3</v>
      </c>
      <c r="G1979" s="1">
        <v>3</v>
      </c>
      <c r="H1979" s="1">
        <v>1</v>
      </c>
      <c r="I1979" s="1">
        <v>1</v>
      </c>
      <c r="J1979" s="1">
        <v>1</v>
      </c>
      <c r="M1979" s="1">
        <v>548</v>
      </c>
      <c r="N1979" s="1">
        <v>542</v>
      </c>
      <c r="O1979" s="1">
        <v>575</v>
      </c>
      <c r="P1979" s="1">
        <v>33</v>
      </c>
      <c r="Q1979" s="1" t="s">
        <v>42</v>
      </c>
      <c r="S1979" s="1" t="s">
        <v>42</v>
      </c>
      <c r="T1979" s="1" t="s">
        <v>170</v>
      </c>
      <c r="U1979" s="1">
        <v>38</v>
      </c>
      <c r="V1979" s="5">
        <v>43074</v>
      </c>
      <c r="W1979" s="5">
        <v>41499</v>
      </c>
      <c r="X1979" s="1">
        <v>630000</v>
      </c>
      <c r="Y1979" s="1">
        <v>630000</v>
      </c>
      <c r="Z1979" s="5">
        <v>41537</v>
      </c>
      <c r="AA1979" s="1">
        <v>1</v>
      </c>
      <c r="AB1979" s="1" t="s">
        <v>181</v>
      </c>
      <c r="AC1979" s="5">
        <v>41943</v>
      </c>
      <c r="AF1979" s="1">
        <v>10026</v>
      </c>
      <c r="AI1979" s="1" t="s">
        <v>1491</v>
      </c>
      <c r="AJ1979" s="1">
        <v>2012</v>
      </c>
      <c r="AK1979" s="1" t="s">
        <v>77</v>
      </c>
      <c r="AL1979" s="1">
        <v>88</v>
      </c>
    </row>
    <row r="1980" spans="1:38" x14ac:dyDescent="0.2">
      <c r="A1980" s="2" t="str">
        <f>HYPERLINK("https://www.compass.com/listing/50-riverside-boulevard-unit-6u-manhattan-ny-10069/78974585206335281/","50 Riverside Blvd, Unit 6U")</f>
        <v>50 Riverside Blvd, Unit 6U</v>
      </c>
      <c r="B1980" s="2" t="str">
        <f t="shared" ref="B1980:B2000" si="314">HYPERLINK("https://www.compass.com/building/one-riverside-park-manhattan-ny/282041440266113253/","One Riverside Park")</f>
        <v>One Riverside Park</v>
      </c>
      <c r="C1980" s="1" t="s">
        <v>50</v>
      </c>
      <c r="D1980" s="1" t="s">
        <v>41</v>
      </c>
      <c r="E1980" s="3">
        <v>1948858</v>
      </c>
      <c r="F1980" s="1">
        <v>1596.1158886158801</v>
      </c>
      <c r="H1980" s="1">
        <v>2</v>
      </c>
      <c r="J1980" s="1">
        <v>2.5</v>
      </c>
      <c r="M1980" s="4">
        <v>1221</v>
      </c>
      <c r="N1980" s="1">
        <v>1352</v>
      </c>
      <c r="O1980" s="1">
        <v>1427</v>
      </c>
      <c r="P1980" s="1">
        <v>75</v>
      </c>
      <c r="Q1980" s="1" t="s">
        <v>42</v>
      </c>
      <c r="S1980" s="1" t="s">
        <v>42</v>
      </c>
      <c r="T1980" s="1" t="s">
        <v>170</v>
      </c>
      <c r="AA1980" s="1">
        <v>1948857.5</v>
      </c>
      <c r="AB1980" s="1" t="s">
        <v>1590</v>
      </c>
      <c r="AC1980" s="5">
        <v>42278</v>
      </c>
      <c r="AF1980" s="1">
        <v>10069</v>
      </c>
      <c r="AI1980" s="1" t="s">
        <v>45</v>
      </c>
      <c r="AJ1980" s="1">
        <v>2016</v>
      </c>
      <c r="AK1980" s="1" t="s">
        <v>46</v>
      </c>
      <c r="AL1980" s="1">
        <v>657</v>
      </c>
    </row>
    <row r="1981" spans="1:38" x14ac:dyDescent="0.2">
      <c r="A1981" s="2" t="str">
        <f>HYPERLINK("https://www.compass.com/listing/50-riverside-boulevard-unit-17f-manhattan-ny-10069/79414152082234657/","50 Riverside Blvd, Unit 17F")</f>
        <v>50 Riverside Blvd, Unit 17F</v>
      </c>
      <c r="B1981" s="2" t="str">
        <f t="shared" si="314"/>
        <v>One Riverside Park</v>
      </c>
      <c r="C1981" s="1" t="s">
        <v>50</v>
      </c>
      <c r="D1981" s="1" t="s">
        <v>41</v>
      </c>
      <c r="E1981" s="3">
        <v>2345975</v>
      </c>
      <c r="F1981" s="1">
        <v>1746.81682799702</v>
      </c>
      <c r="H1981" s="1">
        <v>2</v>
      </c>
      <c r="J1981" s="1">
        <v>2.5</v>
      </c>
      <c r="M1981" s="4">
        <v>1343</v>
      </c>
      <c r="N1981" s="1">
        <v>1600</v>
      </c>
      <c r="O1981" s="1">
        <v>1689</v>
      </c>
      <c r="P1981" s="1">
        <v>89</v>
      </c>
      <c r="Q1981" s="1" t="s">
        <v>42</v>
      </c>
      <c r="S1981" s="1" t="s">
        <v>42</v>
      </c>
      <c r="T1981" s="1" t="s">
        <v>170</v>
      </c>
      <c r="AA1981" s="1">
        <v>2345975</v>
      </c>
      <c r="AB1981" s="1" t="s">
        <v>1591</v>
      </c>
      <c r="AC1981" s="5">
        <v>42359</v>
      </c>
      <c r="AF1981" s="1">
        <v>10069</v>
      </c>
      <c r="AI1981" s="1" t="s">
        <v>45</v>
      </c>
      <c r="AJ1981" s="1">
        <v>2016</v>
      </c>
      <c r="AK1981" s="1" t="s">
        <v>46</v>
      </c>
      <c r="AL1981" s="1">
        <v>657</v>
      </c>
    </row>
    <row r="1982" spans="1:38" x14ac:dyDescent="0.2">
      <c r="A1982" s="2" t="str">
        <f>HYPERLINK("https://www.compass.com/listing/50-riverside-boulevard-unit-9m-manhattan-ny-10069/79414200065091377/","50 Riverside Blvd, Unit 9M")</f>
        <v>50 Riverside Blvd, Unit 9M</v>
      </c>
      <c r="B1982" s="2" t="str">
        <f t="shared" si="314"/>
        <v>One Riverside Park</v>
      </c>
      <c r="C1982" s="1" t="s">
        <v>50</v>
      </c>
      <c r="D1982" s="1" t="s">
        <v>41</v>
      </c>
      <c r="E1982" s="3">
        <v>2239059</v>
      </c>
      <c r="F1982" s="1">
        <v>1698.8306145675199</v>
      </c>
      <c r="H1982" s="1">
        <v>2</v>
      </c>
      <c r="J1982" s="1">
        <v>2.5</v>
      </c>
      <c r="M1982" s="4">
        <v>1318</v>
      </c>
      <c r="N1982" s="1">
        <v>1462</v>
      </c>
      <c r="O1982" s="1">
        <v>1543</v>
      </c>
      <c r="P1982" s="1">
        <v>81</v>
      </c>
      <c r="Q1982" s="1" t="s">
        <v>42</v>
      </c>
      <c r="S1982" s="1" t="s">
        <v>42</v>
      </c>
      <c r="T1982" s="1" t="s">
        <v>170</v>
      </c>
      <c r="AA1982" s="1">
        <v>2239058.75</v>
      </c>
      <c r="AB1982" s="1" t="s">
        <v>1592</v>
      </c>
      <c r="AC1982" s="5">
        <v>42314</v>
      </c>
      <c r="AF1982" s="1">
        <v>10069</v>
      </c>
      <c r="AI1982" s="1" t="s">
        <v>45</v>
      </c>
      <c r="AJ1982" s="1">
        <v>2016</v>
      </c>
      <c r="AK1982" s="1" t="s">
        <v>46</v>
      </c>
      <c r="AL1982" s="1">
        <v>657</v>
      </c>
    </row>
    <row r="1983" spans="1:38" x14ac:dyDescent="0.2">
      <c r="A1983" s="2" t="str">
        <f>HYPERLINK("https://www.compass.com/listing/50-riverside-boulevard-unit-12m-manhattan-ny-10069/79414202195797953/","50 Riverside Blvd, Unit 12M")</f>
        <v>50 Riverside Blvd, Unit 12M</v>
      </c>
      <c r="B1983" s="2" t="str">
        <f t="shared" si="314"/>
        <v>One Riverside Park</v>
      </c>
      <c r="C1983" s="1" t="s">
        <v>50</v>
      </c>
      <c r="D1983" s="1" t="s">
        <v>41</v>
      </c>
      <c r="E1983" s="3">
        <v>2361249</v>
      </c>
      <c r="F1983" s="1">
        <v>1791.53926403641</v>
      </c>
      <c r="H1983" s="1">
        <v>2</v>
      </c>
      <c r="J1983" s="1">
        <v>2.5</v>
      </c>
      <c r="M1983" s="4">
        <v>1318</v>
      </c>
      <c r="N1983" s="1">
        <v>1464</v>
      </c>
      <c r="O1983" s="1">
        <v>1545</v>
      </c>
      <c r="P1983" s="1">
        <v>81</v>
      </c>
      <c r="Q1983" s="1" t="s">
        <v>42</v>
      </c>
      <c r="S1983" s="1" t="s">
        <v>42</v>
      </c>
      <c r="T1983" s="1" t="s">
        <v>170</v>
      </c>
      <c r="AA1983" s="1">
        <v>2361248.75</v>
      </c>
      <c r="AB1983" s="1" t="s">
        <v>1593</v>
      </c>
      <c r="AC1983" s="5">
        <v>42333</v>
      </c>
      <c r="AF1983" s="1">
        <v>10069</v>
      </c>
      <c r="AI1983" s="1" t="s">
        <v>45</v>
      </c>
      <c r="AJ1983" s="1">
        <v>2016</v>
      </c>
      <c r="AK1983" s="1" t="s">
        <v>46</v>
      </c>
      <c r="AL1983" s="1">
        <v>657</v>
      </c>
    </row>
    <row r="1984" spans="1:38" x14ac:dyDescent="0.2">
      <c r="A1984" s="2" t="str">
        <f>HYPERLINK("https://www.compass.com/listing/50-riverside-boulevard-unit-14m-manhattan-ny-10069/79414203378612465/","50 Riverside Blvd, Unit 14M")</f>
        <v>50 Riverside Blvd, Unit 14M</v>
      </c>
      <c r="B1984" s="2" t="str">
        <f t="shared" si="314"/>
        <v>One Riverside Park</v>
      </c>
      <c r="C1984" s="1" t="s">
        <v>50</v>
      </c>
      <c r="D1984" s="1" t="s">
        <v>41</v>
      </c>
      <c r="E1984" s="3">
        <v>2401979</v>
      </c>
      <c r="F1984" s="1">
        <v>1822.4421471927101</v>
      </c>
      <c r="H1984" s="1">
        <v>2</v>
      </c>
      <c r="J1984" s="1">
        <v>2.5</v>
      </c>
      <c r="M1984" s="4">
        <v>1318</v>
      </c>
      <c r="N1984" s="1">
        <v>1465</v>
      </c>
      <c r="O1984" s="1">
        <v>1546</v>
      </c>
      <c r="P1984" s="1">
        <v>81</v>
      </c>
      <c r="Q1984" s="1" t="s">
        <v>42</v>
      </c>
      <c r="S1984" s="1" t="s">
        <v>42</v>
      </c>
      <c r="T1984" s="1" t="s">
        <v>170</v>
      </c>
      <c r="AA1984" s="1">
        <v>2401978.75</v>
      </c>
      <c r="AB1984" s="1" t="s">
        <v>1594</v>
      </c>
      <c r="AC1984" s="5">
        <v>42333</v>
      </c>
      <c r="AF1984" s="1">
        <v>10069</v>
      </c>
      <c r="AI1984" s="1" t="s">
        <v>45</v>
      </c>
      <c r="AJ1984" s="1">
        <v>2016</v>
      </c>
      <c r="AK1984" s="1" t="s">
        <v>46</v>
      </c>
      <c r="AL1984" s="1">
        <v>657</v>
      </c>
    </row>
    <row r="1985" spans="1:38" x14ac:dyDescent="0.2">
      <c r="A1985" s="2" t="str">
        <f>HYPERLINK("https://www.compass.com/listing/50-riverside-boulevard-unit-4u-manhattan-ny-10069/79414245598477249/","50 Riverside Blvd, Unit 4U")</f>
        <v>50 Riverside Blvd, Unit 4U</v>
      </c>
      <c r="B1985" s="2" t="str">
        <f t="shared" si="314"/>
        <v>One Riverside Park</v>
      </c>
      <c r="C1985" s="1" t="s">
        <v>50</v>
      </c>
      <c r="D1985" s="1" t="s">
        <v>41</v>
      </c>
      <c r="E1985" s="3">
        <v>1857215</v>
      </c>
      <c r="F1985" s="1">
        <v>1521.0606060606001</v>
      </c>
      <c r="H1985" s="1">
        <v>2</v>
      </c>
      <c r="J1985" s="1">
        <v>2.5</v>
      </c>
      <c r="M1985" s="4">
        <v>1221</v>
      </c>
      <c r="N1985" s="1">
        <v>1351</v>
      </c>
      <c r="O1985" s="1">
        <v>1426</v>
      </c>
      <c r="P1985" s="1">
        <v>75</v>
      </c>
      <c r="Q1985" s="1" t="s">
        <v>42</v>
      </c>
      <c r="S1985" s="1" t="s">
        <v>42</v>
      </c>
      <c r="T1985" s="1" t="s">
        <v>170</v>
      </c>
      <c r="AA1985" s="1">
        <v>1857215</v>
      </c>
      <c r="AB1985" s="1" t="s">
        <v>1595</v>
      </c>
      <c r="AC1985" s="5">
        <v>42221</v>
      </c>
      <c r="AF1985" s="1">
        <v>10069</v>
      </c>
      <c r="AI1985" s="1" t="s">
        <v>45</v>
      </c>
      <c r="AJ1985" s="1">
        <v>2016</v>
      </c>
      <c r="AK1985" s="1" t="s">
        <v>46</v>
      </c>
      <c r="AL1985" s="1">
        <v>657</v>
      </c>
    </row>
    <row r="1986" spans="1:38" x14ac:dyDescent="0.2">
      <c r="A1986" s="2" t="str">
        <f>HYPERLINK("https://www.compass.com/listing/50-riverside-boulevard-unit-5u-manhattan-ny-10069/79414246378579825/","50 Riverside Blvd, Unit 5U")</f>
        <v>50 Riverside Blvd, Unit 5U</v>
      </c>
      <c r="B1986" s="2" t="str">
        <f t="shared" si="314"/>
        <v>One Riverside Park</v>
      </c>
      <c r="C1986" s="1" t="s">
        <v>50</v>
      </c>
      <c r="D1986" s="1" t="s">
        <v>41</v>
      </c>
      <c r="E1986" s="3">
        <v>1892854</v>
      </c>
      <c r="F1986" s="1">
        <v>1550.2487714987701</v>
      </c>
      <c r="H1986" s="1">
        <v>2</v>
      </c>
      <c r="J1986" s="1">
        <v>2.5</v>
      </c>
      <c r="M1986" s="4">
        <v>1221</v>
      </c>
      <c r="N1986" s="1">
        <v>1352</v>
      </c>
      <c r="O1986" s="1">
        <v>1427</v>
      </c>
      <c r="P1986" s="1">
        <v>75</v>
      </c>
      <c r="Q1986" s="1" t="s">
        <v>42</v>
      </c>
      <c r="S1986" s="1" t="s">
        <v>42</v>
      </c>
      <c r="T1986" s="1" t="s">
        <v>170</v>
      </c>
      <c r="AA1986" s="1">
        <v>1892853.75</v>
      </c>
      <c r="AB1986" s="1" t="s">
        <v>1596</v>
      </c>
      <c r="AC1986" s="5">
        <v>42251</v>
      </c>
      <c r="AF1986" s="1">
        <v>10069</v>
      </c>
      <c r="AI1986" s="1" t="s">
        <v>45</v>
      </c>
      <c r="AJ1986" s="1">
        <v>2016</v>
      </c>
      <c r="AK1986" s="1" t="s">
        <v>46</v>
      </c>
      <c r="AL1986" s="1">
        <v>657</v>
      </c>
    </row>
    <row r="1987" spans="1:38" x14ac:dyDescent="0.2">
      <c r="A1987" s="2" t="str">
        <f>HYPERLINK("https://www.compass.com/listing/50-riverside-boulevard-unit-8h-manhattan-ny-10069/841274698829989745/","50 Riverside Blvd, Unit 8H")</f>
        <v>50 Riverside Blvd, Unit 8H</v>
      </c>
      <c r="B1987" s="2" t="str">
        <f t="shared" si="314"/>
        <v>One Riverside Park</v>
      </c>
      <c r="C1987" s="1" t="s">
        <v>50</v>
      </c>
      <c r="D1987" s="1" t="s">
        <v>41</v>
      </c>
      <c r="E1987" s="3">
        <v>2396888</v>
      </c>
      <c r="F1987" s="1">
        <v>1547.37734021949</v>
      </c>
      <c r="H1987" s="1">
        <v>2</v>
      </c>
      <c r="J1987" s="1">
        <v>2.5</v>
      </c>
      <c r="M1987" s="4">
        <v>1549</v>
      </c>
      <c r="N1987" s="1">
        <v>1717</v>
      </c>
      <c r="O1987" s="1">
        <v>1812</v>
      </c>
      <c r="P1987" s="1">
        <v>95</v>
      </c>
      <c r="Q1987" s="1" t="s">
        <v>42</v>
      </c>
      <c r="S1987" s="1" t="s">
        <v>42</v>
      </c>
      <c r="T1987" s="1" t="s">
        <v>170</v>
      </c>
      <c r="AA1987" s="1">
        <v>2396887.5</v>
      </c>
      <c r="AB1987" s="1" t="s">
        <v>1597</v>
      </c>
      <c r="AC1987" s="5">
        <v>42332</v>
      </c>
      <c r="AF1987" s="1">
        <v>10069</v>
      </c>
      <c r="AI1987" s="1" t="s">
        <v>45</v>
      </c>
      <c r="AJ1987" s="1">
        <v>2016</v>
      </c>
      <c r="AK1987" s="1" t="s">
        <v>46</v>
      </c>
      <c r="AL1987" s="1">
        <v>657</v>
      </c>
    </row>
    <row r="1988" spans="1:38" x14ac:dyDescent="0.2">
      <c r="A1988" s="2" t="str">
        <f>HYPERLINK("https://www.compass.com/listing/50-riverside-boulevard-unit-18a-manhattan-ny-10069/198983560999283233/","50 Riverside Blvd, Unit 18A")</f>
        <v>50 Riverside Blvd, Unit 18A</v>
      </c>
      <c r="B1988" s="2" t="str">
        <f t="shared" si="314"/>
        <v>One Riverside Park</v>
      </c>
      <c r="C1988" s="1" t="s">
        <v>50</v>
      </c>
      <c r="D1988" s="1" t="s">
        <v>41</v>
      </c>
      <c r="E1988" s="3">
        <v>2750000</v>
      </c>
      <c r="F1988" s="1">
        <v>1979.8416126709801</v>
      </c>
      <c r="H1988" s="1">
        <v>2</v>
      </c>
      <c r="J1988" s="1">
        <v>2.5</v>
      </c>
      <c r="M1988" s="4">
        <v>1389</v>
      </c>
      <c r="N1988" s="1">
        <v>1547</v>
      </c>
      <c r="O1988" s="1">
        <v>1633</v>
      </c>
      <c r="P1988" s="1">
        <v>86</v>
      </c>
      <c r="Q1988" s="1" t="s">
        <v>42</v>
      </c>
      <c r="S1988" s="1" t="s">
        <v>42</v>
      </c>
      <c r="T1988" s="1" t="s">
        <v>170</v>
      </c>
      <c r="AA1988" s="1">
        <v>2750000</v>
      </c>
      <c r="AB1988" s="1" t="s">
        <v>1598</v>
      </c>
      <c r="AC1988" s="5">
        <v>43511</v>
      </c>
      <c r="AF1988" s="1">
        <v>10069</v>
      </c>
      <c r="AI1988" s="1" t="s">
        <v>45</v>
      </c>
      <c r="AJ1988" s="1">
        <v>2016</v>
      </c>
      <c r="AK1988" s="1" t="s">
        <v>46</v>
      </c>
      <c r="AL1988" s="1">
        <v>657</v>
      </c>
    </row>
    <row r="1989" spans="1:38" x14ac:dyDescent="0.2">
      <c r="A1989" s="2" t="str">
        <f>HYPERLINK("https://www.compass.com/listing/50-riverside-boulevard-unit-3g-manhattan-ny-10069/167835131929753777/","50 Riverside Blvd, Unit 3G")</f>
        <v>50 Riverside Blvd, Unit 3G</v>
      </c>
      <c r="B1989" s="2" t="str">
        <f t="shared" si="314"/>
        <v>One Riverside Park</v>
      </c>
      <c r="C1989" s="1" t="s">
        <v>50</v>
      </c>
      <c r="D1989" s="1" t="s">
        <v>41</v>
      </c>
      <c r="E1989" s="3">
        <v>1850000</v>
      </c>
      <c r="F1989" s="1">
        <v>1263.66120218579</v>
      </c>
      <c r="G1989" s="1">
        <v>3</v>
      </c>
      <c r="H1989" s="1">
        <v>2</v>
      </c>
      <c r="I1989" s="1">
        <v>2</v>
      </c>
      <c r="J1989" s="1">
        <v>2</v>
      </c>
      <c r="M1989" s="4">
        <v>1464</v>
      </c>
      <c r="N1989" s="1">
        <v>1619</v>
      </c>
      <c r="O1989" s="1">
        <v>1709</v>
      </c>
      <c r="P1989" s="1">
        <v>90</v>
      </c>
      <c r="Q1989" s="1" t="s">
        <v>42</v>
      </c>
      <c r="S1989" s="1" t="s">
        <v>42</v>
      </c>
      <c r="T1989" s="1" t="s">
        <v>170</v>
      </c>
      <c r="V1989" s="5">
        <v>42998</v>
      </c>
      <c r="W1989" s="5">
        <v>42902</v>
      </c>
      <c r="X1989" s="1">
        <v>1850000</v>
      </c>
      <c r="Y1989" s="1">
        <v>1850000</v>
      </c>
      <c r="Z1989" s="5">
        <v>41670</v>
      </c>
      <c r="AB1989" s="1" t="s">
        <v>181</v>
      </c>
      <c r="AC1989" s="5">
        <v>42902</v>
      </c>
      <c r="AF1989" s="1">
        <v>10069</v>
      </c>
      <c r="AI1989" s="1" t="s">
        <v>45</v>
      </c>
      <c r="AJ1989" s="1">
        <v>2016</v>
      </c>
      <c r="AK1989" s="1" t="s">
        <v>73</v>
      </c>
      <c r="AL1989" s="1">
        <v>657</v>
      </c>
    </row>
    <row r="1990" spans="1:38" x14ac:dyDescent="0.2">
      <c r="A1990" s="2" t="str">
        <f>HYPERLINK("https://www.compass.com/listing/50-riverside-boulevard-unit-6m-manhattan-ny-10069/167835166524343569/","50 Riverside Blvd, Unit 6M")</f>
        <v>50 Riverside Blvd, Unit 6M</v>
      </c>
      <c r="B1990" s="2" t="str">
        <f t="shared" si="314"/>
        <v>One Riverside Park</v>
      </c>
      <c r="C1990" s="1" t="s">
        <v>50</v>
      </c>
      <c r="D1990" s="1" t="s">
        <v>41</v>
      </c>
      <c r="E1990" s="3">
        <v>2295063</v>
      </c>
      <c r="F1990" s="1">
        <v>1758.6685823754699</v>
      </c>
      <c r="G1990" s="1">
        <v>3</v>
      </c>
      <c r="H1990" s="1">
        <v>2</v>
      </c>
      <c r="I1990" s="1">
        <v>2</v>
      </c>
      <c r="J1990" s="1">
        <v>2</v>
      </c>
      <c r="K1990" s="1">
        <v>2</v>
      </c>
      <c r="M1990" s="4">
        <v>1305</v>
      </c>
      <c r="N1990" s="1">
        <v>1445</v>
      </c>
      <c r="O1990" s="1">
        <v>1525</v>
      </c>
      <c r="P1990" s="1">
        <v>80</v>
      </c>
      <c r="Q1990" s="1" t="s">
        <v>42</v>
      </c>
      <c r="S1990" s="1" t="s">
        <v>42</v>
      </c>
      <c r="T1990" s="1" t="s">
        <v>170</v>
      </c>
      <c r="U1990" s="1">
        <v>840</v>
      </c>
      <c r="V1990" s="5">
        <v>42993</v>
      </c>
      <c r="W1990" s="5">
        <v>41407</v>
      </c>
      <c r="X1990" s="1">
        <v>2250000</v>
      </c>
      <c r="Y1990" s="1">
        <v>2250000</v>
      </c>
      <c r="AA1990" s="1">
        <v>2295062.5</v>
      </c>
      <c r="AB1990" s="1" t="s">
        <v>1385</v>
      </c>
      <c r="AC1990" s="5">
        <v>42247</v>
      </c>
      <c r="AF1990" s="1">
        <v>10069</v>
      </c>
      <c r="AI1990" s="1" t="s">
        <v>45</v>
      </c>
      <c r="AJ1990" s="1">
        <v>2016</v>
      </c>
      <c r="AK1990" s="1" t="s">
        <v>73</v>
      </c>
      <c r="AL1990" s="1">
        <v>657</v>
      </c>
    </row>
    <row r="1991" spans="1:38" x14ac:dyDescent="0.2">
      <c r="A1991" s="2" t="str">
        <f>HYPERLINK("https://www.compass.com/listing/50-riverside-boulevard-unit-5d-manhattan-ny-10069/29396616725200065/","50 Riverside Blvd, Unit 5D")</f>
        <v>50 Riverside Blvd, Unit 5D</v>
      </c>
      <c r="B1991" s="2" t="str">
        <f t="shared" si="314"/>
        <v>One Riverside Park</v>
      </c>
      <c r="C1991" s="1" t="s">
        <v>50</v>
      </c>
      <c r="D1991" s="1" t="s">
        <v>41</v>
      </c>
      <c r="E1991" s="3">
        <v>2155508</v>
      </c>
      <c r="F1991" s="1">
        <v>1655.5357142857099</v>
      </c>
      <c r="G1991" s="1">
        <v>4</v>
      </c>
      <c r="H1991" s="1">
        <v>2</v>
      </c>
      <c r="I1991" s="1">
        <v>2</v>
      </c>
      <c r="J1991" s="1">
        <v>2</v>
      </c>
      <c r="K1991" s="1">
        <v>2</v>
      </c>
      <c r="M1991" s="4">
        <v>1302</v>
      </c>
      <c r="N1991" s="1">
        <v>1441</v>
      </c>
      <c r="O1991" s="1">
        <v>1521</v>
      </c>
      <c r="P1991" s="1">
        <v>80</v>
      </c>
      <c r="Q1991" s="1" t="s">
        <v>42</v>
      </c>
      <c r="S1991" s="1" t="s">
        <v>42</v>
      </c>
      <c r="T1991" s="1" t="s">
        <v>170</v>
      </c>
      <c r="U1991" s="1">
        <v>427</v>
      </c>
      <c r="V1991" s="5">
        <v>42993</v>
      </c>
      <c r="W1991" s="5">
        <v>41817</v>
      </c>
      <c r="X1991" s="1">
        <v>2110000</v>
      </c>
      <c r="Y1991" s="1">
        <v>2110000</v>
      </c>
      <c r="AA1991" s="1">
        <v>2155507.5</v>
      </c>
      <c r="AB1991" s="1" t="s">
        <v>1368</v>
      </c>
      <c r="AC1991" s="5">
        <v>42244</v>
      </c>
      <c r="AF1991" s="1">
        <v>10069</v>
      </c>
      <c r="AI1991" s="1" t="s">
        <v>45</v>
      </c>
      <c r="AJ1991" s="1">
        <v>2016</v>
      </c>
      <c r="AK1991" s="1" t="s">
        <v>73</v>
      </c>
      <c r="AL1991" s="1">
        <v>657</v>
      </c>
    </row>
    <row r="1992" spans="1:38" x14ac:dyDescent="0.2">
      <c r="A1992" s="2" t="str">
        <f>HYPERLINK("https://www.compass.com/listing/50-riverside-boulevard-unit-5e-manhattan-ny-10069/29396623897521953/","50 Riverside Blvd, Unit 5E")</f>
        <v>50 Riverside Blvd, Unit 5E</v>
      </c>
      <c r="B1992" s="2" t="str">
        <f t="shared" si="314"/>
        <v>One Riverside Park</v>
      </c>
      <c r="C1992" s="1" t="s">
        <v>50</v>
      </c>
      <c r="D1992" s="1" t="s">
        <v>41</v>
      </c>
      <c r="E1992" s="3">
        <v>2172000</v>
      </c>
      <c r="F1992" s="1">
        <v>1581.93736343772</v>
      </c>
      <c r="G1992" s="1">
        <v>4</v>
      </c>
      <c r="H1992" s="1">
        <v>2</v>
      </c>
      <c r="I1992" s="1">
        <v>2</v>
      </c>
      <c r="J1992" s="1">
        <v>2</v>
      </c>
      <c r="K1992" s="1">
        <v>2</v>
      </c>
      <c r="M1992" s="4">
        <v>1373</v>
      </c>
      <c r="N1992" s="1">
        <v>1520</v>
      </c>
      <c r="O1992" s="1">
        <v>1604</v>
      </c>
      <c r="P1992" s="1">
        <v>84</v>
      </c>
      <c r="Q1992" s="1" t="s">
        <v>42</v>
      </c>
      <c r="S1992" s="1" t="s">
        <v>42</v>
      </c>
      <c r="T1992" s="1" t="s">
        <v>170</v>
      </c>
      <c r="U1992" s="1">
        <v>54</v>
      </c>
      <c r="V1992" s="5">
        <v>42993</v>
      </c>
      <c r="W1992" s="5">
        <v>42902</v>
      </c>
      <c r="X1992" s="1">
        <v>2090000</v>
      </c>
      <c r="Y1992" s="1">
        <v>2090000</v>
      </c>
      <c r="AA1992" s="1">
        <v>2172000</v>
      </c>
      <c r="AB1992" s="1" t="s">
        <v>1435</v>
      </c>
      <c r="AC1992" s="5">
        <v>42956</v>
      </c>
      <c r="AF1992" s="1">
        <v>10069</v>
      </c>
      <c r="AI1992" s="1" t="s">
        <v>101</v>
      </c>
      <c r="AJ1992" s="1">
        <v>2016</v>
      </c>
      <c r="AK1992" s="1" t="s">
        <v>73</v>
      </c>
      <c r="AL1992" s="1">
        <v>657</v>
      </c>
    </row>
    <row r="1993" spans="1:38" x14ac:dyDescent="0.2">
      <c r="A1993" s="2" t="str">
        <f>HYPERLINK("https://www.compass.com/listing/50-riverside-boulevard-unit-14g-manhattan-ny-10069/29396634458717633/","50 Riverside Blvd, Unit 14G")</f>
        <v>50 Riverside Blvd, Unit 14G</v>
      </c>
      <c r="B1993" s="2" t="str">
        <f t="shared" si="314"/>
        <v>One Riverside Park</v>
      </c>
      <c r="C1993" s="1" t="s">
        <v>50</v>
      </c>
      <c r="D1993" s="1" t="s">
        <v>41</v>
      </c>
      <c r="E1993" s="3">
        <v>2417252</v>
      </c>
      <c r="F1993" s="1">
        <v>1671.68188105117</v>
      </c>
      <c r="G1993" s="1">
        <v>3</v>
      </c>
      <c r="H1993" s="1">
        <v>2</v>
      </c>
      <c r="I1993" s="1">
        <v>2</v>
      </c>
      <c r="J1993" s="1">
        <v>2</v>
      </c>
      <c r="M1993" s="4">
        <v>1446</v>
      </c>
      <c r="N1993" s="1">
        <v>1607</v>
      </c>
      <c r="O1993" s="1">
        <v>1696</v>
      </c>
      <c r="P1993" s="1">
        <v>89</v>
      </c>
      <c r="Q1993" s="1" t="s">
        <v>42</v>
      </c>
      <c r="S1993" s="1" t="s">
        <v>42</v>
      </c>
      <c r="T1993" s="1" t="s">
        <v>170</v>
      </c>
      <c r="V1993" s="5">
        <v>43664</v>
      </c>
      <c r="W1993" s="5">
        <v>41924</v>
      </c>
      <c r="X1993" s="1">
        <v>2370000</v>
      </c>
      <c r="Y1993" s="1">
        <v>2370000</v>
      </c>
      <c r="Z1993" s="5">
        <v>41924</v>
      </c>
      <c r="AA1993" s="1">
        <v>2417252</v>
      </c>
      <c r="AB1993" s="1" t="s">
        <v>1599</v>
      </c>
      <c r="AC1993" s="5">
        <v>42325</v>
      </c>
      <c r="AF1993" s="1">
        <v>10069</v>
      </c>
      <c r="AI1993" s="1" t="s">
        <v>45</v>
      </c>
      <c r="AJ1993" s="1">
        <v>2016</v>
      </c>
      <c r="AK1993" s="1" t="s">
        <v>73</v>
      </c>
      <c r="AL1993" s="1">
        <v>657</v>
      </c>
    </row>
    <row r="1994" spans="1:38" x14ac:dyDescent="0.2">
      <c r="A1994" s="2" t="str">
        <f>HYPERLINK("https://www.compass.com/listing/50-riverside-boulevard-unit-5h-manhattan-ny-10069/29396636488822801/","50 Riverside Blvd, Unit 5H")</f>
        <v>50 Riverside Blvd, Unit 5H</v>
      </c>
      <c r="B1994" s="2" t="str">
        <f t="shared" si="314"/>
        <v>One Riverside Park</v>
      </c>
      <c r="C1994" s="1" t="s">
        <v>50</v>
      </c>
      <c r="D1994" s="1" t="s">
        <v>41</v>
      </c>
      <c r="E1994" s="3">
        <v>2132142</v>
      </c>
      <c r="F1994" s="1">
        <v>1376.4635248547399</v>
      </c>
      <c r="G1994" s="1">
        <v>4</v>
      </c>
      <c r="H1994" s="1">
        <v>2</v>
      </c>
      <c r="I1994" s="1">
        <v>2</v>
      </c>
      <c r="J1994" s="1">
        <v>2</v>
      </c>
      <c r="M1994" s="4">
        <v>1549</v>
      </c>
      <c r="N1994" s="1">
        <v>1715</v>
      </c>
      <c r="O1994" s="1">
        <v>1810</v>
      </c>
      <c r="P1994" s="1">
        <v>95</v>
      </c>
      <c r="Q1994" s="1" t="s">
        <v>42</v>
      </c>
      <c r="S1994" s="1" t="s">
        <v>42</v>
      </c>
      <c r="T1994" s="1" t="s">
        <v>170</v>
      </c>
      <c r="V1994" s="5">
        <v>43668</v>
      </c>
      <c r="W1994" s="5">
        <v>41924</v>
      </c>
      <c r="X1994" s="1">
        <v>2090000</v>
      </c>
      <c r="Y1994" s="1">
        <v>2090000</v>
      </c>
      <c r="Z1994" s="5">
        <v>41924</v>
      </c>
      <c r="AA1994" s="1">
        <v>2132142</v>
      </c>
      <c r="AB1994" s="1" t="s">
        <v>1600</v>
      </c>
      <c r="AC1994" s="5">
        <v>42298</v>
      </c>
      <c r="AF1994" s="1">
        <v>10069</v>
      </c>
      <c r="AI1994" s="1" t="s">
        <v>45</v>
      </c>
      <c r="AJ1994" s="1">
        <v>2016</v>
      </c>
      <c r="AK1994" s="1" t="s">
        <v>73</v>
      </c>
      <c r="AL1994" s="1">
        <v>657</v>
      </c>
    </row>
    <row r="1995" spans="1:38" x14ac:dyDescent="0.2">
      <c r="A1995" s="2" t="str">
        <f>HYPERLINK("https://www.compass.com/listing/50-riverside-boulevard-unit-5j-manhattan-ny-10069/29396643107413665/","50 Riverside Blvd, Unit 5J")</f>
        <v>50 Riverside Blvd, Unit 5J</v>
      </c>
      <c r="B1995" s="2" t="str">
        <f t="shared" si="314"/>
        <v>One Riverside Park</v>
      </c>
      <c r="C1995" s="1" t="s">
        <v>50</v>
      </c>
      <c r="D1995" s="1" t="s">
        <v>41</v>
      </c>
      <c r="E1995" s="3">
        <v>1847032</v>
      </c>
      <c r="F1995" s="1">
        <v>1309.95177304964</v>
      </c>
      <c r="G1995" s="1">
        <v>4</v>
      </c>
      <c r="H1995" s="1">
        <v>2</v>
      </c>
      <c r="I1995" s="1">
        <v>2</v>
      </c>
      <c r="J1995" s="1">
        <v>2</v>
      </c>
      <c r="M1995" s="4">
        <v>1410</v>
      </c>
      <c r="N1995" s="1">
        <v>1561</v>
      </c>
      <c r="O1995" s="1">
        <v>1647</v>
      </c>
      <c r="P1995" s="1">
        <v>86</v>
      </c>
      <c r="Q1995" s="1" t="s">
        <v>42</v>
      </c>
      <c r="S1995" s="1" t="s">
        <v>42</v>
      </c>
      <c r="T1995" s="1" t="s">
        <v>170</v>
      </c>
      <c r="V1995" s="5">
        <v>43668</v>
      </c>
      <c r="W1995" s="5">
        <v>41923</v>
      </c>
      <c r="X1995" s="1">
        <v>1810000</v>
      </c>
      <c r="Y1995" s="1">
        <v>1810000</v>
      </c>
      <c r="Z1995" s="5">
        <v>41923</v>
      </c>
      <c r="AA1995" s="1">
        <v>1847032</v>
      </c>
      <c r="AB1995" s="1" t="s">
        <v>1601</v>
      </c>
      <c r="AC1995" s="5">
        <v>42264</v>
      </c>
      <c r="AF1995" s="1">
        <v>10069</v>
      </c>
      <c r="AI1995" s="1" t="s">
        <v>45</v>
      </c>
      <c r="AJ1995" s="1">
        <v>2016</v>
      </c>
      <c r="AK1995" s="1" t="s">
        <v>73</v>
      </c>
      <c r="AL1995" s="1">
        <v>657</v>
      </c>
    </row>
    <row r="1996" spans="1:38" x14ac:dyDescent="0.2">
      <c r="A1996" s="2" t="str">
        <f>HYPERLINK("https://www.compass.com/listing/50-riverside-boulevard-unit-16j-manhattan-ny-10069/29396647041691905/","50 Riverside Blvd, Unit 16J")</f>
        <v>50 Riverside Blvd, Unit 16J</v>
      </c>
      <c r="B1996" s="2" t="str">
        <f t="shared" si="314"/>
        <v>One Riverside Park</v>
      </c>
      <c r="C1996" s="1" t="s">
        <v>50</v>
      </c>
      <c r="D1996" s="1" t="s">
        <v>41</v>
      </c>
      <c r="E1996" s="3">
        <v>2254332</v>
      </c>
      <c r="F1996" s="1">
        <v>1598.8170212765899</v>
      </c>
      <c r="G1996" s="1">
        <v>3</v>
      </c>
      <c r="H1996" s="1">
        <v>2</v>
      </c>
      <c r="I1996" s="1">
        <v>2</v>
      </c>
      <c r="J1996" s="1">
        <v>2</v>
      </c>
      <c r="M1996" s="4">
        <v>1410</v>
      </c>
      <c r="N1996" s="1">
        <v>1569</v>
      </c>
      <c r="O1996" s="1">
        <v>1656</v>
      </c>
      <c r="P1996" s="1">
        <v>87</v>
      </c>
      <c r="Q1996" s="1" t="s">
        <v>42</v>
      </c>
      <c r="S1996" s="1" t="s">
        <v>42</v>
      </c>
      <c r="T1996" s="1" t="s">
        <v>170</v>
      </c>
      <c r="V1996" s="5">
        <v>43668</v>
      </c>
      <c r="W1996" s="5">
        <v>41924</v>
      </c>
      <c r="X1996" s="1">
        <v>2210000</v>
      </c>
      <c r="Y1996" s="1">
        <v>2210000</v>
      </c>
      <c r="Z1996" s="5">
        <v>41924</v>
      </c>
      <c r="AA1996" s="1">
        <v>2254332</v>
      </c>
      <c r="AB1996" s="1" t="s">
        <v>1602</v>
      </c>
      <c r="AC1996" s="5">
        <v>42349</v>
      </c>
      <c r="AF1996" s="1">
        <v>10069</v>
      </c>
      <c r="AI1996" s="1" t="s">
        <v>45</v>
      </c>
      <c r="AJ1996" s="1">
        <v>2016</v>
      </c>
      <c r="AK1996" s="1" t="s">
        <v>73</v>
      </c>
      <c r="AL1996" s="1">
        <v>657</v>
      </c>
    </row>
    <row r="1997" spans="1:38" x14ac:dyDescent="0.2">
      <c r="A1997" s="2" t="str">
        <f>HYPERLINK("https://www.compass.com/listing/50-riverside-boulevard-unit-15n-manhattan-ny-10069/29396667031745201/","50 Riverside Blvd, Unit 15N")</f>
        <v>50 Riverside Blvd, Unit 15N</v>
      </c>
      <c r="B1997" s="2" t="str">
        <f t="shared" si="314"/>
        <v>One Riverside Park</v>
      </c>
      <c r="C1997" s="1" t="s">
        <v>50</v>
      </c>
      <c r="D1997" s="1" t="s">
        <v>41</v>
      </c>
      <c r="E1997" s="3">
        <v>2468165</v>
      </c>
      <c r="F1997" s="1">
        <v>1749.2310418143099</v>
      </c>
      <c r="G1997" s="1">
        <v>3</v>
      </c>
      <c r="H1997" s="1">
        <v>2</v>
      </c>
      <c r="I1997" s="1">
        <v>2</v>
      </c>
      <c r="J1997" s="1">
        <v>2</v>
      </c>
      <c r="K1997" s="1">
        <v>2</v>
      </c>
      <c r="M1997" s="4">
        <v>1411</v>
      </c>
      <c r="N1997" s="1">
        <v>1569</v>
      </c>
      <c r="O1997" s="1">
        <v>1656</v>
      </c>
      <c r="P1997" s="1">
        <v>87</v>
      </c>
      <c r="Q1997" s="1" t="s">
        <v>42</v>
      </c>
      <c r="S1997" s="1" t="s">
        <v>42</v>
      </c>
      <c r="T1997" s="1" t="s">
        <v>170</v>
      </c>
      <c r="V1997" s="5">
        <v>43650</v>
      </c>
      <c r="W1997" s="5">
        <v>41923</v>
      </c>
      <c r="X1997" s="1">
        <v>2420000</v>
      </c>
      <c r="Y1997" s="1">
        <v>2420000</v>
      </c>
      <c r="Z1997" s="5">
        <v>41923</v>
      </c>
      <c r="AA1997" s="1">
        <v>2468165</v>
      </c>
      <c r="AB1997" s="1" t="s">
        <v>1603</v>
      </c>
      <c r="AC1997" s="5">
        <v>42367</v>
      </c>
      <c r="AF1997" s="1">
        <v>10069</v>
      </c>
      <c r="AI1997" s="1" t="s">
        <v>45</v>
      </c>
      <c r="AJ1997" s="1">
        <v>2016</v>
      </c>
      <c r="AK1997" s="1" t="s">
        <v>73</v>
      </c>
      <c r="AL1997" s="1">
        <v>657</v>
      </c>
    </row>
    <row r="1998" spans="1:38" x14ac:dyDescent="0.2">
      <c r="A1998" s="2" t="str">
        <f>HYPERLINK("https://www.compass.com/listing/50-riverside-boulevard-unit-3j-manhattan-ny-10069/29513637781667297/","50 Riverside Blvd, Unit 3J")</f>
        <v>50 Riverside Blvd, Unit 3J</v>
      </c>
      <c r="B1998" s="2" t="str">
        <f t="shared" si="314"/>
        <v>One Riverside Park</v>
      </c>
      <c r="C1998" s="1" t="s">
        <v>50</v>
      </c>
      <c r="D1998" s="1" t="s">
        <v>41</v>
      </c>
      <c r="E1998" s="3">
        <v>1830000</v>
      </c>
      <c r="F1998" s="1">
        <v>1297.87234042553</v>
      </c>
      <c r="G1998" s="1">
        <v>3</v>
      </c>
      <c r="H1998" s="1">
        <v>2</v>
      </c>
      <c r="I1998" s="1">
        <v>2</v>
      </c>
      <c r="J1998" s="1">
        <v>2</v>
      </c>
      <c r="M1998" s="4">
        <v>1410</v>
      </c>
      <c r="N1998" s="1">
        <v>1637</v>
      </c>
      <c r="O1998" s="1">
        <v>1728</v>
      </c>
      <c r="P1998" s="1">
        <v>91</v>
      </c>
      <c r="Q1998" s="1" t="s">
        <v>42</v>
      </c>
      <c r="S1998" s="1" t="s">
        <v>42</v>
      </c>
      <c r="T1998" s="1" t="s">
        <v>170</v>
      </c>
      <c r="V1998" s="5">
        <v>42998</v>
      </c>
      <c r="W1998" s="5">
        <v>42902</v>
      </c>
      <c r="X1998" s="1">
        <v>1830000</v>
      </c>
      <c r="Y1998" s="1">
        <v>1830000</v>
      </c>
      <c r="Z1998" s="5">
        <v>41809</v>
      </c>
      <c r="AB1998" s="1" t="s">
        <v>181</v>
      </c>
      <c r="AC1998" s="5">
        <v>42902</v>
      </c>
      <c r="AF1998" s="1">
        <v>10069</v>
      </c>
      <c r="AI1998" s="1" t="s">
        <v>1386</v>
      </c>
      <c r="AJ1998" s="1">
        <v>2016</v>
      </c>
      <c r="AK1998" s="1" t="s">
        <v>73</v>
      </c>
      <c r="AL1998" s="1">
        <v>657</v>
      </c>
    </row>
    <row r="1999" spans="1:38" x14ac:dyDescent="0.2">
      <c r="A1999" s="2" t="str">
        <f>HYPERLINK("https://www.compass.com/listing/50-riverside-boulevard-unit-3b-manhattan-ny-10069/79414108327254481/","50 Riverside Blvd, Unit 3B")</f>
        <v>50 Riverside Blvd, Unit 3B</v>
      </c>
      <c r="B1999" s="2" t="str">
        <f t="shared" si="314"/>
        <v>One Riverside Park</v>
      </c>
      <c r="C1999" s="1" t="s">
        <v>50</v>
      </c>
      <c r="D1999" s="1" t="s">
        <v>41</v>
      </c>
      <c r="E1999" s="3">
        <v>2447800</v>
      </c>
      <c r="F1999" s="1">
        <v>1635.1369405477601</v>
      </c>
      <c r="G1999" s="1">
        <v>3</v>
      </c>
      <c r="H1999" s="1">
        <v>2</v>
      </c>
      <c r="I1999" s="1">
        <v>2</v>
      </c>
      <c r="J1999" s="1">
        <v>2</v>
      </c>
      <c r="K1999" s="1">
        <v>2</v>
      </c>
      <c r="M1999" s="4">
        <v>1497</v>
      </c>
      <c r="N1999" s="1">
        <v>1656</v>
      </c>
      <c r="O1999" s="1">
        <v>1748</v>
      </c>
      <c r="P1999" s="1">
        <v>92</v>
      </c>
      <c r="Q1999" s="1" t="s">
        <v>42</v>
      </c>
      <c r="S1999" s="1" t="s">
        <v>42</v>
      </c>
      <c r="T1999" s="1" t="s">
        <v>170</v>
      </c>
      <c r="V1999" s="5">
        <v>42272</v>
      </c>
      <c r="AA1999" s="1">
        <v>2447800</v>
      </c>
      <c r="AB1999" s="1" t="s">
        <v>1381</v>
      </c>
      <c r="AC1999" s="5">
        <v>42214</v>
      </c>
      <c r="AF1999" s="1">
        <v>10069</v>
      </c>
      <c r="AI1999" s="1" t="s">
        <v>45</v>
      </c>
      <c r="AJ1999" s="1">
        <v>2016</v>
      </c>
      <c r="AK1999" s="1" t="s">
        <v>73</v>
      </c>
      <c r="AL1999" s="1">
        <v>657</v>
      </c>
    </row>
    <row r="2000" spans="1:38" x14ac:dyDescent="0.2">
      <c r="A2000" s="2" t="str">
        <f>HYPERLINK("https://www.compass.com/listing/50-riverside-boulevard-unit-24a-manhattan-ny-10069/29396590343068337/","50 Riverside Blvd, Unit 24A")</f>
        <v>50 Riverside Blvd, Unit 24A</v>
      </c>
      <c r="B2000" s="2" t="str">
        <f t="shared" si="314"/>
        <v>One Riverside Park</v>
      </c>
      <c r="C2000" s="1" t="s">
        <v>50</v>
      </c>
      <c r="D2000" s="1" t="s">
        <v>41</v>
      </c>
      <c r="E2000" s="3">
        <v>1800000</v>
      </c>
      <c r="F2000" s="1">
        <v>564.26332288401204</v>
      </c>
      <c r="H2000" s="1">
        <v>4</v>
      </c>
      <c r="J2000" s="1">
        <v>4</v>
      </c>
      <c r="K2000" s="1">
        <v>4</v>
      </c>
      <c r="M2000" s="4">
        <v>3190</v>
      </c>
      <c r="N2000" s="1">
        <v>3561</v>
      </c>
      <c r="O2000" s="1">
        <v>3758</v>
      </c>
      <c r="P2000" s="1">
        <v>197</v>
      </c>
      <c r="Q2000" s="1" t="s">
        <v>42</v>
      </c>
      <c r="S2000" s="1" t="s">
        <v>42</v>
      </c>
      <c r="T2000" s="1" t="s">
        <v>170</v>
      </c>
      <c r="AA2000" s="1">
        <v>1800000</v>
      </c>
      <c r="AB2000" s="1" t="s">
        <v>1604</v>
      </c>
      <c r="AC2000" s="5">
        <v>43159</v>
      </c>
      <c r="AF2000" s="1">
        <v>10069</v>
      </c>
      <c r="AI2000" s="1" t="s">
        <v>45</v>
      </c>
      <c r="AJ2000" s="1">
        <v>2016</v>
      </c>
      <c r="AK2000" s="1" t="s">
        <v>46</v>
      </c>
      <c r="AL2000" s="1">
        <v>657</v>
      </c>
    </row>
    <row r="2001" spans="1:38" x14ac:dyDescent="0.2">
      <c r="A2001" s="2" t="str">
        <f>HYPERLINK("https://www.compass.com/listing/375-west-123rd-street-unit-7a-manhattan-ny-10027/728996517337040913/","375 W 123rd St, Unit 7A")</f>
        <v>375 W 123rd St, Unit 7A</v>
      </c>
      <c r="B2001" s="2" t="str">
        <f>HYPERLINK("https://www.compass.com/building/99-morningside-manhattan-ny/281983676789660549/","99 Morningside")</f>
        <v>99 Morningside</v>
      </c>
      <c r="C2001" s="1" t="s">
        <v>106</v>
      </c>
      <c r="D2001" s="1" t="s">
        <v>41</v>
      </c>
      <c r="E2001" s="3">
        <v>1642723</v>
      </c>
      <c r="F2001" s="1">
        <v>1114.4659023066399</v>
      </c>
      <c r="G2001" s="1">
        <v>5</v>
      </c>
      <c r="H2001" s="1">
        <v>3</v>
      </c>
      <c r="I2001" s="1">
        <v>2</v>
      </c>
      <c r="J2001" s="1">
        <v>2</v>
      </c>
      <c r="K2001" s="1">
        <v>2</v>
      </c>
      <c r="M2001" s="4">
        <v>1474</v>
      </c>
      <c r="N2001" s="1">
        <v>1376</v>
      </c>
      <c r="O2001" s="1">
        <v>2526</v>
      </c>
      <c r="P2001" s="1">
        <v>1150</v>
      </c>
      <c r="S2001" s="1" t="s">
        <v>42</v>
      </c>
      <c r="T2001" s="1" t="s">
        <v>170</v>
      </c>
      <c r="V2001" s="5">
        <v>44373</v>
      </c>
      <c r="W2001" s="5">
        <v>44256</v>
      </c>
      <c r="X2001" s="1">
        <v>1735000</v>
      </c>
      <c r="Y2001" s="1">
        <v>1735000</v>
      </c>
      <c r="Z2001" s="5">
        <v>44259</v>
      </c>
      <c r="AA2001" s="1">
        <v>1642722.74</v>
      </c>
      <c r="AB2001" s="1" t="s">
        <v>173</v>
      </c>
      <c r="AC2001" s="5">
        <v>44368</v>
      </c>
      <c r="AF2001" s="1">
        <v>10027</v>
      </c>
      <c r="AI2001" s="1" t="s">
        <v>1605</v>
      </c>
      <c r="AJ2001" s="1">
        <v>2016</v>
      </c>
      <c r="AK2001" s="1" t="s">
        <v>1606</v>
      </c>
      <c r="AL2001" s="1">
        <v>22</v>
      </c>
    </row>
    <row r="2002" spans="1:38" x14ac:dyDescent="0.2">
      <c r="A2002" s="2" t="str">
        <f>HYPERLINK("https://www.compass.com/listing/321-west-110th-street-unit-17c-manhattan-ny-10026/568843503109828609/","321 W 110th St, Unit 17C")</f>
        <v>321 W 110th St, Unit 17C</v>
      </c>
      <c r="B2002" s="2" t="str">
        <f>HYPERLINK("https://www.compass.com/building/one-morningside-park-manhattan-ny/294836904016796069/","One Morningside Park")</f>
        <v>One Morningside Park</v>
      </c>
      <c r="C2002" s="1" t="s">
        <v>106</v>
      </c>
      <c r="D2002" s="1" t="s">
        <v>41</v>
      </c>
      <c r="E2002" s="3">
        <v>2100000</v>
      </c>
      <c r="F2002" s="1">
        <v>1660.0790513833899</v>
      </c>
      <c r="G2002" s="1">
        <v>5</v>
      </c>
      <c r="H2002" s="1">
        <v>3</v>
      </c>
      <c r="I2002" s="1">
        <v>2</v>
      </c>
      <c r="J2002" s="1">
        <v>2</v>
      </c>
      <c r="K2002" s="1">
        <v>2</v>
      </c>
      <c r="M2002" s="4">
        <v>1265</v>
      </c>
      <c r="N2002" s="1">
        <v>1678</v>
      </c>
      <c r="O2002" s="1">
        <v>1745</v>
      </c>
      <c r="P2002" s="1">
        <v>67</v>
      </c>
      <c r="Q2002" s="1" t="s">
        <v>42</v>
      </c>
      <c r="S2002" s="1" t="s">
        <v>42</v>
      </c>
      <c r="T2002" s="1" t="s">
        <v>170</v>
      </c>
      <c r="U2002" s="1">
        <v>30</v>
      </c>
      <c r="V2002" s="5">
        <v>44160</v>
      </c>
      <c r="W2002" s="5">
        <v>44036</v>
      </c>
      <c r="X2002" s="1">
        <v>2195000</v>
      </c>
      <c r="Y2002" s="1">
        <v>2195000</v>
      </c>
      <c r="Z2002" s="5">
        <v>44066</v>
      </c>
      <c r="AA2002" s="1">
        <v>2100000</v>
      </c>
      <c r="AB2002" s="1" t="s">
        <v>1607</v>
      </c>
      <c r="AC2002" s="5">
        <v>44147</v>
      </c>
      <c r="AF2002" s="1">
        <v>10026</v>
      </c>
      <c r="AI2002" s="1" t="s">
        <v>1608</v>
      </c>
      <c r="AJ2002" s="1">
        <v>2012</v>
      </c>
      <c r="AK2002" s="1" t="s">
        <v>77</v>
      </c>
      <c r="AL2002" s="1">
        <v>88</v>
      </c>
    </row>
    <row r="2003" spans="1:38" x14ac:dyDescent="0.2">
      <c r="A2003" s="2" t="str">
        <f>HYPERLINK("https://www.compass.com/listing/50-riverside-boulevard-unit-5a-manhattan-ny-10069/803394581911754649/","50 Riverside Blvd, Unit 5A")</f>
        <v>50 Riverside Blvd, Unit 5A</v>
      </c>
      <c r="B2003" s="2" t="str">
        <f>HYPERLINK("https://www.compass.com/building/one-riverside-park-manhattan-ny/282041440266113253/","One Riverside Park")</f>
        <v>One Riverside Park</v>
      </c>
      <c r="C2003" s="1" t="s">
        <v>50</v>
      </c>
      <c r="D2003" s="1" t="s">
        <v>41</v>
      </c>
      <c r="E2003" s="3">
        <v>3590000</v>
      </c>
      <c r="F2003" s="1">
        <v>1814.0474987367299</v>
      </c>
      <c r="G2003" s="1">
        <v>4</v>
      </c>
      <c r="H2003" s="1">
        <v>3</v>
      </c>
      <c r="I2003" s="1">
        <v>4</v>
      </c>
      <c r="J2003" s="1">
        <v>3.5</v>
      </c>
      <c r="M2003" s="4">
        <v>1979</v>
      </c>
      <c r="N2003" s="1">
        <v>2191</v>
      </c>
      <c r="O2003" s="1">
        <v>2312</v>
      </c>
      <c r="P2003" s="1">
        <v>121</v>
      </c>
      <c r="Q2003" s="1" t="s">
        <v>42</v>
      </c>
      <c r="S2003" s="1" t="s">
        <v>42</v>
      </c>
      <c r="T2003" s="1" t="s">
        <v>170</v>
      </c>
      <c r="V2003" s="5">
        <v>42998</v>
      </c>
      <c r="W2003" s="5">
        <v>42902</v>
      </c>
      <c r="X2003" s="1">
        <v>3590000</v>
      </c>
      <c r="Y2003" s="1">
        <v>3590000</v>
      </c>
      <c r="Z2003" s="5">
        <v>41628</v>
      </c>
      <c r="AB2003" s="1" t="s">
        <v>181</v>
      </c>
      <c r="AC2003" s="5">
        <v>42902</v>
      </c>
      <c r="AF2003" s="1">
        <v>10069</v>
      </c>
      <c r="AI2003" s="1" t="s">
        <v>45</v>
      </c>
      <c r="AJ2003" s="1">
        <v>2016</v>
      </c>
      <c r="AK2003" s="1" t="s">
        <v>73</v>
      </c>
      <c r="AL2003" s="1">
        <v>657</v>
      </c>
    </row>
    <row r="2004" spans="1:38" x14ac:dyDescent="0.2">
      <c r="A2004" s="2" t="str">
        <f>HYPERLINK("https://www.compass.com/listing/321-west-110th-street-unit-6c-manhattan-ny-10026/192569538611586577/","321 W 110th St, Unit 6C")</f>
        <v>321 W 110th St, Unit 6C</v>
      </c>
      <c r="B2004" s="2" t="str">
        <f>HYPERLINK("https://www.compass.com/building/one-morningside-park-manhattan-ny/294836904016796069/","One Morningside Park")</f>
        <v>One Morningside Park</v>
      </c>
      <c r="C2004" s="1" t="s">
        <v>106</v>
      </c>
      <c r="D2004" s="1" t="s">
        <v>41</v>
      </c>
      <c r="E2004" s="3">
        <v>750000</v>
      </c>
      <c r="F2004" s="1">
        <v>1286.4493996569399</v>
      </c>
      <c r="G2004" s="1">
        <v>3</v>
      </c>
      <c r="H2004" s="1">
        <v>1</v>
      </c>
      <c r="I2004" s="1">
        <v>1</v>
      </c>
      <c r="J2004" s="1">
        <v>1</v>
      </c>
      <c r="K2004" s="1">
        <v>1</v>
      </c>
      <c r="M2004" s="1">
        <v>583</v>
      </c>
      <c r="N2004" s="1">
        <v>576.13</v>
      </c>
      <c r="O2004" s="1">
        <v>592.41999999999996</v>
      </c>
      <c r="P2004" s="1">
        <v>16.25</v>
      </c>
      <c r="Q2004" s="1" t="s">
        <v>42</v>
      </c>
      <c r="S2004" s="1" t="s">
        <v>42</v>
      </c>
      <c r="T2004" s="1" t="s">
        <v>170</v>
      </c>
      <c r="U2004" s="1">
        <v>39</v>
      </c>
      <c r="V2004" s="5">
        <v>43654</v>
      </c>
      <c r="W2004" s="5">
        <v>41944</v>
      </c>
      <c r="X2004" s="1">
        <v>750000</v>
      </c>
      <c r="Y2004" s="1">
        <v>750000</v>
      </c>
      <c r="Z2004" s="5">
        <v>41983</v>
      </c>
      <c r="AA2004" s="1">
        <v>750000</v>
      </c>
      <c r="AB2004" s="1" t="s">
        <v>1533</v>
      </c>
      <c r="AC2004" s="5">
        <v>42034</v>
      </c>
      <c r="AF2004" s="1">
        <v>10026</v>
      </c>
      <c r="AI2004" s="1" t="s">
        <v>1491</v>
      </c>
      <c r="AJ2004" s="1">
        <v>2012</v>
      </c>
      <c r="AK2004" s="1" t="s">
        <v>77</v>
      </c>
      <c r="AL2004" s="1">
        <v>88</v>
      </c>
    </row>
    <row r="2005" spans="1:38" x14ac:dyDescent="0.2">
      <c r="A2005" s="2" t="str">
        <f>HYPERLINK("https://www.compass.com/listing/50-riverside-boulevard-unit-5c-manhattan-ny-10069/79414127159679873/","50 Riverside Blvd, Unit 5C")</f>
        <v>50 Riverside Blvd, Unit 5C</v>
      </c>
      <c r="B2005" s="2" t="str">
        <f t="shared" ref="B2005:B2056" si="315">HYPERLINK("https://www.compass.com/building/one-riverside-park-manhattan-ny/282041440266113253/","One Riverside Park")</f>
        <v>One Riverside Park</v>
      </c>
      <c r="C2005" s="1" t="s">
        <v>50</v>
      </c>
      <c r="D2005" s="1" t="s">
        <v>41</v>
      </c>
      <c r="E2005" s="3">
        <v>3107276</v>
      </c>
      <c r="F2005" s="1">
        <v>1813.93812025685</v>
      </c>
      <c r="H2005" s="1">
        <v>3</v>
      </c>
      <c r="J2005" s="1">
        <v>3</v>
      </c>
      <c r="M2005" s="4">
        <v>1713</v>
      </c>
      <c r="N2005" s="1">
        <v>1896</v>
      </c>
      <c r="O2005" s="1">
        <v>2001</v>
      </c>
      <c r="P2005" s="1">
        <v>105</v>
      </c>
      <c r="Q2005" s="1" t="s">
        <v>42</v>
      </c>
      <c r="S2005" s="1" t="s">
        <v>42</v>
      </c>
      <c r="T2005" s="1" t="s">
        <v>170</v>
      </c>
      <c r="AA2005" s="1">
        <v>3107276</v>
      </c>
      <c r="AB2005" s="1" t="s">
        <v>1609</v>
      </c>
      <c r="AC2005" s="5">
        <v>42286</v>
      </c>
      <c r="AF2005" s="1">
        <v>10069</v>
      </c>
      <c r="AI2005" s="1" t="s">
        <v>45</v>
      </c>
      <c r="AJ2005" s="1">
        <v>2016</v>
      </c>
      <c r="AK2005" s="1" t="s">
        <v>46</v>
      </c>
      <c r="AL2005" s="1">
        <v>657</v>
      </c>
    </row>
    <row r="2006" spans="1:38" x14ac:dyDescent="0.2">
      <c r="A2006" s="2" t="str">
        <f>HYPERLINK("https://www.compass.com/listing/50-riverside-boulevard-unit-6c-manhattan-ny-10069/79414127847562961/","50 Riverside Blvd, Unit 6C")</f>
        <v>50 Riverside Blvd, Unit 6C</v>
      </c>
      <c r="B2006" s="2" t="str">
        <f t="shared" si="315"/>
        <v>One Riverside Park</v>
      </c>
      <c r="C2006" s="1" t="s">
        <v>50</v>
      </c>
      <c r="D2006" s="1" t="s">
        <v>41</v>
      </c>
      <c r="E2006" s="3">
        <v>3258400</v>
      </c>
      <c r="F2006" s="1">
        <v>1902.1599532983</v>
      </c>
      <c r="H2006" s="1">
        <v>3</v>
      </c>
      <c r="J2006" s="1">
        <v>3</v>
      </c>
      <c r="M2006" s="4">
        <v>1713</v>
      </c>
      <c r="N2006" s="1">
        <v>1897</v>
      </c>
      <c r="O2006" s="1">
        <v>2002</v>
      </c>
      <c r="P2006" s="1">
        <v>105</v>
      </c>
      <c r="Q2006" s="1" t="s">
        <v>42</v>
      </c>
      <c r="S2006" s="1" t="s">
        <v>42</v>
      </c>
      <c r="T2006" s="1" t="s">
        <v>170</v>
      </c>
      <c r="AA2006" s="1">
        <v>3258400</v>
      </c>
      <c r="AB2006" s="1" t="s">
        <v>1610</v>
      </c>
      <c r="AC2006" s="5">
        <v>42255</v>
      </c>
      <c r="AF2006" s="1">
        <v>10069</v>
      </c>
      <c r="AI2006" s="1" t="s">
        <v>45</v>
      </c>
      <c r="AJ2006" s="1">
        <v>2016</v>
      </c>
      <c r="AK2006" s="1" t="s">
        <v>46</v>
      </c>
      <c r="AL2006" s="1">
        <v>657</v>
      </c>
    </row>
    <row r="2007" spans="1:38" x14ac:dyDescent="0.2">
      <c r="A2007" s="2" t="str">
        <f>HYPERLINK("https://www.compass.com/listing/50-riverside-boulevard-unit-7c-manhattan-ny-10069/79414128560615521/","50 Riverside Blvd, Unit 7C")</f>
        <v>50 Riverside Blvd, Unit 7C</v>
      </c>
      <c r="B2007" s="2" t="str">
        <f t="shared" si="315"/>
        <v>One Riverside Park</v>
      </c>
      <c r="C2007" s="1" t="s">
        <v>50</v>
      </c>
      <c r="D2007" s="1" t="s">
        <v>41</v>
      </c>
      <c r="E2007" s="3">
        <v>3262400</v>
      </c>
      <c r="F2007" s="1">
        <v>1904.49503794512</v>
      </c>
      <c r="H2007" s="1">
        <v>3</v>
      </c>
      <c r="J2007" s="1">
        <v>3</v>
      </c>
      <c r="M2007" s="4">
        <v>1713</v>
      </c>
      <c r="N2007" s="1">
        <v>1898</v>
      </c>
      <c r="O2007" s="1">
        <v>2003</v>
      </c>
      <c r="P2007" s="1">
        <v>105</v>
      </c>
      <c r="Q2007" s="1" t="s">
        <v>42</v>
      </c>
      <c r="S2007" s="1" t="s">
        <v>42</v>
      </c>
      <c r="T2007" s="1" t="s">
        <v>170</v>
      </c>
      <c r="AA2007" s="1">
        <v>3262400</v>
      </c>
      <c r="AB2007" s="1" t="s">
        <v>1611</v>
      </c>
      <c r="AC2007" s="5">
        <v>42277</v>
      </c>
      <c r="AF2007" s="1">
        <v>10069</v>
      </c>
      <c r="AI2007" s="1" t="s">
        <v>45</v>
      </c>
      <c r="AJ2007" s="1">
        <v>2016</v>
      </c>
      <c r="AK2007" s="1" t="s">
        <v>46</v>
      </c>
      <c r="AL2007" s="1">
        <v>657</v>
      </c>
    </row>
    <row r="2008" spans="1:38" x14ac:dyDescent="0.2">
      <c r="A2008" s="2" t="str">
        <f>HYPERLINK("https://www.compass.com/listing/50-riverside-boulevard-unit-14b-manhattan-ny-10069/167835099247736209/","50 Riverside Blvd, Unit 14B")</f>
        <v>50 Riverside Blvd, Unit 14B</v>
      </c>
      <c r="B2008" s="2" t="str">
        <f t="shared" si="315"/>
        <v>One Riverside Park</v>
      </c>
      <c r="C2008" s="1" t="s">
        <v>50</v>
      </c>
      <c r="D2008" s="1" t="s">
        <v>41</v>
      </c>
      <c r="E2008" s="3">
        <v>2700000</v>
      </c>
      <c r="F2008" s="1">
        <v>1998.51961509992</v>
      </c>
      <c r="G2008" s="1">
        <v>3</v>
      </c>
      <c r="H2008" s="1">
        <v>2</v>
      </c>
      <c r="I2008" s="1">
        <v>2</v>
      </c>
      <c r="J2008" s="1">
        <v>2</v>
      </c>
      <c r="M2008" s="4">
        <v>1351</v>
      </c>
      <c r="N2008" s="1">
        <v>1501</v>
      </c>
      <c r="O2008" s="1">
        <v>1584</v>
      </c>
      <c r="P2008" s="1">
        <v>83</v>
      </c>
      <c r="Q2008" s="1" t="s">
        <v>42</v>
      </c>
      <c r="S2008" s="1" t="s">
        <v>42</v>
      </c>
      <c r="T2008" s="1" t="s">
        <v>170</v>
      </c>
      <c r="V2008" s="5">
        <v>42998</v>
      </c>
      <c r="W2008" s="5">
        <v>42902</v>
      </c>
      <c r="X2008" s="1">
        <v>2700000</v>
      </c>
      <c r="Y2008" s="1">
        <v>2700000</v>
      </c>
      <c r="Z2008" s="5">
        <v>41809</v>
      </c>
      <c r="AB2008" s="1" t="s">
        <v>181</v>
      </c>
      <c r="AC2008" s="5">
        <v>42902</v>
      </c>
      <c r="AF2008" s="1">
        <v>10069</v>
      </c>
      <c r="AI2008" s="1" t="s">
        <v>45</v>
      </c>
      <c r="AJ2008" s="1">
        <v>2016</v>
      </c>
      <c r="AK2008" s="1" t="s">
        <v>73</v>
      </c>
      <c r="AL2008" s="1">
        <v>657</v>
      </c>
    </row>
    <row r="2009" spans="1:38" x14ac:dyDescent="0.2">
      <c r="A2009" s="2" t="str">
        <f>HYPERLINK("https://www.compass.com/listing/50-riverside-boulevard-unit-9b-manhattan-ny-10069/29396599813765985/","50 Riverside Blvd, Unit 9B")</f>
        <v>50 Riverside Blvd, Unit 9B</v>
      </c>
      <c r="B2009" s="2" t="str">
        <f t="shared" si="315"/>
        <v>One Riverside Park</v>
      </c>
      <c r="C2009" s="1" t="s">
        <v>50</v>
      </c>
      <c r="D2009" s="1" t="s">
        <v>41</v>
      </c>
      <c r="E2009" s="3">
        <v>2631085</v>
      </c>
      <c r="F2009" s="1">
        <v>1947.5092524056199</v>
      </c>
      <c r="G2009" s="1">
        <v>3</v>
      </c>
      <c r="H2009" s="1">
        <v>2</v>
      </c>
      <c r="I2009" s="1">
        <v>2</v>
      </c>
      <c r="J2009" s="1">
        <v>2</v>
      </c>
      <c r="M2009" s="4">
        <v>1351</v>
      </c>
      <c r="N2009" s="1">
        <v>1498</v>
      </c>
      <c r="O2009" s="1">
        <v>1581</v>
      </c>
      <c r="P2009" s="1">
        <v>83</v>
      </c>
      <c r="Q2009" s="1" t="s">
        <v>42</v>
      </c>
      <c r="S2009" s="1" t="s">
        <v>42</v>
      </c>
      <c r="T2009" s="1" t="s">
        <v>170</v>
      </c>
      <c r="V2009" s="5">
        <v>43662</v>
      </c>
      <c r="W2009" s="5">
        <v>41895</v>
      </c>
      <c r="X2009" s="1">
        <v>2580000</v>
      </c>
      <c r="Y2009" s="1">
        <v>2580000</v>
      </c>
      <c r="Z2009" s="5">
        <v>41895</v>
      </c>
      <c r="AA2009" s="1">
        <v>2631085</v>
      </c>
      <c r="AB2009" s="1" t="s">
        <v>1612</v>
      </c>
      <c r="AC2009" s="5">
        <v>42284</v>
      </c>
      <c r="AF2009" s="1">
        <v>10069</v>
      </c>
      <c r="AI2009" s="1" t="s">
        <v>45</v>
      </c>
      <c r="AJ2009" s="1">
        <v>2016</v>
      </c>
      <c r="AK2009" s="1" t="s">
        <v>73</v>
      </c>
      <c r="AL2009" s="1">
        <v>657</v>
      </c>
    </row>
    <row r="2010" spans="1:38" x14ac:dyDescent="0.2">
      <c r="A2010" s="2" t="str">
        <f>HYPERLINK("https://www.compass.com/listing/50-riverside-boulevard-unit-12b-manhattan-ny-10069/29396600963005313/","50 Riverside Blvd, Unit 12B")</f>
        <v>50 Riverside Blvd, Unit 12B</v>
      </c>
      <c r="B2010" s="2" t="str">
        <f t="shared" si="315"/>
        <v>One Riverside Park</v>
      </c>
      <c r="C2010" s="1" t="s">
        <v>50</v>
      </c>
      <c r="D2010" s="1" t="s">
        <v>41</v>
      </c>
      <c r="E2010" s="3">
        <v>2640000</v>
      </c>
      <c r="F2010" s="1">
        <v>1954.1080680977</v>
      </c>
      <c r="G2010" s="1">
        <v>3</v>
      </c>
      <c r="H2010" s="1">
        <v>2</v>
      </c>
      <c r="I2010" s="1">
        <v>2</v>
      </c>
      <c r="J2010" s="1">
        <v>2</v>
      </c>
      <c r="M2010" s="4">
        <v>1351</v>
      </c>
      <c r="N2010" s="1">
        <v>1501</v>
      </c>
      <c r="O2010" s="1">
        <v>1584</v>
      </c>
      <c r="P2010" s="1">
        <v>83</v>
      </c>
      <c r="Q2010" s="1" t="s">
        <v>42</v>
      </c>
      <c r="S2010" s="1" t="s">
        <v>42</v>
      </c>
      <c r="T2010" s="1" t="s">
        <v>170</v>
      </c>
      <c r="V2010" s="5">
        <v>42998</v>
      </c>
      <c r="W2010" s="5">
        <v>42902</v>
      </c>
      <c r="X2010" s="1">
        <v>2640000</v>
      </c>
      <c r="Y2010" s="1">
        <v>2640000</v>
      </c>
      <c r="Z2010" s="5">
        <v>41809</v>
      </c>
      <c r="AB2010" s="1" t="s">
        <v>181</v>
      </c>
      <c r="AC2010" s="5">
        <v>42902</v>
      </c>
      <c r="AF2010" s="1">
        <v>10069</v>
      </c>
      <c r="AI2010" s="1" t="s">
        <v>45</v>
      </c>
      <c r="AJ2010" s="1">
        <v>2016</v>
      </c>
      <c r="AK2010" s="1" t="s">
        <v>73</v>
      </c>
      <c r="AL2010" s="1">
        <v>657</v>
      </c>
    </row>
    <row r="2011" spans="1:38" x14ac:dyDescent="0.2">
      <c r="A2011" s="2" t="str">
        <f>HYPERLINK("https://www.compass.com/listing/50-riverside-boulevard-unit-15b-manhattan-ny-10069/29396601927757201/","50 Riverside Blvd, Unit 15B")</f>
        <v>50 Riverside Blvd, Unit 15B</v>
      </c>
      <c r="B2011" s="2" t="str">
        <f t="shared" si="315"/>
        <v>One Riverside Park</v>
      </c>
      <c r="C2011" s="1" t="s">
        <v>50</v>
      </c>
      <c r="D2011" s="1" t="s">
        <v>41</v>
      </c>
      <c r="E2011" s="3">
        <v>3180940</v>
      </c>
      <c r="F2011" s="1">
        <v>2354.50777202072</v>
      </c>
      <c r="G2011" s="1">
        <v>3</v>
      </c>
      <c r="H2011" s="1">
        <v>2</v>
      </c>
      <c r="I2011" s="1">
        <v>2</v>
      </c>
      <c r="J2011" s="1">
        <v>2</v>
      </c>
      <c r="M2011" s="4">
        <v>1351</v>
      </c>
      <c r="N2011" s="1">
        <v>1502</v>
      </c>
      <c r="O2011" s="1">
        <v>1585</v>
      </c>
      <c r="P2011" s="1">
        <v>83</v>
      </c>
      <c r="Q2011" s="1" t="s">
        <v>42</v>
      </c>
      <c r="S2011" s="1" t="s">
        <v>42</v>
      </c>
      <c r="T2011" s="1" t="s">
        <v>170</v>
      </c>
      <c r="V2011" s="5">
        <v>43676</v>
      </c>
      <c r="W2011" s="5">
        <v>41895</v>
      </c>
      <c r="X2011" s="1">
        <v>3120000</v>
      </c>
      <c r="Y2011" s="1">
        <v>3120000</v>
      </c>
      <c r="Z2011" s="5">
        <v>41895</v>
      </c>
      <c r="AA2011" s="1">
        <v>3180940</v>
      </c>
      <c r="AB2011" s="1" t="s">
        <v>1613</v>
      </c>
      <c r="AC2011" s="5">
        <v>42324</v>
      </c>
      <c r="AF2011" s="1">
        <v>10069</v>
      </c>
      <c r="AI2011" s="1" t="s">
        <v>45</v>
      </c>
      <c r="AJ2011" s="1">
        <v>2016</v>
      </c>
      <c r="AK2011" s="1" t="s">
        <v>73</v>
      </c>
      <c r="AL2011" s="1">
        <v>657</v>
      </c>
    </row>
    <row r="2012" spans="1:38" x14ac:dyDescent="0.2">
      <c r="A2012" s="2" t="str">
        <f>HYPERLINK("https://www.compass.com/listing/50-riverside-boulevard-unit-16b-manhattan-ny-10069/29396602347125665/","50 Riverside Blvd, Unit 16B")</f>
        <v>50 Riverside Blvd, Unit 16B</v>
      </c>
      <c r="B2012" s="2" t="str">
        <f t="shared" si="315"/>
        <v>One Riverside Park</v>
      </c>
      <c r="C2012" s="1" t="s">
        <v>50</v>
      </c>
      <c r="D2012" s="1" t="s">
        <v>41</v>
      </c>
      <c r="E2012" s="3">
        <v>2946742</v>
      </c>
      <c r="F2012" s="1">
        <v>2181.1561806069499</v>
      </c>
      <c r="G2012" s="1">
        <v>3</v>
      </c>
      <c r="H2012" s="1">
        <v>2</v>
      </c>
      <c r="I2012" s="1">
        <v>2</v>
      </c>
      <c r="J2012" s="1">
        <v>2</v>
      </c>
      <c r="M2012" s="4">
        <v>1351</v>
      </c>
      <c r="N2012" s="1">
        <v>1503</v>
      </c>
      <c r="O2012" s="1">
        <v>1586</v>
      </c>
      <c r="P2012" s="1">
        <v>83</v>
      </c>
      <c r="Q2012" s="1" t="s">
        <v>42</v>
      </c>
      <c r="S2012" s="1" t="s">
        <v>42</v>
      </c>
      <c r="T2012" s="1" t="s">
        <v>170</v>
      </c>
      <c r="V2012" s="5">
        <v>43662</v>
      </c>
      <c r="W2012" s="5">
        <v>41895</v>
      </c>
      <c r="X2012" s="1">
        <v>2890000</v>
      </c>
      <c r="Y2012" s="1">
        <v>2890000</v>
      </c>
      <c r="Z2012" s="5">
        <v>41895</v>
      </c>
      <c r="AA2012" s="1">
        <v>2946742</v>
      </c>
      <c r="AB2012" s="1" t="s">
        <v>1614</v>
      </c>
      <c r="AC2012" s="5">
        <v>42332</v>
      </c>
      <c r="AF2012" s="1">
        <v>10069</v>
      </c>
      <c r="AI2012" s="1" t="s">
        <v>45</v>
      </c>
      <c r="AJ2012" s="1">
        <v>2016</v>
      </c>
      <c r="AK2012" s="1" t="s">
        <v>73</v>
      </c>
      <c r="AL2012" s="1">
        <v>657</v>
      </c>
    </row>
    <row r="2013" spans="1:38" x14ac:dyDescent="0.2">
      <c r="A2013" s="2" t="str">
        <f>HYPERLINK("https://www.compass.com/listing/50-riverside-boulevard-unit-10b-manhattan-ny-10069/29641124784114081/","50 Riverside Blvd, Unit 10B")</f>
        <v>50 Riverside Blvd, Unit 10B</v>
      </c>
      <c r="B2013" s="2" t="str">
        <f t="shared" si="315"/>
        <v>One Riverside Park</v>
      </c>
      <c r="C2013" s="1" t="s">
        <v>50</v>
      </c>
      <c r="D2013" s="1" t="s">
        <v>41</v>
      </c>
      <c r="E2013" s="3">
        <v>2520000</v>
      </c>
      <c r="F2013" s="1">
        <v>1865.28497409326</v>
      </c>
      <c r="G2013" s="1">
        <v>3</v>
      </c>
      <c r="H2013" s="1">
        <v>2</v>
      </c>
      <c r="I2013" s="1">
        <v>2</v>
      </c>
      <c r="J2013" s="1">
        <v>2</v>
      </c>
      <c r="M2013" s="4">
        <v>1351</v>
      </c>
      <c r="N2013" s="1">
        <v>1499</v>
      </c>
      <c r="O2013" s="1">
        <v>1582</v>
      </c>
      <c r="P2013" s="1">
        <v>83</v>
      </c>
      <c r="Q2013" s="1" t="s">
        <v>42</v>
      </c>
      <c r="S2013" s="1" t="s">
        <v>42</v>
      </c>
      <c r="T2013" s="1" t="s">
        <v>170</v>
      </c>
      <c r="V2013" s="5">
        <v>42998</v>
      </c>
      <c r="W2013" s="5">
        <v>42902</v>
      </c>
      <c r="X2013" s="1">
        <v>2520000</v>
      </c>
      <c r="Y2013" s="1">
        <v>2520000</v>
      </c>
      <c r="Z2013" s="5">
        <v>41809</v>
      </c>
      <c r="AB2013" s="1" t="s">
        <v>181</v>
      </c>
      <c r="AC2013" s="5">
        <v>42902</v>
      </c>
      <c r="AF2013" s="1">
        <v>10069</v>
      </c>
      <c r="AI2013" s="1" t="s">
        <v>1386</v>
      </c>
      <c r="AJ2013" s="1">
        <v>2016</v>
      </c>
      <c r="AK2013" s="1" t="s">
        <v>73</v>
      </c>
      <c r="AL2013" s="1">
        <v>657</v>
      </c>
    </row>
    <row r="2014" spans="1:38" x14ac:dyDescent="0.2">
      <c r="A2014" s="2" t="str">
        <f>HYPERLINK("https://www.compass.com/listing/50-riverside-boulevard-unit-6a-manhattan-ny-10069/167835076581716897/","50 Riverside Blvd, Unit 6A")</f>
        <v>50 Riverside Blvd, Unit 6A</v>
      </c>
      <c r="B2014" s="2" t="str">
        <f t="shared" si="315"/>
        <v>One Riverside Park</v>
      </c>
      <c r="C2014" s="1" t="s">
        <v>50</v>
      </c>
      <c r="D2014" s="1" t="s">
        <v>41</v>
      </c>
      <c r="E2014" s="3">
        <v>3471141</v>
      </c>
      <c r="F2014" s="1">
        <v>1753.98749368367</v>
      </c>
      <c r="H2014" s="1">
        <v>3</v>
      </c>
      <c r="J2014" s="1">
        <v>3.5</v>
      </c>
      <c r="M2014" s="4">
        <v>1979</v>
      </c>
      <c r="N2014" s="1">
        <v>2192</v>
      </c>
      <c r="O2014" s="1">
        <v>2313</v>
      </c>
      <c r="P2014" s="1">
        <v>121</v>
      </c>
      <c r="Q2014" s="1" t="s">
        <v>42</v>
      </c>
      <c r="S2014" s="1" t="s">
        <v>42</v>
      </c>
      <c r="T2014" s="1" t="s">
        <v>170</v>
      </c>
      <c r="AA2014" s="1">
        <v>3471141.25</v>
      </c>
      <c r="AB2014" s="1" t="s">
        <v>1615</v>
      </c>
      <c r="AC2014" s="5">
        <v>42279</v>
      </c>
      <c r="AF2014" s="1">
        <v>10069</v>
      </c>
      <c r="AI2014" s="1" t="s">
        <v>45</v>
      </c>
      <c r="AJ2014" s="1">
        <v>2016</v>
      </c>
      <c r="AK2014" s="1" t="s">
        <v>46</v>
      </c>
      <c r="AL2014" s="1">
        <v>657</v>
      </c>
    </row>
    <row r="2015" spans="1:38" x14ac:dyDescent="0.2">
      <c r="A2015" s="2" t="str">
        <f>HYPERLINK("https://www.compass.com/listing/50-riverside-boulevard-unit-5a-manhattan-ny-10069/78974588687607649/","50 Riverside Blvd, Unit 5A")</f>
        <v>50 Riverside Blvd, Unit 5A</v>
      </c>
      <c r="B2015" s="2" t="str">
        <f t="shared" si="315"/>
        <v>One Riverside Park</v>
      </c>
      <c r="C2015" s="1" t="s">
        <v>50</v>
      </c>
      <c r="D2015" s="1" t="s">
        <v>41</v>
      </c>
      <c r="E2015" s="3">
        <v>3655643</v>
      </c>
      <c r="F2015" s="1">
        <v>1847.2170288024199</v>
      </c>
      <c r="H2015" s="1">
        <v>3</v>
      </c>
      <c r="J2015" s="1">
        <v>3.5</v>
      </c>
      <c r="M2015" s="4">
        <v>1979</v>
      </c>
      <c r="N2015" s="1">
        <v>2191</v>
      </c>
      <c r="O2015" s="1">
        <v>2312</v>
      </c>
      <c r="P2015" s="1">
        <v>121</v>
      </c>
      <c r="Q2015" s="1" t="s">
        <v>42</v>
      </c>
      <c r="S2015" s="1" t="s">
        <v>42</v>
      </c>
      <c r="T2015" s="1" t="s">
        <v>170</v>
      </c>
      <c r="AA2015" s="1">
        <v>3655642.5</v>
      </c>
      <c r="AB2015" s="1" t="s">
        <v>1616</v>
      </c>
      <c r="AC2015" s="5">
        <v>42360</v>
      </c>
      <c r="AF2015" s="1">
        <v>10069</v>
      </c>
      <c r="AI2015" s="1" t="s">
        <v>45</v>
      </c>
      <c r="AJ2015" s="1">
        <v>2016</v>
      </c>
      <c r="AK2015" s="1" t="s">
        <v>46</v>
      </c>
      <c r="AL2015" s="1">
        <v>657</v>
      </c>
    </row>
    <row r="2016" spans="1:38" x14ac:dyDescent="0.2">
      <c r="A2016" s="2" t="str">
        <f>HYPERLINK("https://www.compass.com/listing/50-riverside-boulevard-unit-17c-manhattan-ny-10069/79414133526671537/","50 Riverside Blvd, Unit 17C")</f>
        <v>50 Riverside Blvd, Unit 17C</v>
      </c>
      <c r="B2016" s="2" t="str">
        <f t="shared" si="315"/>
        <v>One Riverside Park</v>
      </c>
      <c r="C2016" s="1" t="s">
        <v>50</v>
      </c>
      <c r="D2016" s="1" t="s">
        <v>41</v>
      </c>
      <c r="E2016" s="3">
        <v>3135119</v>
      </c>
      <c r="F2016" s="1">
        <v>1947.2787267080701</v>
      </c>
      <c r="H2016" s="1">
        <v>3</v>
      </c>
      <c r="J2016" s="1">
        <v>3.5</v>
      </c>
      <c r="M2016" s="4">
        <v>1610</v>
      </c>
      <c r="N2016" s="1">
        <v>1906</v>
      </c>
      <c r="O2016" s="1">
        <v>2012</v>
      </c>
      <c r="P2016" s="1">
        <v>106</v>
      </c>
      <c r="Q2016" s="1" t="s">
        <v>42</v>
      </c>
      <c r="S2016" s="1" t="s">
        <v>42</v>
      </c>
      <c r="T2016" s="1" t="s">
        <v>170</v>
      </c>
      <c r="AA2016" s="1">
        <v>3135118.75</v>
      </c>
      <c r="AB2016" s="1" t="s">
        <v>1617</v>
      </c>
      <c r="AC2016" s="5">
        <v>42352</v>
      </c>
      <c r="AF2016" s="1">
        <v>10069</v>
      </c>
      <c r="AI2016" s="1" t="s">
        <v>45</v>
      </c>
      <c r="AJ2016" s="1">
        <v>2016</v>
      </c>
      <c r="AK2016" s="1" t="s">
        <v>46</v>
      </c>
      <c r="AL2016" s="1">
        <v>657</v>
      </c>
    </row>
    <row r="2017" spans="1:38" x14ac:dyDescent="0.2">
      <c r="A2017" s="2" t="str">
        <f>HYPERLINK("https://www.compass.com/listing/50-riverside-boulevard-unit-9a-manhattan-ny-10069/803338800796922809/","50 Riverside Blvd, Unit 9A")</f>
        <v>50 Riverside Blvd, Unit 9A</v>
      </c>
      <c r="B2017" s="2" t="str">
        <f t="shared" si="315"/>
        <v>One Riverside Park</v>
      </c>
      <c r="C2017" s="1" t="s">
        <v>50</v>
      </c>
      <c r="D2017" s="1" t="s">
        <v>41</v>
      </c>
      <c r="E2017" s="3">
        <v>3618788</v>
      </c>
      <c r="F2017" s="1">
        <v>1962.46610629067</v>
      </c>
      <c r="H2017" s="1">
        <v>3</v>
      </c>
      <c r="J2017" s="1">
        <v>3.5</v>
      </c>
      <c r="M2017" s="4">
        <v>1844</v>
      </c>
      <c r="N2017" s="1">
        <v>2045</v>
      </c>
      <c r="O2017" s="1">
        <v>2158</v>
      </c>
      <c r="P2017" s="1">
        <v>113</v>
      </c>
      <c r="Q2017" s="1" t="s">
        <v>42</v>
      </c>
      <c r="S2017" s="1" t="s">
        <v>42</v>
      </c>
      <c r="T2017" s="1" t="s">
        <v>170</v>
      </c>
      <c r="AA2017" s="1">
        <v>3618787.5</v>
      </c>
      <c r="AB2017" s="1" t="s">
        <v>1618</v>
      </c>
      <c r="AC2017" s="5">
        <v>42296</v>
      </c>
      <c r="AF2017" s="1">
        <v>10069</v>
      </c>
      <c r="AI2017" s="1" t="s">
        <v>45</v>
      </c>
      <c r="AJ2017" s="1">
        <v>2016</v>
      </c>
      <c r="AK2017" s="1" t="s">
        <v>46</v>
      </c>
      <c r="AL2017" s="1">
        <v>657</v>
      </c>
    </row>
    <row r="2018" spans="1:38" x14ac:dyDescent="0.2">
      <c r="A2018" s="2" t="str">
        <f>HYPERLINK("https://www.compass.com/listing/50-riverside-boulevard-unit-5b-manhattan-ny-10069/29396596399602433/","50 Riverside Blvd, Unit 5B")</f>
        <v>50 Riverside Blvd, Unit 5B</v>
      </c>
      <c r="B2018" s="2" t="str">
        <f t="shared" si="315"/>
        <v>One Riverside Park</v>
      </c>
      <c r="C2018" s="1" t="s">
        <v>50</v>
      </c>
      <c r="D2018" s="1" t="s">
        <v>41</v>
      </c>
      <c r="E2018" s="3">
        <v>2437617</v>
      </c>
      <c r="F2018" s="1">
        <v>1628.33466933867</v>
      </c>
      <c r="G2018" s="1">
        <v>3</v>
      </c>
      <c r="H2018" s="1">
        <v>2</v>
      </c>
      <c r="I2018" s="1">
        <v>3</v>
      </c>
      <c r="J2018" s="1">
        <v>2.5</v>
      </c>
      <c r="M2018" s="4">
        <v>1497</v>
      </c>
      <c r="N2018" s="1">
        <v>1657</v>
      </c>
      <c r="O2018" s="1">
        <v>1749</v>
      </c>
      <c r="P2018" s="1">
        <v>92</v>
      </c>
      <c r="Q2018" s="1" t="s">
        <v>42</v>
      </c>
      <c r="S2018" s="1" t="s">
        <v>42</v>
      </c>
      <c r="T2018" s="1" t="s">
        <v>170</v>
      </c>
      <c r="V2018" s="5">
        <v>43663</v>
      </c>
      <c r="W2018" s="5">
        <v>41923</v>
      </c>
      <c r="X2018" s="1">
        <v>2390000</v>
      </c>
      <c r="Y2018" s="1">
        <v>2390000</v>
      </c>
      <c r="Z2018" s="5">
        <v>41923</v>
      </c>
      <c r="AA2018" s="1">
        <v>2437617</v>
      </c>
      <c r="AB2018" s="1" t="s">
        <v>1619</v>
      </c>
      <c r="AC2018" s="5">
        <v>42266</v>
      </c>
      <c r="AF2018" s="1">
        <v>10069</v>
      </c>
      <c r="AI2018" s="1" t="s">
        <v>45</v>
      </c>
      <c r="AJ2018" s="1">
        <v>2016</v>
      </c>
      <c r="AK2018" s="1" t="s">
        <v>73</v>
      </c>
      <c r="AL2018" s="1">
        <v>657</v>
      </c>
    </row>
    <row r="2019" spans="1:38" x14ac:dyDescent="0.2">
      <c r="A2019" s="2" t="str">
        <f>HYPERLINK("https://www.compass.com/listing/50-riverside-boulevard-unit-7d-manhattan-ny-10069/29396617572511393/","50 Riverside Blvd, Unit 7D")</f>
        <v>50 Riverside Blvd, Unit 7D</v>
      </c>
      <c r="B2019" s="2" t="str">
        <f t="shared" si="315"/>
        <v>One Riverside Park</v>
      </c>
      <c r="C2019" s="1" t="s">
        <v>50</v>
      </c>
      <c r="D2019" s="1" t="s">
        <v>41</v>
      </c>
      <c r="E2019" s="3">
        <v>2315427</v>
      </c>
      <c r="F2019" s="1">
        <v>1778.3617511520699</v>
      </c>
      <c r="G2019" s="1">
        <v>3</v>
      </c>
      <c r="H2019" s="1">
        <v>2</v>
      </c>
      <c r="I2019" s="1">
        <v>3</v>
      </c>
      <c r="J2019" s="1">
        <v>2.5</v>
      </c>
      <c r="M2019" s="4">
        <v>1302</v>
      </c>
      <c r="N2019" s="1">
        <v>1443</v>
      </c>
      <c r="O2019" s="1">
        <v>1523</v>
      </c>
      <c r="P2019" s="1">
        <v>80</v>
      </c>
      <c r="Q2019" s="1" t="s">
        <v>42</v>
      </c>
      <c r="S2019" s="1" t="s">
        <v>42</v>
      </c>
      <c r="T2019" s="1" t="s">
        <v>170</v>
      </c>
      <c r="V2019" s="5">
        <v>43668</v>
      </c>
      <c r="W2019" s="5">
        <v>41924</v>
      </c>
      <c r="X2019" s="1">
        <v>2270000</v>
      </c>
      <c r="Y2019" s="1">
        <v>2270000</v>
      </c>
      <c r="Z2019" s="5">
        <v>41924</v>
      </c>
      <c r="AA2019" s="1">
        <v>2315427</v>
      </c>
      <c r="AB2019" s="1" t="s">
        <v>1620</v>
      </c>
      <c r="AC2019" s="5">
        <v>42272</v>
      </c>
      <c r="AF2019" s="1">
        <v>10069</v>
      </c>
      <c r="AI2019" s="1" t="s">
        <v>45</v>
      </c>
      <c r="AJ2019" s="1">
        <v>2016</v>
      </c>
      <c r="AK2019" s="1" t="s">
        <v>73</v>
      </c>
      <c r="AL2019" s="1">
        <v>657</v>
      </c>
    </row>
    <row r="2020" spans="1:38" x14ac:dyDescent="0.2">
      <c r="A2020" s="2" t="str">
        <f>HYPERLINK("https://www.compass.com/listing/50-riverside-boulevard-unit-3f-manhattan-ny-10069/29396627345177953/","50 Riverside Blvd, Unit 3F")</f>
        <v>50 Riverside Blvd, Unit 3F</v>
      </c>
      <c r="B2020" s="2" t="str">
        <f t="shared" si="315"/>
        <v>One Riverside Park</v>
      </c>
      <c r="C2020" s="1" t="s">
        <v>50</v>
      </c>
      <c r="D2020" s="1" t="s">
        <v>41</v>
      </c>
      <c r="E2020" s="3">
        <v>1731025</v>
      </c>
      <c r="F2020" s="1">
        <v>1330.5342044581</v>
      </c>
      <c r="G2020" s="1">
        <v>3</v>
      </c>
      <c r="H2020" s="1">
        <v>2</v>
      </c>
      <c r="I2020" s="1">
        <v>3</v>
      </c>
      <c r="J2020" s="1">
        <v>2.5</v>
      </c>
      <c r="M2020" s="4">
        <v>1301</v>
      </c>
      <c r="N2020" s="1">
        <v>1439</v>
      </c>
      <c r="O2020" s="1">
        <v>1519</v>
      </c>
      <c r="P2020" s="1">
        <v>80</v>
      </c>
      <c r="Q2020" s="1" t="s">
        <v>42</v>
      </c>
      <c r="S2020" s="1" t="s">
        <v>42</v>
      </c>
      <c r="T2020" s="1" t="s">
        <v>170</v>
      </c>
      <c r="U2020" s="1">
        <v>145</v>
      </c>
      <c r="V2020" s="5">
        <v>42998</v>
      </c>
      <c r="W2020" s="5">
        <v>41544</v>
      </c>
      <c r="X2020" s="1">
        <v>1800000</v>
      </c>
      <c r="Y2020" s="1">
        <v>1800000</v>
      </c>
      <c r="Z2020" s="5">
        <v>41689</v>
      </c>
      <c r="AA2020" s="1">
        <v>1731025</v>
      </c>
      <c r="AB2020" s="1" t="s">
        <v>1621</v>
      </c>
      <c r="AC2020" s="5">
        <v>42361</v>
      </c>
      <c r="AF2020" s="1">
        <v>10069</v>
      </c>
      <c r="AI2020" s="1" t="s">
        <v>45</v>
      </c>
      <c r="AJ2020" s="1">
        <v>2016</v>
      </c>
      <c r="AK2020" s="1" t="s">
        <v>73</v>
      </c>
      <c r="AL2020" s="1">
        <v>657</v>
      </c>
    </row>
    <row r="2021" spans="1:38" x14ac:dyDescent="0.2">
      <c r="A2021" s="2" t="str">
        <f>HYPERLINK("https://www.compass.com/listing/50-riverside-boulevard-unit-17f-manhattan-ny-10069/29396628913888689/","50 Riverside Blvd, Unit 17F")</f>
        <v>50 Riverside Blvd, Unit 17F</v>
      </c>
      <c r="B2021" s="2" t="str">
        <f t="shared" si="315"/>
        <v>One Riverside Park</v>
      </c>
      <c r="C2021" s="1" t="s">
        <v>50</v>
      </c>
      <c r="D2021" s="1" t="s">
        <v>41</v>
      </c>
      <c r="E2021" s="3">
        <v>2300000</v>
      </c>
      <c r="F2021" s="1">
        <v>1712.58376768428</v>
      </c>
      <c r="G2021" s="1">
        <v>3</v>
      </c>
      <c r="H2021" s="1">
        <v>2</v>
      </c>
      <c r="I2021" s="1">
        <v>3</v>
      </c>
      <c r="J2021" s="1">
        <v>2.5</v>
      </c>
      <c r="M2021" s="4">
        <v>1343</v>
      </c>
      <c r="N2021" s="1">
        <v>1600</v>
      </c>
      <c r="O2021" s="1">
        <v>1689</v>
      </c>
      <c r="P2021" s="1">
        <v>89</v>
      </c>
      <c r="Q2021" s="1" t="s">
        <v>42</v>
      </c>
      <c r="S2021" s="1" t="s">
        <v>42</v>
      </c>
      <c r="T2021" s="1" t="s">
        <v>170</v>
      </c>
      <c r="V2021" s="5">
        <v>42998</v>
      </c>
      <c r="W2021" s="5">
        <v>42902</v>
      </c>
      <c r="X2021" s="1">
        <v>2300000</v>
      </c>
      <c r="Y2021" s="1">
        <v>2300000</v>
      </c>
      <c r="Z2021" s="5">
        <v>41670</v>
      </c>
      <c r="AB2021" s="1" t="s">
        <v>181</v>
      </c>
      <c r="AC2021" s="5">
        <v>42902</v>
      </c>
      <c r="AF2021" s="1">
        <v>10069</v>
      </c>
      <c r="AI2021" s="1" t="s">
        <v>45</v>
      </c>
      <c r="AJ2021" s="1">
        <v>2016</v>
      </c>
      <c r="AK2021" s="1" t="s">
        <v>73</v>
      </c>
      <c r="AL2021" s="1">
        <v>657</v>
      </c>
    </row>
    <row r="2022" spans="1:38" x14ac:dyDescent="0.2">
      <c r="A2022" s="2" t="str">
        <f>HYPERLINK("https://www.compass.com/listing/50-riverside-boulevard-unit-3h-manhattan-ny-10069/29396635675065825/","50 Riverside Blvd, Unit 3H")</f>
        <v>50 Riverside Blvd, Unit 3H</v>
      </c>
      <c r="B2022" s="2" t="str">
        <f t="shared" si="315"/>
        <v>One Riverside Park</v>
      </c>
      <c r="C2022" s="1" t="s">
        <v>50</v>
      </c>
      <c r="D2022" s="1" t="s">
        <v>41</v>
      </c>
      <c r="E2022" s="3">
        <v>2050682</v>
      </c>
      <c r="F2022" s="1">
        <v>1323.8747579083199</v>
      </c>
      <c r="G2022" s="1">
        <v>4</v>
      </c>
      <c r="H2022" s="1">
        <v>2</v>
      </c>
      <c r="I2022" s="1">
        <v>3</v>
      </c>
      <c r="J2022" s="1">
        <v>2.5</v>
      </c>
      <c r="M2022" s="4">
        <v>1549</v>
      </c>
      <c r="N2022" s="1">
        <v>1713</v>
      </c>
      <c r="O2022" s="1">
        <v>1808</v>
      </c>
      <c r="P2022" s="1">
        <v>95</v>
      </c>
      <c r="Q2022" s="1" t="s">
        <v>42</v>
      </c>
      <c r="S2022" s="1" t="s">
        <v>42</v>
      </c>
      <c r="T2022" s="1" t="s">
        <v>170</v>
      </c>
      <c r="V2022" s="5">
        <v>43668</v>
      </c>
      <c r="W2022" s="5">
        <v>41923</v>
      </c>
      <c r="X2022" s="1">
        <v>2010000</v>
      </c>
      <c r="Y2022" s="1">
        <v>2010000</v>
      </c>
      <c r="Z2022" s="5">
        <v>41923</v>
      </c>
      <c r="AA2022" s="1">
        <v>2050682</v>
      </c>
      <c r="AB2022" s="1" t="s">
        <v>1622</v>
      </c>
      <c r="AC2022" s="5">
        <v>42297</v>
      </c>
      <c r="AF2022" s="1">
        <v>10069</v>
      </c>
      <c r="AI2022" s="1" t="s">
        <v>45</v>
      </c>
      <c r="AJ2022" s="1">
        <v>2016</v>
      </c>
      <c r="AK2022" s="1" t="s">
        <v>73</v>
      </c>
      <c r="AL2022" s="1">
        <v>657</v>
      </c>
    </row>
    <row r="2023" spans="1:38" x14ac:dyDescent="0.2">
      <c r="A2023" s="2" t="str">
        <f>HYPERLINK("https://www.compass.com/listing/50-riverside-boulevard-unit-4h-manhattan-ny-10069/29396636102925841/","50 Riverside Blvd, Unit 4H")</f>
        <v>50 Riverside Blvd, Unit 4H</v>
      </c>
      <c r="B2023" s="2" t="str">
        <f t="shared" si="315"/>
        <v>One Riverside Park</v>
      </c>
      <c r="C2023" s="1" t="s">
        <v>50</v>
      </c>
      <c r="D2023" s="1" t="s">
        <v>41</v>
      </c>
      <c r="E2023" s="3">
        <v>2091412</v>
      </c>
      <c r="F2023" s="1">
        <v>1350.1691413815299</v>
      </c>
      <c r="G2023" s="1">
        <v>4</v>
      </c>
      <c r="H2023" s="1">
        <v>2</v>
      </c>
      <c r="I2023" s="1">
        <v>3</v>
      </c>
      <c r="J2023" s="1">
        <v>2.5</v>
      </c>
      <c r="M2023" s="4">
        <v>1549</v>
      </c>
      <c r="N2023" s="1">
        <v>1714</v>
      </c>
      <c r="O2023" s="1">
        <v>1809</v>
      </c>
      <c r="P2023" s="1">
        <v>95</v>
      </c>
      <c r="Q2023" s="1" t="s">
        <v>42</v>
      </c>
      <c r="S2023" s="1" t="s">
        <v>42</v>
      </c>
      <c r="T2023" s="1" t="s">
        <v>170</v>
      </c>
      <c r="V2023" s="5">
        <v>43663</v>
      </c>
      <c r="W2023" s="5">
        <v>41924</v>
      </c>
      <c r="X2023" s="1">
        <v>2050000</v>
      </c>
      <c r="Y2023" s="1">
        <v>2050000</v>
      </c>
      <c r="Z2023" s="5">
        <v>41924</v>
      </c>
      <c r="AA2023" s="1">
        <v>2091412</v>
      </c>
      <c r="AB2023" s="1" t="s">
        <v>1623</v>
      </c>
      <c r="AC2023" s="5">
        <v>42307</v>
      </c>
      <c r="AF2023" s="1">
        <v>10069</v>
      </c>
      <c r="AI2023" s="1" t="s">
        <v>45</v>
      </c>
      <c r="AJ2023" s="1">
        <v>2016</v>
      </c>
      <c r="AK2023" s="1" t="s">
        <v>73</v>
      </c>
      <c r="AL2023" s="1">
        <v>657</v>
      </c>
    </row>
    <row r="2024" spans="1:38" x14ac:dyDescent="0.2">
      <c r="A2024" s="2" t="str">
        <f>HYPERLINK("https://www.compass.com/listing/50-riverside-boulevard-unit-6h-manhattan-ny-10069/29396636899802625/","50 Riverside Blvd, Unit 6H")</f>
        <v>50 Riverside Blvd, Unit 6H</v>
      </c>
      <c r="B2024" s="2" t="str">
        <f t="shared" si="315"/>
        <v>One Riverside Park</v>
      </c>
      <c r="C2024" s="1" t="s">
        <v>50</v>
      </c>
      <c r="D2024" s="1" t="s">
        <v>41</v>
      </c>
      <c r="E2024" s="3">
        <v>2152507</v>
      </c>
      <c r="F2024" s="1">
        <v>1389.61071659134</v>
      </c>
      <c r="G2024" s="1">
        <v>4</v>
      </c>
      <c r="H2024" s="1">
        <v>2</v>
      </c>
      <c r="I2024" s="1">
        <v>3</v>
      </c>
      <c r="J2024" s="1">
        <v>2.5</v>
      </c>
      <c r="M2024" s="4">
        <v>1549</v>
      </c>
      <c r="N2024" s="1">
        <v>1715</v>
      </c>
      <c r="O2024" s="1">
        <v>1810</v>
      </c>
      <c r="P2024" s="1">
        <v>95</v>
      </c>
      <c r="Q2024" s="1" t="s">
        <v>42</v>
      </c>
      <c r="S2024" s="1" t="s">
        <v>42</v>
      </c>
      <c r="T2024" s="1" t="s">
        <v>170</v>
      </c>
      <c r="V2024" s="5">
        <v>43668</v>
      </c>
      <c r="W2024" s="5">
        <v>41923</v>
      </c>
      <c r="X2024" s="1">
        <v>2110000</v>
      </c>
      <c r="Y2024" s="1">
        <v>2110000</v>
      </c>
      <c r="Z2024" s="5">
        <v>41923</v>
      </c>
      <c r="AA2024" s="1">
        <v>2152507</v>
      </c>
      <c r="AB2024" s="1" t="s">
        <v>1624</v>
      </c>
      <c r="AC2024" s="5">
        <v>42298</v>
      </c>
      <c r="AF2024" s="1">
        <v>10069</v>
      </c>
      <c r="AI2024" s="1" t="s">
        <v>45</v>
      </c>
      <c r="AJ2024" s="1">
        <v>2016</v>
      </c>
      <c r="AK2024" s="1" t="s">
        <v>73</v>
      </c>
      <c r="AL2024" s="1">
        <v>657</v>
      </c>
    </row>
    <row r="2025" spans="1:38" x14ac:dyDescent="0.2">
      <c r="A2025" s="2" t="str">
        <f>HYPERLINK("https://www.compass.com/listing/50-riverside-boulevard-unit-7h-manhattan-ny-10069/29396637310885425/","50 Riverside Blvd, Unit 7H")</f>
        <v>50 Riverside Blvd, Unit 7H</v>
      </c>
      <c r="B2025" s="2" t="str">
        <f t="shared" si="315"/>
        <v>One Riverside Park</v>
      </c>
      <c r="C2025" s="1" t="s">
        <v>50</v>
      </c>
      <c r="D2025" s="1" t="s">
        <v>41</v>
      </c>
      <c r="E2025" s="3">
        <v>2254332</v>
      </c>
      <c r="F2025" s="1">
        <v>1455.34667527437</v>
      </c>
      <c r="G2025" s="1">
        <v>4</v>
      </c>
      <c r="H2025" s="1">
        <v>2</v>
      </c>
      <c r="I2025" s="1">
        <v>3</v>
      </c>
      <c r="J2025" s="1">
        <v>2.5</v>
      </c>
      <c r="M2025" s="4">
        <v>1549</v>
      </c>
      <c r="N2025" s="1">
        <v>1716</v>
      </c>
      <c r="O2025" s="1">
        <v>1811</v>
      </c>
      <c r="P2025" s="1">
        <v>95</v>
      </c>
      <c r="Q2025" s="1" t="s">
        <v>42</v>
      </c>
      <c r="S2025" s="1" t="s">
        <v>42</v>
      </c>
      <c r="T2025" s="1" t="s">
        <v>170</v>
      </c>
      <c r="V2025" s="5">
        <v>43668</v>
      </c>
      <c r="W2025" s="5">
        <v>41924</v>
      </c>
      <c r="X2025" s="1">
        <v>2210000</v>
      </c>
      <c r="Y2025" s="1">
        <v>2210000</v>
      </c>
      <c r="Z2025" s="5">
        <v>41924</v>
      </c>
      <c r="AA2025" s="1">
        <v>2254332</v>
      </c>
      <c r="AB2025" s="1" t="s">
        <v>1625</v>
      </c>
      <c r="AC2025" s="5">
        <v>42298</v>
      </c>
      <c r="AF2025" s="1">
        <v>10069</v>
      </c>
      <c r="AI2025" s="1" t="s">
        <v>45</v>
      </c>
      <c r="AJ2025" s="1">
        <v>2016</v>
      </c>
      <c r="AK2025" s="1" t="s">
        <v>73</v>
      </c>
      <c r="AL2025" s="1">
        <v>657</v>
      </c>
    </row>
    <row r="2026" spans="1:38" x14ac:dyDescent="0.2">
      <c r="A2026" s="2" t="str">
        <f>HYPERLINK("https://www.compass.com/listing/50-riverside-boulevard-unit-9h-manhattan-ny-10069/29396638686617169/","50 Riverside Blvd, Unit 9H")</f>
        <v>50 Riverside Blvd, Unit 9H</v>
      </c>
      <c r="B2026" s="2" t="str">
        <f t="shared" si="315"/>
        <v>One Riverside Park</v>
      </c>
      <c r="C2026" s="1" t="s">
        <v>50</v>
      </c>
      <c r="D2026" s="1" t="s">
        <v>41</v>
      </c>
      <c r="E2026" s="3">
        <v>2284000</v>
      </c>
      <c r="F2026" s="1">
        <v>1474.4996772111001</v>
      </c>
      <c r="G2026" s="1">
        <v>4</v>
      </c>
      <c r="H2026" s="1">
        <v>2</v>
      </c>
      <c r="I2026" s="1">
        <v>3</v>
      </c>
      <c r="J2026" s="1">
        <v>2.5</v>
      </c>
      <c r="M2026" s="4">
        <v>1549</v>
      </c>
      <c r="N2026" s="1">
        <v>1718</v>
      </c>
      <c r="O2026" s="1">
        <v>1813</v>
      </c>
      <c r="P2026" s="1">
        <v>95</v>
      </c>
      <c r="Q2026" s="1" t="s">
        <v>42</v>
      </c>
      <c r="S2026" s="1" t="s">
        <v>42</v>
      </c>
      <c r="T2026" s="1" t="s">
        <v>170</v>
      </c>
      <c r="V2026" s="5">
        <v>43663</v>
      </c>
      <c r="Y2026" s="1">
        <v>2240000</v>
      </c>
      <c r="Z2026" s="5">
        <v>41923</v>
      </c>
      <c r="AA2026" s="1">
        <v>2284000</v>
      </c>
      <c r="AB2026" s="1" t="s">
        <v>1626</v>
      </c>
      <c r="AC2026" s="5">
        <v>42341</v>
      </c>
      <c r="AF2026" s="1">
        <v>10069</v>
      </c>
      <c r="AI2026" s="1" t="s">
        <v>45</v>
      </c>
      <c r="AJ2026" s="1">
        <v>2016</v>
      </c>
      <c r="AK2026" s="1" t="s">
        <v>73</v>
      </c>
      <c r="AL2026" s="1">
        <v>657</v>
      </c>
    </row>
    <row r="2027" spans="1:38" x14ac:dyDescent="0.2">
      <c r="A2027" s="2" t="str">
        <f>HYPERLINK("https://www.compass.com/listing/50-riverside-boulevard-unit-9m-manhattan-ny-10069/29396659297448497/","50 Riverside Blvd, Unit 9M")</f>
        <v>50 Riverside Blvd, Unit 9M</v>
      </c>
      <c r="B2027" s="2" t="str">
        <f t="shared" si="315"/>
        <v>One Riverside Park</v>
      </c>
      <c r="C2027" s="1" t="s">
        <v>50</v>
      </c>
      <c r="D2027" s="1" t="s">
        <v>41</v>
      </c>
      <c r="E2027" s="3">
        <v>2195000</v>
      </c>
      <c r="F2027" s="1">
        <v>1665.4021244309499</v>
      </c>
      <c r="G2027" s="1">
        <v>3</v>
      </c>
      <c r="H2027" s="1">
        <v>2</v>
      </c>
      <c r="I2027" s="1">
        <v>3</v>
      </c>
      <c r="J2027" s="1">
        <v>2.5</v>
      </c>
      <c r="M2027" s="4">
        <v>1318</v>
      </c>
      <c r="N2027" s="1">
        <v>1462</v>
      </c>
      <c r="O2027" s="1">
        <v>1543</v>
      </c>
      <c r="P2027" s="1">
        <v>81</v>
      </c>
      <c r="Q2027" s="1" t="s">
        <v>42</v>
      </c>
      <c r="S2027" s="1" t="s">
        <v>42</v>
      </c>
      <c r="T2027" s="1" t="s">
        <v>170</v>
      </c>
      <c r="V2027" s="5">
        <v>42998</v>
      </c>
      <c r="W2027" s="5">
        <v>42902</v>
      </c>
      <c r="X2027" s="1">
        <v>2195000</v>
      </c>
      <c r="Y2027" s="1">
        <v>2195000</v>
      </c>
      <c r="Z2027" s="5">
        <v>41670</v>
      </c>
      <c r="AB2027" s="1" t="s">
        <v>181</v>
      </c>
      <c r="AC2027" s="5">
        <v>42902</v>
      </c>
      <c r="AF2027" s="1">
        <v>10069</v>
      </c>
      <c r="AI2027" s="1" t="s">
        <v>45</v>
      </c>
      <c r="AJ2027" s="1">
        <v>2016</v>
      </c>
      <c r="AK2027" s="1" t="s">
        <v>73</v>
      </c>
      <c r="AL2027" s="1">
        <v>657</v>
      </c>
    </row>
    <row r="2028" spans="1:38" x14ac:dyDescent="0.2">
      <c r="A2028" s="2" t="str">
        <f>HYPERLINK("https://www.compass.com/listing/50-riverside-boulevard-unit-12m-manhattan-ny-10069/29396660589294145/","50 Riverside Blvd, Unit 12M")</f>
        <v>50 Riverside Blvd, Unit 12M</v>
      </c>
      <c r="B2028" s="2" t="str">
        <f t="shared" si="315"/>
        <v>One Riverside Park</v>
      </c>
      <c r="C2028" s="1" t="s">
        <v>50</v>
      </c>
      <c r="D2028" s="1" t="s">
        <v>41</v>
      </c>
      <c r="E2028" s="3">
        <v>2315000</v>
      </c>
      <c r="F2028" s="1">
        <v>1756.4491654021199</v>
      </c>
      <c r="G2028" s="1">
        <v>3</v>
      </c>
      <c r="H2028" s="1">
        <v>2</v>
      </c>
      <c r="I2028" s="1">
        <v>3</v>
      </c>
      <c r="J2028" s="1">
        <v>2.5</v>
      </c>
      <c r="M2028" s="4">
        <v>1318</v>
      </c>
      <c r="N2028" s="1">
        <v>1464</v>
      </c>
      <c r="O2028" s="1">
        <v>1545</v>
      </c>
      <c r="P2028" s="1">
        <v>81</v>
      </c>
      <c r="Q2028" s="1" t="s">
        <v>42</v>
      </c>
      <c r="S2028" s="1" t="s">
        <v>42</v>
      </c>
      <c r="T2028" s="1" t="s">
        <v>170</v>
      </c>
      <c r="V2028" s="5">
        <v>42998</v>
      </c>
      <c r="W2028" s="5">
        <v>42902</v>
      </c>
      <c r="X2028" s="1">
        <v>2315000</v>
      </c>
      <c r="Y2028" s="1">
        <v>2315000</v>
      </c>
      <c r="Z2028" s="5">
        <v>41809</v>
      </c>
      <c r="AB2028" s="1" t="s">
        <v>181</v>
      </c>
      <c r="AC2028" s="5">
        <v>42902</v>
      </c>
      <c r="AF2028" s="1">
        <v>10069</v>
      </c>
      <c r="AI2028" s="1" t="s">
        <v>1386</v>
      </c>
      <c r="AJ2028" s="1">
        <v>2016</v>
      </c>
      <c r="AK2028" s="1" t="s">
        <v>73</v>
      </c>
      <c r="AL2028" s="1">
        <v>657</v>
      </c>
    </row>
    <row r="2029" spans="1:38" x14ac:dyDescent="0.2">
      <c r="A2029" s="2" t="str">
        <f>HYPERLINK("https://www.compass.com/listing/50-riverside-boulevard-unit-14m-manhattan-ny-10069/29396660991885265/","50 Riverside Blvd, Unit 14M")</f>
        <v>50 Riverside Blvd, Unit 14M</v>
      </c>
      <c r="B2029" s="2" t="str">
        <f t="shared" si="315"/>
        <v>One Riverside Park</v>
      </c>
      <c r="C2029" s="1" t="s">
        <v>50</v>
      </c>
      <c r="D2029" s="1" t="s">
        <v>41</v>
      </c>
      <c r="E2029" s="3">
        <v>2355000</v>
      </c>
      <c r="F2029" s="1">
        <v>1786.79817905918</v>
      </c>
      <c r="G2029" s="1">
        <v>3</v>
      </c>
      <c r="H2029" s="1">
        <v>2</v>
      </c>
      <c r="I2029" s="1">
        <v>3</v>
      </c>
      <c r="J2029" s="1">
        <v>2.5</v>
      </c>
      <c r="M2029" s="4">
        <v>1318</v>
      </c>
      <c r="N2029" s="1">
        <v>1465</v>
      </c>
      <c r="O2029" s="1">
        <v>1546</v>
      </c>
      <c r="P2029" s="1">
        <v>81</v>
      </c>
      <c r="Q2029" s="1" t="s">
        <v>42</v>
      </c>
      <c r="S2029" s="1" t="s">
        <v>42</v>
      </c>
      <c r="T2029" s="1" t="s">
        <v>170</v>
      </c>
      <c r="V2029" s="5">
        <v>42998</v>
      </c>
      <c r="W2029" s="5">
        <v>42902</v>
      </c>
      <c r="X2029" s="1">
        <v>2355000</v>
      </c>
      <c r="Y2029" s="1">
        <v>2355000</v>
      </c>
      <c r="Z2029" s="5">
        <v>41809</v>
      </c>
      <c r="AB2029" s="1" t="s">
        <v>181</v>
      </c>
      <c r="AC2029" s="5">
        <v>42902</v>
      </c>
      <c r="AF2029" s="1">
        <v>10069</v>
      </c>
      <c r="AI2029" s="1" t="s">
        <v>1386</v>
      </c>
      <c r="AJ2029" s="1">
        <v>2016</v>
      </c>
      <c r="AK2029" s="1" t="s">
        <v>73</v>
      </c>
      <c r="AL2029" s="1">
        <v>657</v>
      </c>
    </row>
    <row r="2030" spans="1:38" x14ac:dyDescent="0.2">
      <c r="A2030" s="2" t="str">
        <f>HYPERLINK("https://www.compass.com/listing/50-riverside-boulevard-unit-10n-manhattan-ny-10069/29396665454665777/","50 Riverside Blvd, Unit 10N")</f>
        <v>50 Riverside Blvd, Unit 10N</v>
      </c>
      <c r="B2030" s="2" t="str">
        <f t="shared" si="315"/>
        <v>One Riverside Park</v>
      </c>
      <c r="C2030" s="1" t="s">
        <v>50</v>
      </c>
      <c r="D2030" s="1" t="s">
        <v>41</v>
      </c>
      <c r="E2030" s="3">
        <v>2284880</v>
      </c>
      <c r="F2030" s="1">
        <v>1619.33380581148</v>
      </c>
      <c r="G2030" s="1">
        <v>3</v>
      </c>
      <c r="H2030" s="1">
        <v>2</v>
      </c>
      <c r="I2030" s="1">
        <v>3</v>
      </c>
      <c r="J2030" s="1">
        <v>2.5</v>
      </c>
      <c r="M2030" s="4">
        <v>1411</v>
      </c>
      <c r="N2030" s="1">
        <v>1566</v>
      </c>
      <c r="O2030" s="1">
        <v>1653</v>
      </c>
      <c r="P2030" s="1">
        <v>87</v>
      </c>
      <c r="Q2030" s="1" t="s">
        <v>42</v>
      </c>
      <c r="S2030" s="1" t="s">
        <v>42</v>
      </c>
      <c r="T2030" s="1" t="s">
        <v>170</v>
      </c>
      <c r="V2030" s="5">
        <v>43670</v>
      </c>
      <c r="W2030" s="5">
        <v>41923</v>
      </c>
      <c r="X2030" s="1">
        <v>2240000</v>
      </c>
      <c r="Y2030" s="1">
        <v>2240000</v>
      </c>
      <c r="Z2030" s="5">
        <v>41923</v>
      </c>
      <c r="AA2030" s="1">
        <v>2284880</v>
      </c>
      <c r="AB2030" s="1" t="s">
        <v>1627</v>
      </c>
      <c r="AC2030" s="5">
        <v>42303</v>
      </c>
      <c r="AF2030" s="1">
        <v>10069</v>
      </c>
      <c r="AI2030" s="1" t="s">
        <v>45</v>
      </c>
      <c r="AJ2030" s="1">
        <v>2016</v>
      </c>
      <c r="AK2030" s="1" t="s">
        <v>73</v>
      </c>
      <c r="AL2030" s="1">
        <v>657</v>
      </c>
    </row>
    <row r="2031" spans="1:38" x14ac:dyDescent="0.2">
      <c r="A2031" s="2" t="str">
        <f>HYPERLINK("https://www.compass.com/listing/50-riverside-boulevard-unit-11n-manhattan-ny-10069/29396665840562849/","50 Riverside Blvd, Unit 11N")</f>
        <v>50 Riverside Blvd, Unit 11N</v>
      </c>
      <c r="B2031" s="2" t="str">
        <f t="shared" si="315"/>
        <v>One Riverside Park</v>
      </c>
      <c r="C2031" s="1" t="s">
        <v>50</v>
      </c>
      <c r="D2031" s="1" t="s">
        <v>41</v>
      </c>
      <c r="E2031" s="3">
        <v>2437617</v>
      </c>
      <c r="F2031" s="1">
        <v>1727.58114812189</v>
      </c>
      <c r="G2031" s="1">
        <v>3</v>
      </c>
      <c r="H2031" s="1">
        <v>2</v>
      </c>
      <c r="I2031" s="1">
        <v>3</v>
      </c>
      <c r="J2031" s="1">
        <v>2.5</v>
      </c>
      <c r="M2031" s="4">
        <v>1411</v>
      </c>
      <c r="N2031" s="1">
        <v>1567</v>
      </c>
      <c r="O2031" s="1">
        <v>1654</v>
      </c>
      <c r="P2031" s="1">
        <v>87</v>
      </c>
      <c r="Q2031" s="1" t="s">
        <v>42</v>
      </c>
      <c r="S2031" s="1" t="s">
        <v>42</v>
      </c>
      <c r="T2031" s="1" t="s">
        <v>170</v>
      </c>
      <c r="V2031" s="5">
        <v>43664</v>
      </c>
      <c r="W2031" s="5">
        <v>41924</v>
      </c>
      <c r="X2031" s="1">
        <v>2390000</v>
      </c>
      <c r="Y2031" s="1">
        <v>2390000</v>
      </c>
      <c r="Z2031" s="5">
        <v>41924</v>
      </c>
      <c r="AA2031" s="1">
        <v>2437617</v>
      </c>
      <c r="AB2031" s="1" t="s">
        <v>1628</v>
      </c>
      <c r="AC2031" s="5">
        <v>42308</v>
      </c>
      <c r="AF2031" s="1">
        <v>10069</v>
      </c>
      <c r="AI2031" s="1" t="s">
        <v>45</v>
      </c>
      <c r="AJ2031" s="1">
        <v>2016</v>
      </c>
      <c r="AK2031" s="1" t="s">
        <v>73</v>
      </c>
      <c r="AL2031" s="1">
        <v>657</v>
      </c>
    </row>
    <row r="2032" spans="1:38" x14ac:dyDescent="0.2">
      <c r="A2032" s="2" t="str">
        <f>HYPERLINK("https://www.compass.com/listing/50-riverside-boulevard-unit-4u-manhattan-ny-10069/29396682324115857/","50 Riverside Blvd, Unit 4U")</f>
        <v>50 Riverside Blvd, Unit 4U</v>
      </c>
      <c r="B2032" s="2" t="str">
        <f t="shared" si="315"/>
        <v>One Riverside Park</v>
      </c>
      <c r="C2032" s="1" t="s">
        <v>50</v>
      </c>
      <c r="D2032" s="1" t="s">
        <v>41</v>
      </c>
      <c r="E2032" s="3">
        <v>1820000</v>
      </c>
      <c r="F2032" s="1">
        <v>1490.58149058149</v>
      </c>
      <c r="G2032" s="1">
        <v>3</v>
      </c>
      <c r="H2032" s="1">
        <v>2</v>
      </c>
      <c r="I2032" s="1">
        <v>3</v>
      </c>
      <c r="J2032" s="1">
        <v>2.5</v>
      </c>
      <c r="M2032" s="4">
        <v>1221</v>
      </c>
      <c r="N2032" s="1">
        <v>1351</v>
      </c>
      <c r="O2032" s="1">
        <v>1426</v>
      </c>
      <c r="P2032" s="1">
        <v>75</v>
      </c>
      <c r="Q2032" s="1" t="s">
        <v>42</v>
      </c>
      <c r="S2032" s="1" t="s">
        <v>42</v>
      </c>
      <c r="T2032" s="1" t="s">
        <v>170</v>
      </c>
      <c r="V2032" s="5">
        <v>42998</v>
      </c>
      <c r="W2032" s="5">
        <v>42902</v>
      </c>
      <c r="X2032" s="1">
        <v>1820000</v>
      </c>
      <c r="Y2032" s="1">
        <v>1820000</v>
      </c>
      <c r="Z2032" s="5">
        <v>41809</v>
      </c>
      <c r="AB2032" s="1" t="s">
        <v>181</v>
      </c>
      <c r="AC2032" s="5">
        <v>42902</v>
      </c>
      <c r="AF2032" s="1">
        <v>10069</v>
      </c>
      <c r="AI2032" s="1" t="s">
        <v>1386</v>
      </c>
      <c r="AJ2032" s="1">
        <v>2016</v>
      </c>
      <c r="AK2032" s="1" t="s">
        <v>73</v>
      </c>
      <c r="AL2032" s="1">
        <v>657</v>
      </c>
    </row>
    <row r="2033" spans="1:38" x14ac:dyDescent="0.2">
      <c r="A2033" s="2" t="str">
        <f>HYPERLINK("https://www.compass.com/listing/50-riverside-boulevard-unit-5u-manhattan-ny-10069/29396682651312577/","50 Riverside Blvd, Unit 5U")</f>
        <v>50 Riverside Blvd, Unit 5U</v>
      </c>
      <c r="B2033" s="2" t="str">
        <f t="shared" si="315"/>
        <v>One Riverside Park</v>
      </c>
      <c r="C2033" s="1" t="s">
        <v>50</v>
      </c>
      <c r="D2033" s="1" t="s">
        <v>41</v>
      </c>
      <c r="E2033" s="3">
        <v>1855000</v>
      </c>
      <c r="F2033" s="1">
        <v>1519.2465192465099</v>
      </c>
      <c r="G2033" s="1">
        <v>3</v>
      </c>
      <c r="H2033" s="1">
        <v>2</v>
      </c>
      <c r="I2033" s="1">
        <v>3</v>
      </c>
      <c r="J2033" s="1">
        <v>2.5</v>
      </c>
      <c r="M2033" s="4">
        <v>1221</v>
      </c>
      <c r="N2033" s="1">
        <v>1352</v>
      </c>
      <c r="O2033" s="1">
        <v>1427</v>
      </c>
      <c r="P2033" s="1">
        <v>75</v>
      </c>
      <c r="Q2033" s="1" t="s">
        <v>42</v>
      </c>
      <c r="S2033" s="1" t="s">
        <v>42</v>
      </c>
      <c r="T2033" s="1" t="s">
        <v>170</v>
      </c>
      <c r="V2033" s="5">
        <v>42998</v>
      </c>
      <c r="W2033" s="5">
        <v>42902</v>
      </c>
      <c r="X2033" s="1">
        <v>1855000</v>
      </c>
      <c r="Y2033" s="1">
        <v>1855000</v>
      </c>
      <c r="Z2033" s="5">
        <v>41809</v>
      </c>
      <c r="AB2033" s="1" t="s">
        <v>181</v>
      </c>
      <c r="AC2033" s="5">
        <v>42902</v>
      </c>
      <c r="AF2033" s="1">
        <v>10069</v>
      </c>
      <c r="AI2033" s="1" t="s">
        <v>1386</v>
      </c>
      <c r="AJ2033" s="1">
        <v>2016</v>
      </c>
      <c r="AK2033" s="1" t="s">
        <v>73</v>
      </c>
      <c r="AL2033" s="1">
        <v>657</v>
      </c>
    </row>
    <row r="2034" spans="1:38" x14ac:dyDescent="0.2">
      <c r="A2034" s="2" t="str">
        <f>HYPERLINK("https://www.compass.com/listing/50-riverside-boulevard-unit-6u-manhattan-ny-10069/29513637068540081/","50 Riverside Blvd, Unit 6U")</f>
        <v>50 Riverside Blvd, Unit 6U</v>
      </c>
      <c r="B2034" s="2" t="str">
        <f t="shared" si="315"/>
        <v>One Riverside Park</v>
      </c>
      <c r="C2034" s="1" t="s">
        <v>50</v>
      </c>
      <c r="D2034" s="1" t="s">
        <v>41</v>
      </c>
      <c r="E2034" s="3">
        <v>1910000</v>
      </c>
      <c r="F2034" s="1">
        <v>1564.29156429156</v>
      </c>
      <c r="G2034" s="1">
        <v>3</v>
      </c>
      <c r="H2034" s="1">
        <v>2</v>
      </c>
      <c r="I2034" s="1">
        <v>3</v>
      </c>
      <c r="J2034" s="1">
        <v>2.5</v>
      </c>
      <c r="M2034" s="4">
        <v>1221</v>
      </c>
      <c r="N2034" s="1">
        <v>1352</v>
      </c>
      <c r="O2034" s="1">
        <v>1427</v>
      </c>
      <c r="P2034" s="1">
        <v>75</v>
      </c>
      <c r="Q2034" s="1" t="s">
        <v>42</v>
      </c>
      <c r="S2034" s="1" t="s">
        <v>42</v>
      </c>
      <c r="T2034" s="1" t="s">
        <v>170</v>
      </c>
      <c r="V2034" s="5">
        <v>42998</v>
      </c>
      <c r="W2034" s="5">
        <v>42902</v>
      </c>
      <c r="X2034" s="1">
        <v>1910000</v>
      </c>
      <c r="Y2034" s="1">
        <v>1910000</v>
      </c>
      <c r="Z2034" s="5">
        <v>41809</v>
      </c>
      <c r="AB2034" s="1" t="s">
        <v>181</v>
      </c>
      <c r="AC2034" s="5">
        <v>42902</v>
      </c>
      <c r="AF2034" s="1">
        <v>10069</v>
      </c>
      <c r="AI2034" s="1" t="s">
        <v>1386</v>
      </c>
      <c r="AJ2034" s="1">
        <v>2016</v>
      </c>
      <c r="AK2034" s="1" t="s">
        <v>73</v>
      </c>
      <c r="AL2034" s="1">
        <v>657</v>
      </c>
    </row>
    <row r="2035" spans="1:38" x14ac:dyDescent="0.2">
      <c r="A2035" s="2" t="str">
        <f>HYPERLINK("https://www.compass.com/listing/50-riverside-boulevard-unit-6c-manhattan-ny-10069/29396610073095729/","50 Riverside Blvd, Unit 6C")</f>
        <v>50 Riverside Blvd, Unit 6C</v>
      </c>
      <c r="B2035" s="2" t="str">
        <f t="shared" si="315"/>
        <v>One Riverside Park</v>
      </c>
      <c r="C2035" s="1" t="s">
        <v>50</v>
      </c>
      <c r="D2035" s="1" t="s">
        <v>41</v>
      </c>
      <c r="E2035" s="3">
        <v>3200000</v>
      </c>
      <c r="F2035" s="1">
        <v>1868.06771745475</v>
      </c>
      <c r="G2035" s="1">
        <v>4</v>
      </c>
      <c r="H2035" s="1">
        <v>3</v>
      </c>
      <c r="I2035" s="1">
        <v>3</v>
      </c>
      <c r="J2035" s="1">
        <v>3</v>
      </c>
      <c r="M2035" s="4">
        <v>1713</v>
      </c>
      <c r="N2035" s="1">
        <v>1897</v>
      </c>
      <c r="O2035" s="1">
        <v>2002</v>
      </c>
      <c r="P2035" s="1">
        <v>105</v>
      </c>
      <c r="Q2035" s="1" t="s">
        <v>42</v>
      </c>
      <c r="S2035" s="1" t="s">
        <v>42</v>
      </c>
      <c r="T2035" s="1" t="s">
        <v>170</v>
      </c>
      <c r="V2035" s="5">
        <v>42998</v>
      </c>
      <c r="W2035" s="5">
        <v>42902</v>
      </c>
      <c r="X2035" s="1">
        <v>3200000</v>
      </c>
      <c r="Y2035" s="1">
        <v>3200000</v>
      </c>
      <c r="Z2035" s="5">
        <v>41681</v>
      </c>
      <c r="AB2035" s="1" t="s">
        <v>181</v>
      </c>
      <c r="AC2035" s="5">
        <v>42902</v>
      </c>
      <c r="AF2035" s="1">
        <v>10069</v>
      </c>
      <c r="AI2035" s="1" t="s">
        <v>45</v>
      </c>
      <c r="AJ2035" s="1">
        <v>2016</v>
      </c>
      <c r="AK2035" s="1" t="s">
        <v>73</v>
      </c>
      <c r="AL2035" s="1">
        <v>657</v>
      </c>
    </row>
    <row r="2036" spans="1:38" x14ac:dyDescent="0.2">
      <c r="A2036" s="2" t="str">
        <f>HYPERLINK("https://www.compass.com/listing/50-riverside-boulevard-unit-7c-manhattan-ny-10069/29396610450521153/","50 Riverside Blvd, Unit 7C")</f>
        <v>50 Riverside Blvd, Unit 7C</v>
      </c>
      <c r="B2036" s="2" t="str">
        <f t="shared" si="315"/>
        <v>One Riverside Park</v>
      </c>
      <c r="C2036" s="1" t="s">
        <v>50</v>
      </c>
      <c r="D2036" s="1" t="s">
        <v>41</v>
      </c>
      <c r="E2036" s="3">
        <v>3200000</v>
      </c>
      <c r="F2036" s="1">
        <v>1868.06771745475</v>
      </c>
      <c r="G2036" s="1">
        <v>4</v>
      </c>
      <c r="H2036" s="1">
        <v>3</v>
      </c>
      <c r="I2036" s="1">
        <v>3</v>
      </c>
      <c r="J2036" s="1">
        <v>3</v>
      </c>
      <c r="M2036" s="4">
        <v>1713</v>
      </c>
      <c r="N2036" s="1">
        <v>1898</v>
      </c>
      <c r="O2036" s="1">
        <v>2003</v>
      </c>
      <c r="P2036" s="1">
        <v>105</v>
      </c>
      <c r="Q2036" s="1" t="s">
        <v>42</v>
      </c>
      <c r="S2036" s="1" t="s">
        <v>42</v>
      </c>
      <c r="T2036" s="1" t="s">
        <v>170</v>
      </c>
      <c r="V2036" s="5">
        <v>42998</v>
      </c>
      <c r="W2036" s="5">
        <v>42902</v>
      </c>
      <c r="X2036" s="1">
        <v>3200000</v>
      </c>
      <c r="Y2036" s="1">
        <v>3200000</v>
      </c>
      <c r="Z2036" s="5">
        <v>41689</v>
      </c>
      <c r="AB2036" s="1" t="s">
        <v>181</v>
      </c>
      <c r="AC2036" s="5">
        <v>42902</v>
      </c>
      <c r="AF2036" s="1">
        <v>10069</v>
      </c>
      <c r="AI2036" s="1" t="s">
        <v>45</v>
      </c>
      <c r="AJ2036" s="1">
        <v>2016</v>
      </c>
      <c r="AK2036" s="1" t="s">
        <v>73</v>
      </c>
      <c r="AL2036" s="1">
        <v>657</v>
      </c>
    </row>
    <row r="2037" spans="1:38" x14ac:dyDescent="0.2">
      <c r="A2037" s="2" t="str">
        <f>HYPERLINK("https://www.compass.com/listing/50-riverside-boulevard-unit-24a-manhattan-ny-10069/29396590343068321/","50 Riverside Blvd, Unit 24A")</f>
        <v>50 Riverside Blvd, Unit 24A</v>
      </c>
      <c r="B2037" s="2" t="str">
        <f t="shared" si="315"/>
        <v>One Riverside Park</v>
      </c>
      <c r="C2037" s="1" t="s">
        <v>50</v>
      </c>
      <c r="D2037" s="1" t="s">
        <v>41</v>
      </c>
      <c r="E2037" s="3">
        <v>7104000</v>
      </c>
      <c r="F2037" s="1">
        <v>2226.9592476489001</v>
      </c>
      <c r="H2037" s="1">
        <v>4</v>
      </c>
      <c r="J2037" s="1">
        <v>4</v>
      </c>
      <c r="K2037" s="1">
        <v>4</v>
      </c>
      <c r="M2037" s="4">
        <v>3190</v>
      </c>
      <c r="N2037" s="1">
        <v>3561</v>
      </c>
      <c r="O2037" s="1">
        <v>3758</v>
      </c>
      <c r="P2037" s="1">
        <v>197</v>
      </c>
      <c r="Q2037" s="1" t="s">
        <v>42</v>
      </c>
      <c r="S2037" s="1" t="s">
        <v>42</v>
      </c>
      <c r="T2037" s="1" t="s">
        <v>170</v>
      </c>
      <c r="AA2037" s="1">
        <v>7104000</v>
      </c>
      <c r="AB2037" s="1" t="s">
        <v>1629</v>
      </c>
      <c r="AC2037" s="5">
        <v>42807</v>
      </c>
      <c r="AF2037" s="1">
        <v>10069</v>
      </c>
      <c r="AI2037" s="1" t="s">
        <v>45</v>
      </c>
      <c r="AJ2037" s="1">
        <v>2016</v>
      </c>
      <c r="AK2037" s="1" t="s">
        <v>46</v>
      </c>
      <c r="AL2037" s="1">
        <v>657</v>
      </c>
    </row>
    <row r="2038" spans="1:38" x14ac:dyDescent="0.2">
      <c r="A2038" s="2" t="str">
        <f>HYPERLINK("https://www.compass.com/listing/50-riverside-boulevard-unit-23b-manhattan-ny-10069/29396605123754993/","50 Riverside Blvd, Unit 23B")</f>
        <v>50 Riverside Blvd, Unit 23B</v>
      </c>
      <c r="B2038" s="2" t="str">
        <f t="shared" si="315"/>
        <v>One Riverside Park</v>
      </c>
      <c r="C2038" s="1" t="s">
        <v>50</v>
      </c>
      <c r="D2038" s="1" t="s">
        <v>41</v>
      </c>
      <c r="E2038" s="3">
        <v>7182663</v>
      </c>
      <c r="F2038" s="1">
        <v>2145.35916965352</v>
      </c>
      <c r="H2038" s="1">
        <v>4</v>
      </c>
      <c r="J2038" s="1">
        <v>4</v>
      </c>
      <c r="K2038" s="1">
        <v>4</v>
      </c>
      <c r="M2038" s="4">
        <v>3348</v>
      </c>
      <c r="N2038" s="1">
        <v>3736</v>
      </c>
      <c r="O2038" s="1">
        <v>3943</v>
      </c>
      <c r="P2038" s="1">
        <v>207</v>
      </c>
      <c r="Q2038" s="1" t="s">
        <v>42</v>
      </c>
      <c r="S2038" s="1" t="s">
        <v>42</v>
      </c>
      <c r="T2038" s="1" t="s">
        <v>170</v>
      </c>
      <c r="AA2038" s="1">
        <v>7182662.5</v>
      </c>
      <c r="AB2038" s="1" t="s">
        <v>1630</v>
      </c>
      <c r="AC2038" s="5">
        <v>42913</v>
      </c>
      <c r="AF2038" s="1">
        <v>10069</v>
      </c>
      <c r="AI2038" s="1" t="s">
        <v>45</v>
      </c>
      <c r="AJ2038" s="1">
        <v>2016</v>
      </c>
      <c r="AK2038" s="1" t="s">
        <v>46</v>
      </c>
      <c r="AL2038" s="1">
        <v>657</v>
      </c>
    </row>
    <row r="2039" spans="1:38" x14ac:dyDescent="0.2">
      <c r="A2039" s="2" t="str">
        <f>HYPERLINK("https://www.compass.com/listing/50-riverside-boulevard-unit-30b-manhattan-ny-10069/29396608487627825/","50 Riverside Blvd, Unit 30B")</f>
        <v>50 Riverside Blvd, Unit 30B</v>
      </c>
      <c r="B2039" s="2" t="str">
        <f t="shared" si="315"/>
        <v>One Riverside Park</v>
      </c>
      <c r="C2039" s="1" t="s">
        <v>50</v>
      </c>
      <c r="D2039" s="1" t="s">
        <v>41</v>
      </c>
      <c r="E2039" s="3">
        <v>8506388</v>
      </c>
      <c r="F2039" s="1">
        <v>2540.73700716845</v>
      </c>
      <c r="H2039" s="1">
        <v>4</v>
      </c>
      <c r="J2039" s="1">
        <v>4.5</v>
      </c>
      <c r="M2039" s="4">
        <v>3348</v>
      </c>
      <c r="O2039" s="1">
        <v>1</v>
      </c>
      <c r="P2039" s="1">
        <v>1</v>
      </c>
      <c r="Q2039" s="1" t="s">
        <v>42</v>
      </c>
      <c r="S2039" s="1" t="s">
        <v>42</v>
      </c>
      <c r="T2039" s="1" t="s">
        <v>170</v>
      </c>
      <c r="AA2039" s="1">
        <v>8506387.5</v>
      </c>
      <c r="AB2039" s="1" t="s">
        <v>1631</v>
      </c>
      <c r="AC2039" s="5">
        <v>42566</v>
      </c>
      <c r="AF2039" s="1">
        <v>10069</v>
      </c>
      <c r="AI2039" s="1" t="s">
        <v>45</v>
      </c>
      <c r="AJ2039" s="1">
        <v>2016</v>
      </c>
      <c r="AK2039" s="1" t="s">
        <v>46</v>
      </c>
      <c r="AL2039" s="1">
        <v>657</v>
      </c>
    </row>
    <row r="2040" spans="1:38" x14ac:dyDescent="0.2">
      <c r="A2040" s="2" t="str">
        <f>HYPERLINK("https://www.compass.com/listing/50-riverside-boulevard-unit-7l-manhattan-ny-10069/79414189654811249/","50 Riverside Blvd, Unit 7L")</f>
        <v>50 Riverside Blvd, Unit 7L</v>
      </c>
      <c r="B2040" s="2" t="str">
        <f t="shared" si="315"/>
        <v>One Riverside Park</v>
      </c>
      <c r="C2040" s="1" t="s">
        <v>50</v>
      </c>
      <c r="D2040" s="1" t="s">
        <v>41</v>
      </c>
      <c r="E2040" s="3">
        <v>4051544</v>
      </c>
      <c r="F2040" s="1">
        <v>2135.7637058513401</v>
      </c>
      <c r="H2040" s="1">
        <v>3</v>
      </c>
      <c r="J2040" s="1">
        <v>3.5</v>
      </c>
      <c r="K2040" s="1">
        <v>3</v>
      </c>
      <c r="L2040" s="1">
        <v>1</v>
      </c>
      <c r="M2040" s="4">
        <v>1897</v>
      </c>
      <c r="N2040" s="1">
        <v>2118</v>
      </c>
      <c r="O2040" s="1">
        <v>2230</v>
      </c>
      <c r="P2040" s="1">
        <v>112</v>
      </c>
      <c r="Q2040" s="1" t="s">
        <v>42</v>
      </c>
      <c r="S2040" s="1" t="s">
        <v>42</v>
      </c>
      <c r="T2040" s="1" t="s">
        <v>170</v>
      </c>
      <c r="AA2040" s="1">
        <v>4051543.75</v>
      </c>
      <c r="AB2040" s="1" t="s">
        <v>1632</v>
      </c>
      <c r="AC2040" s="5">
        <v>42272</v>
      </c>
      <c r="AF2040" s="1">
        <v>10069</v>
      </c>
      <c r="AI2040" s="1" t="s">
        <v>45</v>
      </c>
      <c r="AJ2040" s="1">
        <v>2016</v>
      </c>
      <c r="AK2040" s="1" t="s">
        <v>46</v>
      </c>
      <c r="AL2040" s="1">
        <v>657</v>
      </c>
    </row>
    <row r="2041" spans="1:38" x14ac:dyDescent="0.2">
      <c r="A2041" s="2" t="str">
        <f>HYPERLINK("https://www.compass.com/listing/50-riverside-boulevard-unit-11bc-manhattan-ny-10069/841274600037316289/","50 Riverside Blvd, Unit 11BC")</f>
        <v>50 Riverside Blvd, Unit 11BC</v>
      </c>
      <c r="B2041" s="2" t="str">
        <f t="shared" si="315"/>
        <v>One Riverside Park</v>
      </c>
      <c r="C2041" s="1" t="s">
        <v>50</v>
      </c>
      <c r="D2041" s="1" t="s">
        <v>41</v>
      </c>
      <c r="E2041" s="3">
        <v>8119453</v>
      </c>
      <c r="F2041" s="1">
        <v>2199.7974803576199</v>
      </c>
      <c r="H2041" s="1">
        <v>6</v>
      </c>
      <c r="J2041" s="1">
        <v>6</v>
      </c>
      <c r="K2041" s="1">
        <v>6</v>
      </c>
      <c r="M2041" s="4">
        <v>3691</v>
      </c>
      <c r="Q2041" s="1" t="s">
        <v>42</v>
      </c>
      <c r="S2041" s="1" t="s">
        <v>42</v>
      </c>
      <c r="T2041" s="1" t="s">
        <v>170</v>
      </c>
      <c r="AA2041" s="1">
        <v>8119452.5</v>
      </c>
      <c r="AB2041" s="1" t="s">
        <v>1633</v>
      </c>
      <c r="AC2041" s="5">
        <v>42256</v>
      </c>
      <c r="AF2041" s="1">
        <v>10069</v>
      </c>
      <c r="AI2041" s="1" t="s">
        <v>45</v>
      </c>
      <c r="AJ2041" s="1">
        <v>2016</v>
      </c>
      <c r="AK2041" s="1" t="s">
        <v>46</v>
      </c>
      <c r="AL2041" s="1">
        <v>657</v>
      </c>
    </row>
    <row r="2042" spans="1:38" x14ac:dyDescent="0.2">
      <c r="A2042" s="2" t="str">
        <f>HYPERLINK("https://www.compass.com/listing/50-riverside-boulevard-unit-17a-manhattan-ny-10069/29396587289573953/","50 Riverside Blvd, Unit 17A")</f>
        <v>50 Riverside Blvd, Unit 17A</v>
      </c>
      <c r="B2042" s="2" t="str">
        <f t="shared" si="315"/>
        <v>One Riverside Park</v>
      </c>
      <c r="C2042" s="1" t="s">
        <v>50</v>
      </c>
      <c r="D2042" s="1" t="s">
        <v>41</v>
      </c>
      <c r="E2042" s="3">
        <v>2956925</v>
      </c>
      <c r="F2042" s="1">
        <v>2128.8156947444199</v>
      </c>
      <c r="G2042" s="1">
        <v>3</v>
      </c>
      <c r="H2042" s="1">
        <v>2</v>
      </c>
      <c r="I2042" s="1">
        <v>3</v>
      </c>
      <c r="J2042" s="1">
        <v>2.5</v>
      </c>
      <c r="M2042" s="4">
        <v>1389</v>
      </c>
      <c r="N2042" s="1">
        <v>1617</v>
      </c>
      <c r="O2042" s="1">
        <v>1707</v>
      </c>
      <c r="P2042" s="1">
        <v>90</v>
      </c>
      <c r="Q2042" s="1" t="s">
        <v>42</v>
      </c>
      <c r="S2042" s="1" t="s">
        <v>42</v>
      </c>
      <c r="T2042" s="1" t="s">
        <v>170</v>
      </c>
      <c r="V2042" s="5">
        <v>43663</v>
      </c>
      <c r="W2042" s="5">
        <v>41923</v>
      </c>
      <c r="X2042" s="1">
        <v>2900000</v>
      </c>
      <c r="Y2042" s="1">
        <v>2900000</v>
      </c>
      <c r="Z2042" s="5">
        <v>41923</v>
      </c>
      <c r="AA2042" s="1">
        <v>2956925</v>
      </c>
      <c r="AB2042" s="1" t="s">
        <v>1634</v>
      </c>
      <c r="AC2042" s="5">
        <v>42416</v>
      </c>
      <c r="AF2042" s="1">
        <v>10069</v>
      </c>
      <c r="AI2042" s="1" t="s">
        <v>88</v>
      </c>
      <c r="AJ2042" s="1">
        <v>2016</v>
      </c>
      <c r="AK2042" s="1" t="s">
        <v>73</v>
      </c>
      <c r="AL2042" s="1">
        <v>657</v>
      </c>
    </row>
    <row r="2043" spans="1:38" x14ac:dyDescent="0.2">
      <c r="A2043" s="2" t="str">
        <f>HYPERLINK("https://www.compass.com/listing/50-riverside-boulevard-unit-18a-manhattan-ny-10069/29396587692268129/","50 Riverside Blvd, Unit 18A")</f>
        <v>50 Riverside Blvd, Unit 18A</v>
      </c>
      <c r="B2043" s="2" t="str">
        <f t="shared" si="315"/>
        <v>One Riverside Park</v>
      </c>
      <c r="C2043" s="1" t="s">
        <v>50</v>
      </c>
      <c r="D2043" s="1" t="s">
        <v>41</v>
      </c>
      <c r="E2043" s="3">
        <v>2804187</v>
      </c>
      <c r="F2043" s="1">
        <v>2018.8531317494601</v>
      </c>
      <c r="G2043" s="1">
        <v>3</v>
      </c>
      <c r="H2043" s="1">
        <v>2</v>
      </c>
      <c r="I2043" s="1">
        <v>3</v>
      </c>
      <c r="J2043" s="1">
        <v>2.5</v>
      </c>
      <c r="M2043" s="4">
        <v>1389</v>
      </c>
      <c r="N2043" s="1">
        <v>1547</v>
      </c>
      <c r="O2043" s="1">
        <v>1633</v>
      </c>
      <c r="P2043" s="1">
        <v>86</v>
      </c>
      <c r="Q2043" s="1" t="s">
        <v>42</v>
      </c>
      <c r="S2043" s="1" t="s">
        <v>42</v>
      </c>
      <c r="T2043" s="1" t="s">
        <v>170</v>
      </c>
      <c r="V2043" s="5">
        <v>43662</v>
      </c>
      <c r="W2043" s="5">
        <v>41923</v>
      </c>
      <c r="X2043" s="1">
        <v>2750000</v>
      </c>
      <c r="Y2043" s="1">
        <v>2750000</v>
      </c>
      <c r="Z2043" s="5">
        <v>41923</v>
      </c>
      <c r="AA2043" s="1">
        <v>2804187</v>
      </c>
      <c r="AB2043" s="1" t="s">
        <v>1635</v>
      </c>
      <c r="AC2043" s="5">
        <v>42341</v>
      </c>
      <c r="AF2043" s="1">
        <v>10069</v>
      </c>
      <c r="AI2043" s="1" t="s">
        <v>45</v>
      </c>
      <c r="AJ2043" s="1">
        <v>2016</v>
      </c>
      <c r="AK2043" s="1" t="s">
        <v>73</v>
      </c>
      <c r="AL2043" s="1">
        <v>657</v>
      </c>
    </row>
    <row r="2044" spans="1:38" x14ac:dyDescent="0.2">
      <c r="A2044" s="2" t="str">
        <f>HYPERLINK("https://www.compass.com/listing/50-riverside-boulevard-unit-19a-manhattan-ny-10069/29396588094942273/","50 Riverside Blvd, Unit 19A")</f>
        <v>50 Riverside Blvd, Unit 19A</v>
      </c>
      <c r="B2044" s="2" t="str">
        <f t="shared" si="315"/>
        <v>One Riverside Park</v>
      </c>
      <c r="C2044" s="1" t="s">
        <v>50</v>
      </c>
      <c r="D2044" s="1" t="s">
        <v>41</v>
      </c>
      <c r="E2044" s="3">
        <v>2855100</v>
      </c>
      <c r="F2044" s="1">
        <v>2055.5075593952402</v>
      </c>
      <c r="G2044" s="1">
        <v>3</v>
      </c>
      <c r="H2044" s="1">
        <v>2</v>
      </c>
      <c r="I2044" s="1">
        <v>3</v>
      </c>
      <c r="J2044" s="1">
        <v>2.5</v>
      </c>
      <c r="M2044" s="4">
        <v>1389</v>
      </c>
      <c r="N2044" s="1">
        <v>1547</v>
      </c>
      <c r="O2044" s="1">
        <v>1633</v>
      </c>
      <c r="P2044" s="1">
        <v>86</v>
      </c>
      <c r="Q2044" s="1" t="s">
        <v>42</v>
      </c>
      <c r="S2044" s="1" t="s">
        <v>42</v>
      </c>
      <c r="T2044" s="1" t="s">
        <v>170</v>
      </c>
      <c r="V2044" s="5">
        <v>43664</v>
      </c>
      <c r="W2044" s="5">
        <v>41923</v>
      </c>
      <c r="X2044" s="1">
        <v>2800000</v>
      </c>
      <c r="Y2044" s="1">
        <v>2800000</v>
      </c>
      <c r="Z2044" s="5">
        <v>41923</v>
      </c>
      <c r="AA2044" s="1">
        <v>2855100</v>
      </c>
      <c r="AB2044" s="1" t="s">
        <v>1636</v>
      </c>
      <c r="AC2044" s="5">
        <v>42353</v>
      </c>
      <c r="AF2044" s="1">
        <v>10069</v>
      </c>
      <c r="AI2044" s="1" t="s">
        <v>45</v>
      </c>
      <c r="AJ2044" s="1">
        <v>2016</v>
      </c>
      <c r="AK2044" s="1" t="s">
        <v>73</v>
      </c>
      <c r="AL2044" s="1">
        <v>657</v>
      </c>
    </row>
    <row r="2045" spans="1:38" x14ac:dyDescent="0.2">
      <c r="A2045" s="2" t="str">
        <f>HYPERLINK("https://www.compass.com/listing/50-riverside-boulevard-unit-4b-manhattan-ny-10069/29396595955068161/","50 Riverside Blvd, Unit 4B")</f>
        <v>50 Riverside Blvd, Unit 4B</v>
      </c>
      <c r="B2045" s="2" t="str">
        <f t="shared" si="315"/>
        <v>One Riverside Park</v>
      </c>
      <c r="C2045" s="1" t="s">
        <v>50</v>
      </c>
      <c r="D2045" s="1" t="s">
        <v>41</v>
      </c>
      <c r="E2045" s="3">
        <v>2498712</v>
      </c>
      <c r="F2045" s="1">
        <v>1669.1462925851699</v>
      </c>
      <c r="G2045" s="1">
        <v>4</v>
      </c>
      <c r="H2045" s="1">
        <v>2</v>
      </c>
      <c r="I2045" s="1">
        <v>3</v>
      </c>
      <c r="J2045" s="1">
        <v>2.5</v>
      </c>
      <c r="M2045" s="4">
        <v>1497</v>
      </c>
      <c r="N2045" s="1">
        <v>1656</v>
      </c>
      <c r="O2045" s="1">
        <v>1748</v>
      </c>
      <c r="P2045" s="1">
        <v>92</v>
      </c>
      <c r="Q2045" s="1" t="s">
        <v>42</v>
      </c>
      <c r="S2045" s="1" t="s">
        <v>42</v>
      </c>
      <c r="T2045" s="1" t="s">
        <v>170</v>
      </c>
      <c r="V2045" s="5">
        <v>43663</v>
      </c>
      <c r="W2045" s="5">
        <v>41923</v>
      </c>
      <c r="X2045" s="1">
        <v>2450000</v>
      </c>
      <c r="Y2045" s="1">
        <v>245000</v>
      </c>
      <c r="Z2045" s="5">
        <v>41923</v>
      </c>
      <c r="AA2045" s="1">
        <v>2498712</v>
      </c>
      <c r="AB2045" s="1" t="s">
        <v>1637</v>
      </c>
      <c r="AC2045" s="5">
        <v>42231</v>
      </c>
      <c r="AF2045" s="1">
        <v>10069</v>
      </c>
      <c r="AI2045" s="1" t="s">
        <v>45</v>
      </c>
      <c r="AJ2045" s="1">
        <v>2016</v>
      </c>
      <c r="AK2045" s="1" t="s">
        <v>73</v>
      </c>
      <c r="AL2045" s="1">
        <v>657</v>
      </c>
    </row>
    <row r="2046" spans="1:38" x14ac:dyDescent="0.2">
      <c r="A2046" s="2" t="str">
        <f>HYPERLINK("https://www.compass.com/listing/50-riverside-boulevard-unit-6b-manhattan-ny-10069/29396597615991569/","50 Riverside Blvd, Unit 6B")</f>
        <v>50 Riverside Blvd, Unit 6B</v>
      </c>
      <c r="B2046" s="2" t="str">
        <f t="shared" si="315"/>
        <v>One Riverside Park</v>
      </c>
      <c r="C2046" s="1" t="s">
        <v>50</v>
      </c>
      <c r="D2046" s="1" t="s">
        <v>41</v>
      </c>
      <c r="E2046" s="3">
        <v>2498712</v>
      </c>
      <c r="F2046" s="1">
        <v>1669.1462925851699</v>
      </c>
      <c r="G2046" s="1">
        <v>3</v>
      </c>
      <c r="H2046" s="1">
        <v>2</v>
      </c>
      <c r="I2046" s="1">
        <v>3</v>
      </c>
      <c r="J2046" s="1">
        <v>2.5</v>
      </c>
      <c r="M2046" s="4">
        <v>1497</v>
      </c>
      <c r="N2046" s="1">
        <v>1658</v>
      </c>
      <c r="O2046" s="1">
        <v>1750</v>
      </c>
      <c r="P2046" s="1">
        <v>92</v>
      </c>
      <c r="Q2046" s="1" t="s">
        <v>42</v>
      </c>
      <c r="S2046" s="1" t="s">
        <v>42</v>
      </c>
      <c r="T2046" s="1" t="s">
        <v>170</v>
      </c>
      <c r="V2046" s="5">
        <v>43663</v>
      </c>
      <c r="W2046" s="5">
        <v>41923</v>
      </c>
      <c r="X2046" s="1">
        <v>2450000</v>
      </c>
      <c r="Y2046" s="1">
        <v>2450000</v>
      </c>
      <c r="Z2046" s="5">
        <v>41923</v>
      </c>
      <c r="AA2046" s="1">
        <v>2498712</v>
      </c>
      <c r="AB2046" s="1" t="s">
        <v>1638</v>
      </c>
      <c r="AC2046" s="5">
        <v>42270</v>
      </c>
      <c r="AF2046" s="1">
        <v>10069</v>
      </c>
      <c r="AI2046" s="1" t="s">
        <v>45</v>
      </c>
      <c r="AJ2046" s="1">
        <v>2016</v>
      </c>
      <c r="AK2046" s="1" t="s">
        <v>73</v>
      </c>
      <c r="AL2046" s="1">
        <v>657</v>
      </c>
    </row>
    <row r="2047" spans="1:38" x14ac:dyDescent="0.2">
      <c r="A2047" s="2" t="str">
        <f>HYPERLINK("https://www.compass.com/listing/50-riverside-boulevard-unit-7b-manhattan-ny-10069/29396598672915233/","50 Riverside Blvd, Unit 7B")</f>
        <v>50 Riverside Blvd, Unit 7B</v>
      </c>
      <c r="B2047" s="2" t="str">
        <f t="shared" si="315"/>
        <v>One Riverside Park</v>
      </c>
      <c r="C2047" s="1" t="s">
        <v>50</v>
      </c>
      <c r="D2047" s="1" t="s">
        <v>41</v>
      </c>
      <c r="E2047" s="3">
        <v>2814370</v>
      </c>
      <c r="F2047" s="1">
        <v>1880.00668002672</v>
      </c>
      <c r="G2047" s="1">
        <v>3</v>
      </c>
      <c r="H2047" s="1">
        <v>2</v>
      </c>
      <c r="I2047" s="1">
        <v>3</v>
      </c>
      <c r="J2047" s="1">
        <v>2.5</v>
      </c>
      <c r="M2047" s="4">
        <v>1497</v>
      </c>
      <c r="N2047" s="1">
        <v>1659</v>
      </c>
      <c r="O2047" s="1">
        <v>1751</v>
      </c>
      <c r="P2047" s="1">
        <v>92</v>
      </c>
      <c r="Q2047" s="1" t="s">
        <v>42</v>
      </c>
      <c r="S2047" s="1" t="s">
        <v>42</v>
      </c>
      <c r="T2047" s="1" t="s">
        <v>170</v>
      </c>
      <c r="V2047" s="5">
        <v>43672</v>
      </c>
      <c r="W2047" s="5">
        <v>41924</v>
      </c>
      <c r="X2047" s="1">
        <v>2760000</v>
      </c>
      <c r="Y2047" s="1">
        <v>2760000</v>
      </c>
      <c r="Z2047" s="5">
        <v>41924</v>
      </c>
      <c r="AA2047" s="1">
        <v>2814370</v>
      </c>
      <c r="AB2047" s="1" t="s">
        <v>1639</v>
      </c>
      <c r="AC2047" s="5">
        <v>42265</v>
      </c>
      <c r="AF2047" s="1">
        <v>10069</v>
      </c>
      <c r="AI2047" s="1" t="s">
        <v>45</v>
      </c>
      <c r="AJ2047" s="1">
        <v>2016</v>
      </c>
      <c r="AK2047" s="1" t="s">
        <v>73</v>
      </c>
      <c r="AL2047" s="1">
        <v>657</v>
      </c>
    </row>
    <row r="2048" spans="1:38" x14ac:dyDescent="0.2">
      <c r="A2048" s="2" t="str">
        <f>HYPERLINK("https://www.compass.com/listing/50-riverside-boulevard-unit-17d-manhattan-ny-10069/29396620961488129/","50 Riverside Blvd, Unit 17D")</f>
        <v>50 Riverside Blvd, Unit 17D</v>
      </c>
      <c r="B2048" s="2" t="str">
        <f t="shared" si="315"/>
        <v>One Riverside Park</v>
      </c>
      <c r="C2048" s="1" t="s">
        <v>50</v>
      </c>
      <c r="D2048" s="1" t="s">
        <v>41</v>
      </c>
      <c r="E2048" s="3">
        <v>2855100</v>
      </c>
      <c r="F2048" s="1">
        <v>2148.3069977426599</v>
      </c>
      <c r="G2048" s="1">
        <v>3</v>
      </c>
      <c r="H2048" s="1">
        <v>2</v>
      </c>
      <c r="I2048" s="1">
        <v>3</v>
      </c>
      <c r="J2048" s="1">
        <v>2.5</v>
      </c>
      <c r="M2048" s="4">
        <v>1329</v>
      </c>
      <c r="N2048" s="1">
        <v>1616</v>
      </c>
      <c r="O2048" s="1">
        <v>1706</v>
      </c>
      <c r="P2048" s="1">
        <v>90</v>
      </c>
      <c r="Q2048" s="1" t="s">
        <v>42</v>
      </c>
      <c r="S2048" s="1" t="s">
        <v>42</v>
      </c>
      <c r="T2048" s="1" t="s">
        <v>170</v>
      </c>
      <c r="V2048" s="5">
        <v>43664</v>
      </c>
      <c r="W2048" s="5">
        <v>41558</v>
      </c>
      <c r="X2048" s="1">
        <v>2800000</v>
      </c>
      <c r="Y2048" s="1">
        <v>2800000</v>
      </c>
      <c r="Z2048" s="5">
        <v>41558</v>
      </c>
      <c r="AA2048" s="1">
        <v>2855100</v>
      </c>
      <c r="AB2048" s="1" t="s">
        <v>1640</v>
      </c>
      <c r="AC2048" s="5">
        <v>42416</v>
      </c>
      <c r="AF2048" s="1">
        <v>10069</v>
      </c>
      <c r="AI2048" s="1" t="s">
        <v>1641</v>
      </c>
      <c r="AJ2048" s="1">
        <v>2016</v>
      </c>
      <c r="AK2048" s="1" t="s">
        <v>73</v>
      </c>
      <c r="AL2048" s="1">
        <v>657</v>
      </c>
    </row>
    <row r="2049" spans="1:38" x14ac:dyDescent="0.2">
      <c r="A2049" s="2" t="str">
        <f>HYPERLINK("https://www.compass.com/listing/50-riverside-boulevard-unit-18d-manhattan-ny-10069/29396621406105313/","50 Riverside Blvd, Unit 18D")</f>
        <v>50 Riverside Blvd, Unit 18D</v>
      </c>
      <c r="B2049" s="2" t="str">
        <f t="shared" si="315"/>
        <v>One Riverside Park</v>
      </c>
      <c r="C2049" s="1" t="s">
        <v>50</v>
      </c>
      <c r="D2049" s="1" t="s">
        <v>41</v>
      </c>
      <c r="E2049" s="3">
        <v>2600537</v>
      </c>
      <c r="F2049" s="1">
        <v>1956.7622272385199</v>
      </c>
      <c r="G2049" s="1">
        <v>3</v>
      </c>
      <c r="H2049" s="1">
        <v>2</v>
      </c>
      <c r="I2049" s="1">
        <v>3</v>
      </c>
      <c r="J2049" s="1">
        <v>2.5</v>
      </c>
      <c r="M2049" s="4">
        <v>1329</v>
      </c>
      <c r="N2049" s="1">
        <v>1480</v>
      </c>
      <c r="O2049" s="1">
        <v>1562</v>
      </c>
      <c r="P2049" s="1">
        <v>82</v>
      </c>
      <c r="Q2049" s="1" t="s">
        <v>42</v>
      </c>
      <c r="S2049" s="1" t="s">
        <v>42</v>
      </c>
      <c r="T2049" s="1" t="s">
        <v>170</v>
      </c>
      <c r="V2049" s="5">
        <v>43664</v>
      </c>
      <c r="W2049" s="5">
        <v>41923</v>
      </c>
      <c r="X2049" s="1">
        <v>2550000</v>
      </c>
      <c r="Y2049" s="1">
        <v>2550000</v>
      </c>
      <c r="Z2049" s="5">
        <v>41923</v>
      </c>
      <c r="AA2049" s="1">
        <v>2600537</v>
      </c>
      <c r="AB2049" s="1" t="s">
        <v>1642</v>
      </c>
      <c r="AC2049" s="5">
        <v>42377</v>
      </c>
      <c r="AF2049" s="1">
        <v>10069</v>
      </c>
      <c r="AI2049" s="1" t="s">
        <v>45</v>
      </c>
      <c r="AJ2049" s="1">
        <v>2016</v>
      </c>
      <c r="AK2049" s="1" t="s">
        <v>73</v>
      </c>
      <c r="AL2049" s="1">
        <v>657</v>
      </c>
    </row>
    <row r="2050" spans="1:38" x14ac:dyDescent="0.2">
      <c r="A2050" s="2" t="str">
        <f>HYPERLINK("https://www.compass.com/listing/50-riverside-boulevard-unit-19d-manhattan-ny-10069/29396621808696577/","50 Riverside Blvd, Unit 19D")</f>
        <v>50 Riverside Blvd, Unit 19D</v>
      </c>
      <c r="B2050" s="2" t="str">
        <f t="shared" si="315"/>
        <v>One Riverside Park</v>
      </c>
      <c r="C2050" s="1" t="s">
        <v>50</v>
      </c>
      <c r="D2050" s="1" t="s">
        <v>41</v>
      </c>
      <c r="E2050" s="3">
        <v>2895830</v>
      </c>
      <c r="F2050" s="1">
        <v>2178.9541008276901</v>
      </c>
      <c r="G2050" s="1">
        <v>3</v>
      </c>
      <c r="H2050" s="1">
        <v>2</v>
      </c>
      <c r="I2050" s="1">
        <v>3</v>
      </c>
      <c r="J2050" s="1">
        <v>2.5</v>
      </c>
      <c r="M2050" s="4">
        <v>1329</v>
      </c>
      <c r="N2050" s="1">
        <v>1481</v>
      </c>
      <c r="O2050" s="1">
        <v>1563</v>
      </c>
      <c r="P2050" s="1">
        <v>82</v>
      </c>
      <c r="Q2050" s="1" t="s">
        <v>42</v>
      </c>
      <c r="S2050" s="1" t="s">
        <v>42</v>
      </c>
      <c r="T2050" s="1" t="s">
        <v>170</v>
      </c>
      <c r="V2050" s="5">
        <v>43668</v>
      </c>
      <c r="W2050" s="5">
        <v>41924</v>
      </c>
      <c r="X2050" s="1">
        <v>2840000</v>
      </c>
      <c r="Y2050" s="1">
        <v>2840000</v>
      </c>
      <c r="Z2050" s="5">
        <v>41924</v>
      </c>
      <c r="AA2050" s="1">
        <v>2895830</v>
      </c>
      <c r="AB2050" s="1" t="s">
        <v>1643</v>
      </c>
      <c r="AC2050" s="5">
        <v>42375</v>
      </c>
      <c r="AF2050" s="1">
        <v>10069</v>
      </c>
      <c r="AI2050" s="1" t="s">
        <v>45</v>
      </c>
      <c r="AJ2050" s="1">
        <v>2016</v>
      </c>
      <c r="AK2050" s="1" t="s">
        <v>73</v>
      </c>
      <c r="AL2050" s="1">
        <v>657</v>
      </c>
    </row>
    <row r="2051" spans="1:38" x14ac:dyDescent="0.2">
      <c r="A2051" s="2" t="str">
        <f>HYPERLINK("https://www.compass.com/listing/50-riverside-boulevard-unit-20d-manhattan-ny-10069/29396622152670497/","50 Riverside Blvd, Unit 20D")</f>
        <v>50 Riverside Blvd, Unit 20D</v>
      </c>
      <c r="B2051" s="2" t="str">
        <f t="shared" si="315"/>
        <v>One Riverside Park</v>
      </c>
      <c r="C2051" s="1" t="s">
        <v>50</v>
      </c>
      <c r="D2051" s="1" t="s">
        <v>41</v>
      </c>
      <c r="E2051" s="3">
        <v>2600537</v>
      </c>
      <c r="F2051" s="1">
        <v>1956.7622272385199</v>
      </c>
      <c r="G2051" s="1">
        <v>3</v>
      </c>
      <c r="H2051" s="1">
        <v>2</v>
      </c>
      <c r="I2051" s="1">
        <v>3</v>
      </c>
      <c r="J2051" s="1">
        <v>2.5</v>
      </c>
      <c r="M2051" s="4">
        <v>1329</v>
      </c>
      <c r="N2051" s="1">
        <v>1481</v>
      </c>
      <c r="O2051" s="1">
        <v>1563</v>
      </c>
      <c r="P2051" s="1">
        <v>82</v>
      </c>
      <c r="Q2051" s="1" t="s">
        <v>42</v>
      </c>
      <c r="S2051" s="1" t="s">
        <v>42</v>
      </c>
      <c r="T2051" s="1" t="s">
        <v>170</v>
      </c>
      <c r="V2051" s="5">
        <v>43673</v>
      </c>
      <c r="W2051" s="5">
        <v>41923</v>
      </c>
      <c r="X2051" s="1">
        <v>2550000</v>
      </c>
      <c r="Y2051" s="1">
        <v>2550000</v>
      </c>
      <c r="Z2051" s="5">
        <v>41923</v>
      </c>
      <c r="AA2051" s="1">
        <v>2600537</v>
      </c>
      <c r="AB2051" s="1" t="s">
        <v>1644</v>
      </c>
      <c r="AC2051" s="5">
        <v>42354</v>
      </c>
      <c r="AF2051" s="1">
        <v>10069</v>
      </c>
      <c r="AI2051" s="1" t="s">
        <v>45</v>
      </c>
      <c r="AJ2051" s="1">
        <v>2016</v>
      </c>
      <c r="AK2051" s="1" t="s">
        <v>73</v>
      </c>
      <c r="AL2051" s="1">
        <v>657</v>
      </c>
    </row>
    <row r="2052" spans="1:38" x14ac:dyDescent="0.2">
      <c r="A2052" s="2" t="str">
        <f>HYPERLINK("https://www.compass.com/listing/50-riverside-boulevard-unit-12h-manhattan-ny-10069/29396639894576753/","50 Riverside Blvd, Unit 12H")</f>
        <v>50 Riverside Blvd, Unit 12H</v>
      </c>
      <c r="B2052" s="2" t="str">
        <f t="shared" si="315"/>
        <v>One Riverside Park</v>
      </c>
      <c r="C2052" s="1" t="s">
        <v>50</v>
      </c>
      <c r="D2052" s="1" t="s">
        <v>41</v>
      </c>
      <c r="E2052" s="3">
        <v>2569990</v>
      </c>
      <c r="F2052" s="1">
        <v>1659.1284699806299</v>
      </c>
      <c r="G2052" s="1">
        <v>4</v>
      </c>
      <c r="H2052" s="1">
        <v>2</v>
      </c>
      <c r="I2052" s="1">
        <v>3</v>
      </c>
      <c r="J2052" s="1">
        <v>2.5</v>
      </c>
      <c r="M2052" s="4">
        <v>1549</v>
      </c>
      <c r="N2052" s="1">
        <v>1721</v>
      </c>
      <c r="O2052" s="1">
        <v>1816</v>
      </c>
      <c r="P2052" s="1">
        <v>95</v>
      </c>
      <c r="Q2052" s="1" t="s">
        <v>42</v>
      </c>
      <c r="S2052" s="1" t="s">
        <v>42</v>
      </c>
      <c r="T2052" s="1" t="s">
        <v>170</v>
      </c>
      <c r="V2052" s="5">
        <v>43663</v>
      </c>
      <c r="W2052" s="5">
        <v>41924</v>
      </c>
      <c r="X2052" s="1">
        <v>2520000</v>
      </c>
      <c r="Y2052" s="1">
        <v>2520000</v>
      </c>
      <c r="Z2052" s="5">
        <v>41924</v>
      </c>
      <c r="AA2052" s="1">
        <v>2569990</v>
      </c>
      <c r="AB2052" s="1" t="s">
        <v>1645</v>
      </c>
      <c r="AC2052" s="5">
        <v>42338</v>
      </c>
      <c r="AF2052" s="1">
        <v>10069</v>
      </c>
      <c r="AI2052" s="1" t="s">
        <v>45</v>
      </c>
      <c r="AJ2052" s="1">
        <v>2016</v>
      </c>
      <c r="AK2052" s="1" t="s">
        <v>73</v>
      </c>
      <c r="AL2052" s="1">
        <v>657</v>
      </c>
    </row>
    <row r="2053" spans="1:38" x14ac:dyDescent="0.2">
      <c r="A2053" s="2" t="str">
        <f>HYPERLINK("https://www.compass.com/listing/50-riverside-boulevard-unit-14h-manhattan-ny-10069/29396640255307889/","50 Riverside Blvd, Unit 14H")</f>
        <v>50 Riverside Blvd, Unit 14H</v>
      </c>
      <c r="B2053" s="2" t="str">
        <f t="shared" si="315"/>
        <v>One Riverside Park</v>
      </c>
      <c r="C2053" s="1" t="s">
        <v>50</v>
      </c>
      <c r="D2053" s="1" t="s">
        <v>41</v>
      </c>
      <c r="E2053" s="3">
        <v>2708545</v>
      </c>
      <c r="F2053" s="1">
        <v>1748.5765009683601</v>
      </c>
      <c r="G2053" s="1">
        <v>4</v>
      </c>
      <c r="H2053" s="1">
        <v>2</v>
      </c>
      <c r="I2053" s="1">
        <v>3</v>
      </c>
      <c r="J2053" s="1">
        <v>2.5</v>
      </c>
      <c r="M2053" s="4">
        <v>1549</v>
      </c>
      <c r="N2053" s="1">
        <v>1721</v>
      </c>
      <c r="O2053" s="1">
        <v>1816</v>
      </c>
      <c r="P2053" s="1">
        <v>95</v>
      </c>
      <c r="Q2053" s="1" t="s">
        <v>42</v>
      </c>
      <c r="S2053" s="1" t="s">
        <v>42</v>
      </c>
      <c r="T2053" s="1" t="s">
        <v>170</v>
      </c>
      <c r="V2053" s="5">
        <v>43668</v>
      </c>
      <c r="W2053" s="5">
        <v>41924</v>
      </c>
      <c r="X2053" s="1">
        <v>2660000</v>
      </c>
      <c r="Y2053" s="1">
        <v>2660000</v>
      </c>
      <c r="Z2053" s="5">
        <v>41924</v>
      </c>
      <c r="AA2053" s="1">
        <v>2708545</v>
      </c>
      <c r="AB2053" s="1" t="s">
        <v>1646</v>
      </c>
      <c r="AC2053" s="5">
        <v>42375</v>
      </c>
      <c r="AF2053" s="1">
        <v>10069</v>
      </c>
      <c r="AI2053" s="1" t="s">
        <v>45</v>
      </c>
      <c r="AJ2053" s="1">
        <v>2016</v>
      </c>
      <c r="AK2053" s="1" t="s">
        <v>73</v>
      </c>
      <c r="AL2053" s="1">
        <v>657</v>
      </c>
    </row>
    <row r="2054" spans="1:38" x14ac:dyDescent="0.2">
      <c r="A2054" s="2" t="str">
        <f>HYPERLINK("https://www.compass.com/listing/50-riverside-boulevard-unit-15m-manhattan-ny-10069/29396661486854129/","50 Riverside Blvd, Unit 15M")</f>
        <v>50 Riverside Blvd, Unit 15M</v>
      </c>
      <c r="B2054" s="2" t="str">
        <f t="shared" si="315"/>
        <v>One Riverside Park</v>
      </c>
      <c r="C2054" s="1" t="s">
        <v>50</v>
      </c>
      <c r="D2054" s="1" t="s">
        <v>41</v>
      </c>
      <c r="E2054" s="3">
        <v>2519077</v>
      </c>
      <c r="F2054" s="1">
        <v>1911.2875569043999</v>
      </c>
      <c r="G2054" s="1">
        <v>3</v>
      </c>
      <c r="H2054" s="1">
        <v>2</v>
      </c>
      <c r="I2054" s="1">
        <v>3</v>
      </c>
      <c r="J2054" s="1">
        <v>2.5</v>
      </c>
      <c r="M2054" s="4">
        <v>1318</v>
      </c>
      <c r="N2054" s="1">
        <v>1465</v>
      </c>
      <c r="O2054" s="1">
        <v>1546</v>
      </c>
      <c r="P2054" s="1">
        <v>81</v>
      </c>
      <c r="Q2054" s="1" t="s">
        <v>42</v>
      </c>
      <c r="S2054" s="1" t="s">
        <v>42</v>
      </c>
      <c r="T2054" s="1" t="s">
        <v>170</v>
      </c>
      <c r="V2054" s="5">
        <v>43670</v>
      </c>
      <c r="W2054" s="5">
        <v>41923</v>
      </c>
      <c r="X2054" s="1">
        <v>2470000</v>
      </c>
      <c r="Y2054" s="1">
        <v>2470000</v>
      </c>
      <c r="Z2054" s="5">
        <v>41923</v>
      </c>
      <c r="AA2054" s="1">
        <v>2519077</v>
      </c>
      <c r="AB2054" s="1" t="s">
        <v>1647</v>
      </c>
      <c r="AC2054" s="5">
        <v>42328</v>
      </c>
      <c r="AF2054" s="1">
        <v>10069</v>
      </c>
      <c r="AI2054" s="1" t="s">
        <v>45</v>
      </c>
      <c r="AJ2054" s="1">
        <v>2016</v>
      </c>
      <c r="AK2054" s="1" t="s">
        <v>73</v>
      </c>
      <c r="AL2054" s="1">
        <v>657</v>
      </c>
    </row>
    <row r="2055" spans="1:38" x14ac:dyDescent="0.2">
      <c r="A2055" s="2" t="str">
        <f>HYPERLINK("https://www.compass.com/listing/50-riverside-boulevard-unit-16m-manhattan-ny-10069/29396661881139793/","50 Riverside Blvd, Unit 16M")</f>
        <v>50 Riverside Blvd, Unit 16M</v>
      </c>
      <c r="B2055" s="2" t="str">
        <f t="shared" si="315"/>
        <v>One Riverside Park</v>
      </c>
      <c r="C2055" s="1" t="s">
        <v>50</v>
      </c>
      <c r="D2055" s="1" t="s">
        <v>41</v>
      </c>
      <c r="E2055" s="3">
        <v>2763457</v>
      </c>
      <c r="F2055" s="1">
        <v>2096.7048558421802</v>
      </c>
      <c r="G2055" s="1">
        <v>3</v>
      </c>
      <c r="H2055" s="1">
        <v>2</v>
      </c>
      <c r="I2055" s="1">
        <v>3</v>
      </c>
      <c r="J2055" s="1">
        <v>2.5</v>
      </c>
      <c r="M2055" s="4">
        <v>1318</v>
      </c>
      <c r="N2055" s="1">
        <v>1466</v>
      </c>
      <c r="O2055" s="1">
        <v>1547</v>
      </c>
      <c r="P2055" s="1">
        <v>81</v>
      </c>
      <c r="Q2055" s="1" t="s">
        <v>42</v>
      </c>
      <c r="S2055" s="1" t="s">
        <v>42</v>
      </c>
      <c r="T2055" s="1" t="s">
        <v>170</v>
      </c>
      <c r="V2055" s="5">
        <v>43670</v>
      </c>
      <c r="W2055" s="5">
        <v>41924</v>
      </c>
      <c r="X2055" s="1">
        <v>2710000</v>
      </c>
      <c r="Y2055" s="1">
        <v>2710000</v>
      </c>
      <c r="Z2055" s="5">
        <v>41924</v>
      </c>
      <c r="AA2055" s="1">
        <v>2763457</v>
      </c>
      <c r="AB2055" s="1" t="s">
        <v>1648</v>
      </c>
      <c r="AC2055" s="5">
        <v>42327</v>
      </c>
      <c r="AF2055" s="1">
        <v>10069</v>
      </c>
      <c r="AI2055" s="1" t="s">
        <v>45</v>
      </c>
      <c r="AJ2055" s="1">
        <v>2016</v>
      </c>
      <c r="AK2055" s="1" t="s">
        <v>73</v>
      </c>
      <c r="AL2055" s="1">
        <v>657</v>
      </c>
    </row>
    <row r="2056" spans="1:38" x14ac:dyDescent="0.2">
      <c r="A2056" s="2" t="str">
        <f>HYPERLINK("https://www.compass.com/listing/50-riverside-boulevard-unit-12n-manhattan-ny-10069/29396666251542545/","50 Riverside Blvd, Unit 12N")</f>
        <v>50 Riverside Blvd, Unit 12N</v>
      </c>
      <c r="B2056" s="2" t="str">
        <f t="shared" si="315"/>
        <v>One Riverside Park</v>
      </c>
      <c r="C2056" s="1" t="s">
        <v>50</v>
      </c>
      <c r="D2056" s="1" t="s">
        <v>41</v>
      </c>
      <c r="E2056" s="3">
        <v>2488530</v>
      </c>
      <c r="F2056" s="1">
        <v>1763.66406803685</v>
      </c>
      <c r="G2056" s="1">
        <v>3</v>
      </c>
      <c r="H2056" s="1">
        <v>2</v>
      </c>
      <c r="I2056" s="1">
        <v>3</v>
      </c>
      <c r="J2056" s="1">
        <v>2.5</v>
      </c>
      <c r="M2056" s="4">
        <v>1411</v>
      </c>
      <c r="N2056" s="1">
        <v>1567</v>
      </c>
      <c r="O2056" s="1">
        <v>1654</v>
      </c>
      <c r="P2056" s="1">
        <v>87</v>
      </c>
      <c r="Q2056" s="1" t="s">
        <v>42</v>
      </c>
      <c r="S2056" s="1" t="s">
        <v>42</v>
      </c>
      <c r="T2056" s="1" t="s">
        <v>170</v>
      </c>
      <c r="V2056" s="5">
        <v>43663</v>
      </c>
      <c r="W2056" s="5">
        <v>41924</v>
      </c>
      <c r="X2056" s="1">
        <v>2440000</v>
      </c>
      <c r="Y2056" s="1">
        <v>2440000</v>
      </c>
      <c r="Z2056" s="5">
        <v>41924</v>
      </c>
      <c r="AA2056" s="1">
        <v>2488530</v>
      </c>
      <c r="AB2056" s="1" t="s">
        <v>1649</v>
      </c>
      <c r="AC2056" s="5">
        <v>42328</v>
      </c>
      <c r="AF2056" s="1">
        <v>10069</v>
      </c>
      <c r="AI2056" s="1" t="s">
        <v>45</v>
      </c>
      <c r="AJ2056" s="1">
        <v>2016</v>
      </c>
      <c r="AK2056" s="1" t="s">
        <v>73</v>
      </c>
      <c r="AL2056" s="1">
        <v>657</v>
      </c>
    </row>
    <row r="2057" spans="1:38" x14ac:dyDescent="0.2">
      <c r="A2057" s="2" t="str">
        <f>HYPERLINK("https://www.compass.com/listing/375-west-123rd-street-unit-7b-manhattan-ny-10027/652882401899479841/","375 W 123rd St, Unit 7B")</f>
        <v>375 W 123rd St, Unit 7B</v>
      </c>
      <c r="B2057" s="2" t="str">
        <f>HYPERLINK("https://www.compass.com/building/99-morningside-manhattan-ny/281983676789660549/","99 Morningside")</f>
        <v>99 Morningside</v>
      </c>
      <c r="C2057" s="1" t="s">
        <v>106</v>
      </c>
      <c r="D2057" s="1" t="s">
        <v>41</v>
      </c>
      <c r="E2057" s="3">
        <v>2650000</v>
      </c>
      <c r="F2057" s="1">
        <v>1434.7590687601501</v>
      </c>
      <c r="G2057" s="1">
        <v>6</v>
      </c>
      <c r="H2057" s="1">
        <v>4</v>
      </c>
      <c r="I2057" s="1">
        <v>3</v>
      </c>
      <c r="J2057" s="1">
        <v>2</v>
      </c>
      <c r="K2057" s="1">
        <v>2</v>
      </c>
      <c r="M2057" s="4">
        <v>1847</v>
      </c>
      <c r="N2057" s="1">
        <v>1674</v>
      </c>
      <c r="O2057" s="1">
        <v>3285</v>
      </c>
      <c r="P2057" s="1">
        <v>1611</v>
      </c>
      <c r="Q2057" s="1" t="s">
        <v>42</v>
      </c>
      <c r="S2057" s="1" t="s">
        <v>42</v>
      </c>
      <c r="T2057" s="1" t="s">
        <v>170</v>
      </c>
      <c r="U2057" s="1">
        <v>211</v>
      </c>
      <c r="V2057" s="5">
        <v>44394</v>
      </c>
      <c r="W2057" s="5">
        <v>44152</v>
      </c>
      <c r="X2057" s="1">
        <v>2750000</v>
      </c>
      <c r="Y2057" s="1">
        <v>2750000</v>
      </c>
      <c r="Z2057" s="5">
        <v>44363</v>
      </c>
      <c r="AA2057" s="1">
        <v>2650000</v>
      </c>
      <c r="AB2057" s="1" t="s">
        <v>181</v>
      </c>
      <c r="AC2057" s="5">
        <v>44392</v>
      </c>
      <c r="AF2057" s="1">
        <v>10027</v>
      </c>
      <c r="AI2057" s="1" t="s">
        <v>122</v>
      </c>
      <c r="AJ2057" s="1">
        <v>2016</v>
      </c>
      <c r="AK2057" s="1" t="s">
        <v>108</v>
      </c>
      <c r="AL2057" s="1">
        <v>22</v>
      </c>
    </row>
    <row r="2058" spans="1:38" x14ac:dyDescent="0.2">
      <c r="A2058" s="2" t="str">
        <f>HYPERLINK("https://www.compass.com/listing/321-west-110th-street-unit-6c-manhattan-ny-10026/616617628905312049/","321 W 110th St, Unit 6C")</f>
        <v>321 W 110th St, Unit 6C</v>
      </c>
      <c r="B2058" s="2" t="str">
        <f>HYPERLINK("https://www.compass.com/building/one-morningside-park-manhattan-ny/294836904016796069/","One Morningside Park")</f>
        <v>One Morningside Park</v>
      </c>
      <c r="C2058" s="1" t="s">
        <v>106</v>
      </c>
      <c r="D2058" s="1" t="s">
        <v>41</v>
      </c>
      <c r="E2058" s="3">
        <v>636406</v>
      </c>
      <c r="F2058" s="1">
        <v>1091.60591766723</v>
      </c>
      <c r="H2058" s="1">
        <v>1</v>
      </c>
      <c r="J2058" s="1">
        <v>1</v>
      </c>
      <c r="M2058" s="1">
        <v>583</v>
      </c>
      <c r="N2058" s="1">
        <v>576</v>
      </c>
      <c r="O2058" s="1">
        <v>607</v>
      </c>
      <c r="P2058" s="1">
        <v>31</v>
      </c>
      <c r="Q2058" s="1" t="s">
        <v>42</v>
      </c>
      <c r="S2058" s="1" t="s">
        <v>42</v>
      </c>
      <c r="T2058" s="1" t="s">
        <v>170</v>
      </c>
      <c r="AA2058" s="1">
        <v>636406.25</v>
      </c>
      <c r="AB2058" s="1" t="s">
        <v>1650</v>
      </c>
      <c r="AC2058" s="5">
        <v>41933</v>
      </c>
      <c r="AF2058" s="1">
        <v>10026</v>
      </c>
      <c r="AI2058" s="1" t="s">
        <v>242</v>
      </c>
      <c r="AJ2058" s="1">
        <v>2012</v>
      </c>
      <c r="AK2058" s="1" t="s">
        <v>49</v>
      </c>
      <c r="AL2058" s="1">
        <v>88</v>
      </c>
    </row>
    <row r="2059" spans="1:38" x14ac:dyDescent="0.2">
      <c r="A2059" s="2" t="str">
        <f>HYPERLINK("https://www.compass.com/listing/375-west-123rd-street-unit-7c-manhattan-ny-10027/715151084489293761/","375 W 123rd St, Unit 7C")</f>
        <v>375 W 123rd St, Unit 7C</v>
      </c>
      <c r="B2059" s="2" t="str">
        <f>HYPERLINK("https://www.compass.com/building/99-morningside-manhattan-ny/281983676789660549/","99 Morningside")</f>
        <v>99 Morningside</v>
      </c>
      <c r="C2059" s="1" t="s">
        <v>106</v>
      </c>
      <c r="D2059" s="1" t="s">
        <v>41</v>
      </c>
      <c r="E2059" s="3">
        <v>709000</v>
      </c>
      <c r="F2059" s="1">
        <v>1272.89048473967</v>
      </c>
      <c r="G2059" s="1">
        <v>3</v>
      </c>
      <c r="H2059" s="1">
        <v>1</v>
      </c>
      <c r="I2059" s="1">
        <v>1</v>
      </c>
      <c r="J2059" s="1">
        <v>1</v>
      </c>
      <c r="K2059" s="1">
        <v>1</v>
      </c>
      <c r="M2059" s="1">
        <v>557</v>
      </c>
      <c r="N2059" s="1">
        <v>511</v>
      </c>
      <c r="O2059" s="1">
        <v>555</v>
      </c>
      <c r="P2059" s="1">
        <v>44</v>
      </c>
      <c r="Q2059" s="1" t="s">
        <v>42</v>
      </c>
      <c r="S2059" s="1" t="s">
        <v>42</v>
      </c>
      <c r="T2059" s="1" t="s">
        <v>170</v>
      </c>
      <c r="U2059" s="1">
        <v>91</v>
      </c>
      <c r="V2059" s="5">
        <v>44417</v>
      </c>
      <c r="W2059" s="5">
        <v>44238</v>
      </c>
      <c r="X2059" s="1">
        <v>719000</v>
      </c>
      <c r="Y2059" s="1">
        <v>719000</v>
      </c>
      <c r="Z2059" s="5">
        <v>44330</v>
      </c>
      <c r="AA2059" s="1">
        <v>709000</v>
      </c>
      <c r="AB2059" s="1" t="s">
        <v>181</v>
      </c>
      <c r="AC2059" s="5">
        <v>44413</v>
      </c>
      <c r="AF2059" s="1">
        <v>10027</v>
      </c>
      <c r="AI2059" s="1" t="s">
        <v>107</v>
      </c>
      <c r="AJ2059" s="1">
        <v>2016</v>
      </c>
      <c r="AK2059" s="1" t="s">
        <v>108</v>
      </c>
      <c r="AL2059" s="1">
        <v>22</v>
      </c>
    </row>
    <row r="2060" spans="1:38" x14ac:dyDescent="0.2">
      <c r="A2060" s="2" t="str">
        <f>HYPERLINK("https://www.compass.com/listing/30-riverside-boulevard-unit-20k-manhattan-ny-10069/29515086536212193/","30 Riverside Blvd, Unit 20K")</f>
        <v>30 Riverside Blvd, Unit 20K</v>
      </c>
      <c r="B2060" s="2" t="str">
        <f t="shared" ref="B2060:B2066" si="316">HYPERLINK("https://www.compass.com/building/two-waterline-square-manhattan-ny/282058630956612773/","Two Waterline Square")</f>
        <v>Two Waterline Square</v>
      </c>
      <c r="C2060" s="1" t="s">
        <v>50</v>
      </c>
      <c r="D2060" s="1" t="s">
        <v>41</v>
      </c>
      <c r="E2060" s="3">
        <v>1900000</v>
      </c>
      <c r="F2060" s="1">
        <v>2317.0731707317</v>
      </c>
      <c r="G2060" s="1">
        <v>3</v>
      </c>
      <c r="H2060" s="1">
        <v>1</v>
      </c>
      <c r="I2060" s="1">
        <v>1</v>
      </c>
      <c r="J2060" s="1">
        <v>1</v>
      </c>
      <c r="K2060" s="1">
        <v>1</v>
      </c>
      <c r="M2060" s="1">
        <v>820</v>
      </c>
      <c r="N2060" s="1">
        <v>1022</v>
      </c>
      <c r="O2060" s="1">
        <v>1076</v>
      </c>
      <c r="P2060" s="1">
        <v>54</v>
      </c>
      <c r="Q2060" s="1" t="s">
        <v>42</v>
      </c>
      <c r="S2060" s="1" t="s">
        <v>42</v>
      </c>
      <c r="T2060" s="1" t="s">
        <v>170</v>
      </c>
      <c r="U2060" s="1">
        <v>228</v>
      </c>
      <c r="V2060" s="5">
        <v>44033</v>
      </c>
      <c r="W2060" s="5">
        <v>42915</v>
      </c>
      <c r="X2060" s="1">
        <v>1900000</v>
      </c>
      <c r="Y2060" s="1">
        <v>1900000</v>
      </c>
      <c r="Z2060" s="5">
        <v>43144</v>
      </c>
      <c r="AA2060" s="1">
        <v>1900000</v>
      </c>
      <c r="AB2060" s="1" t="s">
        <v>181</v>
      </c>
      <c r="AC2060" s="5">
        <v>44032</v>
      </c>
      <c r="AF2060" s="1">
        <v>10069</v>
      </c>
      <c r="AI2060" s="1" t="s">
        <v>109</v>
      </c>
      <c r="AJ2060" s="1">
        <v>2019</v>
      </c>
      <c r="AK2060" s="1" t="s">
        <v>77</v>
      </c>
      <c r="AL2060" s="1">
        <v>160</v>
      </c>
    </row>
    <row r="2061" spans="1:38" x14ac:dyDescent="0.2">
      <c r="A2061" s="2" t="str">
        <f>HYPERLINK("https://www.compass.com/listing/30-riverside-boulevard-unit-22l-manhattan-ny-10069/29515087165317073/","30 Riverside Blvd, Unit 22L")</f>
        <v>30 Riverside Blvd, Unit 22L</v>
      </c>
      <c r="B2061" s="2" t="str">
        <f t="shared" si="316"/>
        <v>Two Waterline Square</v>
      </c>
      <c r="C2061" s="1" t="s">
        <v>50</v>
      </c>
      <c r="D2061" s="1" t="s">
        <v>41</v>
      </c>
      <c r="E2061" s="3">
        <v>1975000</v>
      </c>
      <c r="F2061" s="1">
        <v>2277.9700115340202</v>
      </c>
      <c r="G2061" s="1">
        <v>3</v>
      </c>
      <c r="H2061" s="1">
        <v>1</v>
      </c>
      <c r="I2061" s="1">
        <v>1</v>
      </c>
      <c r="J2061" s="1">
        <v>1</v>
      </c>
      <c r="K2061" s="1">
        <v>1</v>
      </c>
      <c r="M2061" s="1">
        <v>867</v>
      </c>
      <c r="N2061" s="1">
        <v>1096</v>
      </c>
      <c r="O2061" s="1">
        <v>1154</v>
      </c>
      <c r="P2061" s="1">
        <v>58</v>
      </c>
      <c r="Q2061" s="1" t="s">
        <v>42</v>
      </c>
      <c r="S2061" s="1" t="s">
        <v>42</v>
      </c>
      <c r="T2061" s="1" t="s">
        <v>170</v>
      </c>
      <c r="U2061" s="1">
        <v>126</v>
      </c>
      <c r="V2061" s="5">
        <v>44230</v>
      </c>
      <c r="W2061" s="5">
        <v>43010</v>
      </c>
      <c r="X2061" s="1">
        <v>1975000</v>
      </c>
      <c r="Y2061" s="1">
        <v>1975000</v>
      </c>
      <c r="Z2061" s="5">
        <v>43137</v>
      </c>
      <c r="AA2061" s="1">
        <v>1975000</v>
      </c>
      <c r="AB2061" s="1" t="s">
        <v>181</v>
      </c>
      <c r="AC2061" s="5">
        <v>44131</v>
      </c>
      <c r="AF2061" s="1">
        <v>10069</v>
      </c>
      <c r="AI2061" s="1" t="s">
        <v>109</v>
      </c>
      <c r="AJ2061" s="1">
        <v>2019</v>
      </c>
      <c r="AK2061" s="1" t="s">
        <v>77</v>
      </c>
      <c r="AL2061" s="1">
        <v>160</v>
      </c>
    </row>
    <row r="2062" spans="1:38" x14ac:dyDescent="0.2">
      <c r="A2062" s="2" t="str">
        <f>HYPERLINK("https://www.compass.com/listing/30-riverside-boulevard-unit-22k-manhattan-ny-10069/29515087425404673/","30 Riverside Blvd, Unit 22K")</f>
        <v>30 Riverside Blvd, Unit 22K</v>
      </c>
      <c r="B2062" s="2" t="str">
        <f t="shared" si="316"/>
        <v>Two Waterline Square</v>
      </c>
      <c r="C2062" s="1" t="s">
        <v>50</v>
      </c>
      <c r="D2062" s="1" t="s">
        <v>41</v>
      </c>
      <c r="E2062" s="3">
        <v>1950000</v>
      </c>
      <c r="F2062" s="1">
        <v>2378.0487804877998</v>
      </c>
      <c r="G2062" s="1">
        <v>3</v>
      </c>
      <c r="H2062" s="1">
        <v>1</v>
      </c>
      <c r="I2062" s="1">
        <v>1</v>
      </c>
      <c r="J2062" s="1">
        <v>1</v>
      </c>
      <c r="K2062" s="1">
        <v>1</v>
      </c>
      <c r="M2062" s="1">
        <v>820</v>
      </c>
      <c r="N2062" s="1">
        <v>1037</v>
      </c>
      <c r="O2062" s="1">
        <v>1092</v>
      </c>
      <c r="P2062" s="1">
        <v>55</v>
      </c>
      <c r="Q2062" s="1" t="s">
        <v>42</v>
      </c>
      <c r="S2062" s="1" t="s">
        <v>42</v>
      </c>
      <c r="T2062" s="1" t="s">
        <v>170</v>
      </c>
      <c r="U2062" s="1">
        <v>220</v>
      </c>
      <c r="V2062" s="5">
        <v>43916</v>
      </c>
      <c r="W2062" s="5">
        <v>42916</v>
      </c>
      <c r="X2062" s="1">
        <v>1950000</v>
      </c>
      <c r="Y2062" s="1">
        <v>1950000</v>
      </c>
      <c r="Z2062" s="5">
        <v>43137</v>
      </c>
      <c r="AA2062" s="1">
        <v>1950000</v>
      </c>
      <c r="AB2062" s="1" t="s">
        <v>181</v>
      </c>
      <c r="AC2062" s="5">
        <v>43915</v>
      </c>
      <c r="AF2062" s="1">
        <v>10069</v>
      </c>
      <c r="AI2062" s="1" t="s">
        <v>109</v>
      </c>
      <c r="AJ2062" s="1">
        <v>2019</v>
      </c>
      <c r="AK2062" s="1" t="s">
        <v>77</v>
      </c>
      <c r="AL2062" s="1">
        <v>160</v>
      </c>
    </row>
    <row r="2063" spans="1:38" x14ac:dyDescent="0.2">
      <c r="A2063" s="2" t="str">
        <f>HYPERLINK("https://www.compass.com/listing/30-riverside-boulevard-unit-21k-manhattan-ny-10069/29515098766803137/","30 Riverside Blvd, Unit 21K")</f>
        <v>30 Riverside Blvd, Unit 21K</v>
      </c>
      <c r="B2063" s="2" t="str">
        <f t="shared" si="316"/>
        <v>Two Waterline Square</v>
      </c>
      <c r="C2063" s="1" t="s">
        <v>50</v>
      </c>
      <c r="D2063" s="1" t="s">
        <v>41</v>
      </c>
      <c r="E2063" s="3">
        <v>1925000</v>
      </c>
      <c r="F2063" s="1">
        <v>2347.5609756097501</v>
      </c>
      <c r="G2063" s="1">
        <v>3</v>
      </c>
      <c r="H2063" s="1">
        <v>1</v>
      </c>
      <c r="I2063" s="1">
        <v>1</v>
      </c>
      <c r="J2063" s="1">
        <v>1</v>
      </c>
      <c r="K2063" s="1">
        <v>1</v>
      </c>
      <c r="M2063" s="1">
        <v>820</v>
      </c>
      <c r="N2063" s="1">
        <v>1032</v>
      </c>
      <c r="O2063" s="1">
        <v>1086</v>
      </c>
      <c r="P2063" s="1">
        <v>54</v>
      </c>
      <c r="Q2063" s="1" t="s">
        <v>42</v>
      </c>
      <c r="S2063" s="1" t="s">
        <v>42</v>
      </c>
      <c r="T2063" s="1" t="s">
        <v>170</v>
      </c>
      <c r="U2063" s="1">
        <v>253</v>
      </c>
      <c r="V2063" s="5">
        <v>44008</v>
      </c>
      <c r="W2063" s="5">
        <v>42922</v>
      </c>
      <c r="X2063" s="1">
        <v>1925000</v>
      </c>
      <c r="Y2063" s="1">
        <v>1925000</v>
      </c>
      <c r="Z2063" s="5">
        <v>43175</v>
      </c>
      <c r="AA2063" s="1">
        <v>1925000</v>
      </c>
      <c r="AB2063" s="1" t="s">
        <v>181</v>
      </c>
      <c r="AC2063" s="5">
        <v>44008</v>
      </c>
      <c r="AF2063" s="1">
        <v>10069</v>
      </c>
      <c r="AI2063" s="1" t="s">
        <v>109</v>
      </c>
      <c r="AJ2063" s="1">
        <v>2019</v>
      </c>
      <c r="AK2063" s="1" t="s">
        <v>77</v>
      </c>
      <c r="AL2063" s="1">
        <v>160</v>
      </c>
    </row>
    <row r="2064" spans="1:38" x14ac:dyDescent="0.2">
      <c r="A2064" s="2" t="str">
        <f>HYPERLINK("https://www.compass.com/listing/30-riverside-boulevard-unit-22h-manhattan-ny-10069/106420317542457649/","30 Riverside Blvd, Unit 22H")</f>
        <v>30 Riverside Blvd, Unit 22H</v>
      </c>
      <c r="B2064" s="2" t="str">
        <f t="shared" si="316"/>
        <v>Two Waterline Square</v>
      </c>
      <c r="C2064" s="1" t="s">
        <v>50</v>
      </c>
      <c r="D2064" s="1" t="s">
        <v>41</v>
      </c>
      <c r="E2064" s="3">
        <v>1875000</v>
      </c>
      <c r="F2064" s="1">
        <v>2286.5853658536498</v>
      </c>
      <c r="G2064" s="1">
        <v>3</v>
      </c>
      <c r="H2064" s="1">
        <v>1</v>
      </c>
      <c r="I2064" s="1">
        <v>1</v>
      </c>
      <c r="J2064" s="1">
        <v>1</v>
      </c>
      <c r="K2064" s="1">
        <v>1</v>
      </c>
      <c r="M2064" s="1">
        <v>820</v>
      </c>
      <c r="N2064" s="1">
        <v>1008</v>
      </c>
      <c r="O2064" s="1">
        <v>1063</v>
      </c>
      <c r="P2064" s="1">
        <v>55</v>
      </c>
      <c r="Q2064" s="1" t="s">
        <v>42</v>
      </c>
      <c r="S2064" s="1" t="s">
        <v>42</v>
      </c>
      <c r="T2064" s="1" t="s">
        <v>170</v>
      </c>
      <c r="U2064" s="1">
        <v>48</v>
      </c>
      <c r="V2064" s="5">
        <v>43998</v>
      </c>
      <c r="W2064" s="5">
        <v>43398</v>
      </c>
      <c r="X2064" s="1">
        <v>1875000</v>
      </c>
      <c r="Y2064" s="1">
        <v>1875000</v>
      </c>
      <c r="Z2064" s="5">
        <v>43447</v>
      </c>
      <c r="AA2064" s="1">
        <v>1875000</v>
      </c>
      <c r="AB2064" s="1" t="s">
        <v>181</v>
      </c>
      <c r="AC2064" s="5">
        <v>43997</v>
      </c>
      <c r="AF2064" s="1">
        <v>10069</v>
      </c>
      <c r="AI2064" s="1" t="s">
        <v>109</v>
      </c>
      <c r="AJ2064" s="1">
        <v>2019</v>
      </c>
      <c r="AK2064" s="1" t="s">
        <v>77</v>
      </c>
      <c r="AL2064" s="1">
        <v>160</v>
      </c>
    </row>
    <row r="2065" spans="1:38" x14ac:dyDescent="0.2">
      <c r="A2065" s="2" t="str">
        <f>HYPERLINK("https://www.compass.com/listing/30-riverside-boulevard-unit-24d-manhattan-ny-10069/492739434102689593/","30 Riverside Blvd, Unit 24D")</f>
        <v>30 Riverside Blvd, Unit 24D</v>
      </c>
      <c r="B2065" s="2" t="str">
        <f t="shared" si="316"/>
        <v>Two Waterline Square</v>
      </c>
      <c r="C2065" s="1" t="s">
        <v>50</v>
      </c>
      <c r="D2065" s="1" t="s">
        <v>41</v>
      </c>
      <c r="E2065" s="3">
        <v>2350000</v>
      </c>
      <c r="F2065" s="1">
        <v>2388.21138211382</v>
      </c>
      <c r="G2065" s="1">
        <v>3</v>
      </c>
      <c r="H2065" s="1">
        <v>1</v>
      </c>
      <c r="I2065" s="1">
        <v>2</v>
      </c>
      <c r="J2065" s="1">
        <v>1.5</v>
      </c>
      <c r="K2065" s="1">
        <v>1</v>
      </c>
      <c r="L2065" s="1">
        <v>1</v>
      </c>
      <c r="M2065" s="1">
        <v>984</v>
      </c>
      <c r="N2065" s="1">
        <v>1228</v>
      </c>
      <c r="O2065" s="1">
        <v>1294</v>
      </c>
      <c r="P2065" s="1">
        <v>66</v>
      </c>
      <c r="Q2065" s="1" t="s">
        <v>42</v>
      </c>
      <c r="S2065" s="1" t="s">
        <v>42</v>
      </c>
      <c r="T2065" s="1" t="s">
        <v>170</v>
      </c>
      <c r="U2065" s="1">
        <v>76</v>
      </c>
      <c r="V2065" s="5">
        <v>43933</v>
      </c>
      <c r="W2065" s="5">
        <v>43833</v>
      </c>
      <c r="AA2065" s="1">
        <v>2350000</v>
      </c>
      <c r="AB2065" s="1" t="s">
        <v>181</v>
      </c>
      <c r="AC2065" s="5">
        <v>43927</v>
      </c>
      <c r="AF2065" s="1">
        <v>10069</v>
      </c>
      <c r="AI2065" s="1" t="s">
        <v>109</v>
      </c>
      <c r="AJ2065" s="1">
        <v>2019</v>
      </c>
      <c r="AK2065" s="1" t="s">
        <v>77</v>
      </c>
      <c r="AL2065" s="1">
        <v>160</v>
      </c>
    </row>
    <row r="2066" spans="1:38" x14ac:dyDescent="0.2">
      <c r="A2066" s="2" t="str">
        <f>HYPERLINK("https://www.compass.com/listing/30-riverside-boulevard-unit-30f-manhattan-ny-10069/492753155919330137/","30 Riverside Blvd, Unit 30F")</f>
        <v>30 Riverside Blvd, Unit 30F</v>
      </c>
      <c r="B2066" s="2" t="str">
        <f t="shared" si="316"/>
        <v>Two Waterline Square</v>
      </c>
      <c r="C2066" s="1" t="s">
        <v>50</v>
      </c>
      <c r="D2066" s="1" t="s">
        <v>41</v>
      </c>
      <c r="E2066" s="3">
        <v>2000000</v>
      </c>
      <c r="F2066" s="1">
        <v>2580.6451612903202</v>
      </c>
      <c r="G2066" s="1">
        <v>3</v>
      </c>
      <c r="H2066" s="1">
        <v>1</v>
      </c>
      <c r="I2066" s="1">
        <v>1</v>
      </c>
      <c r="J2066" s="1">
        <v>1</v>
      </c>
      <c r="K2066" s="1">
        <v>1</v>
      </c>
      <c r="M2066" s="1">
        <v>775</v>
      </c>
      <c r="N2066" s="1">
        <v>996</v>
      </c>
      <c r="O2066" s="1">
        <v>1050</v>
      </c>
      <c r="P2066" s="1">
        <v>54</v>
      </c>
      <c r="Q2066" s="1" t="s">
        <v>42</v>
      </c>
      <c r="S2066" s="1" t="s">
        <v>42</v>
      </c>
      <c r="T2066" s="1" t="s">
        <v>170</v>
      </c>
      <c r="U2066" s="1">
        <v>77</v>
      </c>
      <c r="V2066" s="5">
        <v>43933</v>
      </c>
      <c r="W2066" s="5">
        <v>43832</v>
      </c>
      <c r="AA2066" s="1">
        <v>2000000</v>
      </c>
      <c r="AB2066" s="1" t="s">
        <v>181</v>
      </c>
      <c r="AC2066" s="5">
        <v>43927</v>
      </c>
      <c r="AF2066" s="1">
        <v>10069</v>
      </c>
      <c r="AI2066" s="1" t="s">
        <v>109</v>
      </c>
      <c r="AJ2066" s="1">
        <v>2019</v>
      </c>
      <c r="AK2066" s="1" t="s">
        <v>77</v>
      </c>
      <c r="AL2066" s="1">
        <v>160</v>
      </c>
    </row>
    <row r="2067" spans="1:38" x14ac:dyDescent="0.2">
      <c r="A2067" s="2" t="str">
        <f>HYPERLINK("https://www.compass.com/listing/50-riverside-boulevard-unit-4a-manhattan-ny-10069/167835075315006641/","50 Riverside Blvd, Unit 4A")</f>
        <v>50 Riverside Blvd, Unit 4A</v>
      </c>
      <c r="B2067" s="2" t="str">
        <f t="shared" ref="B2067:B2090" si="317">HYPERLINK("https://www.compass.com/building/one-riverside-park-manhattan-ny/282041440266113253/","One Riverside Park")</f>
        <v>One Riverside Park</v>
      </c>
      <c r="C2067" s="1" t="s">
        <v>50</v>
      </c>
      <c r="D2067" s="1" t="s">
        <v>41</v>
      </c>
      <c r="E2067" s="3">
        <v>3287856</v>
      </c>
      <c r="F2067" s="1">
        <v>1661.37253663466</v>
      </c>
      <c r="G2067" s="1">
        <v>5</v>
      </c>
      <c r="H2067" s="1">
        <v>3</v>
      </c>
      <c r="I2067" s="1">
        <v>3</v>
      </c>
      <c r="J2067" s="1">
        <v>3</v>
      </c>
      <c r="K2067" s="1">
        <v>3</v>
      </c>
      <c r="M2067" s="4">
        <v>1979</v>
      </c>
      <c r="N2067" s="1">
        <v>2190</v>
      </c>
      <c r="O2067" s="1">
        <v>2311</v>
      </c>
      <c r="P2067" s="1">
        <v>121</v>
      </c>
      <c r="Q2067" s="1" t="s">
        <v>42</v>
      </c>
      <c r="S2067" s="1" t="s">
        <v>42</v>
      </c>
      <c r="T2067" s="1" t="s">
        <v>170</v>
      </c>
      <c r="U2067" s="1">
        <v>609</v>
      </c>
      <c r="V2067" s="5">
        <v>42993</v>
      </c>
      <c r="W2067" s="5">
        <v>41618</v>
      </c>
      <c r="X2067" s="1">
        <v>3225000</v>
      </c>
      <c r="Y2067" s="1">
        <v>3225000</v>
      </c>
      <c r="AA2067" s="1">
        <v>3287856.25</v>
      </c>
      <c r="AB2067" s="1" t="s">
        <v>1651</v>
      </c>
      <c r="AC2067" s="5">
        <v>42228</v>
      </c>
      <c r="AF2067" s="1">
        <v>10069</v>
      </c>
      <c r="AI2067" s="1" t="s">
        <v>45</v>
      </c>
      <c r="AJ2067" s="1">
        <v>2016</v>
      </c>
      <c r="AK2067" s="1" t="s">
        <v>73</v>
      </c>
      <c r="AL2067" s="1">
        <v>657</v>
      </c>
    </row>
    <row r="2068" spans="1:38" x14ac:dyDescent="0.2">
      <c r="A2068" s="2" t="str">
        <f>HYPERLINK("https://www.compass.com/listing/50-riverside-boulevard-unit-5c-manhattan-ny-10069/29396609662032961/","50 Riverside Blvd, Unit 5C")</f>
        <v>50 Riverside Blvd, Unit 5C</v>
      </c>
      <c r="B2068" s="2" t="str">
        <f t="shared" si="317"/>
        <v>One Riverside Park</v>
      </c>
      <c r="C2068" s="1" t="s">
        <v>50</v>
      </c>
      <c r="D2068" s="1" t="s">
        <v>41</v>
      </c>
      <c r="E2068" s="3">
        <v>3030000</v>
      </c>
      <c r="F2068" s="1">
        <v>1768.82661996497</v>
      </c>
      <c r="G2068" s="1">
        <v>4</v>
      </c>
      <c r="H2068" s="1">
        <v>3</v>
      </c>
      <c r="I2068" s="1">
        <v>3</v>
      </c>
      <c r="J2068" s="1">
        <v>3</v>
      </c>
      <c r="M2068" s="4">
        <v>1713</v>
      </c>
      <c r="N2068" s="1">
        <v>1896</v>
      </c>
      <c r="O2068" s="1">
        <v>2001</v>
      </c>
      <c r="P2068" s="1">
        <v>105</v>
      </c>
      <c r="Q2068" s="1" t="s">
        <v>42</v>
      </c>
      <c r="S2068" s="1" t="s">
        <v>42</v>
      </c>
      <c r="T2068" s="1" t="s">
        <v>170</v>
      </c>
      <c r="V2068" s="5">
        <v>42998</v>
      </c>
      <c r="W2068" s="5">
        <v>42902</v>
      </c>
      <c r="X2068" s="1">
        <v>3030000</v>
      </c>
      <c r="Y2068" s="1">
        <v>3030000</v>
      </c>
      <c r="Z2068" s="5">
        <v>41809</v>
      </c>
      <c r="AB2068" s="1" t="s">
        <v>181</v>
      </c>
      <c r="AC2068" s="5">
        <v>42902</v>
      </c>
      <c r="AF2068" s="1">
        <v>10069</v>
      </c>
      <c r="AI2068" s="1" t="s">
        <v>1386</v>
      </c>
      <c r="AJ2068" s="1">
        <v>2016</v>
      </c>
      <c r="AK2068" s="1" t="s">
        <v>73</v>
      </c>
      <c r="AL2068" s="1">
        <v>657</v>
      </c>
    </row>
    <row r="2069" spans="1:38" x14ac:dyDescent="0.2">
      <c r="A2069" s="2" t="str">
        <f>HYPERLINK("https://www.compass.com/listing/50-riverside-boulevard-unit-3a-manhattan-ny-10069/79414086743382897/","50 Riverside Blvd, Unit 3A")</f>
        <v>50 Riverside Blvd, Unit 3A</v>
      </c>
      <c r="B2069" s="2" t="str">
        <f t="shared" si="317"/>
        <v>One Riverside Park</v>
      </c>
      <c r="C2069" s="1" t="s">
        <v>50</v>
      </c>
      <c r="D2069" s="1" t="s">
        <v>41</v>
      </c>
      <c r="E2069" s="3">
        <v>3400955</v>
      </c>
      <c r="F2069" s="1">
        <v>1718.5219807983799</v>
      </c>
      <c r="G2069" s="1">
        <v>5</v>
      </c>
      <c r="H2069" s="1">
        <v>3</v>
      </c>
      <c r="I2069" s="1">
        <v>3</v>
      </c>
      <c r="J2069" s="1">
        <v>3</v>
      </c>
      <c r="K2069" s="1">
        <v>3</v>
      </c>
      <c r="M2069" s="4">
        <v>1979</v>
      </c>
      <c r="N2069" s="1">
        <v>2189</v>
      </c>
      <c r="O2069" s="1">
        <v>2310</v>
      </c>
      <c r="P2069" s="1">
        <v>121</v>
      </c>
      <c r="Q2069" s="1" t="s">
        <v>42</v>
      </c>
      <c r="S2069" s="1" t="s">
        <v>42</v>
      </c>
      <c r="T2069" s="1" t="s">
        <v>170</v>
      </c>
      <c r="U2069" s="1">
        <v>522</v>
      </c>
      <c r="V2069" s="5">
        <v>42993</v>
      </c>
      <c r="W2069" s="5">
        <v>41690</v>
      </c>
      <c r="X2069" s="1">
        <v>3340000</v>
      </c>
      <c r="Y2069" s="1">
        <v>3340000</v>
      </c>
      <c r="AA2069" s="1">
        <v>3400955</v>
      </c>
      <c r="AB2069" s="1" t="s">
        <v>1419</v>
      </c>
      <c r="AC2069" s="5">
        <v>42213</v>
      </c>
      <c r="AF2069" s="1">
        <v>10069</v>
      </c>
      <c r="AI2069" s="1" t="s">
        <v>45</v>
      </c>
      <c r="AJ2069" s="1">
        <v>2016</v>
      </c>
      <c r="AK2069" s="1" t="s">
        <v>73</v>
      </c>
      <c r="AL2069" s="1">
        <v>657</v>
      </c>
    </row>
    <row r="2070" spans="1:38" x14ac:dyDescent="0.2">
      <c r="A2070" s="2" t="str">
        <f>HYPERLINK("https://www.compass.com/listing/50-riverside-boulevard-unit-9a-manhattan-ny-10069/167441862259467729/","50 Riverside Blvd, Unit 9A")</f>
        <v>50 Riverside Blvd, Unit 9A</v>
      </c>
      <c r="B2070" s="2" t="str">
        <f t="shared" si="317"/>
        <v>One Riverside Park</v>
      </c>
      <c r="C2070" s="1" t="s">
        <v>50</v>
      </c>
      <c r="D2070" s="1" t="s">
        <v>41</v>
      </c>
      <c r="E2070" s="3">
        <v>3550000</v>
      </c>
      <c r="F2070" s="1">
        <v>1925.16268980477</v>
      </c>
      <c r="G2070" s="1">
        <v>4</v>
      </c>
      <c r="H2070" s="1">
        <v>3</v>
      </c>
      <c r="I2070" s="1">
        <v>4</v>
      </c>
      <c r="J2070" s="1">
        <v>3.5</v>
      </c>
      <c r="M2070" s="4">
        <v>1844</v>
      </c>
      <c r="N2070" s="1">
        <v>2045</v>
      </c>
      <c r="O2070" s="1">
        <v>2158</v>
      </c>
      <c r="P2070" s="1">
        <v>113</v>
      </c>
      <c r="Q2070" s="1" t="s">
        <v>42</v>
      </c>
      <c r="S2070" s="1" t="s">
        <v>42</v>
      </c>
      <c r="T2070" s="1" t="s">
        <v>170</v>
      </c>
      <c r="V2070" s="5">
        <v>42998</v>
      </c>
      <c r="W2070" s="5">
        <v>42902</v>
      </c>
      <c r="X2070" s="1">
        <v>3550000</v>
      </c>
      <c r="Y2070" s="1">
        <v>3550000</v>
      </c>
      <c r="Z2070" s="5">
        <v>41809</v>
      </c>
      <c r="AB2070" s="1" t="s">
        <v>181</v>
      </c>
      <c r="AC2070" s="5">
        <v>42902</v>
      </c>
      <c r="AF2070" s="1">
        <v>10069</v>
      </c>
      <c r="AI2070" s="1" t="s">
        <v>1386</v>
      </c>
      <c r="AJ2070" s="1">
        <v>2016</v>
      </c>
      <c r="AK2070" s="1" t="s">
        <v>73</v>
      </c>
      <c r="AL2070" s="1">
        <v>657</v>
      </c>
    </row>
    <row r="2071" spans="1:38" x14ac:dyDescent="0.2">
      <c r="A2071" s="2" t="str">
        <f>HYPERLINK("https://www.compass.com/listing/50-riverside-boulevard-unit-4a-manhattan-ny-10069/29396582382238129/","50 Riverside Blvd, Unit 4A")</f>
        <v>50 Riverside Blvd, Unit 4A</v>
      </c>
      <c r="B2071" s="2" t="str">
        <f t="shared" si="317"/>
        <v>One Riverside Park</v>
      </c>
      <c r="C2071" s="1" t="s">
        <v>50</v>
      </c>
      <c r="D2071" s="1" t="s">
        <v>41</v>
      </c>
      <c r="E2071" s="3">
        <v>3287856</v>
      </c>
      <c r="F2071" s="1">
        <v>1661.37241030823</v>
      </c>
      <c r="G2071" s="1">
        <v>4</v>
      </c>
      <c r="H2071" s="1">
        <v>3</v>
      </c>
      <c r="I2071" s="1">
        <v>4</v>
      </c>
      <c r="J2071" s="1">
        <v>3.5</v>
      </c>
      <c r="M2071" s="4">
        <v>1979</v>
      </c>
      <c r="N2071" s="1">
        <v>2189</v>
      </c>
      <c r="O2071" s="1">
        <v>2310</v>
      </c>
      <c r="P2071" s="1">
        <v>121</v>
      </c>
      <c r="Q2071" s="1" t="s">
        <v>42</v>
      </c>
      <c r="S2071" s="1" t="s">
        <v>42</v>
      </c>
      <c r="T2071" s="1" t="s">
        <v>170</v>
      </c>
      <c r="V2071" s="5">
        <v>43670</v>
      </c>
      <c r="W2071" s="5">
        <v>41923</v>
      </c>
      <c r="X2071" s="1">
        <v>3225000</v>
      </c>
      <c r="Y2071" s="1">
        <v>3225000</v>
      </c>
      <c r="Z2071" s="5">
        <v>41923</v>
      </c>
      <c r="AA2071" s="1">
        <v>3287856</v>
      </c>
      <c r="AB2071" s="1" t="s">
        <v>1651</v>
      </c>
      <c r="AC2071" s="5">
        <v>42229</v>
      </c>
      <c r="AF2071" s="1">
        <v>10069</v>
      </c>
      <c r="AI2071" s="1" t="s">
        <v>45</v>
      </c>
      <c r="AJ2071" s="1">
        <v>2016</v>
      </c>
      <c r="AK2071" s="1" t="s">
        <v>73</v>
      </c>
      <c r="AL2071" s="1">
        <v>657</v>
      </c>
    </row>
    <row r="2072" spans="1:38" x14ac:dyDescent="0.2">
      <c r="A2072" s="2" t="str">
        <f>HYPERLINK("https://www.compass.com/listing/50-riverside-boulevard-unit-6a-manhattan-ny-10069/29396583195995089/","50 Riverside Blvd, Unit 6A")</f>
        <v>50 Riverside Blvd, Unit 6A</v>
      </c>
      <c r="B2072" s="2" t="str">
        <f t="shared" si="317"/>
        <v>One Riverside Park</v>
      </c>
      <c r="C2072" s="1" t="s">
        <v>50</v>
      </c>
      <c r="D2072" s="1" t="s">
        <v>41</v>
      </c>
      <c r="E2072" s="3">
        <v>3270000</v>
      </c>
      <c r="F2072" s="1">
        <v>1652.3496715512799</v>
      </c>
      <c r="G2072" s="1">
        <v>4</v>
      </c>
      <c r="H2072" s="1">
        <v>3</v>
      </c>
      <c r="I2072" s="1">
        <v>4</v>
      </c>
      <c r="J2072" s="1">
        <v>3.5</v>
      </c>
      <c r="M2072" s="4">
        <v>1979</v>
      </c>
      <c r="N2072" s="1">
        <v>2192</v>
      </c>
      <c r="O2072" s="1">
        <v>2313</v>
      </c>
      <c r="P2072" s="1">
        <v>121</v>
      </c>
      <c r="Q2072" s="1" t="s">
        <v>42</v>
      </c>
      <c r="S2072" s="1" t="s">
        <v>42</v>
      </c>
      <c r="T2072" s="1" t="s">
        <v>170</v>
      </c>
      <c r="V2072" s="5">
        <v>43761</v>
      </c>
      <c r="W2072" s="5">
        <v>42902</v>
      </c>
      <c r="X2072" s="1">
        <v>3405000</v>
      </c>
      <c r="Y2072" s="1">
        <v>3405000</v>
      </c>
      <c r="Z2072" s="5">
        <v>41809</v>
      </c>
      <c r="AA2072" s="1">
        <v>3270000</v>
      </c>
      <c r="AB2072" s="1" t="s">
        <v>1652</v>
      </c>
      <c r="AC2072" s="5">
        <v>43742</v>
      </c>
      <c r="AF2072" s="1">
        <v>10069</v>
      </c>
      <c r="AI2072" s="1" t="s">
        <v>1386</v>
      </c>
      <c r="AJ2072" s="1">
        <v>2016</v>
      </c>
      <c r="AK2072" s="1" t="s">
        <v>73</v>
      </c>
      <c r="AL2072" s="1">
        <v>657</v>
      </c>
    </row>
    <row r="2073" spans="1:38" x14ac:dyDescent="0.2">
      <c r="A2073" s="2" t="str">
        <f>HYPERLINK("https://www.compass.com/listing/50-riverside-boulevard-unit-7a-manhattan-ny-10069/29396583682472417/","50 Riverside Blvd, Unit 7A")</f>
        <v>50 Riverside Blvd, Unit 7A</v>
      </c>
      <c r="B2073" s="2" t="str">
        <f t="shared" si="317"/>
        <v>One Riverside Park</v>
      </c>
      <c r="C2073" s="1" t="s">
        <v>50</v>
      </c>
      <c r="D2073" s="1" t="s">
        <v>41</v>
      </c>
      <c r="E2073" s="3">
        <v>3674791</v>
      </c>
      <c r="F2073" s="1">
        <v>1856.89287518948</v>
      </c>
      <c r="G2073" s="1">
        <v>4</v>
      </c>
      <c r="H2073" s="1">
        <v>3</v>
      </c>
      <c r="I2073" s="1">
        <v>4</v>
      </c>
      <c r="J2073" s="1">
        <v>3.5</v>
      </c>
      <c r="M2073" s="4">
        <v>1979</v>
      </c>
      <c r="N2073" s="1">
        <v>2193</v>
      </c>
      <c r="O2073" s="1">
        <v>2314</v>
      </c>
      <c r="P2073" s="1">
        <v>121</v>
      </c>
      <c r="Q2073" s="1" t="s">
        <v>42</v>
      </c>
      <c r="S2073" s="1" t="s">
        <v>42</v>
      </c>
      <c r="T2073" s="1" t="s">
        <v>170</v>
      </c>
      <c r="V2073" s="5">
        <v>43670</v>
      </c>
      <c r="W2073" s="5">
        <v>41923</v>
      </c>
      <c r="X2073" s="1">
        <v>3605000</v>
      </c>
      <c r="Y2073" s="1">
        <v>3605000</v>
      </c>
      <c r="Z2073" s="5">
        <v>41923</v>
      </c>
      <c r="AA2073" s="1">
        <v>3674791</v>
      </c>
      <c r="AB2073" s="1" t="s">
        <v>1653</v>
      </c>
      <c r="AC2073" s="5">
        <v>42278</v>
      </c>
      <c r="AF2073" s="1">
        <v>10069</v>
      </c>
      <c r="AI2073" s="1" t="s">
        <v>45</v>
      </c>
      <c r="AJ2073" s="1">
        <v>2016</v>
      </c>
      <c r="AK2073" s="1" t="s">
        <v>73</v>
      </c>
      <c r="AL2073" s="1">
        <v>657</v>
      </c>
    </row>
    <row r="2074" spans="1:38" x14ac:dyDescent="0.2">
      <c r="A2074" s="2" t="str">
        <f>HYPERLINK("https://www.compass.com/listing/50-riverside-boulevard-unit-10a-manhattan-ny-10069/29396584873654785/","50 Riverside Blvd, Unit 10A")</f>
        <v>50 Riverside Blvd, Unit 10A</v>
      </c>
      <c r="B2074" s="2" t="str">
        <f t="shared" si="317"/>
        <v>One Riverside Park</v>
      </c>
      <c r="C2074" s="1" t="s">
        <v>50</v>
      </c>
      <c r="D2074" s="1" t="s">
        <v>41</v>
      </c>
      <c r="E2074" s="3">
        <v>3705338</v>
      </c>
      <c r="F2074" s="1">
        <v>2009.4023861171299</v>
      </c>
      <c r="G2074" s="1">
        <v>4</v>
      </c>
      <c r="H2074" s="1">
        <v>3</v>
      </c>
      <c r="I2074" s="1">
        <v>4</v>
      </c>
      <c r="J2074" s="1">
        <v>3.5</v>
      </c>
      <c r="M2074" s="4">
        <v>1844</v>
      </c>
      <c r="N2074" s="1">
        <v>2046</v>
      </c>
      <c r="O2074" s="1">
        <v>2159</v>
      </c>
      <c r="P2074" s="1">
        <v>113</v>
      </c>
      <c r="Q2074" s="1" t="s">
        <v>42</v>
      </c>
      <c r="S2074" s="1" t="s">
        <v>42</v>
      </c>
      <c r="T2074" s="1" t="s">
        <v>170</v>
      </c>
      <c r="V2074" s="5">
        <v>43670</v>
      </c>
      <c r="W2074" s="5">
        <v>41923</v>
      </c>
      <c r="X2074" s="1">
        <v>3635000</v>
      </c>
      <c r="Y2074" s="1">
        <v>3635000</v>
      </c>
      <c r="Z2074" s="5">
        <v>41923</v>
      </c>
      <c r="AA2074" s="1">
        <v>3705338</v>
      </c>
      <c r="AB2074" s="1" t="s">
        <v>1654</v>
      </c>
      <c r="AC2074" s="5">
        <v>42339</v>
      </c>
      <c r="AF2074" s="1">
        <v>10069</v>
      </c>
      <c r="AI2074" s="1" t="s">
        <v>45</v>
      </c>
      <c r="AJ2074" s="1">
        <v>2016</v>
      </c>
      <c r="AK2074" s="1" t="s">
        <v>73</v>
      </c>
      <c r="AL2074" s="1">
        <v>657</v>
      </c>
    </row>
    <row r="2075" spans="1:38" x14ac:dyDescent="0.2">
      <c r="A2075" s="2" t="str">
        <f>HYPERLINK("https://www.compass.com/listing/50-riverside-boulevard-unit-17c-manhattan-ny-10069/29396614284115089/","50 Riverside Blvd, Unit 17C")</f>
        <v>50 Riverside Blvd, Unit 17C</v>
      </c>
      <c r="B2075" s="2" t="str">
        <f t="shared" si="317"/>
        <v>One Riverside Park</v>
      </c>
      <c r="C2075" s="1" t="s">
        <v>50</v>
      </c>
      <c r="D2075" s="1" t="s">
        <v>41</v>
      </c>
      <c r="E2075" s="3">
        <v>3075000</v>
      </c>
      <c r="F2075" s="1">
        <v>1909.93788819875</v>
      </c>
      <c r="G2075" s="1">
        <v>4</v>
      </c>
      <c r="H2075" s="1">
        <v>3</v>
      </c>
      <c r="I2075" s="1">
        <v>4</v>
      </c>
      <c r="J2075" s="1">
        <v>3.5</v>
      </c>
      <c r="M2075" s="4">
        <v>1610</v>
      </c>
      <c r="N2075" s="1">
        <v>1906</v>
      </c>
      <c r="O2075" s="1">
        <v>2012</v>
      </c>
      <c r="P2075" s="1">
        <v>106</v>
      </c>
      <c r="Q2075" s="1" t="s">
        <v>42</v>
      </c>
      <c r="S2075" s="1" t="s">
        <v>42</v>
      </c>
      <c r="T2075" s="1" t="s">
        <v>170</v>
      </c>
      <c r="V2075" s="5">
        <v>42998</v>
      </c>
      <c r="W2075" s="5">
        <v>42902</v>
      </c>
      <c r="X2075" s="1">
        <v>3075000</v>
      </c>
      <c r="Y2075" s="1">
        <v>3075000</v>
      </c>
      <c r="Z2075" s="5">
        <v>41809</v>
      </c>
      <c r="AB2075" s="1" t="s">
        <v>181</v>
      </c>
      <c r="AC2075" s="5">
        <v>42902</v>
      </c>
      <c r="AF2075" s="1">
        <v>10069</v>
      </c>
      <c r="AI2075" s="1" t="s">
        <v>1641</v>
      </c>
      <c r="AJ2075" s="1">
        <v>2016</v>
      </c>
      <c r="AK2075" s="1" t="s">
        <v>73</v>
      </c>
      <c r="AL2075" s="1">
        <v>657</v>
      </c>
    </row>
    <row r="2076" spans="1:38" x14ac:dyDescent="0.2">
      <c r="A2076" s="2" t="str">
        <f>HYPERLINK("https://www.compass.com/listing/50-riverside-boulevard-unit-19c-manhattan-ny-10069/29396615039151729/","50 Riverside Blvd, Unit 19C")</f>
        <v>50 Riverside Blvd, Unit 19C</v>
      </c>
      <c r="B2076" s="2" t="str">
        <f t="shared" si="317"/>
        <v>One Riverside Park</v>
      </c>
      <c r="C2076" s="1" t="s">
        <v>50</v>
      </c>
      <c r="D2076" s="1" t="s">
        <v>41</v>
      </c>
      <c r="E2076" s="3">
        <v>3364225</v>
      </c>
      <c r="F2076" s="1">
        <v>2089.5807453416101</v>
      </c>
      <c r="G2076" s="1">
        <v>4</v>
      </c>
      <c r="H2076" s="1">
        <v>3</v>
      </c>
      <c r="I2076" s="1">
        <v>4</v>
      </c>
      <c r="J2076" s="1">
        <v>3.5</v>
      </c>
      <c r="M2076" s="4">
        <v>1610</v>
      </c>
      <c r="N2076" s="1">
        <v>1794</v>
      </c>
      <c r="O2076" s="1">
        <v>1893</v>
      </c>
      <c r="P2076" s="1">
        <v>99</v>
      </c>
      <c r="Q2076" s="1" t="s">
        <v>42</v>
      </c>
      <c r="S2076" s="1" t="s">
        <v>42</v>
      </c>
      <c r="T2076" s="1" t="s">
        <v>170</v>
      </c>
      <c r="V2076" s="5">
        <v>43662</v>
      </c>
      <c r="W2076" s="5">
        <v>41924</v>
      </c>
      <c r="X2076" s="1">
        <v>3300000</v>
      </c>
      <c r="Y2076" s="1">
        <v>3300000</v>
      </c>
      <c r="Z2076" s="5">
        <v>41924</v>
      </c>
      <c r="AA2076" s="1">
        <v>3364225</v>
      </c>
      <c r="AB2076" s="1" t="s">
        <v>1655</v>
      </c>
      <c r="AC2076" s="5">
        <v>42368</v>
      </c>
      <c r="AF2076" s="1">
        <v>10069</v>
      </c>
      <c r="AI2076" s="1" t="s">
        <v>45</v>
      </c>
      <c r="AJ2076" s="1">
        <v>2016</v>
      </c>
      <c r="AK2076" s="1" t="s">
        <v>73</v>
      </c>
      <c r="AL2076" s="1">
        <v>657</v>
      </c>
    </row>
    <row r="2077" spans="1:38" x14ac:dyDescent="0.2">
      <c r="A2077" s="2" t="str">
        <f>HYPERLINK("https://www.compass.com/listing/50-riverside-boulevard-unit-3l-manhattan-ny-10069/29396650439016209/","50 Riverside Blvd, Unit 3L")</f>
        <v>50 Riverside Blvd, Unit 3L</v>
      </c>
      <c r="B2077" s="2" t="str">
        <f t="shared" si="317"/>
        <v>One Riverside Park</v>
      </c>
      <c r="C2077" s="1" t="s">
        <v>50</v>
      </c>
      <c r="D2077" s="1" t="s">
        <v>41</v>
      </c>
      <c r="E2077" s="3">
        <v>3679882</v>
      </c>
      <c r="F2077" s="1">
        <v>1939.8429098576701</v>
      </c>
      <c r="G2077" s="1">
        <v>5</v>
      </c>
      <c r="H2077" s="1">
        <v>3</v>
      </c>
      <c r="I2077" s="1">
        <v>4</v>
      </c>
      <c r="J2077" s="1">
        <v>3.5</v>
      </c>
      <c r="M2077" s="4">
        <v>1897</v>
      </c>
      <c r="N2077" s="1">
        <v>2098</v>
      </c>
      <c r="O2077" s="1">
        <v>2214</v>
      </c>
      <c r="P2077" s="1">
        <v>116</v>
      </c>
      <c r="Q2077" s="1" t="s">
        <v>42</v>
      </c>
      <c r="S2077" s="1" t="s">
        <v>42</v>
      </c>
      <c r="T2077" s="1" t="s">
        <v>170</v>
      </c>
      <c r="V2077" s="5">
        <v>43662</v>
      </c>
      <c r="W2077" s="5">
        <v>41924</v>
      </c>
      <c r="X2077" s="1">
        <v>3610000</v>
      </c>
      <c r="Y2077" s="1">
        <v>3610000</v>
      </c>
      <c r="Z2077" s="5">
        <v>41924</v>
      </c>
      <c r="AA2077" s="1">
        <v>3679882</v>
      </c>
      <c r="AB2077" s="1" t="s">
        <v>1656</v>
      </c>
      <c r="AC2077" s="5">
        <v>42213</v>
      </c>
      <c r="AF2077" s="1">
        <v>10069</v>
      </c>
      <c r="AI2077" s="1" t="s">
        <v>45</v>
      </c>
      <c r="AJ2077" s="1">
        <v>2016</v>
      </c>
      <c r="AK2077" s="1" t="s">
        <v>73</v>
      </c>
      <c r="AL2077" s="1">
        <v>657</v>
      </c>
    </row>
    <row r="2078" spans="1:38" x14ac:dyDescent="0.2">
      <c r="A2078" s="2" t="str">
        <f>HYPERLINK("https://www.compass.com/listing/50-riverside-boulevard-unit-5l-manhattan-ny-10069/29396651210830193/","50 Riverside Blvd, Unit 5L")</f>
        <v>50 Riverside Blvd, Unit 5L</v>
      </c>
      <c r="B2078" s="2" t="str">
        <f t="shared" si="317"/>
        <v>One Riverside Park</v>
      </c>
      <c r="C2078" s="1" t="s">
        <v>50</v>
      </c>
      <c r="D2078" s="1" t="s">
        <v>41</v>
      </c>
      <c r="E2078" s="3">
        <v>3695156</v>
      </c>
      <c r="F2078" s="1">
        <v>1947.89457037427</v>
      </c>
      <c r="G2078" s="1">
        <v>4</v>
      </c>
      <c r="H2078" s="1">
        <v>3</v>
      </c>
      <c r="I2078" s="1">
        <v>4</v>
      </c>
      <c r="J2078" s="1">
        <v>3.5</v>
      </c>
      <c r="M2078" s="4">
        <v>1897</v>
      </c>
      <c r="N2078" s="1">
        <v>2100</v>
      </c>
      <c r="O2078" s="1">
        <v>2216</v>
      </c>
      <c r="P2078" s="1">
        <v>116</v>
      </c>
      <c r="Q2078" s="1" t="s">
        <v>42</v>
      </c>
      <c r="S2078" s="1" t="s">
        <v>42</v>
      </c>
      <c r="T2078" s="1" t="s">
        <v>170</v>
      </c>
      <c r="V2078" s="5">
        <v>43662</v>
      </c>
      <c r="W2078" s="5">
        <v>41923</v>
      </c>
      <c r="X2078" s="1">
        <v>3625000</v>
      </c>
      <c r="Y2078" s="1">
        <v>3625000</v>
      </c>
      <c r="Z2078" s="5">
        <v>41923</v>
      </c>
      <c r="AA2078" s="1">
        <v>3695156</v>
      </c>
      <c r="AB2078" s="1" t="s">
        <v>1657</v>
      </c>
      <c r="AC2078" s="5">
        <v>42258</v>
      </c>
      <c r="AF2078" s="1">
        <v>10069</v>
      </c>
      <c r="AI2078" s="1" t="s">
        <v>45</v>
      </c>
      <c r="AJ2078" s="1">
        <v>2016</v>
      </c>
      <c r="AK2078" s="1" t="s">
        <v>73</v>
      </c>
      <c r="AL2078" s="1">
        <v>657</v>
      </c>
    </row>
    <row r="2079" spans="1:38" x14ac:dyDescent="0.2">
      <c r="A2079" s="2" t="str">
        <f>HYPERLINK("https://www.compass.com/listing/50-riverside-boulevard-unit-8a-manhattan-ny-10069/29396584051612177/","50 Riverside Blvd, Unit 8A")</f>
        <v>50 Riverside Blvd, Unit 8A</v>
      </c>
      <c r="B2079" s="2" t="str">
        <f t="shared" si="317"/>
        <v>One Riverside Park</v>
      </c>
      <c r="C2079" s="1" t="s">
        <v>50</v>
      </c>
      <c r="D2079" s="1" t="s">
        <v>41</v>
      </c>
      <c r="E2079" s="3">
        <v>3776616</v>
      </c>
      <c r="F2079" s="1">
        <v>1908.3456291056</v>
      </c>
      <c r="G2079" s="1">
        <v>4</v>
      </c>
      <c r="H2079" s="1">
        <v>3</v>
      </c>
      <c r="I2079" s="1">
        <v>4</v>
      </c>
      <c r="J2079" s="1">
        <v>3.5</v>
      </c>
      <c r="M2079" s="4">
        <v>1979</v>
      </c>
      <c r="N2079" s="1">
        <v>2194</v>
      </c>
      <c r="O2079" s="1">
        <v>2316</v>
      </c>
      <c r="P2079" s="1">
        <v>122</v>
      </c>
      <c r="Q2079" s="1" t="s">
        <v>42</v>
      </c>
      <c r="S2079" s="1" t="s">
        <v>42</v>
      </c>
      <c r="T2079" s="1" t="s">
        <v>170</v>
      </c>
      <c r="V2079" s="5">
        <v>43670</v>
      </c>
      <c r="W2079" s="5">
        <v>41923</v>
      </c>
      <c r="X2079" s="1">
        <v>3705000</v>
      </c>
      <c r="Y2079" s="1">
        <v>3705000</v>
      </c>
      <c r="Z2079" s="5">
        <v>41923</v>
      </c>
      <c r="AA2079" s="1">
        <v>3776616</v>
      </c>
      <c r="AB2079" s="1" t="s">
        <v>1658</v>
      </c>
      <c r="AC2079" s="5">
        <v>42280</v>
      </c>
      <c r="AF2079" s="1">
        <v>10069</v>
      </c>
      <c r="AI2079" s="1" t="s">
        <v>45</v>
      </c>
      <c r="AJ2079" s="1">
        <v>2016</v>
      </c>
      <c r="AK2079" s="1" t="s">
        <v>73</v>
      </c>
      <c r="AL2079" s="1">
        <v>657</v>
      </c>
    </row>
    <row r="2080" spans="1:38" x14ac:dyDescent="0.2">
      <c r="A2080" s="2" t="str">
        <f>HYPERLINK("https://www.compass.com/listing/50-riverside-boulevard-unit-11a-manhattan-ny-10069/29396585259571761/","50 Riverside Blvd, Unit 11A")</f>
        <v>50 Riverside Blvd, Unit 11A</v>
      </c>
      <c r="B2080" s="2" t="str">
        <f t="shared" si="317"/>
        <v>One Riverside Park</v>
      </c>
      <c r="C2080" s="1" t="s">
        <v>50</v>
      </c>
      <c r="D2080" s="1" t="s">
        <v>41</v>
      </c>
      <c r="E2080" s="3">
        <v>4097365</v>
      </c>
      <c r="F2080" s="1">
        <v>2221.9983731019502</v>
      </c>
      <c r="G2080" s="1">
        <v>5</v>
      </c>
      <c r="H2080" s="1">
        <v>3</v>
      </c>
      <c r="I2080" s="1">
        <v>4</v>
      </c>
      <c r="J2080" s="1">
        <v>3.5</v>
      </c>
      <c r="M2080" s="4">
        <v>1844</v>
      </c>
      <c r="N2080" s="1">
        <v>2047</v>
      </c>
      <c r="O2080" s="1">
        <v>2160</v>
      </c>
      <c r="P2080" s="1">
        <v>113</v>
      </c>
      <c r="Q2080" s="1" t="s">
        <v>42</v>
      </c>
      <c r="S2080" s="1" t="s">
        <v>42</v>
      </c>
      <c r="T2080" s="1" t="s">
        <v>170</v>
      </c>
      <c r="U2080" s="1">
        <v>14</v>
      </c>
      <c r="V2080" s="5">
        <v>43663</v>
      </c>
      <c r="W2080" s="5">
        <v>42103</v>
      </c>
      <c r="X2080" s="1">
        <v>3715000</v>
      </c>
      <c r="Y2080" s="1">
        <v>4020000</v>
      </c>
      <c r="Z2080" s="5">
        <v>42138</v>
      </c>
      <c r="AA2080" s="1">
        <v>4097365</v>
      </c>
      <c r="AB2080" s="1" t="s">
        <v>1659</v>
      </c>
      <c r="AC2080" s="5">
        <v>42304</v>
      </c>
      <c r="AF2080" s="1">
        <v>10069</v>
      </c>
      <c r="AI2080" s="1" t="s">
        <v>45</v>
      </c>
      <c r="AJ2080" s="1">
        <v>2016</v>
      </c>
      <c r="AK2080" s="1" t="s">
        <v>73</v>
      </c>
      <c r="AL2080" s="1">
        <v>657</v>
      </c>
    </row>
    <row r="2081" spans="1:38" x14ac:dyDescent="0.2">
      <c r="A2081" s="2" t="str">
        <f>HYPERLINK("https://www.compass.com/listing/50-riverside-boulevard-unit-14a-manhattan-ny-10069/29396586073225761/","50 Riverside Blvd, Unit 14A")</f>
        <v>50 Riverside Blvd, Unit 14A</v>
      </c>
      <c r="B2081" s="2" t="str">
        <f t="shared" si="317"/>
        <v>One Riverside Park</v>
      </c>
      <c r="C2081" s="1" t="s">
        <v>50</v>
      </c>
      <c r="D2081" s="1" t="s">
        <v>41</v>
      </c>
      <c r="E2081" s="3">
        <v>3959901</v>
      </c>
      <c r="F2081" s="1">
        <v>2147.4517353579099</v>
      </c>
      <c r="G2081" s="1">
        <v>4</v>
      </c>
      <c r="H2081" s="1">
        <v>3</v>
      </c>
      <c r="I2081" s="1">
        <v>4</v>
      </c>
      <c r="J2081" s="1">
        <v>3.5</v>
      </c>
      <c r="M2081" s="4">
        <v>1844</v>
      </c>
      <c r="N2081" s="1">
        <v>2049</v>
      </c>
      <c r="O2081" s="1">
        <v>2163</v>
      </c>
      <c r="P2081" s="1">
        <v>114</v>
      </c>
      <c r="Q2081" s="1" t="s">
        <v>42</v>
      </c>
      <c r="S2081" s="1" t="s">
        <v>42</v>
      </c>
      <c r="T2081" s="1" t="s">
        <v>170</v>
      </c>
      <c r="V2081" s="5">
        <v>43673</v>
      </c>
      <c r="W2081" s="5">
        <v>41923</v>
      </c>
      <c r="X2081" s="1">
        <v>3885000</v>
      </c>
      <c r="Y2081" s="1">
        <v>3885000</v>
      </c>
      <c r="Z2081" s="5">
        <v>41923</v>
      </c>
      <c r="AA2081" s="1">
        <v>3959901</v>
      </c>
      <c r="AB2081" s="1" t="s">
        <v>1660</v>
      </c>
      <c r="AC2081" s="5">
        <v>42332</v>
      </c>
      <c r="AF2081" s="1">
        <v>10069</v>
      </c>
      <c r="AI2081" s="1" t="s">
        <v>45</v>
      </c>
      <c r="AJ2081" s="1">
        <v>2016</v>
      </c>
      <c r="AK2081" s="1" t="s">
        <v>73</v>
      </c>
      <c r="AL2081" s="1">
        <v>657</v>
      </c>
    </row>
    <row r="2082" spans="1:38" x14ac:dyDescent="0.2">
      <c r="A2082" s="2" t="str">
        <f>HYPERLINK("https://www.compass.com/listing/50-riverside-boulevard-unit-16a-manhattan-ny-10069/29396586811485217/","50 Riverside Blvd, Unit 16A")</f>
        <v>50 Riverside Blvd, Unit 16A</v>
      </c>
      <c r="B2082" s="2" t="str">
        <f t="shared" si="317"/>
        <v>One Riverside Park</v>
      </c>
      <c r="C2082" s="1" t="s">
        <v>50</v>
      </c>
      <c r="D2082" s="1" t="s">
        <v>41</v>
      </c>
      <c r="E2082" s="3">
        <v>3873350</v>
      </c>
      <c r="F2082" s="1">
        <v>2100.5151843817698</v>
      </c>
      <c r="G2082" s="1">
        <v>4</v>
      </c>
      <c r="H2082" s="1">
        <v>3</v>
      </c>
      <c r="I2082" s="1">
        <v>4</v>
      </c>
      <c r="J2082" s="1">
        <v>3.5</v>
      </c>
      <c r="M2082" s="4">
        <v>1844</v>
      </c>
      <c r="N2082" s="1">
        <v>2051</v>
      </c>
      <c r="O2082" s="1">
        <v>2165</v>
      </c>
      <c r="P2082" s="1">
        <v>114</v>
      </c>
      <c r="Q2082" s="1" t="s">
        <v>42</v>
      </c>
      <c r="S2082" s="1" t="s">
        <v>42</v>
      </c>
      <c r="T2082" s="1" t="s">
        <v>170</v>
      </c>
      <c r="V2082" s="5">
        <v>43663</v>
      </c>
      <c r="W2082" s="5">
        <v>41923</v>
      </c>
      <c r="X2082" s="1">
        <v>3800000</v>
      </c>
      <c r="Y2082" s="1">
        <v>3800000</v>
      </c>
      <c r="Z2082" s="5">
        <v>41923</v>
      </c>
      <c r="AA2082" s="1">
        <v>3873350</v>
      </c>
      <c r="AB2082" s="1" t="s">
        <v>1661</v>
      </c>
      <c r="AC2082" s="5">
        <v>42331</v>
      </c>
      <c r="AF2082" s="1">
        <v>10069</v>
      </c>
      <c r="AI2082" s="1" t="s">
        <v>45</v>
      </c>
      <c r="AJ2082" s="1">
        <v>2016</v>
      </c>
      <c r="AK2082" s="1" t="s">
        <v>73</v>
      </c>
      <c r="AL2082" s="1">
        <v>657</v>
      </c>
    </row>
    <row r="2083" spans="1:38" x14ac:dyDescent="0.2">
      <c r="A2083" s="2" t="str">
        <f>HYPERLINK("https://www.compass.com/listing/50-riverside-boulevard-unit-ph4a-manhattan-ny-10069/29396594679999729/","50 Riverside Blvd, Unit PH4A")</f>
        <v>50 Riverside Blvd, Unit PH4A</v>
      </c>
      <c r="B2083" s="2" t="str">
        <f t="shared" si="317"/>
        <v>One Riverside Park</v>
      </c>
      <c r="C2083" s="1" t="s">
        <v>50</v>
      </c>
      <c r="D2083" s="1" t="s">
        <v>41</v>
      </c>
      <c r="E2083" s="3">
        <v>22040000</v>
      </c>
      <c r="F2083" s="1">
        <v>3573.28145265888</v>
      </c>
      <c r="G2083" s="1">
        <v>12</v>
      </c>
      <c r="H2083" s="1">
        <v>6</v>
      </c>
      <c r="I2083" s="1">
        <v>9</v>
      </c>
      <c r="J2083" s="1">
        <v>8.5</v>
      </c>
      <c r="M2083" s="4">
        <v>6168</v>
      </c>
      <c r="N2083" s="1">
        <v>6919</v>
      </c>
      <c r="O2083" s="1">
        <v>7302</v>
      </c>
      <c r="P2083" s="1">
        <v>383</v>
      </c>
      <c r="Q2083" s="1" t="s">
        <v>42</v>
      </c>
      <c r="S2083" s="1" t="s">
        <v>42</v>
      </c>
      <c r="T2083" s="1" t="s">
        <v>170</v>
      </c>
      <c r="V2083" s="5">
        <v>43663</v>
      </c>
      <c r="W2083" s="5">
        <v>42902</v>
      </c>
      <c r="X2083" s="1">
        <v>20000000</v>
      </c>
      <c r="Y2083" s="1">
        <v>20000000</v>
      </c>
      <c r="Z2083" s="5">
        <v>41905</v>
      </c>
      <c r="AA2083" s="1">
        <v>22040000</v>
      </c>
      <c r="AB2083" s="1" t="s">
        <v>44</v>
      </c>
      <c r="AC2083" s="5">
        <v>42434</v>
      </c>
      <c r="AF2083" s="1">
        <v>10069</v>
      </c>
      <c r="AI2083" s="1" t="s">
        <v>45</v>
      </c>
      <c r="AJ2083" s="1">
        <v>2016</v>
      </c>
      <c r="AK2083" s="1" t="s">
        <v>73</v>
      </c>
      <c r="AL2083" s="1">
        <v>657</v>
      </c>
    </row>
    <row r="2084" spans="1:38" x14ac:dyDescent="0.2">
      <c r="A2084" s="2" t="str">
        <f>HYPERLINK("https://www.compass.com/listing/50-riverside-boulevard-unit-ph5a-manhattan-ny-10069/29396595090979553/","50 Riverside Blvd, Unit PH5A")</f>
        <v>50 Riverside Blvd, Unit PH5A</v>
      </c>
      <c r="B2084" s="2" t="str">
        <f t="shared" si="317"/>
        <v>One Riverside Park</v>
      </c>
      <c r="C2084" s="1" t="s">
        <v>50</v>
      </c>
      <c r="D2084" s="1" t="s">
        <v>41</v>
      </c>
      <c r="E2084" s="3">
        <v>16296000</v>
      </c>
      <c r="F2084" s="1">
        <v>2642.0233463035001</v>
      </c>
      <c r="G2084" s="1">
        <v>12</v>
      </c>
      <c r="H2084" s="1">
        <v>6</v>
      </c>
      <c r="I2084" s="1">
        <v>9</v>
      </c>
      <c r="J2084" s="1">
        <v>8.5</v>
      </c>
      <c r="M2084" s="4">
        <v>6168</v>
      </c>
      <c r="N2084" s="1">
        <v>6923</v>
      </c>
      <c r="O2084" s="1">
        <v>7307</v>
      </c>
      <c r="P2084" s="1">
        <v>384</v>
      </c>
      <c r="Q2084" s="1" t="s">
        <v>42</v>
      </c>
      <c r="S2084" s="1" t="s">
        <v>42</v>
      </c>
      <c r="T2084" s="1" t="s">
        <v>170</v>
      </c>
      <c r="U2084" s="1">
        <v>43</v>
      </c>
      <c r="V2084" s="5">
        <v>42998</v>
      </c>
      <c r="W2084" s="5">
        <v>41582</v>
      </c>
      <c r="X2084" s="1">
        <v>21000000</v>
      </c>
      <c r="Y2084" s="1">
        <v>21000000</v>
      </c>
      <c r="Z2084" s="5">
        <v>41809</v>
      </c>
      <c r="AA2084" s="1">
        <v>16296000</v>
      </c>
      <c r="AB2084" s="1" t="s">
        <v>1662</v>
      </c>
      <c r="AC2084" s="5">
        <v>42860</v>
      </c>
      <c r="AF2084" s="1">
        <v>10069</v>
      </c>
      <c r="AI2084" s="1" t="s">
        <v>1386</v>
      </c>
      <c r="AJ2084" s="1">
        <v>2016</v>
      </c>
      <c r="AK2084" s="1" t="s">
        <v>73</v>
      </c>
      <c r="AL2084" s="1">
        <v>657</v>
      </c>
    </row>
    <row r="2085" spans="1:38" x14ac:dyDescent="0.2">
      <c r="A2085" s="2" t="str">
        <f>HYPERLINK("https://www.compass.com/listing/50-riverside-boulevard-unit-11bc-manhattan-ny-10069/29396600552025473/","50 Riverside Blvd, Unit 11BC")</f>
        <v>50 Riverside Blvd, Unit 11BC</v>
      </c>
      <c r="B2085" s="2" t="str">
        <f t="shared" si="317"/>
        <v>One Riverside Park</v>
      </c>
      <c r="C2085" s="1" t="s">
        <v>50</v>
      </c>
      <c r="D2085" s="1" t="s">
        <v>41</v>
      </c>
      <c r="E2085" s="3">
        <v>8119453</v>
      </c>
      <c r="F2085" s="1">
        <v>2193.853823291</v>
      </c>
      <c r="G2085" s="1">
        <v>8</v>
      </c>
      <c r="H2085" s="1">
        <v>6</v>
      </c>
      <c r="I2085" s="1">
        <v>6</v>
      </c>
      <c r="J2085" s="1">
        <v>6</v>
      </c>
      <c r="K2085" s="1">
        <v>6</v>
      </c>
      <c r="M2085" s="4">
        <v>3701</v>
      </c>
      <c r="Q2085" s="1" t="s">
        <v>42</v>
      </c>
      <c r="S2085" s="1" t="s">
        <v>42</v>
      </c>
      <c r="T2085" s="1" t="s">
        <v>170</v>
      </c>
      <c r="V2085" s="5">
        <v>43671</v>
      </c>
      <c r="W2085" s="5">
        <v>42256</v>
      </c>
      <c r="X2085" s="1">
        <v>8119452</v>
      </c>
      <c r="Y2085" s="1">
        <v>8119452</v>
      </c>
      <c r="AA2085" s="1">
        <v>8119453</v>
      </c>
      <c r="AB2085" s="1" t="s">
        <v>181</v>
      </c>
      <c r="AC2085" s="5">
        <v>42257</v>
      </c>
      <c r="AF2085" s="1">
        <v>10069</v>
      </c>
      <c r="AI2085" s="1" t="s">
        <v>45</v>
      </c>
      <c r="AJ2085" s="1">
        <v>2016</v>
      </c>
      <c r="AK2085" s="1" t="s">
        <v>73</v>
      </c>
      <c r="AL2085" s="1">
        <v>657</v>
      </c>
    </row>
    <row r="2086" spans="1:38" x14ac:dyDescent="0.2">
      <c r="A2086" s="2" t="str">
        <f>HYPERLINK("https://www.compass.com/listing/50-riverside-boulevard-unit-14d-manhattan-ny-10069/29396619711585505/","50 Riverside Blvd, Unit 14D")</f>
        <v>50 Riverside Blvd, Unit 14D</v>
      </c>
      <c r="B2086" s="2" t="str">
        <f t="shared" si="317"/>
        <v>One Riverside Park</v>
      </c>
      <c r="C2086" s="1" t="s">
        <v>50</v>
      </c>
      <c r="D2086" s="1" t="s">
        <v>41</v>
      </c>
      <c r="E2086" s="3">
        <v>3883532</v>
      </c>
      <c r="F2086" s="1">
        <v>1936.9236907730599</v>
      </c>
      <c r="G2086" s="1">
        <v>4</v>
      </c>
      <c r="H2086" s="1">
        <v>3</v>
      </c>
      <c r="I2086" s="1">
        <v>4</v>
      </c>
      <c r="J2086" s="1">
        <v>3.5</v>
      </c>
      <c r="M2086" s="4">
        <v>2005</v>
      </c>
      <c r="N2086" s="1">
        <v>2228</v>
      </c>
      <c r="O2086" s="1">
        <v>2351</v>
      </c>
      <c r="P2086" s="1">
        <v>123</v>
      </c>
      <c r="Q2086" s="1" t="s">
        <v>42</v>
      </c>
      <c r="S2086" s="1" t="s">
        <v>42</v>
      </c>
      <c r="T2086" s="1" t="s">
        <v>170</v>
      </c>
      <c r="V2086" s="5">
        <v>43668</v>
      </c>
      <c r="W2086" s="5">
        <v>41924</v>
      </c>
      <c r="X2086" s="1">
        <v>3810000</v>
      </c>
      <c r="Y2086" s="1">
        <v>3810000</v>
      </c>
      <c r="Z2086" s="5">
        <v>41924</v>
      </c>
      <c r="AA2086" s="1">
        <v>3883532</v>
      </c>
      <c r="AB2086" s="1" t="s">
        <v>1663</v>
      </c>
      <c r="AC2086" s="5">
        <v>42320</v>
      </c>
      <c r="AF2086" s="1">
        <v>10069</v>
      </c>
      <c r="AI2086" s="1" t="s">
        <v>45</v>
      </c>
      <c r="AJ2086" s="1">
        <v>2016</v>
      </c>
      <c r="AK2086" s="1" t="s">
        <v>73</v>
      </c>
      <c r="AL2086" s="1">
        <v>657</v>
      </c>
    </row>
    <row r="2087" spans="1:38" x14ac:dyDescent="0.2">
      <c r="A2087" s="2" t="str">
        <f>HYPERLINK("https://www.compass.com/listing/50-riverside-boulevard-unit-4l-manhattan-ny-10069/29396650808155969/","50 Riverside Blvd, Unit 4L")</f>
        <v>50 Riverside Blvd, Unit 4L</v>
      </c>
      <c r="B2087" s="2" t="str">
        <f t="shared" si="317"/>
        <v>One Riverside Park</v>
      </c>
      <c r="C2087" s="1" t="s">
        <v>50</v>
      </c>
      <c r="D2087" s="1" t="s">
        <v>41</v>
      </c>
      <c r="E2087" s="3">
        <v>3781707</v>
      </c>
      <c r="F2087" s="1">
        <v>1993.5197680548199</v>
      </c>
      <c r="G2087" s="1">
        <v>5</v>
      </c>
      <c r="H2087" s="1">
        <v>3</v>
      </c>
      <c r="I2087" s="1">
        <v>4</v>
      </c>
      <c r="J2087" s="1">
        <v>3.5</v>
      </c>
      <c r="M2087" s="4">
        <v>1897</v>
      </c>
      <c r="N2087" s="1">
        <v>2099</v>
      </c>
      <c r="O2087" s="1">
        <v>2215</v>
      </c>
      <c r="P2087" s="1">
        <v>116</v>
      </c>
      <c r="Q2087" s="1" t="s">
        <v>42</v>
      </c>
      <c r="S2087" s="1" t="s">
        <v>42</v>
      </c>
      <c r="T2087" s="1" t="s">
        <v>170</v>
      </c>
      <c r="V2087" s="5">
        <v>43670</v>
      </c>
      <c r="W2087" s="5">
        <v>41923</v>
      </c>
      <c r="X2087" s="1">
        <v>3710000</v>
      </c>
      <c r="Y2087" s="1">
        <v>3710000</v>
      </c>
      <c r="Z2087" s="5">
        <v>41923</v>
      </c>
      <c r="AA2087" s="1">
        <v>3781707</v>
      </c>
      <c r="AB2087" s="1" t="s">
        <v>1664</v>
      </c>
      <c r="AC2087" s="5">
        <v>42249</v>
      </c>
      <c r="AF2087" s="1">
        <v>10069</v>
      </c>
      <c r="AI2087" s="1" t="s">
        <v>45</v>
      </c>
      <c r="AJ2087" s="1">
        <v>2016</v>
      </c>
      <c r="AK2087" s="1" t="s">
        <v>73</v>
      </c>
      <c r="AL2087" s="1">
        <v>657</v>
      </c>
    </row>
    <row r="2088" spans="1:38" x14ac:dyDescent="0.2">
      <c r="A2088" s="2" t="str">
        <f>HYPERLINK("https://www.compass.com/listing/50-riverside-boulevard-unit-6l-manhattan-ny-10069/29396651688918817/","50 Riverside Blvd, Unit 6L")</f>
        <v>50 Riverside Blvd, Unit 6L</v>
      </c>
      <c r="B2088" s="2" t="str">
        <f t="shared" si="317"/>
        <v>One Riverside Park</v>
      </c>
      <c r="C2088" s="1" t="s">
        <v>50</v>
      </c>
      <c r="D2088" s="1" t="s">
        <v>41</v>
      </c>
      <c r="E2088" s="3">
        <v>3822437</v>
      </c>
      <c r="F2088" s="1">
        <v>2014.9905113336799</v>
      </c>
      <c r="G2088" s="1">
        <v>4</v>
      </c>
      <c r="H2088" s="1">
        <v>3</v>
      </c>
      <c r="I2088" s="1">
        <v>4</v>
      </c>
      <c r="J2088" s="1">
        <v>3.5</v>
      </c>
      <c r="M2088" s="4">
        <v>1897</v>
      </c>
      <c r="N2088" s="1">
        <v>2101</v>
      </c>
      <c r="O2088" s="1">
        <v>2217</v>
      </c>
      <c r="P2088" s="1">
        <v>116</v>
      </c>
      <c r="Q2088" s="1" t="s">
        <v>42</v>
      </c>
      <c r="S2088" s="1" t="s">
        <v>42</v>
      </c>
      <c r="T2088" s="1" t="s">
        <v>170</v>
      </c>
      <c r="V2088" s="5">
        <v>43670</v>
      </c>
      <c r="W2088" s="5">
        <v>41923</v>
      </c>
      <c r="X2088" s="1">
        <v>3750000</v>
      </c>
      <c r="Y2088" s="1">
        <v>3750000</v>
      </c>
      <c r="Z2088" s="5">
        <v>41923</v>
      </c>
      <c r="AA2088" s="1">
        <v>3822437</v>
      </c>
      <c r="AB2088" s="1" t="s">
        <v>1665</v>
      </c>
      <c r="AC2088" s="5">
        <v>42272</v>
      </c>
      <c r="AF2088" s="1">
        <v>10069</v>
      </c>
      <c r="AI2088" s="1" t="s">
        <v>45</v>
      </c>
      <c r="AJ2088" s="1">
        <v>2016</v>
      </c>
      <c r="AK2088" s="1" t="s">
        <v>73</v>
      </c>
      <c r="AL2088" s="1">
        <v>657</v>
      </c>
    </row>
    <row r="2089" spans="1:38" x14ac:dyDescent="0.2">
      <c r="A2089" s="2" t="str">
        <f>HYPERLINK("https://www.compass.com/listing/50-riverside-boulevard-unit-7l-manhattan-ny-10069/29396652167110497/","50 Riverside Blvd, Unit 7L")</f>
        <v>50 Riverside Blvd, Unit 7L</v>
      </c>
      <c r="B2089" s="2" t="str">
        <f t="shared" si="317"/>
        <v>One Riverside Park</v>
      </c>
      <c r="C2089" s="1" t="s">
        <v>50</v>
      </c>
      <c r="D2089" s="1" t="s">
        <v>41</v>
      </c>
      <c r="E2089" s="3">
        <v>3975000</v>
      </c>
      <c r="F2089" s="1">
        <v>2095.4138112809701</v>
      </c>
      <c r="G2089" s="1">
        <v>5.5</v>
      </c>
      <c r="H2089" s="1">
        <v>3</v>
      </c>
      <c r="I2089" s="1">
        <v>4</v>
      </c>
      <c r="J2089" s="1">
        <v>3.5</v>
      </c>
      <c r="M2089" s="4">
        <v>1897</v>
      </c>
      <c r="N2089" s="1">
        <v>2102</v>
      </c>
      <c r="O2089" s="1">
        <v>2218</v>
      </c>
      <c r="P2089" s="1">
        <v>116</v>
      </c>
      <c r="Q2089" s="1" t="s">
        <v>42</v>
      </c>
      <c r="S2089" s="1" t="s">
        <v>42</v>
      </c>
      <c r="T2089" s="1" t="s">
        <v>170</v>
      </c>
      <c r="V2089" s="5">
        <v>42998</v>
      </c>
      <c r="W2089" s="5">
        <v>42902</v>
      </c>
      <c r="X2089" s="1">
        <v>3975000</v>
      </c>
      <c r="Y2089" s="1">
        <v>3975000</v>
      </c>
      <c r="Z2089" s="5">
        <v>41809</v>
      </c>
      <c r="AB2089" s="1" t="s">
        <v>181</v>
      </c>
      <c r="AC2089" s="5">
        <v>42902</v>
      </c>
      <c r="AF2089" s="1">
        <v>10069</v>
      </c>
      <c r="AI2089" s="1" t="s">
        <v>101</v>
      </c>
      <c r="AJ2089" s="1">
        <v>2016</v>
      </c>
      <c r="AK2089" s="1" t="s">
        <v>73</v>
      </c>
      <c r="AL2089" s="1">
        <v>657</v>
      </c>
    </row>
    <row r="2090" spans="1:38" x14ac:dyDescent="0.2">
      <c r="A2090" s="2" t="str">
        <f>HYPERLINK("https://www.compass.com/listing/50-riverside-boulevard-unit-11p-manhattan-ny-10069/29396671033111313/","50 Riverside Blvd, Unit 11P")</f>
        <v>50 Riverside Blvd, Unit 11P</v>
      </c>
      <c r="B2090" s="2" t="str">
        <f t="shared" si="317"/>
        <v>One Riverside Park</v>
      </c>
      <c r="C2090" s="1" t="s">
        <v>50</v>
      </c>
      <c r="D2090" s="1" t="s">
        <v>41</v>
      </c>
      <c r="E2090" s="3">
        <v>4066817</v>
      </c>
      <c r="F2090" s="1">
        <v>1794.71182700794</v>
      </c>
      <c r="G2090" s="1">
        <v>4</v>
      </c>
      <c r="H2090" s="1">
        <v>3</v>
      </c>
      <c r="I2090" s="1">
        <v>4</v>
      </c>
      <c r="J2090" s="1">
        <v>3.5</v>
      </c>
      <c r="M2090" s="4">
        <v>2266</v>
      </c>
      <c r="N2090" s="1">
        <v>2516</v>
      </c>
      <c r="O2090" s="1">
        <v>2655</v>
      </c>
      <c r="P2090" s="1">
        <v>139</v>
      </c>
      <c r="Q2090" s="1" t="s">
        <v>42</v>
      </c>
      <c r="S2090" s="1" t="s">
        <v>42</v>
      </c>
      <c r="T2090" s="1" t="s">
        <v>170</v>
      </c>
      <c r="V2090" s="5">
        <v>43673</v>
      </c>
      <c r="W2090" s="5">
        <v>41923</v>
      </c>
      <c r="X2090" s="1">
        <v>3990000</v>
      </c>
      <c r="Y2090" s="1">
        <v>3990000</v>
      </c>
      <c r="Z2090" s="5">
        <v>41923</v>
      </c>
      <c r="AA2090" s="1">
        <v>4066817</v>
      </c>
      <c r="AB2090" s="1" t="s">
        <v>1666</v>
      </c>
      <c r="AC2090" s="5">
        <v>42325</v>
      </c>
      <c r="AF2090" s="1">
        <v>10069</v>
      </c>
      <c r="AI2090" s="1" t="s">
        <v>45</v>
      </c>
      <c r="AJ2090" s="1">
        <v>2016</v>
      </c>
      <c r="AK2090" s="1" t="s">
        <v>73</v>
      </c>
      <c r="AL2090" s="1">
        <v>657</v>
      </c>
    </row>
    <row r="2091" spans="1:38" x14ac:dyDescent="0.2">
      <c r="A2091" s="2" t="str">
        <f>HYPERLINK("https://www.compass.com/listing/30-riverside-boulevard-unit-27j-manhattan-ny-10069/492723568655077985/","30 Riverside Blvd, Unit 27J")</f>
        <v>30 Riverside Blvd, Unit 27J</v>
      </c>
      <c r="B2091" s="2" t="str">
        <f>HYPERLINK("https://www.compass.com/building/two-waterline-square-manhattan-ny/282058630956612773/","Two Waterline Square")</f>
        <v>Two Waterline Square</v>
      </c>
      <c r="C2091" s="1" t="s">
        <v>50</v>
      </c>
      <c r="D2091" s="1" t="s">
        <v>41</v>
      </c>
      <c r="E2091" s="3">
        <v>3700000</v>
      </c>
      <c r="F2091" s="1">
        <v>2675.3434562545099</v>
      </c>
      <c r="G2091" s="1">
        <v>4</v>
      </c>
      <c r="H2091" s="1">
        <v>2</v>
      </c>
      <c r="I2091" s="1">
        <v>2</v>
      </c>
      <c r="J2091" s="1">
        <v>2</v>
      </c>
      <c r="K2091" s="1">
        <v>2</v>
      </c>
      <c r="M2091" s="4">
        <v>1383</v>
      </c>
      <c r="N2091" s="1">
        <v>1752</v>
      </c>
      <c r="O2091" s="1">
        <v>1847</v>
      </c>
      <c r="P2091" s="1">
        <v>95</v>
      </c>
      <c r="Q2091" s="1" t="s">
        <v>42</v>
      </c>
      <c r="S2091" s="1" t="s">
        <v>42</v>
      </c>
      <c r="T2091" s="1" t="s">
        <v>170</v>
      </c>
      <c r="U2091" s="1">
        <v>76</v>
      </c>
      <c r="V2091" s="5">
        <v>43933</v>
      </c>
      <c r="W2091" s="5">
        <v>43833</v>
      </c>
      <c r="AA2091" s="1">
        <v>3700000</v>
      </c>
      <c r="AB2091" s="1" t="s">
        <v>181</v>
      </c>
      <c r="AC2091" s="5">
        <v>43924</v>
      </c>
      <c r="AF2091" s="1">
        <v>10069</v>
      </c>
      <c r="AI2091" s="1" t="s">
        <v>109</v>
      </c>
      <c r="AJ2091" s="1">
        <v>2019</v>
      </c>
      <c r="AK2091" s="1" t="s">
        <v>77</v>
      </c>
      <c r="AL2091" s="1">
        <v>160</v>
      </c>
    </row>
    <row r="2092" spans="1:38" x14ac:dyDescent="0.2">
      <c r="A2092" s="2" t="str">
        <f>HYPERLINK("https://www.compass.com/listing/321-west-110th-street-unit-ph2-manhattan-ny-10026/29430025530907873/","321 W 110th St, Unit PH2")</f>
        <v>321 W 110th St, Unit PH2</v>
      </c>
      <c r="B2092" s="2" t="str">
        <f>HYPERLINK("https://www.compass.com/building/one-morningside-park-manhattan-ny/294836904016796069/","One Morningside Park")</f>
        <v>One Morningside Park</v>
      </c>
      <c r="C2092" s="1" t="s">
        <v>106</v>
      </c>
      <c r="D2092" s="1" t="s">
        <v>41</v>
      </c>
      <c r="E2092" s="3">
        <v>5700000</v>
      </c>
      <c r="F2092" s="1">
        <v>2646.2395543175398</v>
      </c>
      <c r="G2092" s="1">
        <v>6</v>
      </c>
      <c r="H2092" s="1">
        <v>3</v>
      </c>
      <c r="I2092" s="1">
        <v>3</v>
      </c>
      <c r="J2092" s="1">
        <v>2.5</v>
      </c>
      <c r="M2092" s="4">
        <v>2154</v>
      </c>
      <c r="N2092" s="1">
        <v>2565</v>
      </c>
      <c r="O2092" s="1">
        <v>2703</v>
      </c>
      <c r="P2092" s="1">
        <v>138</v>
      </c>
      <c r="Q2092" s="1" t="s">
        <v>42</v>
      </c>
      <c r="S2092" s="1" t="s">
        <v>42</v>
      </c>
      <c r="T2092" s="1" t="s">
        <v>170</v>
      </c>
      <c r="U2092" s="1">
        <v>249</v>
      </c>
      <c r="V2092" s="5">
        <v>42879</v>
      </c>
      <c r="W2092" s="5">
        <v>42040</v>
      </c>
      <c r="X2092" s="1">
        <v>5700000</v>
      </c>
      <c r="Y2092" s="1">
        <v>5700000</v>
      </c>
      <c r="AA2092" s="1">
        <v>5700000</v>
      </c>
      <c r="AB2092" s="1" t="s">
        <v>1667</v>
      </c>
      <c r="AC2092" s="5">
        <v>42290</v>
      </c>
      <c r="AF2092" s="1">
        <v>10026</v>
      </c>
      <c r="AI2092" s="1" t="s">
        <v>1668</v>
      </c>
      <c r="AJ2092" s="1">
        <v>2012</v>
      </c>
      <c r="AK2092" s="1" t="s">
        <v>77</v>
      </c>
      <c r="AL2092" s="1">
        <v>88</v>
      </c>
    </row>
    <row r="2093" spans="1:38" x14ac:dyDescent="0.2">
      <c r="A2093" s="2" t="str">
        <f>HYPERLINK("https://www.compass.com/listing/30-riverside-boulevard-unit-23f-manhattan-ny-10069/756712126828148137/","30 Riverside Blvd, Unit 23F")</f>
        <v>30 Riverside Blvd, Unit 23F</v>
      </c>
      <c r="B2093" s="2" t="str">
        <f>HYPERLINK("https://www.compass.com/building/two-waterline-square-manhattan-ny/282058630956612773/","Two Waterline Square")</f>
        <v>Two Waterline Square</v>
      </c>
      <c r="C2093" s="1" t="s">
        <v>50</v>
      </c>
      <c r="D2093" s="1" t="s">
        <v>41</v>
      </c>
      <c r="E2093" s="3">
        <v>1823000</v>
      </c>
      <c r="F2093" s="1">
        <v>2055.2423900789099</v>
      </c>
      <c r="G2093" s="1">
        <v>3</v>
      </c>
      <c r="H2093" s="1">
        <v>1</v>
      </c>
      <c r="I2093" s="1">
        <v>1</v>
      </c>
      <c r="J2093" s="1">
        <v>1</v>
      </c>
      <c r="K2093" s="1">
        <v>1</v>
      </c>
      <c r="M2093" s="1">
        <v>887</v>
      </c>
      <c r="N2093" s="1">
        <v>1172</v>
      </c>
      <c r="O2093" s="1">
        <v>1234</v>
      </c>
      <c r="P2093" s="1">
        <v>62</v>
      </c>
      <c r="Q2093" s="1" t="s">
        <v>42</v>
      </c>
      <c r="S2093" s="1" t="s">
        <v>42</v>
      </c>
      <c r="T2093" s="1" t="s">
        <v>170</v>
      </c>
      <c r="U2093" s="1">
        <v>11</v>
      </c>
      <c r="V2093" s="5">
        <v>44422</v>
      </c>
      <c r="W2093" s="5">
        <v>44295</v>
      </c>
      <c r="X2093" s="1">
        <v>2050000</v>
      </c>
      <c r="Y2093" s="1">
        <v>2050000</v>
      </c>
      <c r="Z2093" s="5">
        <v>44307</v>
      </c>
      <c r="AA2093" s="1">
        <v>1823000</v>
      </c>
      <c r="AB2093" s="1" t="s">
        <v>181</v>
      </c>
      <c r="AC2093" s="5">
        <v>44412</v>
      </c>
      <c r="AF2093" s="1">
        <v>10069</v>
      </c>
      <c r="AI2093" s="1" t="s">
        <v>109</v>
      </c>
      <c r="AJ2093" s="1">
        <v>2019</v>
      </c>
      <c r="AK2093" s="1" t="s">
        <v>77</v>
      </c>
      <c r="AL2093" s="1">
        <v>160</v>
      </c>
    </row>
    <row r="2094" spans="1:38" x14ac:dyDescent="0.2">
      <c r="A2094" s="2" t="str">
        <f>HYPERLINK("https://www.compass.com/listing/375-west-123rd-street-unit-8c-manhattan-ny-10027/652883062753986681/","375 W 123rd St, Unit 8C")</f>
        <v>375 W 123rd St, Unit 8C</v>
      </c>
      <c r="B2094" s="2" t="str">
        <f>HYPERLINK("https://www.compass.com/building/99-morningside-manhattan-ny/281983676789660549/","99 Morningside")</f>
        <v>99 Morningside</v>
      </c>
      <c r="C2094" s="1" t="s">
        <v>106</v>
      </c>
      <c r="D2094" s="1" t="s">
        <v>41</v>
      </c>
      <c r="E2094" s="3">
        <v>715000</v>
      </c>
      <c r="F2094" s="1">
        <v>1283.66247755834</v>
      </c>
      <c r="G2094" s="1">
        <v>3</v>
      </c>
      <c r="H2094" s="1">
        <v>1</v>
      </c>
      <c r="I2094" s="1">
        <v>1</v>
      </c>
      <c r="J2094" s="1">
        <v>1</v>
      </c>
      <c r="K2094" s="1">
        <v>1</v>
      </c>
      <c r="M2094" s="1">
        <v>557</v>
      </c>
      <c r="N2094" s="1">
        <v>511</v>
      </c>
      <c r="O2094" s="1">
        <v>555</v>
      </c>
      <c r="P2094" s="1">
        <v>44</v>
      </c>
      <c r="Q2094" s="1" t="s">
        <v>42</v>
      </c>
      <c r="S2094" s="1" t="s">
        <v>42</v>
      </c>
      <c r="T2094" s="1" t="s">
        <v>170</v>
      </c>
      <c r="V2094" s="5">
        <v>44371</v>
      </c>
      <c r="W2094" s="5">
        <v>44152</v>
      </c>
      <c r="X2094" s="1">
        <v>780000</v>
      </c>
      <c r="Y2094" s="1">
        <v>734000</v>
      </c>
      <c r="Z2094" s="5">
        <v>44281</v>
      </c>
      <c r="AA2094" s="1">
        <v>715000</v>
      </c>
      <c r="AB2094" s="1" t="s">
        <v>181</v>
      </c>
      <c r="AC2094" s="5">
        <v>44369</v>
      </c>
      <c r="AF2094" s="1">
        <v>10027</v>
      </c>
      <c r="AI2094" s="1" t="s">
        <v>126</v>
      </c>
      <c r="AJ2094" s="1">
        <v>2016</v>
      </c>
      <c r="AK2094" s="1" t="s">
        <v>108</v>
      </c>
      <c r="AL2094" s="1">
        <v>22</v>
      </c>
    </row>
    <row r="2095" spans="1:38" x14ac:dyDescent="0.2">
      <c r="A2095" s="2" t="str">
        <f>HYPERLINK("https://www.compass.com/listing/30-riverside-boulevard-unit-20l-manhattan-ny-10069/29515099731493105/","30 Riverside Blvd, Unit 20L")</f>
        <v>30 Riverside Blvd, Unit 20L</v>
      </c>
      <c r="B2095" s="2" t="str">
        <f t="shared" ref="B2095:B2117" si="318">HYPERLINK("https://www.compass.com/building/two-waterline-square-manhattan-ny/282058630956612773/","Two Waterline Square")</f>
        <v>Two Waterline Square</v>
      </c>
      <c r="C2095" s="1" t="s">
        <v>50</v>
      </c>
      <c r="D2095" s="1" t="s">
        <v>41</v>
      </c>
      <c r="E2095" s="3">
        <v>1925000</v>
      </c>
      <c r="F2095" s="1">
        <v>2220.2998846597402</v>
      </c>
      <c r="G2095" s="1">
        <v>3</v>
      </c>
      <c r="H2095" s="1">
        <v>1</v>
      </c>
      <c r="I2095" s="1">
        <v>1</v>
      </c>
      <c r="J2095" s="1">
        <v>1</v>
      </c>
      <c r="K2095" s="1">
        <v>1</v>
      </c>
      <c r="M2095" s="1">
        <v>867</v>
      </c>
      <c r="N2095" s="1">
        <v>1080</v>
      </c>
      <c r="O2095" s="1">
        <v>1137</v>
      </c>
      <c r="P2095" s="1">
        <v>57</v>
      </c>
      <c r="Q2095" s="1" t="s">
        <v>42</v>
      </c>
      <c r="S2095" s="1" t="s">
        <v>42</v>
      </c>
      <c r="T2095" s="1" t="s">
        <v>170</v>
      </c>
      <c r="U2095" s="1">
        <v>243</v>
      </c>
      <c r="V2095" s="5">
        <v>43994</v>
      </c>
      <c r="W2095" s="5">
        <v>42921</v>
      </c>
      <c r="X2095" s="1">
        <v>1925000</v>
      </c>
      <c r="Y2095" s="1">
        <v>1925000</v>
      </c>
      <c r="Z2095" s="5">
        <v>43165</v>
      </c>
      <c r="AA2095" s="1">
        <v>1925000</v>
      </c>
      <c r="AB2095" s="1" t="s">
        <v>181</v>
      </c>
      <c r="AC2095" s="5">
        <v>43990</v>
      </c>
      <c r="AF2095" s="1">
        <v>10069</v>
      </c>
      <c r="AI2095" s="1" t="s">
        <v>109</v>
      </c>
      <c r="AJ2095" s="1">
        <v>2019</v>
      </c>
      <c r="AK2095" s="1" t="s">
        <v>77</v>
      </c>
      <c r="AL2095" s="1">
        <v>160</v>
      </c>
    </row>
    <row r="2096" spans="1:38" x14ac:dyDescent="0.2">
      <c r="A2096" s="2" t="str">
        <f>HYPERLINK("https://www.compass.com/listing/30-riverside-boulevard-unit-23l-manhattan-ny-10069/29515100368986561/","30 Riverside Blvd, Unit 23L")</f>
        <v>30 Riverside Blvd, Unit 23L</v>
      </c>
      <c r="B2096" s="2" t="str">
        <f t="shared" si="318"/>
        <v>Two Waterline Square</v>
      </c>
      <c r="C2096" s="1" t="s">
        <v>50</v>
      </c>
      <c r="D2096" s="1" t="s">
        <v>41</v>
      </c>
      <c r="E2096" s="3">
        <v>2000000</v>
      </c>
      <c r="F2096" s="1">
        <v>2306.8050749711601</v>
      </c>
      <c r="G2096" s="1">
        <v>3</v>
      </c>
      <c r="H2096" s="1">
        <v>1</v>
      </c>
      <c r="I2096" s="1">
        <v>1</v>
      </c>
      <c r="J2096" s="1">
        <v>1</v>
      </c>
      <c r="K2096" s="1">
        <v>1</v>
      </c>
      <c r="M2096" s="1">
        <v>867</v>
      </c>
      <c r="N2096" s="1">
        <v>1071</v>
      </c>
      <c r="O2096" s="1">
        <v>1129</v>
      </c>
      <c r="P2096" s="1">
        <v>58</v>
      </c>
      <c r="Q2096" s="1" t="s">
        <v>42</v>
      </c>
      <c r="S2096" s="1" t="s">
        <v>42</v>
      </c>
      <c r="T2096" s="1" t="s">
        <v>170</v>
      </c>
      <c r="U2096" s="1">
        <v>188</v>
      </c>
      <c r="V2096" s="5">
        <v>44125</v>
      </c>
      <c r="W2096" s="5">
        <v>43074</v>
      </c>
      <c r="X2096" s="1">
        <v>2000000</v>
      </c>
      <c r="Y2096" s="1">
        <v>2000000</v>
      </c>
      <c r="Z2096" s="5">
        <v>43263</v>
      </c>
      <c r="AA2096" s="1">
        <v>2000000</v>
      </c>
      <c r="AB2096" s="1" t="s">
        <v>181</v>
      </c>
      <c r="AC2096" s="5">
        <v>44124</v>
      </c>
      <c r="AF2096" s="1">
        <v>10069</v>
      </c>
      <c r="AI2096" s="1" t="s">
        <v>109</v>
      </c>
      <c r="AJ2096" s="1">
        <v>2019</v>
      </c>
      <c r="AK2096" s="1" t="s">
        <v>77</v>
      </c>
      <c r="AL2096" s="1">
        <v>160</v>
      </c>
    </row>
    <row r="2097" spans="1:38" x14ac:dyDescent="0.2">
      <c r="A2097" s="2" t="str">
        <f>HYPERLINK("https://www.compass.com/listing/30-riverside-boulevard-unit-21l-manhattan-ny-10069/29515085051387793/","30 Riverside Blvd, Unit 21L")</f>
        <v>30 Riverside Blvd, Unit 21L</v>
      </c>
      <c r="B2097" s="2" t="str">
        <f t="shared" si="318"/>
        <v>Two Waterline Square</v>
      </c>
      <c r="C2097" s="1" t="s">
        <v>50</v>
      </c>
      <c r="D2097" s="1" t="s">
        <v>41</v>
      </c>
      <c r="E2097" s="3">
        <v>1950000</v>
      </c>
      <c r="F2097" s="1">
        <v>2249.1349480968802</v>
      </c>
      <c r="G2097" s="1">
        <v>3</v>
      </c>
      <c r="H2097" s="1">
        <v>1</v>
      </c>
      <c r="I2097" s="1">
        <v>1</v>
      </c>
      <c r="J2097" s="1">
        <v>1</v>
      </c>
      <c r="K2097" s="1">
        <v>1</v>
      </c>
      <c r="M2097" s="1">
        <v>867</v>
      </c>
      <c r="N2097" s="1">
        <v>1091</v>
      </c>
      <c r="O2097" s="1">
        <v>1149</v>
      </c>
      <c r="P2097" s="1">
        <v>58</v>
      </c>
      <c r="Q2097" s="1" t="s">
        <v>42</v>
      </c>
      <c r="S2097" s="1" t="s">
        <v>42</v>
      </c>
      <c r="T2097" s="1" t="s">
        <v>170</v>
      </c>
      <c r="U2097" s="1">
        <v>66</v>
      </c>
      <c r="V2097" s="5">
        <v>44105</v>
      </c>
      <c r="W2097" s="5">
        <v>43042</v>
      </c>
      <c r="X2097" s="1">
        <v>1950000</v>
      </c>
      <c r="Y2097" s="1">
        <v>1950000</v>
      </c>
      <c r="Z2097" s="5">
        <v>43158</v>
      </c>
      <c r="AA2097" s="1">
        <v>1950000</v>
      </c>
      <c r="AB2097" s="1" t="s">
        <v>181</v>
      </c>
      <c r="AC2097" s="5">
        <v>44104</v>
      </c>
      <c r="AF2097" s="1">
        <v>10069</v>
      </c>
      <c r="AI2097" s="1" t="s">
        <v>109</v>
      </c>
      <c r="AJ2097" s="1">
        <v>2019</v>
      </c>
      <c r="AK2097" s="1" t="s">
        <v>77</v>
      </c>
      <c r="AL2097" s="1">
        <v>160</v>
      </c>
    </row>
    <row r="2098" spans="1:38" x14ac:dyDescent="0.2">
      <c r="A2098" s="2" t="str">
        <f>HYPERLINK("https://www.compass.com/listing/30-riverside-boulevard-unit-30e-manhattan-ny-10069/330070367750065521/","30 Riverside Blvd, Unit 30E")</f>
        <v>30 Riverside Blvd, Unit 30E</v>
      </c>
      <c r="B2098" s="2" t="str">
        <f t="shared" si="318"/>
        <v>Two Waterline Square</v>
      </c>
      <c r="C2098" s="1" t="s">
        <v>50</v>
      </c>
      <c r="D2098" s="1" t="s">
        <v>41</v>
      </c>
      <c r="E2098" s="3">
        <v>2970000</v>
      </c>
      <c r="F2098" s="1">
        <v>2479.1318864774598</v>
      </c>
      <c r="G2098" s="1">
        <v>4</v>
      </c>
      <c r="H2098" s="1">
        <v>2</v>
      </c>
      <c r="I2098" s="1">
        <v>2</v>
      </c>
      <c r="J2098" s="1">
        <v>2</v>
      </c>
      <c r="K2098" s="1">
        <v>2</v>
      </c>
      <c r="M2098" s="4">
        <v>1198</v>
      </c>
      <c r="N2098" s="1">
        <v>1531</v>
      </c>
      <c r="O2098" s="1">
        <v>1614</v>
      </c>
      <c r="P2098" s="1">
        <v>83</v>
      </c>
      <c r="Q2098" s="1" t="s">
        <v>42</v>
      </c>
      <c r="S2098" s="1" t="s">
        <v>42</v>
      </c>
      <c r="T2098" s="1" t="s">
        <v>170</v>
      </c>
      <c r="U2098" s="1">
        <v>66</v>
      </c>
      <c r="V2098" s="5">
        <v>44067</v>
      </c>
      <c r="W2098" s="5">
        <v>43698</v>
      </c>
      <c r="X2098" s="1">
        <v>2970000</v>
      </c>
      <c r="Y2098" s="1">
        <v>2970000</v>
      </c>
      <c r="Z2098" s="5">
        <v>43764</v>
      </c>
      <c r="AA2098" s="1">
        <v>2970000</v>
      </c>
      <c r="AB2098" s="1" t="s">
        <v>181</v>
      </c>
      <c r="AC2098" s="5">
        <v>44022</v>
      </c>
      <c r="AF2098" s="1">
        <v>10069</v>
      </c>
      <c r="AI2098" s="1" t="s">
        <v>109</v>
      </c>
      <c r="AJ2098" s="1">
        <v>2019</v>
      </c>
      <c r="AK2098" s="1" t="s">
        <v>73</v>
      </c>
      <c r="AL2098" s="1">
        <v>160</v>
      </c>
    </row>
    <row r="2099" spans="1:38" x14ac:dyDescent="0.2">
      <c r="A2099" s="2" t="str">
        <f>HYPERLINK("https://www.compass.com/listing/30-riverside-boulevard-unit-33e-manhattan-ny-10069/492761844554315921/","30 Riverside Blvd, Unit 33E")</f>
        <v>30 Riverside Blvd, Unit 33E</v>
      </c>
      <c r="B2099" s="2" t="str">
        <f t="shared" si="318"/>
        <v>Two Waterline Square</v>
      </c>
      <c r="C2099" s="1" t="s">
        <v>50</v>
      </c>
      <c r="D2099" s="1" t="s">
        <v>41</v>
      </c>
      <c r="E2099" s="3">
        <v>3060000</v>
      </c>
      <c r="F2099" s="1">
        <v>2624.3567753001698</v>
      </c>
      <c r="G2099" s="1">
        <v>4</v>
      </c>
      <c r="H2099" s="1">
        <v>2</v>
      </c>
      <c r="I2099" s="1">
        <v>2</v>
      </c>
      <c r="J2099" s="1">
        <v>2</v>
      </c>
      <c r="K2099" s="1">
        <v>2</v>
      </c>
      <c r="M2099" s="4">
        <v>1166</v>
      </c>
      <c r="N2099" s="1">
        <v>1520</v>
      </c>
      <c r="O2099" s="1">
        <v>1602</v>
      </c>
      <c r="P2099" s="1">
        <v>82</v>
      </c>
      <c r="Q2099" s="1" t="s">
        <v>42</v>
      </c>
      <c r="S2099" s="1" t="s">
        <v>42</v>
      </c>
      <c r="T2099" s="1" t="s">
        <v>170</v>
      </c>
      <c r="U2099" s="1">
        <v>77</v>
      </c>
      <c r="V2099" s="5">
        <v>43933</v>
      </c>
      <c r="W2099" s="5">
        <v>43832</v>
      </c>
      <c r="AA2099" s="1">
        <v>3060000</v>
      </c>
      <c r="AB2099" s="1" t="s">
        <v>181</v>
      </c>
      <c r="AC2099" s="5">
        <v>43927</v>
      </c>
      <c r="AF2099" s="1">
        <v>10069</v>
      </c>
      <c r="AI2099" s="1" t="s">
        <v>109</v>
      </c>
      <c r="AJ2099" s="1">
        <v>2019</v>
      </c>
      <c r="AK2099" s="1" t="s">
        <v>77</v>
      </c>
      <c r="AL2099" s="1">
        <v>160</v>
      </c>
    </row>
    <row r="2100" spans="1:38" x14ac:dyDescent="0.2">
      <c r="A2100" s="2" t="str">
        <f>HYPERLINK("https://www.compass.com/listing/30-riverside-boulevard-unit-23k-manhattan-ny-10069/29515093263835329/","30 Riverside Blvd, Unit 23K")</f>
        <v>30 Riverside Blvd, Unit 23K</v>
      </c>
      <c r="B2100" s="2" t="str">
        <f t="shared" si="318"/>
        <v>Two Waterline Square</v>
      </c>
      <c r="C2100" s="1" t="s">
        <v>50</v>
      </c>
      <c r="D2100" s="1" t="s">
        <v>41</v>
      </c>
      <c r="E2100" s="3">
        <v>1975000</v>
      </c>
      <c r="F2100" s="1">
        <v>2408.53658536585</v>
      </c>
      <c r="G2100" s="1">
        <v>3</v>
      </c>
      <c r="H2100" s="1">
        <v>1</v>
      </c>
      <c r="I2100" s="1">
        <v>1</v>
      </c>
      <c r="J2100" s="1">
        <v>1</v>
      </c>
      <c r="K2100" s="1">
        <v>1</v>
      </c>
      <c r="M2100" s="1">
        <v>820</v>
      </c>
      <c r="N2100" s="1">
        <v>1042</v>
      </c>
      <c r="O2100" s="1">
        <v>1097</v>
      </c>
      <c r="P2100" s="1">
        <v>55</v>
      </c>
      <c r="Q2100" s="1" t="s">
        <v>42</v>
      </c>
      <c r="S2100" s="1" t="s">
        <v>42</v>
      </c>
      <c r="T2100" s="1" t="s">
        <v>170</v>
      </c>
      <c r="U2100" s="1">
        <v>235</v>
      </c>
      <c r="V2100" s="5">
        <v>44019</v>
      </c>
      <c r="W2100" s="5">
        <v>42958</v>
      </c>
      <c r="X2100" s="1">
        <v>1975000</v>
      </c>
      <c r="Y2100" s="1">
        <v>1975000</v>
      </c>
      <c r="Z2100" s="5">
        <v>43194</v>
      </c>
      <c r="AA2100" s="1">
        <v>1975000</v>
      </c>
      <c r="AB2100" s="1" t="s">
        <v>181</v>
      </c>
      <c r="AC2100" s="5">
        <v>44018</v>
      </c>
      <c r="AF2100" s="1">
        <v>10069</v>
      </c>
      <c r="AI2100" s="1" t="s">
        <v>109</v>
      </c>
      <c r="AJ2100" s="1">
        <v>2019</v>
      </c>
      <c r="AK2100" s="1" t="s">
        <v>77</v>
      </c>
      <c r="AL2100" s="1">
        <v>160</v>
      </c>
    </row>
    <row r="2101" spans="1:38" x14ac:dyDescent="0.2">
      <c r="A2101" s="2" t="str">
        <f>HYPERLINK("https://www.compass.com/listing/30-riverside-boulevard-unit-22c-manhattan-ny-10069/29515098372497777/","30 Riverside Blvd, Unit 22C")</f>
        <v>30 Riverside Blvd, Unit 22C</v>
      </c>
      <c r="B2101" s="2" t="str">
        <f t="shared" si="318"/>
        <v>Two Waterline Square</v>
      </c>
      <c r="C2101" s="1" t="s">
        <v>50</v>
      </c>
      <c r="D2101" s="1" t="s">
        <v>41</v>
      </c>
      <c r="E2101" s="3">
        <v>2430000</v>
      </c>
      <c r="F2101" s="1">
        <v>2518.1347150258998</v>
      </c>
      <c r="G2101" s="1">
        <v>3</v>
      </c>
      <c r="H2101" s="1">
        <v>1</v>
      </c>
      <c r="I2101" s="1">
        <v>1</v>
      </c>
      <c r="J2101" s="1">
        <v>1</v>
      </c>
      <c r="K2101" s="1">
        <v>1</v>
      </c>
      <c r="M2101" s="1">
        <v>965</v>
      </c>
      <c r="N2101" s="1">
        <v>1220</v>
      </c>
      <c r="O2101" s="1">
        <v>1284</v>
      </c>
      <c r="P2101" s="1">
        <v>64</v>
      </c>
      <c r="Q2101" s="1" t="s">
        <v>42</v>
      </c>
      <c r="S2101" s="1" t="s">
        <v>42</v>
      </c>
      <c r="T2101" s="1" t="s">
        <v>170</v>
      </c>
      <c r="U2101" s="1">
        <v>256</v>
      </c>
      <c r="V2101" s="5">
        <v>44221</v>
      </c>
      <c r="W2101" s="5">
        <v>42923</v>
      </c>
      <c r="X2101" s="1">
        <v>2430000</v>
      </c>
      <c r="Y2101" s="1">
        <v>2430000</v>
      </c>
      <c r="Z2101" s="5">
        <v>44184</v>
      </c>
      <c r="AA2101" s="1">
        <v>2430000</v>
      </c>
      <c r="AB2101" s="1" t="s">
        <v>181</v>
      </c>
      <c r="AC2101" s="5">
        <v>44218</v>
      </c>
      <c r="AF2101" s="1">
        <v>10069</v>
      </c>
      <c r="AI2101" s="1" t="s">
        <v>109</v>
      </c>
      <c r="AJ2101" s="1">
        <v>2019</v>
      </c>
      <c r="AK2101" s="1" t="s">
        <v>77</v>
      </c>
      <c r="AL2101" s="1">
        <v>160</v>
      </c>
    </row>
    <row r="2102" spans="1:38" x14ac:dyDescent="0.2">
      <c r="A2102" s="2" t="str">
        <f>HYPERLINK("https://www.compass.com/listing/30-riverside-boulevard-unit-24h-manhattan-ny-10069/433200417506591561/","30 Riverside Blvd, Unit 24H")</f>
        <v>30 Riverside Blvd, Unit 24H</v>
      </c>
      <c r="B2102" s="2" t="str">
        <f t="shared" si="318"/>
        <v>Two Waterline Square</v>
      </c>
      <c r="C2102" s="1" t="s">
        <v>50</v>
      </c>
      <c r="D2102" s="1" t="s">
        <v>41</v>
      </c>
      <c r="E2102" s="3">
        <v>2500000</v>
      </c>
      <c r="F2102" s="1">
        <v>2558.8536335721501</v>
      </c>
      <c r="G2102" s="1">
        <v>3</v>
      </c>
      <c r="H2102" s="1">
        <v>1</v>
      </c>
      <c r="I2102" s="1">
        <v>1</v>
      </c>
      <c r="J2102" s="1">
        <v>1</v>
      </c>
      <c r="K2102" s="1">
        <v>1</v>
      </c>
      <c r="M2102" s="1">
        <v>977</v>
      </c>
      <c r="N2102" s="1">
        <v>1220</v>
      </c>
      <c r="O2102" s="1">
        <v>1286</v>
      </c>
      <c r="P2102" s="1">
        <v>66</v>
      </c>
      <c r="Q2102" s="1" t="s">
        <v>42</v>
      </c>
      <c r="S2102" s="1" t="s">
        <v>42</v>
      </c>
      <c r="T2102" s="1" t="s">
        <v>170</v>
      </c>
      <c r="U2102" s="1">
        <v>2</v>
      </c>
      <c r="V2102" s="5">
        <v>44072</v>
      </c>
      <c r="W2102" s="5">
        <v>43847</v>
      </c>
      <c r="X2102" s="1">
        <v>2500000</v>
      </c>
      <c r="Y2102" s="1">
        <v>2500000</v>
      </c>
      <c r="Z2102" s="5">
        <v>43850</v>
      </c>
      <c r="AA2102" s="1">
        <v>2500000</v>
      </c>
      <c r="AB2102" s="1" t="s">
        <v>181</v>
      </c>
      <c r="AC2102" s="5">
        <v>43991</v>
      </c>
      <c r="AF2102" s="1">
        <v>10069</v>
      </c>
      <c r="AI2102" s="1" t="s">
        <v>109</v>
      </c>
      <c r="AJ2102" s="1">
        <v>2019</v>
      </c>
      <c r="AK2102" s="1" t="s">
        <v>77</v>
      </c>
      <c r="AL2102" s="1">
        <v>160</v>
      </c>
    </row>
    <row r="2103" spans="1:38" x14ac:dyDescent="0.2">
      <c r="A2103" s="2" t="str">
        <f>HYPERLINK("https://www.compass.com/listing/30-riverside-boulevard-unit-22f-manhattan-ny-10069/542638067243457705/","30 Riverside Blvd, Unit 22F")</f>
        <v>30 Riverside Blvd, Unit 22F</v>
      </c>
      <c r="B2103" s="2" t="str">
        <f t="shared" si="318"/>
        <v>Two Waterline Square</v>
      </c>
      <c r="C2103" s="1" t="s">
        <v>50</v>
      </c>
      <c r="D2103" s="1" t="s">
        <v>41</v>
      </c>
      <c r="E2103" s="3">
        <v>2025000</v>
      </c>
      <c r="F2103" s="1">
        <v>2282.9763246899602</v>
      </c>
      <c r="G2103" s="1">
        <v>3</v>
      </c>
      <c r="H2103" s="1">
        <v>1</v>
      </c>
      <c r="I2103" s="1">
        <v>1</v>
      </c>
      <c r="J2103" s="1">
        <v>1</v>
      </c>
      <c r="K2103" s="1">
        <v>1</v>
      </c>
      <c r="M2103" s="1">
        <v>887</v>
      </c>
      <c r="N2103" s="1">
        <v>1166</v>
      </c>
      <c r="O2103" s="1">
        <v>1228</v>
      </c>
      <c r="P2103" s="1">
        <v>62</v>
      </c>
      <c r="Q2103" s="1" t="s">
        <v>42</v>
      </c>
      <c r="S2103" s="1" t="s">
        <v>42</v>
      </c>
      <c r="T2103" s="1" t="s">
        <v>170</v>
      </c>
      <c r="U2103" s="1">
        <v>95</v>
      </c>
      <c r="V2103" s="5">
        <v>44351</v>
      </c>
      <c r="W2103" s="5">
        <v>44201</v>
      </c>
      <c r="Y2103" s="1">
        <v>2025000</v>
      </c>
      <c r="Z2103" s="5">
        <v>44315</v>
      </c>
      <c r="AA2103" s="1">
        <v>2025000</v>
      </c>
      <c r="AB2103" s="1" t="s">
        <v>181</v>
      </c>
      <c r="AC2103" s="5">
        <v>44350</v>
      </c>
      <c r="AF2103" s="1">
        <v>10069</v>
      </c>
      <c r="AI2103" s="1" t="s">
        <v>109</v>
      </c>
      <c r="AJ2103" s="1">
        <v>2019</v>
      </c>
      <c r="AK2103" s="1" t="s">
        <v>77</v>
      </c>
      <c r="AL2103" s="1">
        <v>160</v>
      </c>
    </row>
    <row r="2104" spans="1:38" x14ac:dyDescent="0.2">
      <c r="A2104" s="2" t="str">
        <f>HYPERLINK("https://www.compass.com/listing/30-riverside-boulevard-unit-28f-manhattan-ny-10069/466661500573431489/","30 Riverside Blvd, Unit 28F")</f>
        <v>30 Riverside Blvd, Unit 28F</v>
      </c>
      <c r="B2104" s="2" t="str">
        <f t="shared" si="318"/>
        <v>Two Waterline Square</v>
      </c>
      <c r="C2104" s="1" t="s">
        <v>50</v>
      </c>
      <c r="D2104" s="1" t="s">
        <v>41</v>
      </c>
      <c r="E2104" s="3">
        <v>1950000</v>
      </c>
      <c r="F2104" s="1">
        <v>2516.1290322580599</v>
      </c>
      <c r="G2104" s="1">
        <v>3</v>
      </c>
      <c r="H2104" s="1">
        <v>1</v>
      </c>
      <c r="I2104" s="1">
        <v>1</v>
      </c>
      <c r="J2104" s="1">
        <v>1</v>
      </c>
      <c r="K2104" s="1">
        <v>1</v>
      </c>
      <c r="M2104" s="1">
        <v>775</v>
      </c>
      <c r="N2104" s="1">
        <v>1049</v>
      </c>
      <c r="O2104" s="1">
        <v>1105</v>
      </c>
      <c r="P2104" s="1">
        <v>56</v>
      </c>
      <c r="Q2104" s="1" t="s">
        <v>42</v>
      </c>
      <c r="S2104" s="1" t="s">
        <v>42</v>
      </c>
      <c r="T2104" s="1" t="s">
        <v>170</v>
      </c>
      <c r="U2104" s="1">
        <v>174</v>
      </c>
      <c r="V2104" s="5">
        <v>44343</v>
      </c>
      <c r="W2104" s="5">
        <v>44098</v>
      </c>
      <c r="Y2104" s="1">
        <v>1950000</v>
      </c>
      <c r="Z2104" s="5">
        <v>44273</v>
      </c>
      <c r="AA2104" s="1">
        <v>1950000</v>
      </c>
      <c r="AB2104" s="1" t="s">
        <v>181</v>
      </c>
      <c r="AC2104" s="5">
        <v>44342</v>
      </c>
      <c r="AF2104" s="1">
        <v>10069</v>
      </c>
      <c r="AI2104" s="1" t="s">
        <v>109</v>
      </c>
      <c r="AJ2104" s="1">
        <v>2019</v>
      </c>
      <c r="AK2104" s="1" t="s">
        <v>77</v>
      </c>
      <c r="AL2104" s="1">
        <v>160</v>
      </c>
    </row>
    <row r="2105" spans="1:38" x14ac:dyDescent="0.2">
      <c r="A2105" s="2" t="str">
        <f>HYPERLINK("https://www.compass.com/listing/30-riverside-boulevard-unit-20g-manhattan-ny-10069/466661853373169617/","30 Riverside Blvd, Unit 20G")</f>
        <v>30 Riverside Blvd, Unit 20G</v>
      </c>
      <c r="B2105" s="2" t="str">
        <f t="shared" si="318"/>
        <v>Two Waterline Square</v>
      </c>
      <c r="C2105" s="1" t="s">
        <v>50</v>
      </c>
      <c r="D2105" s="1" t="s">
        <v>41</v>
      </c>
      <c r="E2105" s="3">
        <v>1875000</v>
      </c>
      <c r="F2105" s="1">
        <v>2200.7042253521099</v>
      </c>
      <c r="G2105" s="1">
        <v>3</v>
      </c>
      <c r="H2105" s="1">
        <v>1</v>
      </c>
      <c r="I2105" s="1">
        <v>2</v>
      </c>
      <c r="J2105" s="1">
        <v>1.5</v>
      </c>
      <c r="K2105" s="1">
        <v>1</v>
      </c>
      <c r="L2105" s="1">
        <v>1</v>
      </c>
      <c r="M2105" s="1">
        <v>852</v>
      </c>
      <c r="N2105" s="1">
        <v>1038</v>
      </c>
      <c r="O2105" s="1">
        <v>1094</v>
      </c>
      <c r="P2105" s="1">
        <v>56</v>
      </c>
      <c r="Q2105" s="1" t="s">
        <v>42</v>
      </c>
      <c r="S2105" s="1" t="s">
        <v>42</v>
      </c>
      <c r="T2105" s="1" t="s">
        <v>170</v>
      </c>
      <c r="U2105" s="1">
        <v>82</v>
      </c>
      <c r="V2105" s="5">
        <v>44309</v>
      </c>
      <c r="W2105" s="5">
        <v>44099</v>
      </c>
      <c r="Y2105" s="1">
        <v>1875000</v>
      </c>
      <c r="Z2105" s="5">
        <v>44181</v>
      </c>
      <c r="AA2105" s="1">
        <v>1875000</v>
      </c>
      <c r="AB2105" s="1" t="s">
        <v>181</v>
      </c>
      <c r="AC2105" s="5">
        <v>44307</v>
      </c>
      <c r="AF2105" s="1">
        <v>10069</v>
      </c>
      <c r="AI2105" s="1" t="s">
        <v>109</v>
      </c>
      <c r="AJ2105" s="1">
        <v>2019</v>
      </c>
      <c r="AK2105" s="1" t="s">
        <v>77</v>
      </c>
      <c r="AL2105" s="1">
        <v>160</v>
      </c>
    </row>
    <row r="2106" spans="1:38" x14ac:dyDescent="0.2">
      <c r="A2106" s="2" t="str">
        <f>HYPERLINK("https://www.compass.com/listing/30-riverside-boulevard-unit-26f-manhattan-ny-10069/165074245162998161/","30 Riverside Blvd, Unit 26F")</f>
        <v>30 Riverside Blvd, Unit 26F</v>
      </c>
      <c r="B2106" s="2" t="str">
        <f t="shared" si="318"/>
        <v>Two Waterline Square</v>
      </c>
      <c r="C2106" s="1" t="s">
        <v>50</v>
      </c>
      <c r="D2106" s="1" t="s">
        <v>41</v>
      </c>
      <c r="E2106" s="3">
        <v>1900000</v>
      </c>
      <c r="F2106" s="1">
        <v>2451.6129032258</v>
      </c>
      <c r="G2106" s="1">
        <v>3</v>
      </c>
      <c r="H2106" s="1">
        <v>1</v>
      </c>
      <c r="I2106" s="1">
        <v>1</v>
      </c>
      <c r="J2106" s="1">
        <v>1</v>
      </c>
      <c r="K2106" s="1">
        <v>1</v>
      </c>
      <c r="M2106" s="1">
        <v>775</v>
      </c>
      <c r="N2106" s="1">
        <v>972</v>
      </c>
      <c r="O2106" s="1">
        <v>1025</v>
      </c>
      <c r="P2106" s="1">
        <v>53</v>
      </c>
      <c r="Q2106" s="1" t="s">
        <v>42</v>
      </c>
      <c r="S2106" s="1" t="s">
        <v>42</v>
      </c>
      <c r="T2106" s="1" t="s">
        <v>170</v>
      </c>
      <c r="U2106" s="1">
        <v>100</v>
      </c>
      <c r="V2106" s="5">
        <v>44009</v>
      </c>
      <c r="W2106" s="5">
        <v>43480</v>
      </c>
      <c r="X2106" s="1">
        <v>1900000</v>
      </c>
      <c r="Y2106" s="1">
        <v>1900000</v>
      </c>
      <c r="Z2106" s="5">
        <v>43580</v>
      </c>
      <c r="AA2106" s="1">
        <v>1900000</v>
      </c>
      <c r="AB2106" s="1" t="s">
        <v>181</v>
      </c>
      <c r="AC2106" s="5">
        <v>44009</v>
      </c>
      <c r="AF2106" s="1">
        <v>10069</v>
      </c>
      <c r="AI2106" s="1" t="s">
        <v>109</v>
      </c>
      <c r="AJ2106" s="1">
        <v>2019</v>
      </c>
      <c r="AK2106" s="1" t="s">
        <v>77</v>
      </c>
      <c r="AL2106" s="1">
        <v>160</v>
      </c>
    </row>
    <row r="2107" spans="1:38" x14ac:dyDescent="0.2">
      <c r="A2107" s="2" t="str">
        <f>HYPERLINK("https://www.compass.com/listing/30-riverside-boulevard-unit-23h-manhattan-ny-10069/207971231264146961/","30 Riverside Blvd, Unit 23H")</f>
        <v>30 Riverside Blvd, Unit 23H</v>
      </c>
      <c r="B2107" s="2" t="str">
        <f t="shared" si="318"/>
        <v>Two Waterline Square</v>
      </c>
      <c r="C2107" s="1" t="s">
        <v>50</v>
      </c>
      <c r="D2107" s="1" t="s">
        <v>41</v>
      </c>
      <c r="E2107" s="3">
        <v>1900000</v>
      </c>
      <c r="F2107" s="1">
        <v>2317.0731707317</v>
      </c>
      <c r="G2107" s="1">
        <v>3</v>
      </c>
      <c r="H2107" s="1">
        <v>1</v>
      </c>
      <c r="I2107" s="1">
        <v>1</v>
      </c>
      <c r="J2107" s="1">
        <v>1</v>
      </c>
      <c r="K2107" s="1">
        <v>1</v>
      </c>
      <c r="M2107" s="1">
        <v>820</v>
      </c>
      <c r="N2107" s="1">
        <v>1013</v>
      </c>
      <c r="O2107" s="1">
        <v>1068</v>
      </c>
      <c r="P2107" s="1">
        <v>55</v>
      </c>
      <c r="Q2107" s="1" t="s">
        <v>42</v>
      </c>
      <c r="S2107" s="1" t="s">
        <v>42</v>
      </c>
      <c r="T2107" s="1" t="s">
        <v>170</v>
      </c>
      <c r="U2107" s="1">
        <v>1</v>
      </c>
      <c r="V2107" s="5">
        <v>44202</v>
      </c>
      <c r="W2107" s="5">
        <v>43538</v>
      </c>
      <c r="X2107" s="1">
        <v>1900000</v>
      </c>
      <c r="Y2107" s="1">
        <v>1900000</v>
      </c>
      <c r="Z2107" s="5">
        <v>43540</v>
      </c>
      <c r="AA2107" s="1">
        <v>1900000</v>
      </c>
      <c r="AB2107" s="1" t="s">
        <v>181</v>
      </c>
      <c r="AC2107" s="5">
        <v>44198</v>
      </c>
      <c r="AF2107" s="1">
        <v>10069</v>
      </c>
      <c r="AI2107" s="1" t="s">
        <v>109</v>
      </c>
      <c r="AJ2107" s="1">
        <v>2019</v>
      </c>
      <c r="AK2107" s="1" t="s">
        <v>77</v>
      </c>
      <c r="AL2107" s="1">
        <v>160</v>
      </c>
    </row>
    <row r="2108" spans="1:38" x14ac:dyDescent="0.2">
      <c r="A2108" s="2" t="str">
        <f>HYPERLINK("https://www.compass.com/listing/30-riverside-boulevard-unit-23g-manhattan-ny-10069/207971231650098689/","30 Riverside Blvd, Unit 23G")</f>
        <v>30 Riverside Blvd, Unit 23G</v>
      </c>
      <c r="B2108" s="2" t="str">
        <f t="shared" si="318"/>
        <v>Two Waterline Square</v>
      </c>
      <c r="C2108" s="1" t="s">
        <v>50</v>
      </c>
      <c r="D2108" s="1" t="s">
        <v>41</v>
      </c>
      <c r="E2108" s="3">
        <v>1950000</v>
      </c>
      <c r="F2108" s="1">
        <v>2288.73239436619</v>
      </c>
      <c r="G2108" s="1">
        <v>3.5</v>
      </c>
      <c r="H2108" s="1">
        <v>1</v>
      </c>
      <c r="I2108" s="1">
        <v>2</v>
      </c>
      <c r="J2108" s="1">
        <v>1.5</v>
      </c>
      <c r="K2108" s="1">
        <v>1</v>
      </c>
      <c r="L2108" s="1">
        <v>1</v>
      </c>
      <c r="M2108" s="1">
        <v>852</v>
      </c>
      <c r="N2108" s="1">
        <v>1053</v>
      </c>
      <c r="O2108" s="1">
        <v>1110</v>
      </c>
      <c r="P2108" s="1">
        <v>57</v>
      </c>
      <c r="Q2108" s="1" t="s">
        <v>42</v>
      </c>
      <c r="S2108" s="1" t="s">
        <v>42</v>
      </c>
      <c r="T2108" s="1" t="s">
        <v>170</v>
      </c>
      <c r="U2108" s="1">
        <v>1</v>
      </c>
      <c r="V2108" s="5">
        <v>44202</v>
      </c>
      <c r="W2108" s="5">
        <v>43538</v>
      </c>
      <c r="X2108" s="1">
        <v>1950000</v>
      </c>
      <c r="Y2108" s="1">
        <v>1950000</v>
      </c>
      <c r="Z2108" s="5">
        <v>43540</v>
      </c>
      <c r="AA2108" s="1">
        <v>1950000</v>
      </c>
      <c r="AB2108" s="1" t="s">
        <v>181</v>
      </c>
      <c r="AC2108" s="5">
        <v>44198</v>
      </c>
      <c r="AF2108" s="1">
        <v>10069</v>
      </c>
      <c r="AI2108" s="1" t="s">
        <v>109</v>
      </c>
      <c r="AJ2108" s="1">
        <v>2019</v>
      </c>
      <c r="AK2108" s="1" t="s">
        <v>77</v>
      </c>
      <c r="AL2108" s="1">
        <v>160</v>
      </c>
    </row>
    <row r="2109" spans="1:38" x14ac:dyDescent="0.2">
      <c r="A2109" s="2" t="str">
        <f>HYPERLINK("https://www.compass.com/listing/30-riverside-boulevard-unit-20h-manhattan-ny-10069/211491644929757985/","30 Riverside Blvd, Unit 20H")</f>
        <v>30 Riverside Blvd, Unit 20H</v>
      </c>
      <c r="B2109" s="2" t="str">
        <f t="shared" si="318"/>
        <v>Two Waterline Square</v>
      </c>
      <c r="C2109" s="1" t="s">
        <v>50</v>
      </c>
      <c r="D2109" s="1" t="s">
        <v>41</v>
      </c>
      <c r="E2109" s="3">
        <v>1825000</v>
      </c>
      <c r="F2109" s="1">
        <v>2225.60975609756</v>
      </c>
      <c r="G2109" s="1">
        <v>3</v>
      </c>
      <c r="H2109" s="1">
        <v>1</v>
      </c>
      <c r="I2109" s="1">
        <v>1</v>
      </c>
      <c r="J2109" s="1">
        <v>1</v>
      </c>
      <c r="K2109" s="1">
        <v>1</v>
      </c>
      <c r="M2109" s="1">
        <v>820</v>
      </c>
      <c r="N2109" s="1">
        <v>993</v>
      </c>
      <c r="O2109" s="1">
        <v>1047</v>
      </c>
      <c r="P2109" s="1">
        <v>54</v>
      </c>
      <c r="Q2109" s="1" t="s">
        <v>42</v>
      </c>
      <c r="S2109" s="1" t="s">
        <v>42</v>
      </c>
      <c r="T2109" s="1" t="s">
        <v>170</v>
      </c>
      <c r="U2109" s="1">
        <v>21</v>
      </c>
      <c r="V2109" s="5">
        <v>44072</v>
      </c>
      <c r="W2109" s="5">
        <v>43543</v>
      </c>
      <c r="X2109" s="1">
        <v>1825000</v>
      </c>
      <c r="Y2109" s="1">
        <v>1825000</v>
      </c>
      <c r="Z2109" s="5">
        <v>43564</v>
      </c>
      <c r="AA2109" s="1">
        <v>1825000</v>
      </c>
      <c r="AB2109" s="1" t="s">
        <v>181</v>
      </c>
      <c r="AC2109" s="5">
        <v>44028</v>
      </c>
      <c r="AF2109" s="1">
        <v>10069</v>
      </c>
      <c r="AI2109" s="1" t="s">
        <v>109</v>
      </c>
      <c r="AJ2109" s="1">
        <v>2019</v>
      </c>
      <c r="AK2109" s="1" t="s">
        <v>77</v>
      </c>
      <c r="AL2109" s="1">
        <v>160</v>
      </c>
    </row>
    <row r="2110" spans="1:38" x14ac:dyDescent="0.2">
      <c r="A2110" s="2" t="str">
        <f>HYPERLINK("https://www.compass.com/listing/30-riverside-boulevard-unit-21h-manhattan-ny-10069/27917222169094353/","30 Riverside Blvd, Unit 21H")</f>
        <v>30 Riverside Blvd, Unit 21H</v>
      </c>
      <c r="B2110" s="2" t="str">
        <f t="shared" si="318"/>
        <v>Two Waterline Square</v>
      </c>
      <c r="C2110" s="1" t="s">
        <v>50</v>
      </c>
      <c r="D2110" s="1" t="s">
        <v>41</v>
      </c>
      <c r="E2110" s="3">
        <v>1850000</v>
      </c>
      <c r="F2110" s="1">
        <v>2256.0975609756001</v>
      </c>
      <c r="G2110" s="1">
        <v>3</v>
      </c>
      <c r="H2110" s="1">
        <v>1</v>
      </c>
      <c r="I2110" s="1">
        <v>1</v>
      </c>
      <c r="J2110" s="1">
        <v>1</v>
      </c>
      <c r="K2110" s="1">
        <v>1</v>
      </c>
      <c r="M2110" s="1">
        <v>820</v>
      </c>
      <c r="N2110" s="1">
        <v>1032</v>
      </c>
      <c r="O2110" s="1">
        <v>1086</v>
      </c>
      <c r="P2110" s="1">
        <v>54</v>
      </c>
      <c r="Q2110" s="1" t="s">
        <v>42</v>
      </c>
      <c r="S2110" s="1" t="s">
        <v>42</v>
      </c>
      <c r="T2110" s="1" t="s">
        <v>170</v>
      </c>
      <c r="U2110" s="1">
        <v>158</v>
      </c>
      <c r="V2110" s="5">
        <v>44072</v>
      </c>
      <c r="W2110" s="5">
        <v>43042</v>
      </c>
      <c r="X2110" s="1">
        <v>1850000</v>
      </c>
      <c r="Y2110" s="1">
        <v>1850000</v>
      </c>
      <c r="Z2110" s="5">
        <v>43434</v>
      </c>
      <c r="AA2110" s="1">
        <v>1850000</v>
      </c>
      <c r="AB2110" s="1" t="s">
        <v>181</v>
      </c>
      <c r="AC2110" s="5">
        <v>43980</v>
      </c>
      <c r="AF2110" s="1">
        <v>10069</v>
      </c>
      <c r="AI2110" s="1" t="s">
        <v>109</v>
      </c>
      <c r="AJ2110" s="1">
        <v>2019</v>
      </c>
      <c r="AK2110" s="1" t="s">
        <v>77</v>
      </c>
      <c r="AL2110" s="1">
        <v>160</v>
      </c>
    </row>
    <row r="2111" spans="1:38" x14ac:dyDescent="0.2">
      <c r="A2111" s="2" t="str">
        <f>HYPERLINK("https://www.compass.com/listing/30-riverside-boulevard-unit-21g-manhattan-ny-10069/29515102868764673/","30 Riverside Blvd, Unit 21G")</f>
        <v>30 Riverside Blvd, Unit 21G</v>
      </c>
      <c r="B2111" s="2" t="str">
        <f t="shared" si="318"/>
        <v>Two Waterline Square</v>
      </c>
      <c r="C2111" s="1" t="s">
        <v>50</v>
      </c>
      <c r="D2111" s="1" t="s">
        <v>41</v>
      </c>
      <c r="E2111" s="3">
        <v>1900000</v>
      </c>
      <c r="F2111" s="1">
        <v>2230.0469483567999</v>
      </c>
      <c r="G2111" s="1">
        <v>3</v>
      </c>
      <c r="H2111" s="1">
        <v>1</v>
      </c>
      <c r="I2111" s="1">
        <v>2</v>
      </c>
      <c r="J2111" s="1">
        <v>1.5</v>
      </c>
      <c r="K2111" s="1">
        <v>1</v>
      </c>
      <c r="L2111" s="1">
        <v>1</v>
      </c>
      <c r="M2111" s="1">
        <v>852</v>
      </c>
      <c r="N2111" s="1">
        <v>1043</v>
      </c>
      <c r="O2111" s="1">
        <v>1100</v>
      </c>
      <c r="P2111" s="1">
        <v>57</v>
      </c>
      <c r="Q2111" s="1" t="s">
        <v>42</v>
      </c>
      <c r="S2111" s="1" t="s">
        <v>42</v>
      </c>
      <c r="T2111" s="1" t="s">
        <v>170</v>
      </c>
      <c r="U2111" s="1">
        <v>271</v>
      </c>
      <c r="V2111" s="5">
        <v>44013</v>
      </c>
      <c r="W2111" s="5">
        <v>43020</v>
      </c>
      <c r="X2111" s="1">
        <v>1900000</v>
      </c>
      <c r="Y2111" s="1">
        <v>1900000</v>
      </c>
      <c r="Z2111" s="5">
        <v>43292</v>
      </c>
      <c r="AA2111" s="1">
        <v>1900000</v>
      </c>
      <c r="AB2111" s="1" t="s">
        <v>181</v>
      </c>
      <c r="AC2111" s="5">
        <v>44012</v>
      </c>
      <c r="AF2111" s="1">
        <v>10069</v>
      </c>
      <c r="AI2111" s="1" t="s">
        <v>109</v>
      </c>
      <c r="AJ2111" s="1">
        <v>2019</v>
      </c>
      <c r="AK2111" s="1" t="s">
        <v>77</v>
      </c>
      <c r="AL2111" s="1">
        <v>160</v>
      </c>
    </row>
    <row r="2112" spans="1:38" x14ac:dyDescent="0.2">
      <c r="A2112" s="2" t="str">
        <f>HYPERLINK("https://www.compass.com/listing/30-riverside-boulevard-unit-29f-manhattan-ny-10069/334564629161826641/","30 Riverside Blvd, Unit 29F")</f>
        <v>30 Riverside Blvd, Unit 29F</v>
      </c>
      <c r="B2112" s="2" t="str">
        <f t="shared" si="318"/>
        <v>Two Waterline Square</v>
      </c>
      <c r="C2112" s="1" t="s">
        <v>50</v>
      </c>
      <c r="D2112" s="1" t="s">
        <v>41</v>
      </c>
      <c r="E2112" s="3">
        <v>1975000</v>
      </c>
      <c r="F2112" s="1">
        <v>2548.38709677419</v>
      </c>
      <c r="G2112" s="1">
        <v>3</v>
      </c>
      <c r="H2112" s="1">
        <v>1</v>
      </c>
      <c r="I2112" s="1">
        <v>1</v>
      </c>
      <c r="J2112" s="1">
        <v>1</v>
      </c>
      <c r="K2112" s="1">
        <v>1</v>
      </c>
      <c r="M2112" s="1">
        <v>775</v>
      </c>
      <c r="N2112" s="1">
        <v>986</v>
      </c>
      <c r="O2112" s="1">
        <v>1039</v>
      </c>
      <c r="P2112" s="1">
        <v>53</v>
      </c>
      <c r="Q2112" s="1" t="s">
        <v>42</v>
      </c>
      <c r="S2112" s="1" t="s">
        <v>42</v>
      </c>
      <c r="T2112" s="1" t="s">
        <v>170</v>
      </c>
      <c r="U2112" s="1">
        <v>97</v>
      </c>
      <c r="V2112" s="5">
        <v>44054</v>
      </c>
      <c r="W2112" s="5">
        <v>43712</v>
      </c>
      <c r="X2112" s="1">
        <v>1975000</v>
      </c>
      <c r="Y2112" s="1">
        <v>1975000</v>
      </c>
      <c r="Z2112" s="5">
        <v>43830</v>
      </c>
      <c r="AA2112" s="1">
        <v>1975000</v>
      </c>
      <c r="AB2112" s="1" t="s">
        <v>181</v>
      </c>
      <c r="AC2112" s="5">
        <v>44053</v>
      </c>
      <c r="AF2112" s="1">
        <v>10069</v>
      </c>
      <c r="AI2112" s="1" t="s">
        <v>109</v>
      </c>
      <c r="AJ2112" s="1">
        <v>2019</v>
      </c>
      <c r="AK2112" s="1" t="s">
        <v>77</v>
      </c>
      <c r="AL2112" s="1">
        <v>160</v>
      </c>
    </row>
    <row r="2113" spans="1:38" x14ac:dyDescent="0.2">
      <c r="A2113" s="2" t="str">
        <f>HYPERLINK("https://www.compass.com/listing/30-riverside-boulevard-unit-23c-manhattan-ny-10069/339765916329499105/","30 Riverside Blvd, Unit 23C")</f>
        <v>30 Riverside Blvd, Unit 23C</v>
      </c>
      <c r="B2113" s="2" t="str">
        <f t="shared" si="318"/>
        <v>Two Waterline Square</v>
      </c>
      <c r="C2113" s="1" t="s">
        <v>50</v>
      </c>
      <c r="D2113" s="1" t="s">
        <v>41</v>
      </c>
      <c r="E2113" s="3">
        <v>2460000</v>
      </c>
      <c r="F2113" s="1">
        <v>2549.2227979274599</v>
      </c>
      <c r="G2113" s="1">
        <v>3</v>
      </c>
      <c r="H2113" s="1">
        <v>1</v>
      </c>
      <c r="I2113" s="1">
        <v>1</v>
      </c>
      <c r="J2113" s="1">
        <v>1</v>
      </c>
      <c r="K2113" s="1">
        <v>1</v>
      </c>
      <c r="M2113" s="1">
        <v>965</v>
      </c>
      <c r="N2113" s="1">
        <v>1193</v>
      </c>
      <c r="O2113" s="1">
        <v>1258</v>
      </c>
      <c r="P2113" s="1">
        <v>65</v>
      </c>
      <c r="Q2113" s="1" t="s">
        <v>42</v>
      </c>
      <c r="S2113" s="1" t="s">
        <v>42</v>
      </c>
      <c r="T2113" s="1" t="s">
        <v>170</v>
      </c>
      <c r="V2113" s="5">
        <v>43932</v>
      </c>
      <c r="W2113" s="5">
        <v>43720</v>
      </c>
      <c r="X2113" s="1">
        <v>2460000</v>
      </c>
      <c r="Y2113" s="1">
        <v>2460000</v>
      </c>
      <c r="Z2113" s="5">
        <v>43721</v>
      </c>
      <c r="AA2113" s="1">
        <v>2460000</v>
      </c>
      <c r="AB2113" s="1" t="s">
        <v>181</v>
      </c>
      <c r="AC2113" s="5">
        <v>43913</v>
      </c>
      <c r="AF2113" s="1">
        <v>10069</v>
      </c>
      <c r="AI2113" s="1" t="s">
        <v>109</v>
      </c>
      <c r="AJ2113" s="1">
        <v>2019</v>
      </c>
      <c r="AK2113" s="1" t="s">
        <v>77</v>
      </c>
      <c r="AL2113" s="1">
        <v>160</v>
      </c>
    </row>
    <row r="2114" spans="1:38" x14ac:dyDescent="0.2">
      <c r="A2114" s="2" t="str">
        <f>HYPERLINK("https://www.compass.com/listing/30-riverside-boulevard-unit-27f-manhattan-ny-10069/401285756315407185/","30 Riverside Blvd, Unit 27F")</f>
        <v>30 Riverside Blvd, Unit 27F</v>
      </c>
      <c r="B2114" s="2" t="str">
        <f t="shared" si="318"/>
        <v>Two Waterline Square</v>
      </c>
      <c r="C2114" s="1" t="s">
        <v>50</v>
      </c>
      <c r="D2114" s="1" t="s">
        <v>41</v>
      </c>
      <c r="E2114" s="3">
        <v>1925000</v>
      </c>
      <c r="F2114" s="1">
        <v>2483.8709677419301</v>
      </c>
      <c r="G2114" s="1">
        <v>3</v>
      </c>
      <c r="H2114" s="1">
        <v>1</v>
      </c>
      <c r="I2114" s="1">
        <v>1</v>
      </c>
      <c r="J2114" s="1">
        <v>1</v>
      </c>
      <c r="K2114" s="1">
        <v>1</v>
      </c>
      <c r="M2114" s="1">
        <v>775</v>
      </c>
      <c r="N2114" s="1">
        <v>982</v>
      </c>
      <c r="O2114" s="1">
        <v>1035</v>
      </c>
      <c r="P2114" s="1">
        <v>53</v>
      </c>
      <c r="Q2114" s="1" t="s">
        <v>42</v>
      </c>
      <c r="S2114" s="1" t="s">
        <v>42</v>
      </c>
      <c r="T2114" s="1" t="s">
        <v>170</v>
      </c>
      <c r="U2114" s="1">
        <v>52</v>
      </c>
      <c r="V2114" s="5">
        <v>44006</v>
      </c>
      <c r="W2114" s="5">
        <v>43805</v>
      </c>
      <c r="X2114" s="1">
        <v>1925000</v>
      </c>
      <c r="Y2114" s="1">
        <v>1925000</v>
      </c>
      <c r="Z2114" s="5">
        <v>43858</v>
      </c>
      <c r="AA2114" s="1">
        <v>1925000</v>
      </c>
      <c r="AB2114" s="1" t="s">
        <v>181</v>
      </c>
      <c r="AC2114" s="5">
        <v>44004</v>
      </c>
      <c r="AF2114" s="1">
        <v>10069</v>
      </c>
      <c r="AI2114" s="1" t="s">
        <v>109</v>
      </c>
      <c r="AJ2114" s="1">
        <v>2019</v>
      </c>
      <c r="AK2114" s="1" t="s">
        <v>77</v>
      </c>
      <c r="AL2114" s="1">
        <v>160</v>
      </c>
    </row>
    <row r="2115" spans="1:38" x14ac:dyDescent="0.2">
      <c r="A2115" s="2" t="str">
        <f>HYPERLINK("https://www.compass.com/listing/30-riverside-boulevard-unit-21c-manhattan-ny-10069/401285756912609393/","30 Riverside Blvd, Unit 21C")</f>
        <v>30 Riverside Blvd, Unit 21C</v>
      </c>
      <c r="B2115" s="2" t="str">
        <f t="shared" si="318"/>
        <v>Two Waterline Square</v>
      </c>
      <c r="C2115" s="1" t="s">
        <v>50</v>
      </c>
      <c r="D2115" s="1" t="s">
        <v>41</v>
      </c>
      <c r="E2115" s="3">
        <v>2400000</v>
      </c>
      <c r="F2115" s="1">
        <v>2487.0466321243498</v>
      </c>
      <c r="G2115" s="1">
        <v>3</v>
      </c>
      <c r="H2115" s="1">
        <v>1</v>
      </c>
      <c r="I2115" s="1">
        <v>1</v>
      </c>
      <c r="J2115" s="1">
        <v>1</v>
      </c>
      <c r="K2115" s="1">
        <v>1</v>
      </c>
      <c r="M2115" s="1">
        <v>965</v>
      </c>
      <c r="N2115" s="1">
        <v>1187</v>
      </c>
      <c r="O2115" s="1">
        <v>1251</v>
      </c>
      <c r="P2115" s="1">
        <v>64</v>
      </c>
      <c r="Q2115" s="1" t="s">
        <v>42</v>
      </c>
      <c r="S2115" s="1" t="s">
        <v>42</v>
      </c>
      <c r="T2115" s="1" t="s">
        <v>170</v>
      </c>
      <c r="U2115" s="1">
        <v>90</v>
      </c>
      <c r="V2115" s="5">
        <v>44069</v>
      </c>
      <c r="W2115" s="5">
        <v>43805</v>
      </c>
      <c r="X2115" s="1">
        <v>2400000</v>
      </c>
      <c r="Y2115" s="1">
        <v>2400000</v>
      </c>
      <c r="Z2115" s="5">
        <v>43928</v>
      </c>
      <c r="AA2115" s="1">
        <v>2400000</v>
      </c>
      <c r="AB2115" s="1" t="s">
        <v>181</v>
      </c>
      <c r="AC2115" s="5">
        <v>44068</v>
      </c>
      <c r="AF2115" s="1">
        <v>10069</v>
      </c>
      <c r="AI2115" s="1" t="s">
        <v>109</v>
      </c>
      <c r="AJ2115" s="1">
        <v>2019</v>
      </c>
      <c r="AK2115" s="1" t="s">
        <v>77</v>
      </c>
      <c r="AL2115" s="1">
        <v>160</v>
      </c>
    </row>
    <row r="2116" spans="1:38" x14ac:dyDescent="0.2">
      <c r="A2116" s="2" t="str">
        <f>HYPERLINK("https://www.compass.com/listing/30-riverside-boulevard-unit-22g-manhattan-ny-10069/542642907847467201/","30 Riverside Blvd, Unit 22G")</f>
        <v>30 Riverside Blvd, Unit 22G</v>
      </c>
      <c r="B2116" s="2" t="str">
        <f t="shared" si="318"/>
        <v>Two Waterline Square</v>
      </c>
      <c r="C2116" s="1" t="s">
        <v>50</v>
      </c>
      <c r="D2116" s="1" t="s">
        <v>41</v>
      </c>
      <c r="E2116" s="3">
        <v>1925000</v>
      </c>
      <c r="F2116" s="1">
        <v>2299.88052568697</v>
      </c>
      <c r="G2116" s="1">
        <v>3</v>
      </c>
      <c r="H2116" s="1">
        <v>1</v>
      </c>
      <c r="I2116" s="1">
        <v>2</v>
      </c>
      <c r="J2116" s="1">
        <v>1.5</v>
      </c>
      <c r="K2116" s="1">
        <v>1</v>
      </c>
      <c r="L2116" s="1">
        <v>1</v>
      </c>
      <c r="M2116" s="1">
        <v>837</v>
      </c>
      <c r="N2116" s="1">
        <v>1053</v>
      </c>
      <c r="O2116" s="1">
        <v>1110</v>
      </c>
      <c r="P2116" s="1">
        <v>57</v>
      </c>
      <c r="Q2116" s="1" t="s">
        <v>42</v>
      </c>
      <c r="S2116" s="1" t="s">
        <v>42</v>
      </c>
      <c r="T2116" s="1" t="s">
        <v>170</v>
      </c>
      <c r="U2116" s="1">
        <v>94</v>
      </c>
      <c r="V2116" s="5">
        <v>44205</v>
      </c>
      <c r="W2116" s="5">
        <v>44000</v>
      </c>
      <c r="X2116" s="1">
        <v>1925000</v>
      </c>
      <c r="Y2116" s="1">
        <v>1925000</v>
      </c>
      <c r="Z2116" s="5">
        <v>44136</v>
      </c>
      <c r="AA2116" s="1">
        <v>1925000</v>
      </c>
      <c r="AB2116" s="1" t="s">
        <v>181</v>
      </c>
      <c r="AC2116" s="5">
        <v>44204</v>
      </c>
      <c r="AF2116" s="1">
        <v>10069</v>
      </c>
      <c r="AI2116" s="1" t="s">
        <v>109</v>
      </c>
      <c r="AJ2116" s="1">
        <v>2019</v>
      </c>
      <c r="AK2116" s="1" t="s">
        <v>77</v>
      </c>
      <c r="AL2116" s="1">
        <v>160</v>
      </c>
    </row>
    <row r="2117" spans="1:38" x14ac:dyDescent="0.2">
      <c r="A2117" s="2" t="str">
        <f>HYPERLINK("https://www.compass.com/listing/30-riverside-boulevard-unit-27g-manhattan-ny-10069/542638281236737065/","30 Riverside Blvd, Unit 27G")</f>
        <v>30 Riverside Blvd, Unit 27G</v>
      </c>
      <c r="B2117" s="2" t="str">
        <f t="shared" si="318"/>
        <v>Two Waterline Square</v>
      </c>
      <c r="C2117" s="1" t="s">
        <v>50</v>
      </c>
      <c r="D2117" s="1" t="s">
        <v>41</v>
      </c>
      <c r="E2117" s="3">
        <v>3690000</v>
      </c>
      <c r="F2117" s="1">
        <v>2407.0450097847302</v>
      </c>
      <c r="G2117" s="1">
        <v>5</v>
      </c>
      <c r="H2117" s="1">
        <v>2</v>
      </c>
      <c r="I2117" s="1">
        <v>3</v>
      </c>
      <c r="J2117" s="1">
        <v>2.5</v>
      </c>
      <c r="K2117" s="1">
        <v>2</v>
      </c>
      <c r="L2117" s="1">
        <v>1</v>
      </c>
      <c r="M2117" s="4">
        <v>1533</v>
      </c>
      <c r="N2117" s="1">
        <v>2065</v>
      </c>
      <c r="O2117" s="1">
        <v>2175</v>
      </c>
      <c r="P2117" s="1">
        <v>110</v>
      </c>
      <c r="Q2117" s="1" t="s">
        <v>42</v>
      </c>
      <c r="S2117" s="1" t="s">
        <v>42</v>
      </c>
      <c r="T2117" s="1" t="s">
        <v>170</v>
      </c>
      <c r="U2117" s="1">
        <v>174</v>
      </c>
      <c r="V2117" s="5">
        <v>44426</v>
      </c>
      <c r="W2117" s="5">
        <v>44201</v>
      </c>
      <c r="Y2117" s="1">
        <v>3690000</v>
      </c>
      <c r="Z2117" s="5">
        <v>44379</v>
      </c>
      <c r="AA2117" s="1">
        <v>3690000</v>
      </c>
      <c r="AB2117" s="1" t="s">
        <v>181</v>
      </c>
      <c r="AC2117" s="5">
        <v>44424</v>
      </c>
      <c r="AF2117" s="1">
        <v>10069</v>
      </c>
      <c r="AI2117" s="1" t="s">
        <v>109</v>
      </c>
      <c r="AJ2117" s="1">
        <v>2019</v>
      </c>
      <c r="AK2117" s="1" t="s">
        <v>77</v>
      </c>
      <c r="AL2117" s="1">
        <v>160</v>
      </c>
    </row>
    <row r="2118" spans="1:38" x14ac:dyDescent="0.2">
      <c r="A2118" s="2" t="str">
        <f>HYPERLINK("https://www.compass.com/listing/321-west-110th-street-unit-ph1-manhattan-ny-10026/4852320334042376753/","321 W 110th St, Unit PH1")</f>
        <v>321 W 110th St, Unit PH1</v>
      </c>
      <c r="B2118" s="2" t="str">
        <f>HYPERLINK("https://www.compass.com/building/one-morningside-park-manhattan-ny/294836904016796069/","One Morningside Park")</f>
        <v>One Morningside Park</v>
      </c>
      <c r="C2118" s="1" t="s">
        <v>106</v>
      </c>
      <c r="D2118" s="1" t="s">
        <v>41</v>
      </c>
      <c r="E2118" s="3">
        <v>6007675</v>
      </c>
      <c r="F2118" s="1">
        <v>2782.6192681797102</v>
      </c>
      <c r="G2118" s="1">
        <v>5</v>
      </c>
      <c r="H2118" s="1">
        <v>3</v>
      </c>
      <c r="I2118" s="1">
        <v>3</v>
      </c>
      <c r="J2118" s="1">
        <v>2.5</v>
      </c>
      <c r="M2118" s="4">
        <v>2159</v>
      </c>
      <c r="N2118" s="1">
        <v>3246</v>
      </c>
      <c r="O2118" s="1">
        <v>3420</v>
      </c>
      <c r="P2118" s="1">
        <v>174</v>
      </c>
      <c r="Q2118" s="1" t="s">
        <v>42</v>
      </c>
      <c r="S2118" s="1" t="s">
        <v>42</v>
      </c>
      <c r="T2118" s="1" t="s">
        <v>170</v>
      </c>
      <c r="U2118" s="1">
        <v>97</v>
      </c>
      <c r="V2118" s="5">
        <v>43654</v>
      </c>
      <c r="W2118" s="5">
        <v>41937</v>
      </c>
      <c r="X2118" s="1">
        <v>5900000</v>
      </c>
      <c r="Y2118" s="1">
        <v>5900000</v>
      </c>
      <c r="Z2118" s="5">
        <v>42034</v>
      </c>
      <c r="AA2118" s="1">
        <v>6007675</v>
      </c>
      <c r="AB2118" s="1" t="s">
        <v>1669</v>
      </c>
      <c r="AC2118" s="5">
        <v>42072</v>
      </c>
      <c r="AF2118" s="1">
        <v>10026</v>
      </c>
      <c r="AI2118" s="1" t="s">
        <v>107</v>
      </c>
      <c r="AJ2118" s="1">
        <v>2012</v>
      </c>
      <c r="AK2118" s="1" t="s">
        <v>49</v>
      </c>
      <c r="AL2118" s="1">
        <v>88</v>
      </c>
    </row>
    <row r="2119" spans="1:38" x14ac:dyDescent="0.2">
      <c r="A2119" s="2" t="str">
        <f>HYPERLINK("https://www.compass.com/listing/30-riverside-boulevard-unit-29g-manhattan-ny-10069/401285758932581313/","30 Riverside Blvd, Unit 29G")</f>
        <v>30 Riverside Blvd, Unit 29G</v>
      </c>
      <c r="B2119" s="2" t="str">
        <f t="shared" ref="B2119:B2140" si="319">HYPERLINK("https://www.compass.com/building/two-waterline-square-manhattan-ny/282058630956612773/","Two Waterline Square")</f>
        <v>Two Waterline Square</v>
      </c>
      <c r="C2119" s="1" t="s">
        <v>50</v>
      </c>
      <c r="D2119" s="1" t="s">
        <v>41</v>
      </c>
      <c r="E2119" s="3">
        <v>3280000</v>
      </c>
      <c r="F2119" s="1">
        <v>2139.5955642530898</v>
      </c>
      <c r="G2119" s="1">
        <v>4.5</v>
      </c>
      <c r="H2119" s="1">
        <v>2</v>
      </c>
      <c r="I2119" s="1">
        <v>3</v>
      </c>
      <c r="J2119" s="1">
        <v>2.5</v>
      </c>
      <c r="K2119" s="1">
        <v>2</v>
      </c>
      <c r="L2119" s="1">
        <v>1</v>
      </c>
      <c r="M2119" s="4">
        <v>1533</v>
      </c>
      <c r="N2119" s="1">
        <v>1960</v>
      </c>
      <c r="O2119" s="1">
        <v>2066</v>
      </c>
      <c r="P2119" s="1">
        <v>106</v>
      </c>
      <c r="Q2119" s="1" t="s">
        <v>42</v>
      </c>
      <c r="S2119" s="1" t="s">
        <v>42</v>
      </c>
      <c r="T2119" s="1" t="s">
        <v>170</v>
      </c>
      <c r="U2119" s="1">
        <v>2</v>
      </c>
      <c r="V2119" s="5">
        <v>44298</v>
      </c>
      <c r="W2119" s="5">
        <v>44237</v>
      </c>
      <c r="Y2119" s="1">
        <v>3770000</v>
      </c>
      <c r="Z2119" s="5">
        <v>44239</v>
      </c>
      <c r="AA2119" s="1">
        <v>3280000</v>
      </c>
      <c r="AB2119" s="1" t="s">
        <v>181</v>
      </c>
      <c r="AC2119" s="5">
        <v>44295</v>
      </c>
      <c r="AF2119" s="1">
        <v>10069</v>
      </c>
      <c r="AI2119" s="1" t="s">
        <v>109</v>
      </c>
      <c r="AJ2119" s="1">
        <v>2019</v>
      </c>
      <c r="AK2119" s="1" t="s">
        <v>77</v>
      </c>
      <c r="AL2119" s="1">
        <v>160</v>
      </c>
    </row>
    <row r="2120" spans="1:38" x14ac:dyDescent="0.2">
      <c r="A2120" s="2" t="str">
        <f>HYPERLINK("https://www.compass.com/listing/30-riverside-boulevard-unit-20c-manhattan-ny-10069/257121791233779969/","30 Riverside Blvd, Unit 20C")</f>
        <v>30 Riverside Blvd, Unit 20C</v>
      </c>
      <c r="B2120" s="2" t="str">
        <f t="shared" si="319"/>
        <v>Two Waterline Square</v>
      </c>
      <c r="C2120" s="1" t="s">
        <v>50</v>
      </c>
      <c r="D2120" s="1" t="s">
        <v>41</v>
      </c>
      <c r="E2120" s="3">
        <v>2650000</v>
      </c>
      <c r="F2120" s="1">
        <v>2746.1139896373002</v>
      </c>
      <c r="G2120" s="1">
        <v>3</v>
      </c>
      <c r="H2120" s="1">
        <v>1</v>
      </c>
      <c r="I2120" s="1">
        <v>1</v>
      </c>
      <c r="J2120" s="1">
        <v>1</v>
      </c>
      <c r="K2120" s="1">
        <v>1</v>
      </c>
      <c r="M2120" s="1">
        <v>965</v>
      </c>
      <c r="N2120" s="1">
        <v>1237</v>
      </c>
      <c r="O2120" s="1">
        <v>1304</v>
      </c>
      <c r="P2120" s="1">
        <v>67</v>
      </c>
      <c r="Q2120" s="1" t="s">
        <v>42</v>
      </c>
      <c r="S2120" s="1" t="s">
        <v>42</v>
      </c>
      <c r="T2120" s="1" t="s">
        <v>170</v>
      </c>
      <c r="U2120" s="1">
        <v>42</v>
      </c>
      <c r="V2120" s="5">
        <v>43945</v>
      </c>
      <c r="W2120" s="5">
        <v>43606</v>
      </c>
      <c r="X2120" s="1">
        <v>2650000</v>
      </c>
      <c r="Y2120" s="1">
        <v>2650000</v>
      </c>
      <c r="Z2120" s="5">
        <v>43648</v>
      </c>
      <c r="AA2120" s="1">
        <v>2650000</v>
      </c>
      <c r="AB2120" s="1" t="s">
        <v>181</v>
      </c>
      <c r="AC2120" s="5">
        <v>43944</v>
      </c>
      <c r="AF2120" s="1">
        <v>10069</v>
      </c>
      <c r="AI2120" s="1" t="s">
        <v>133</v>
      </c>
      <c r="AJ2120" s="1">
        <v>2019</v>
      </c>
      <c r="AK2120" s="1" t="s">
        <v>77</v>
      </c>
      <c r="AL2120" s="1">
        <v>160</v>
      </c>
    </row>
    <row r="2121" spans="1:38" x14ac:dyDescent="0.2">
      <c r="A2121" s="2" t="str">
        <f>HYPERLINK("https://www.compass.com/listing/30-riverside-boulevard-unit-24c-manhattan-ny-10069/492747281337025761/","30 Riverside Blvd, Unit 24C")</f>
        <v>30 Riverside Blvd, Unit 24C</v>
      </c>
      <c r="B2121" s="2" t="str">
        <f t="shared" si="319"/>
        <v>Two Waterline Square</v>
      </c>
      <c r="C2121" s="1" t="s">
        <v>50</v>
      </c>
      <c r="D2121" s="1" t="s">
        <v>41</v>
      </c>
      <c r="E2121" s="3">
        <v>3630000</v>
      </c>
      <c r="F2121" s="1">
        <v>2498.2794218857498</v>
      </c>
      <c r="G2121" s="1">
        <v>4</v>
      </c>
      <c r="H2121" s="1">
        <v>2</v>
      </c>
      <c r="I2121" s="1">
        <v>3</v>
      </c>
      <c r="J2121" s="1">
        <v>2.5</v>
      </c>
      <c r="K2121" s="1">
        <v>2</v>
      </c>
      <c r="L2121" s="1">
        <v>1</v>
      </c>
      <c r="M2121" s="4">
        <v>1453</v>
      </c>
      <c r="N2121" s="1">
        <v>1814</v>
      </c>
      <c r="O2121" s="1">
        <v>1912</v>
      </c>
      <c r="P2121" s="1">
        <v>98</v>
      </c>
      <c r="Q2121" s="1" t="s">
        <v>42</v>
      </c>
      <c r="S2121" s="1" t="s">
        <v>42</v>
      </c>
      <c r="T2121" s="1" t="s">
        <v>170</v>
      </c>
      <c r="U2121" s="1">
        <v>76</v>
      </c>
      <c r="V2121" s="5">
        <v>43933</v>
      </c>
      <c r="W2121" s="5">
        <v>43833</v>
      </c>
      <c r="AA2121" s="1">
        <v>3630000</v>
      </c>
      <c r="AB2121" s="1" t="s">
        <v>181</v>
      </c>
      <c r="AC2121" s="5">
        <v>43927</v>
      </c>
      <c r="AF2121" s="1">
        <v>10069</v>
      </c>
      <c r="AI2121" s="1" t="s">
        <v>109</v>
      </c>
      <c r="AJ2121" s="1">
        <v>2019</v>
      </c>
      <c r="AK2121" s="1" t="s">
        <v>77</v>
      </c>
      <c r="AL2121" s="1">
        <v>160</v>
      </c>
    </row>
    <row r="2122" spans="1:38" x14ac:dyDescent="0.2">
      <c r="A2122" s="2" t="str">
        <f>HYPERLINK("https://www.compass.com/listing/30-riverside-boulevard-unit-27h-manhattan-ny-10069/486467571853044201/","30 Riverside Blvd, Unit 27H")</f>
        <v>30 Riverside Blvd, Unit 27H</v>
      </c>
      <c r="B2122" s="2" t="str">
        <f t="shared" si="319"/>
        <v>Two Waterline Square</v>
      </c>
      <c r="C2122" s="1" t="s">
        <v>50</v>
      </c>
      <c r="D2122" s="1" t="s">
        <v>41</v>
      </c>
      <c r="E2122" s="3">
        <v>3070000</v>
      </c>
      <c r="F2122" s="1">
        <v>2518.4577522559398</v>
      </c>
      <c r="G2122" s="1">
        <v>4</v>
      </c>
      <c r="H2122" s="1">
        <v>2</v>
      </c>
      <c r="J2122" s="1">
        <v>2</v>
      </c>
      <c r="M2122" s="4">
        <v>1219</v>
      </c>
      <c r="N2122" s="1">
        <v>1536</v>
      </c>
      <c r="O2122" s="1">
        <v>1619</v>
      </c>
      <c r="P2122" s="1">
        <v>83</v>
      </c>
      <c r="S2122" s="1" t="s">
        <v>42</v>
      </c>
      <c r="T2122" s="1" t="s">
        <v>170</v>
      </c>
      <c r="V2122" s="5">
        <v>44248</v>
      </c>
      <c r="W2122" s="5">
        <v>43923</v>
      </c>
      <c r="X2122" s="1">
        <v>3070000</v>
      </c>
      <c r="Y2122" s="1">
        <v>3070000</v>
      </c>
      <c r="AA2122" s="1">
        <v>3070000</v>
      </c>
      <c r="AB2122" s="1" t="s">
        <v>181</v>
      </c>
      <c r="AC2122" s="5">
        <v>43931</v>
      </c>
      <c r="AF2122" s="1">
        <v>10069</v>
      </c>
      <c r="AI2122" s="1" t="s">
        <v>109</v>
      </c>
      <c r="AJ2122" s="1">
        <v>2019</v>
      </c>
      <c r="AK2122" s="1" t="s">
        <v>77</v>
      </c>
      <c r="AL2122" s="1">
        <v>160</v>
      </c>
    </row>
    <row r="2123" spans="1:38" x14ac:dyDescent="0.2">
      <c r="A2123" s="2" t="str">
        <f>HYPERLINK("https://www.compass.com/listing/30-riverside-boulevard-unit-23m-manhattan-ny-10069/173053356158346001/","30 Riverside Blvd, Unit 23M")</f>
        <v>30 Riverside Blvd, Unit 23M</v>
      </c>
      <c r="B2123" s="2" t="str">
        <f t="shared" si="319"/>
        <v>Two Waterline Square</v>
      </c>
      <c r="C2123" s="1" t="s">
        <v>50</v>
      </c>
      <c r="D2123" s="1" t="s">
        <v>41</v>
      </c>
      <c r="E2123" s="3">
        <v>3700000</v>
      </c>
      <c r="F2123" s="1">
        <v>2416.7210973220099</v>
      </c>
      <c r="G2123" s="1">
        <v>4.5</v>
      </c>
      <c r="H2123" s="1">
        <v>2</v>
      </c>
      <c r="I2123" s="1">
        <v>2</v>
      </c>
      <c r="J2123" s="1">
        <v>1.5</v>
      </c>
      <c r="K2123" s="1">
        <v>1</v>
      </c>
      <c r="L2123" s="1">
        <v>1</v>
      </c>
      <c r="M2123" s="4">
        <v>1531</v>
      </c>
      <c r="N2123" s="1">
        <v>1908</v>
      </c>
      <c r="O2123" s="1">
        <v>2012</v>
      </c>
      <c r="P2123" s="1">
        <v>104</v>
      </c>
      <c r="Q2123" s="1" t="s">
        <v>42</v>
      </c>
      <c r="S2123" s="1" t="s">
        <v>42</v>
      </c>
      <c r="T2123" s="1" t="s">
        <v>170</v>
      </c>
      <c r="V2123" s="5">
        <v>43931</v>
      </c>
      <c r="W2123" s="5">
        <v>43490</v>
      </c>
      <c r="X2123" s="1">
        <v>3700000</v>
      </c>
      <c r="Y2123" s="1">
        <v>3950000</v>
      </c>
      <c r="Z2123" s="5">
        <v>43491</v>
      </c>
      <c r="AA2123" s="1">
        <v>3700000</v>
      </c>
      <c r="AB2123" s="1" t="s">
        <v>181</v>
      </c>
      <c r="AC2123" s="5">
        <v>43928</v>
      </c>
      <c r="AF2123" s="1">
        <v>10069</v>
      </c>
      <c r="AI2123" s="1" t="s">
        <v>109</v>
      </c>
      <c r="AJ2123" s="1">
        <v>2019</v>
      </c>
      <c r="AK2123" s="1" t="s">
        <v>77</v>
      </c>
      <c r="AL2123" s="1">
        <v>160</v>
      </c>
    </row>
    <row r="2124" spans="1:38" x14ac:dyDescent="0.2">
      <c r="A2124" s="2" t="str">
        <f>HYPERLINK("https://www.compass.com/listing/30-riverside-boulevard-unit-22k-manhattan-ny-10069/487977813419765817/","30 Riverside Blvd, Unit 22K")</f>
        <v>30 Riverside Blvd, Unit 22K</v>
      </c>
      <c r="B2124" s="2" t="str">
        <f t="shared" si="319"/>
        <v>Two Waterline Square</v>
      </c>
      <c r="C2124" s="1" t="s">
        <v>50</v>
      </c>
      <c r="D2124" s="1" t="s">
        <v>41</v>
      </c>
      <c r="E2124" s="3">
        <v>1950000</v>
      </c>
      <c r="G2124" s="1">
        <v>3</v>
      </c>
      <c r="H2124" s="1">
        <v>1</v>
      </c>
      <c r="J2124" s="1">
        <v>1</v>
      </c>
      <c r="N2124" s="1">
        <v>1037</v>
      </c>
      <c r="O2124" s="1">
        <v>1092</v>
      </c>
      <c r="P2124" s="1">
        <v>55</v>
      </c>
      <c r="S2124" s="1" t="s">
        <v>42</v>
      </c>
      <c r="T2124" s="1" t="s">
        <v>170</v>
      </c>
      <c r="V2124" s="5">
        <v>44248</v>
      </c>
      <c r="W2124" s="5">
        <v>43925</v>
      </c>
      <c r="X2124" s="1">
        <v>1950000</v>
      </c>
      <c r="Y2124" s="1">
        <v>1950000</v>
      </c>
      <c r="AA2124" s="1">
        <v>1950000</v>
      </c>
      <c r="AB2124" s="1" t="s">
        <v>181</v>
      </c>
      <c r="AC2124" s="5">
        <v>43931</v>
      </c>
      <c r="AF2124" s="1">
        <v>10069</v>
      </c>
      <c r="AI2124" s="1" t="s">
        <v>45</v>
      </c>
      <c r="AJ2124" s="1">
        <v>2019</v>
      </c>
      <c r="AK2124" s="1" t="s">
        <v>77</v>
      </c>
      <c r="AL2124" s="1">
        <v>160</v>
      </c>
    </row>
    <row r="2125" spans="1:38" x14ac:dyDescent="0.2">
      <c r="A2125" s="2" t="str">
        <f>HYPERLINK("https://www.compass.com/listing/30-riverside-boulevard-unit-28j-manhattan-ny-10069/29515086829745553/","30 Riverside Blvd, Unit 28J")</f>
        <v>30 Riverside Blvd, Unit 28J</v>
      </c>
      <c r="B2125" s="2" t="str">
        <f t="shared" si="319"/>
        <v>Two Waterline Square</v>
      </c>
      <c r="C2125" s="1" t="s">
        <v>50</v>
      </c>
      <c r="D2125" s="1" t="s">
        <v>41</v>
      </c>
      <c r="E2125" s="3">
        <v>3685000</v>
      </c>
      <c r="F2125" s="1">
        <v>2664.4974692697001</v>
      </c>
      <c r="G2125" s="1">
        <v>4</v>
      </c>
      <c r="H2125" s="1">
        <v>2</v>
      </c>
      <c r="I2125" s="1">
        <v>2</v>
      </c>
      <c r="J2125" s="1">
        <v>2</v>
      </c>
      <c r="K2125" s="1">
        <v>2</v>
      </c>
      <c r="M2125" s="4">
        <v>1383</v>
      </c>
      <c r="N2125" s="1">
        <v>1801</v>
      </c>
      <c r="O2125" s="1">
        <v>1896</v>
      </c>
      <c r="P2125" s="1">
        <v>95</v>
      </c>
      <c r="Q2125" s="1" t="s">
        <v>42</v>
      </c>
      <c r="S2125" s="1" t="s">
        <v>42</v>
      </c>
      <c r="T2125" s="1" t="s">
        <v>170</v>
      </c>
      <c r="U2125" s="1">
        <v>230</v>
      </c>
      <c r="V2125" s="5">
        <v>44189</v>
      </c>
      <c r="W2125" s="5">
        <v>42913</v>
      </c>
      <c r="X2125" s="1">
        <v>3685000</v>
      </c>
      <c r="Y2125" s="1">
        <v>3685000</v>
      </c>
      <c r="Z2125" s="5">
        <v>43144</v>
      </c>
      <c r="AA2125" s="1">
        <v>3685000</v>
      </c>
      <c r="AB2125" s="1" t="s">
        <v>181</v>
      </c>
      <c r="AC2125" s="5">
        <v>44188</v>
      </c>
      <c r="AF2125" s="1">
        <v>10069</v>
      </c>
      <c r="AI2125" s="1" t="s">
        <v>109</v>
      </c>
      <c r="AJ2125" s="1">
        <v>2019</v>
      </c>
      <c r="AK2125" s="1" t="s">
        <v>77</v>
      </c>
      <c r="AL2125" s="1">
        <v>160</v>
      </c>
    </row>
    <row r="2126" spans="1:38" x14ac:dyDescent="0.2">
      <c r="A2126" s="2" t="str">
        <f>HYPERLINK("https://www.compass.com/listing/30-riverside-boulevard-unit-25j-manhattan-ny-10069/29515088759125457/","30 Riverside Blvd, Unit 25J")</f>
        <v>30 Riverside Blvd, Unit 25J</v>
      </c>
      <c r="B2126" s="2" t="str">
        <f t="shared" si="319"/>
        <v>Two Waterline Square</v>
      </c>
      <c r="C2126" s="1" t="s">
        <v>50</v>
      </c>
      <c r="D2126" s="1" t="s">
        <v>41</v>
      </c>
      <c r="E2126" s="3">
        <v>3565000</v>
      </c>
      <c r="F2126" s="1">
        <v>2577.7295733911701</v>
      </c>
      <c r="G2126" s="1">
        <v>4</v>
      </c>
      <c r="H2126" s="1">
        <v>2</v>
      </c>
      <c r="I2126" s="1">
        <v>2</v>
      </c>
      <c r="J2126" s="1">
        <v>2</v>
      </c>
      <c r="K2126" s="1">
        <v>2</v>
      </c>
      <c r="M2126" s="4">
        <v>1383</v>
      </c>
      <c r="N2126" s="1">
        <v>1775</v>
      </c>
      <c r="O2126" s="1">
        <v>1869</v>
      </c>
      <c r="P2126" s="1">
        <v>94</v>
      </c>
      <c r="Q2126" s="1" t="s">
        <v>42</v>
      </c>
      <c r="S2126" s="1" t="s">
        <v>42</v>
      </c>
      <c r="T2126" s="1" t="s">
        <v>170</v>
      </c>
      <c r="V2126" s="5">
        <v>44072</v>
      </c>
      <c r="W2126" s="5">
        <v>43157</v>
      </c>
      <c r="X2126" s="1">
        <v>3565000</v>
      </c>
      <c r="Y2126" s="1">
        <v>3565000</v>
      </c>
      <c r="Z2126" s="5">
        <v>43158</v>
      </c>
      <c r="AA2126" s="1">
        <v>3565000</v>
      </c>
      <c r="AB2126" s="1" t="s">
        <v>181</v>
      </c>
      <c r="AC2126" s="5">
        <v>44042</v>
      </c>
      <c r="AF2126" s="1">
        <v>10069</v>
      </c>
      <c r="AI2126" s="1" t="s">
        <v>109</v>
      </c>
      <c r="AJ2126" s="1">
        <v>2019</v>
      </c>
      <c r="AK2126" s="1" t="s">
        <v>77</v>
      </c>
      <c r="AL2126" s="1">
        <v>160</v>
      </c>
    </row>
    <row r="2127" spans="1:38" x14ac:dyDescent="0.2">
      <c r="A2127" s="2" t="str">
        <f>HYPERLINK("https://www.compass.com/listing/30-riverside-boulevard-unit-24e-manhattan-ny-10069/29515089379950401/","30 Riverside Blvd, Unit 24E")</f>
        <v>30 Riverside Blvd, Unit 24E</v>
      </c>
      <c r="B2127" s="2" t="str">
        <f t="shared" si="319"/>
        <v>Two Waterline Square</v>
      </c>
      <c r="C2127" s="1" t="s">
        <v>50</v>
      </c>
      <c r="D2127" s="1" t="s">
        <v>41</v>
      </c>
      <c r="E2127" s="3">
        <v>2700000</v>
      </c>
      <c r="F2127" s="1">
        <v>2253.7562604340501</v>
      </c>
      <c r="G2127" s="1">
        <v>4</v>
      </c>
      <c r="H2127" s="1">
        <v>2</v>
      </c>
      <c r="I2127" s="1">
        <v>2</v>
      </c>
      <c r="J2127" s="1">
        <v>2</v>
      </c>
      <c r="K2127" s="1">
        <v>2</v>
      </c>
      <c r="M2127" s="4">
        <v>1198</v>
      </c>
      <c r="N2127" s="1">
        <v>1530</v>
      </c>
      <c r="O2127" s="1">
        <v>1611</v>
      </c>
      <c r="P2127" s="1">
        <v>81</v>
      </c>
      <c r="Q2127" s="1" t="s">
        <v>42</v>
      </c>
      <c r="S2127" s="1" t="s">
        <v>42</v>
      </c>
      <c r="T2127" s="1" t="s">
        <v>170</v>
      </c>
      <c r="U2127" s="1">
        <v>221</v>
      </c>
      <c r="V2127" s="5">
        <v>43896</v>
      </c>
      <c r="W2127" s="5">
        <v>42986</v>
      </c>
      <c r="X2127" s="1">
        <v>2700000</v>
      </c>
      <c r="Y2127" s="1">
        <v>2700000</v>
      </c>
      <c r="Z2127" s="5">
        <v>43208</v>
      </c>
      <c r="AA2127" s="1">
        <v>2700000</v>
      </c>
      <c r="AB2127" s="1" t="s">
        <v>181</v>
      </c>
      <c r="AC2127" s="5">
        <v>43895</v>
      </c>
      <c r="AF2127" s="1">
        <v>10069</v>
      </c>
      <c r="AI2127" s="1" t="s">
        <v>109</v>
      </c>
      <c r="AJ2127" s="1">
        <v>2019</v>
      </c>
      <c r="AK2127" s="1" t="s">
        <v>77</v>
      </c>
      <c r="AL2127" s="1">
        <v>160</v>
      </c>
    </row>
    <row r="2128" spans="1:38" x14ac:dyDescent="0.2">
      <c r="A2128" s="2" t="str">
        <f>HYPERLINK("https://www.compass.com/listing/30-riverside-boulevard-unit-21j-manhattan-ny-10069/29515089707038193/","30 Riverside Blvd, Unit 21J")</f>
        <v>30 Riverside Blvd, Unit 21J</v>
      </c>
      <c r="B2128" s="2" t="str">
        <f t="shared" si="319"/>
        <v>Two Waterline Square</v>
      </c>
      <c r="C2128" s="1" t="s">
        <v>50</v>
      </c>
      <c r="D2128" s="1" t="s">
        <v>41</v>
      </c>
      <c r="E2128" s="3">
        <v>2615000</v>
      </c>
      <c r="F2128" s="1">
        <v>2250.43029259896</v>
      </c>
      <c r="G2128" s="1">
        <v>4</v>
      </c>
      <c r="H2128" s="1">
        <v>2</v>
      </c>
      <c r="I2128" s="1">
        <v>2</v>
      </c>
      <c r="J2128" s="1">
        <v>2</v>
      </c>
      <c r="K2128" s="1">
        <v>2</v>
      </c>
      <c r="M2128" s="4">
        <v>1162</v>
      </c>
      <c r="N2128" s="1">
        <v>1462</v>
      </c>
      <c r="O2128" s="1">
        <v>1539</v>
      </c>
      <c r="P2128" s="1">
        <v>77</v>
      </c>
      <c r="Q2128" s="1" t="s">
        <v>42</v>
      </c>
      <c r="S2128" s="1" t="s">
        <v>42</v>
      </c>
      <c r="T2128" s="1" t="s">
        <v>170</v>
      </c>
      <c r="U2128" s="1">
        <v>214</v>
      </c>
      <c r="V2128" s="5">
        <v>43973</v>
      </c>
      <c r="W2128" s="5">
        <v>42993</v>
      </c>
      <c r="X2128" s="1">
        <v>2615000</v>
      </c>
      <c r="Y2128" s="1">
        <v>2615000</v>
      </c>
      <c r="Z2128" s="5">
        <v>43208</v>
      </c>
      <c r="AA2128" s="1">
        <v>2615000</v>
      </c>
      <c r="AB2128" s="1" t="s">
        <v>181</v>
      </c>
      <c r="AC2128" s="5">
        <v>43972</v>
      </c>
      <c r="AF2128" s="1">
        <v>10069</v>
      </c>
      <c r="AI2128" s="1" t="s">
        <v>109</v>
      </c>
      <c r="AJ2128" s="1">
        <v>2019</v>
      </c>
      <c r="AK2128" s="1" t="s">
        <v>77</v>
      </c>
      <c r="AL2128" s="1">
        <v>160</v>
      </c>
    </row>
    <row r="2129" spans="1:38" x14ac:dyDescent="0.2">
      <c r="A2129" s="2" t="str">
        <f>HYPERLINK("https://www.compass.com/listing/30-riverside-boulevard-unit-20j-manhattan-ny-10069/29515090671728145/","30 Riverside Blvd, Unit 20J")</f>
        <v>30 Riverside Blvd, Unit 20J</v>
      </c>
      <c r="B2129" s="2" t="str">
        <f t="shared" si="319"/>
        <v>Two Waterline Square</v>
      </c>
      <c r="C2129" s="1" t="s">
        <v>50</v>
      </c>
      <c r="D2129" s="1" t="s">
        <v>41</v>
      </c>
      <c r="E2129" s="3">
        <v>2575000</v>
      </c>
      <c r="F2129" s="1">
        <v>2216.0068846815798</v>
      </c>
      <c r="G2129" s="1">
        <v>4</v>
      </c>
      <c r="H2129" s="1">
        <v>2</v>
      </c>
      <c r="I2129" s="1">
        <v>2</v>
      </c>
      <c r="J2129" s="1">
        <v>2</v>
      </c>
      <c r="K2129" s="1">
        <v>2</v>
      </c>
      <c r="M2129" s="4">
        <v>1162</v>
      </c>
      <c r="N2129" s="1">
        <v>1448</v>
      </c>
      <c r="O2129" s="1">
        <v>1524</v>
      </c>
      <c r="P2129" s="1">
        <v>76</v>
      </c>
      <c r="Q2129" s="1" t="s">
        <v>42</v>
      </c>
      <c r="S2129" s="1" t="s">
        <v>42</v>
      </c>
      <c r="T2129" s="1" t="s">
        <v>170</v>
      </c>
      <c r="U2129" s="1">
        <v>222</v>
      </c>
      <c r="V2129" s="5">
        <v>43994</v>
      </c>
      <c r="W2129" s="5">
        <v>42993</v>
      </c>
      <c r="X2129" s="1">
        <v>2575000</v>
      </c>
      <c r="Y2129" s="1">
        <v>2575000</v>
      </c>
      <c r="Z2129" s="5">
        <v>43216</v>
      </c>
      <c r="AA2129" s="1">
        <v>2575000</v>
      </c>
      <c r="AB2129" s="1" t="s">
        <v>181</v>
      </c>
      <c r="AC2129" s="5">
        <v>43991</v>
      </c>
      <c r="AF2129" s="1">
        <v>10069</v>
      </c>
      <c r="AI2129" s="1" t="s">
        <v>109</v>
      </c>
      <c r="AJ2129" s="1">
        <v>2019</v>
      </c>
      <c r="AK2129" s="1" t="s">
        <v>77</v>
      </c>
      <c r="AL2129" s="1">
        <v>160</v>
      </c>
    </row>
    <row r="2130" spans="1:38" x14ac:dyDescent="0.2">
      <c r="A2130" s="2" t="str">
        <f>HYPERLINK("https://www.compass.com/listing/30-riverside-boulevard-unit-28e-manhattan-ny-10069/29515091888076353/","30 Riverside Blvd, Unit 28E")</f>
        <v>30 Riverside Blvd, Unit 28E</v>
      </c>
      <c r="B2130" s="2" t="str">
        <f t="shared" si="319"/>
        <v>Two Waterline Square</v>
      </c>
      <c r="C2130" s="1" t="s">
        <v>50</v>
      </c>
      <c r="D2130" s="1" t="s">
        <v>41</v>
      </c>
      <c r="E2130" s="3">
        <v>2860000</v>
      </c>
      <c r="F2130" s="1">
        <v>2387.3121869782899</v>
      </c>
      <c r="G2130" s="1">
        <v>4</v>
      </c>
      <c r="H2130" s="1">
        <v>2</v>
      </c>
      <c r="I2130" s="1">
        <v>2</v>
      </c>
      <c r="J2130" s="1">
        <v>2</v>
      </c>
      <c r="K2130" s="1">
        <v>2</v>
      </c>
      <c r="M2130" s="4">
        <v>1198</v>
      </c>
      <c r="N2130" s="1">
        <v>1560</v>
      </c>
      <c r="O2130" s="1">
        <v>1642</v>
      </c>
      <c r="P2130" s="1">
        <v>82</v>
      </c>
      <c r="Q2130" s="1" t="s">
        <v>42</v>
      </c>
      <c r="S2130" s="1" t="s">
        <v>42</v>
      </c>
      <c r="T2130" s="1" t="s">
        <v>170</v>
      </c>
      <c r="U2130" s="1">
        <v>162</v>
      </c>
      <c r="V2130" s="5">
        <v>44072</v>
      </c>
      <c r="W2130" s="5">
        <v>43074</v>
      </c>
      <c r="X2130" s="1">
        <v>2860000</v>
      </c>
      <c r="Y2130" s="1">
        <v>2860000</v>
      </c>
      <c r="Z2130" s="5">
        <v>43237</v>
      </c>
      <c r="AA2130" s="1">
        <v>2860000</v>
      </c>
      <c r="AB2130" s="1" t="s">
        <v>181</v>
      </c>
      <c r="AC2130" s="5">
        <v>44068</v>
      </c>
      <c r="AF2130" s="1">
        <v>10069</v>
      </c>
      <c r="AI2130" s="1" t="s">
        <v>109</v>
      </c>
      <c r="AJ2130" s="1">
        <v>2019</v>
      </c>
      <c r="AK2130" s="1" t="s">
        <v>77</v>
      </c>
      <c r="AL2130" s="1">
        <v>160</v>
      </c>
    </row>
    <row r="2131" spans="1:38" x14ac:dyDescent="0.2">
      <c r="A2131" s="2" t="str">
        <f>HYPERLINK("https://www.compass.com/listing/30-riverside-boulevard-unit-28h-manhattan-ny-10069/29515092223647905/","30 Riverside Blvd, Unit 28H")</f>
        <v>30 Riverside Blvd, Unit 28H</v>
      </c>
      <c r="B2131" s="2" t="str">
        <f t="shared" si="319"/>
        <v>Two Waterline Square</v>
      </c>
      <c r="C2131" s="1" t="s">
        <v>50</v>
      </c>
      <c r="D2131" s="1" t="s">
        <v>41</v>
      </c>
      <c r="E2131" s="3">
        <v>3110000</v>
      </c>
      <c r="F2131" s="1">
        <v>2551.2715340442901</v>
      </c>
      <c r="G2131" s="1">
        <v>4</v>
      </c>
      <c r="H2131" s="1">
        <v>2</v>
      </c>
      <c r="I2131" s="1">
        <v>2</v>
      </c>
      <c r="J2131" s="1">
        <v>2</v>
      </c>
      <c r="K2131" s="1">
        <v>2</v>
      </c>
      <c r="M2131" s="4">
        <v>1219</v>
      </c>
      <c r="N2131" s="1">
        <v>1587</v>
      </c>
      <c r="O2131" s="1">
        <v>1671</v>
      </c>
      <c r="P2131" s="1">
        <v>84</v>
      </c>
      <c r="Q2131" s="1" t="s">
        <v>42</v>
      </c>
      <c r="S2131" s="1" t="s">
        <v>42</v>
      </c>
      <c r="T2131" s="1" t="s">
        <v>170</v>
      </c>
      <c r="U2131" s="1">
        <v>113</v>
      </c>
      <c r="V2131" s="5">
        <v>44023</v>
      </c>
      <c r="W2131" s="5">
        <v>43123</v>
      </c>
      <c r="X2131" s="1">
        <v>3110000</v>
      </c>
      <c r="Y2131" s="1">
        <v>3110000</v>
      </c>
      <c r="Z2131" s="5">
        <v>43237</v>
      </c>
      <c r="AA2131" s="1">
        <v>3110000</v>
      </c>
      <c r="AB2131" s="1" t="s">
        <v>181</v>
      </c>
      <c r="AC2131" s="5">
        <v>44022</v>
      </c>
      <c r="AF2131" s="1">
        <v>10069</v>
      </c>
      <c r="AI2131" s="1" t="s">
        <v>109</v>
      </c>
      <c r="AJ2131" s="1">
        <v>2019</v>
      </c>
      <c r="AK2131" s="1" t="s">
        <v>77</v>
      </c>
      <c r="AL2131" s="1">
        <v>160</v>
      </c>
    </row>
    <row r="2132" spans="1:38" x14ac:dyDescent="0.2">
      <c r="A2132" s="2" t="str">
        <f>HYPERLINK("https://www.compass.com/listing/30-riverside-boulevard-unit-22j-manhattan-ny-10069/29515092534067121/","30 Riverside Blvd, Unit 22J")</f>
        <v>30 Riverside Blvd, Unit 22J</v>
      </c>
      <c r="B2132" s="2" t="str">
        <f t="shared" si="319"/>
        <v>Two Waterline Square</v>
      </c>
      <c r="C2132" s="1" t="s">
        <v>50</v>
      </c>
      <c r="D2132" s="1" t="s">
        <v>41</v>
      </c>
      <c r="E2132" s="3">
        <v>2655000</v>
      </c>
      <c r="F2132" s="1">
        <v>2284.8537005163498</v>
      </c>
      <c r="G2132" s="1">
        <v>4</v>
      </c>
      <c r="H2132" s="1">
        <v>2</v>
      </c>
      <c r="I2132" s="1">
        <v>2</v>
      </c>
      <c r="J2132" s="1">
        <v>2</v>
      </c>
      <c r="K2132" s="1">
        <v>2</v>
      </c>
      <c r="M2132" s="4">
        <v>1162</v>
      </c>
      <c r="N2132" s="1">
        <v>1469</v>
      </c>
      <c r="O2132" s="1">
        <v>1547</v>
      </c>
      <c r="P2132" s="1">
        <v>78</v>
      </c>
      <c r="Q2132" s="1" t="s">
        <v>42</v>
      </c>
      <c r="S2132" s="1" t="s">
        <v>42</v>
      </c>
      <c r="T2132" s="1" t="s">
        <v>170</v>
      </c>
      <c r="U2132" s="1">
        <v>212</v>
      </c>
      <c r="V2132" s="5">
        <v>44000</v>
      </c>
      <c r="W2132" s="5">
        <v>43010</v>
      </c>
      <c r="X2132" s="1">
        <v>2655000</v>
      </c>
      <c r="Y2132" s="1">
        <v>2655000</v>
      </c>
      <c r="Z2132" s="5">
        <v>43223</v>
      </c>
      <c r="AA2132" s="1">
        <v>2655000</v>
      </c>
      <c r="AB2132" s="1" t="s">
        <v>181</v>
      </c>
      <c r="AC2132" s="5">
        <v>43999</v>
      </c>
      <c r="AF2132" s="1">
        <v>10069</v>
      </c>
      <c r="AI2132" s="1" t="s">
        <v>109</v>
      </c>
      <c r="AJ2132" s="1">
        <v>2019</v>
      </c>
      <c r="AK2132" s="1" t="s">
        <v>77</v>
      </c>
      <c r="AL2132" s="1">
        <v>160</v>
      </c>
    </row>
    <row r="2133" spans="1:38" x14ac:dyDescent="0.2">
      <c r="A2133" s="2" t="str">
        <f>HYPERLINK("https://www.compass.com/listing/30-riverside-boulevard-unit-26h-manhattan-ny-10069/29515097407807825/","30 Riverside Blvd, Unit 26H")</f>
        <v>30 Riverside Blvd, Unit 26H</v>
      </c>
      <c r="B2133" s="2" t="str">
        <f t="shared" si="319"/>
        <v>Two Waterline Square</v>
      </c>
      <c r="C2133" s="1" t="s">
        <v>50</v>
      </c>
      <c r="D2133" s="1" t="s">
        <v>41</v>
      </c>
      <c r="E2133" s="3">
        <v>2990000</v>
      </c>
      <c r="F2133" s="1">
        <v>2452.8301886792401</v>
      </c>
      <c r="G2133" s="1">
        <v>4</v>
      </c>
      <c r="H2133" s="1">
        <v>2</v>
      </c>
      <c r="I2133" s="1">
        <v>2</v>
      </c>
      <c r="J2133" s="1">
        <v>2</v>
      </c>
      <c r="K2133" s="1">
        <v>2</v>
      </c>
      <c r="M2133" s="4">
        <v>1219</v>
      </c>
      <c r="N2133" s="1">
        <v>1572</v>
      </c>
      <c r="O2133" s="1">
        <v>1655</v>
      </c>
      <c r="P2133" s="1">
        <v>83</v>
      </c>
      <c r="Q2133" s="1" t="s">
        <v>42</v>
      </c>
      <c r="S2133" s="1" t="s">
        <v>42</v>
      </c>
      <c r="T2133" s="1" t="s">
        <v>170</v>
      </c>
      <c r="V2133" s="5">
        <v>44072</v>
      </c>
      <c r="W2133" s="5">
        <v>43201</v>
      </c>
      <c r="X2133" s="1">
        <v>2990000</v>
      </c>
      <c r="Y2133" s="1">
        <v>2990000</v>
      </c>
      <c r="Z2133" s="5">
        <v>43202</v>
      </c>
      <c r="AA2133" s="1">
        <v>2990000</v>
      </c>
      <c r="AB2133" s="1" t="s">
        <v>181</v>
      </c>
      <c r="AC2133" s="5">
        <v>44040</v>
      </c>
      <c r="AF2133" s="1">
        <v>10069</v>
      </c>
      <c r="AI2133" s="1" t="s">
        <v>109</v>
      </c>
      <c r="AJ2133" s="1">
        <v>2019</v>
      </c>
      <c r="AK2133" s="1" t="s">
        <v>77</v>
      </c>
      <c r="AL2133" s="1">
        <v>160</v>
      </c>
    </row>
    <row r="2134" spans="1:38" x14ac:dyDescent="0.2">
      <c r="A2134" s="2" t="str">
        <f>HYPERLINK("https://www.compass.com/listing/30-riverside-boulevard-unit-26j-manhattan-ny-10069/29515097667895441/","30 Riverside Blvd, Unit 26J")</f>
        <v>30 Riverside Blvd, Unit 26J</v>
      </c>
      <c r="B2134" s="2" t="str">
        <f t="shared" si="319"/>
        <v>Two Waterline Square</v>
      </c>
      <c r="C2134" s="1" t="s">
        <v>50</v>
      </c>
      <c r="D2134" s="1" t="s">
        <v>41</v>
      </c>
      <c r="E2134" s="3">
        <v>3605000</v>
      </c>
      <c r="F2134" s="1">
        <v>2606.6522053506801</v>
      </c>
      <c r="G2134" s="1">
        <v>4</v>
      </c>
      <c r="H2134" s="1">
        <v>2</v>
      </c>
      <c r="I2134" s="1">
        <v>2</v>
      </c>
      <c r="J2134" s="1">
        <v>2</v>
      </c>
      <c r="K2134" s="1">
        <v>2</v>
      </c>
      <c r="M2134" s="4">
        <v>1383</v>
      </c>
      <c r="N2134" s="1">
        <v>1783</v>
      </c>
      <c r="O2134" s="1">
        <v>1877</v>
      </c>
      <c r="P2134" s="1">
        <v>94</v>
      </c>
      <c r="Q2134" s="1" t="s">
        <v>42</v>
      </c>
      <c r="S2134" s="1" t="s">
        <v>42</v>
      </c>
      <c r="T2134" s="1" t="s">
        <v>170</v>
      </c>
      <c r="U2134" s="1">
        <v>223</v>
      </c>
      <c r="V2134" s="5">
        <v>44014</v>
      </c>
      <c r="W2134" s="5">
        <v>42978</v>
      </c>
      <c r="X2134" s="1">
        <v>3605000</v>
      </c>
      <c r="Y2134" s="1">
        <v>3605000</v>
      </c>
      <c r="Z2134" s="5">
        <v>43202</v>
      </c>
      <c r="AA2134" s="1">
        <v>3605000</v>
      </c>
      <c r="AB2134" s="1" t="s">
        <v>181</v>
      </c>
      <c r="AC2134" s="5">
        <v>44013</v>
      </c>
      <c r="AF2134" s="1">
        <v>10069</v>
      </c>
      <c r="AI2134" s="1" t="s">
        <v>109</v>
      </c>
      <c r="AJ2134" s="1">
        <v>2019</v>
      </c>
      <c r="AK2134" s="1" t="s">
        <v>77</v>
      </c>
      <c r="AL2134" s="1">
        <v>160</v>
      </c>
    </row>
    <row r="2135" spans="1:38" x14ac:dyDescent="0.2">
      <c r="A2135" s="2" t="str">
        <f>HYPERLINK("https://www.compass.com/listing/30-riverside-boulevard-unit-27h-manhattan-ny-10069/29515100629074209/","30 Riverside Blvd, Unit 27H")</f>
        <v>30 Riverside Blvd, Unit 27H</v>
      </c>
      <c r="B2135" s="2" t="str">
        <f t="shared" si="319"/>
        <v>Two Waterline Square</v>
      </c>
      <c r="C2135" s="1" t="s">
        <v>50</v>
      </c>
      <c r="D2135" s="1" t="s">
        <v>41</v>
      </c>
      <c r="E2135" s="3">
        <v>3070000</v>
      </c>
      <c r="F2135" s="1">
        <v>2518.4577522559398</v>
      </c>
      <c r="G2135" s="1">
        <v>4</v>
      </c>
      <c r="H2135" s="1">
        <v>2</v>
      </c>
      <c r="I2135" s="1">
        <v>2</v>
      </c>
      <c r="J2135" s="1">
        <v>2</v>
      </c>
      <c r="K2135" s="1">
        <v>2</v>
      </c>
      <c r="M2135" s="4">
        <v>1219</v>
      </c>
      <c r="N2135" s="1">
        <v>1536</v>
      </c>
      <c r="O2135" s="1">
        <v>1619</v>
      </c>
      <c r="P2135" s="1">
        <v>83</v>
      </c>
      <c r="Q2135" s="1" t="s">
        <v>42</v>
      </c>
      <c r="S2135" s="1" t="s">
        <v>42</v>
      </c>
      <c r="T2135" s="1" t="s">
        <v>170</v>
      </c>
      <c r="U2135" s="1">
        <v>168</v>
      </c>
      <c r="V2135" s="5">
        <v>43922</v>
      </c>
      <c r="W2135" s="5">
        <v>43102</v>
      </c>
      <c r="X2135" s="1">
        <v>3070000</v>
      </c>
      <c r="Y2135" s="1">
        <v>3070000</v>
      </c>
      <c r="Z2135" s="5">
        <v>43271</v>
      </c>
      <c r="AA2135" s="1">
        <v>3070000</v>
      </c>
      <c r="AB2135" s="1" t="s">
        <v>181</v>
      </c>
      <c r="AC2135" s="5">
        <v>43920</v>
      </c>
      <c r="AF2135" s="1">
        <v>10069</v>
      </c>
      <c r="AI2135" s="1" t="s">
        <v>109</v>
      </c>
      <c r="AJ2135" s="1">
        <v>2019</v>
      </c>
      <c r="AK2135" s="1" t="s">
        <v>77</v>
      </c>
      <c r="AL2135" s="1">
        <v>160</v>
      </c>
    </row>
    <row r="2136" spans="1:38" x14ac:dyDescent="0.2">
      <c r="A2136" s="2" t="str">
        <f>HYPERLINK("https://www.compass.com/listing/30-riverside-boulevard-unit-29h-manhattan-ny-10069/29515100972939201/","30 Riverside Blvd, Unit 29H")</f>
        <v>30 Riverside Blvd, Unit 29H</v>
      </c>
      <c r="B2136" s="2" t="str">
        <f t="shared" si="319"/>
        <v>Two Waterline Square</v>
      </c>
      <c r="C2136" s="1" t="s">
        <v>50</v>
      </c>
      <c r="D2136" s="1" t="s">
        <v>41</v>
      </c>
      <c r="E2136" s="3">
        <v>3150000</v>
      </c>
      <c r="F2136" s="1">
        <v>2584.0853158326499</v>
      </c>
      <c r="G2136" s="1">
        <v>4</v>
      </c>
      <c r="H2136" s="1">
        <v>2</v>
      </c>
      <c r="I2136" s="1">
        <v>2</v>
      </c>
      <c r="J2136" s="1">
        <v>2</v>
      </c>
      <c r="K2136" s="1">
        <v>2</v>
      </c>
      <c r="M2136" s="4">
        <v>1219</v>
      </c>
      <c r="N2136" s="1">
        <v>1551</v>
      </c>
      <c r="O2136" s="1">
        <v>1635</v>
      </c>
      <c r="P2136" s="1">
        <v>84</v>
      </c>
      <c r="Q2136" s="1" t="s">
        <v>42</v>
      </c>
      <c r="S2136" s="1" t="s">
        <v>42</v>
      </c>
      <c r="T2136" s="1" t="s">
        <v>170</v>
      </c>
      <c r="U2136" s="1">
        <v>86</v>
      </c>
      <c r="V2136" s="5">
        <v>43987</v>
      </c>
      <c r="W2136" s="5">
        <v>43164</v>
      </c>
      <c r="X2136" s="1">
        <v>3150000</v>
      </c>
      <c r="Y2136" s="1">
        <v>3150000</v>
      </c>
      <c r="Z2136" s="5">
        <v>43250</v>
      </c>
      <c r="AA2136" s="1">
        <v>3150000</v>
      </c>
      <c r="AB2136" s="1" t="s">
        <v>181</v>
      </c>
      <c r="AC2136" s="5">
        <v>43986</v>
      </c>
      <c r="AF2136" s="1">
        <v>10069</v>
      </c>
      <c r="AI2136" s="1" t="s">
        <v>109</v>
      </c>
      <c r="AJ2136" s="1">
        <v>2019</v>
      </c>
      <c r="AK2136" s="1" t="s">
        <v>77</v>
      </c>
      <c r="AL2136" s="1">
        <v>160</v>
      </c>
    </row>
    <row r="2137" spans="1:38" x14ac:dyDescent="0.2">
      <c r="A2137" s="2" t="str">
        <f>HYPERLINK("https://www.compass.com/listing/30-riverside-boulevard-unit-23j-manhattan-ny-10069/29515101971183585/","30 Riverside Blvd, Unit 23J")</f>
        <v>30 Riverside Blvd, Unit 23J</v>
      </c>
      <c r="B2137" s="2" t="str">
        <f t="shared" si="319"/>
        <v>Two Waterline Square</v>
      </c>
      <c r="C2137" s="1" t="s">
        <v>50</v>
      </c>
      <c r="D2137" s="1" t="s">
        <v>41</v>
      </c>
      <c r="E2137" s="3">
        <v>2695000</v>
      </c>
      <c r="F2137" s="1">
        <v>2319.2771084337301</v>
      </c>
      <c r="G2137" s="1">
        <v>4</v>
      </c>
      <c r="H2137" s="1">
        <v>2</v>
      </c>
      <c r="I2137" s="1">
        <v>2</v>
      </c>
      <c r="J2137" s="1">
        <v>2</v>
      </c>
      <c r="K2137" s="1">
        <v>2</v>
      </c>
      <c r="M2137" s="4">
        <v>1162</v>
      </c>
      <c r="N2137" s="1">
        <v>1477</v>
      </c>
      <c r="O2137" s="1">
        <v>1555</v>
      </c>
      <c r="P2137" s="1">
        <v>78</v>
      </c>
      <c r="Q2137" s="1" t="s">
        <v>42</v>
      </c>
      <c r="S2137" s="1" t="s">
        <v>42</v>
      </c>
      <c r="T2137" s="1" t="s">
        <v>170</v>
      </c>
      <c r="U2137" s="1">
        <v>235</v>
      </c>
      <c r="V2137" s="5">
        <v>44126</v>
      </c>
      <c r="W2137" s="5">
        <v>43007</v>
      </c>
      <c r="X2137" s="1">
        <v>2695000</v>
      </c>
      <c r="Y2137" s="1">
        <v>2695000</v>
      </c>
      <c r="Z2137" s="5">
        <v>43243</v>
      </c>
      <c r="AA2137" s="1">
        <v>2695000</v>
      </c>
      <c r="AB2137" s="1" t="s">
        <v>181</v>
      </c>
      <c r="AC2137" s="5">
        <v>44125</v>
      </c>
      <c r="AF2137" s="1">
        <v>10069</v>
      </c>
      <c r="AI2137" s="1" t="s">
        <v>109</v>
      </c>
      <c r="AJ2137" s="1">
        <v>2019</v>
      </c>
      <c r="AK2137" s="1" t="s">
        <v>77</v>
      </c>
      <c r="AL2137" s="1">
        <v>160</v>
      </c>
    </row>
    <row r="2138" spans="1:38" x14ac:dyDescent="0.2">
      <c r="A2138" s="2" t="str">
        <f>HYPERLINK("https://www.compass.com/listing/30-riverside-boulevard-unit-30h-manhattan-ny-10069/29515102558454113/","30 Riverside Blvd, Unit 30H")</f>
        <v>30 Riverside Blvd, Unit 30H</v>
      </c>
      <c r="B2138" s="2" t="str">
        <f t="shared" si="319"/>
        <v>Two Waterline Square</v>
      </c>
      <c r="C2138" s="1" t="s">
        <v>50</v>
      </c>
      <c r="D2138" s="1" t="s">
        <v>41</v>
      </c>
      <c r="E2138" s="3">
        <v>3190000</v>
      </c>
      <c r="F2138" s="1">
        <v>2616.8990976209998</v>
      </c>
      <c r="G2138" s="1">
        <v>4</v>
      </c>
      <c r="H2138" s="1">
        <v>2</v>
      </c>
      <c r="I2138" s="1">
        <v>2</v>
      </c>
      <c r="J2138" s="1">
        <v>2</v>
      </c>
      <c r="K2138" s="1">
        <v>2</v>
      </c>
      <c r="M2138" s="4">
        <v>1219</v>
      </c>
      <c r="N2138" s="1">
        <v>1558</v>
      </c>
      <c r="O2138" s="1">
        <v>1643</v>
      </c>
      <c r="P2138" s="1">
        <v>85</v>
      </c>
      <c r="Q2138" s="1" t="s">
        <v>42</v>
      </c>
      <c r="S2138" s="1" t="s">
        <v>42</v>
      </c>
      <c r="T2138" s="1" t="s">
        <v>170</v>
      </c>
      <c r="U2138" s="1">
        <v>88</v>
      </c>
      <c r="V2138" s="5">
        <v>43991</v>
      </c>
      <c r="W2138" s="5">
        <v>43185</v>
      </c>
      <c r="X2138" s="1">
        <v>3190000</v>
      </c>
      <c r="Y2138" s="1">
        <v>3190000</v>
      </c>
      <c r="Z2138" s="5">
        <v>43274</v>
      </c>
      <c r="AA2138" s="1">
        <v>3190000</v>
      </c>
      <c r="AB2138" s="1" t="s">
        <v>181</v>
      </c>
      <c r="AC2138" s="5">
        <v>43990</v>
      </c>
      <c r="AF2138" s="1">
        <v>10069</v>
      </c>
      <c r="AI2138" s="1" t="s">
        <v>109</v>
      </c>
      <c r="AJ2138" s="1">
        <v>2019</v>
      </c>
      <c r="AK2138" s="1" t="s">
        <v>77</v>
      </c>
      <c r="AL2138" s="1">
        <v>160</v>
      </c>
    </row>
    <row r="2139" spans="1:38" x14ac:dyDescent="0.2">
      <c r="A2139" s="2" t="str">
        <f>HYPERLINK("https://www.compass.com/listing/30-riverside-boulevard-unit-26a-manhattan-ny-10069/176050743713854689/","30 Riverside Blvd, Unit 26A")</f>
        <v>30 Riverside Blvd, Unit 26A</v>
      </c>
      <c r="B2139" s="2" t="str">
        <f t="shared" si="319"/>
        <v>Two Waterline Square</v>
      </c>
      <c r="C2139" s="1" t="s">
        <v>50</v>
      </c>
      <c r="D2139" s="1" t="s">
        <v>41</v>
      </c>
      <c r="E2139" s="3">
        <v>4350000</v>
      </c>
      <c r="F2139" s="1">
        <v>2925.3530598520501</v>
      </c>
      <c r="G2139" s="1">
        <v>4</v>
      </c>
      <c r="H2139" s="1">
        <v>2</v>
      </c>
      <c r="I2139" s="1">
        <v>3</v>
      </c>
      <c r="J2139" s="1">
        <v>2.5</v>
      </c>
      <c r="K2139" s="1">
        <v>2</v>
      </c>
      <c r="L2139" s="1">
        <v>1</v>
      </c>
      <c r="M2139" s="4">
        <v>1487</v>
      </c>
      <c r="N2139" s="1">
        <v>1865</v>
      </c>
      <c r="O2139" s="1">
        <v>1966</v>
      </c>
      <c r="P2139" s="1">
        <v>101</v>
      </c>
      <c r="Q2139" s="1" t="s">
        <v>42</v>
      </c>
      <c r="S2139" s="1" t="s">
        <v>42</v>
      </c>
      <c r="T2139" s="1" t="s">
        <v>170</v>
      </c>
      <c r="U2139" s="1">
        <v>85</v>
      </c>
      <c r="V2139" s="5">
        <v>44009</v>
      </c>
      <c r="W2139" s="5">
        <v>43495</v>
      </c>
      <c r="X2139" s="1">
        <v>4350000</v>
      </c>
      <c r="Y2139" s="1">
        <v>4350000</v>
      </c>
      <c r="Z2139" s="5">
        <v>43580</v>
      </c>
      <c r="AA2139" s="1">
        <v>4350000</v>
      </c>
      <c r="AB2139" s="1" t="s">
        <v>181</v>
      </c>
      <c r="AC2139" s="5">
        <v>44009</v>
      </c>
      <c r="AF2139" s="1">
        <v>10069</v>
      </c>
      <c r="AI2139" s="1" t="s">
        <v>109</v>
      </c>
      <c r="AJ2139" s="1">
        <v>2019</v>
      </c>
      <c r="AK2139" s="1" t="s">
        <v>77</v>
      </c>
      <c r="AL2139" s="1">
        <v>160</v>
      </c>
    </row>
    <row r="2140" spans="1:38" x14ac:dyDescent="0.2">
      <c r="A2140" s="2" t="str">
        <f>HYPERLINK("https://www.compass.com/listing/30-riverside-boulevard-unit-30d-manhattan-ny-10069/761649762318205273/","30 Riverside Blvd, Unit 30D")</f>
        <v>30 Riverside Blvd, Unit 30D</v>
      </c>
      <c r="B2140" s="2" t="str">
        <f t="shared" si="319"/>
        <v>Two Waterline Square</v>
      </c>
      <c r="C2140" s="1" t="s">
        <v>50</v>
      </c>
      <c r="D2140" s="1" t="s">
        <v>41</v>
      </c>
      <c r="E2140" s="3">
        <v>2500000</v>
      </c>
      <c r="F2140" s="1">
        <v>2540.6504065040599</v>
      </c>
      <c r="G2140" s="1">
        <v>3</v>
      </c>
      <c r="H2140" s="1">
        <v>1</v>
      </c>
      <c r="I2140" s="1">
        <v>3</v>
      </c>
      <c r="J2140" s="1">
        <v>2.5</v>
      </c>
      <c r="K2140" s="1">
        <v>2</v>
      </c>
      <c r="L2140" s="1">
        <v>1</v>
      </c>
      <c r="M2140" s="1">
        <v>984</v>
      </c>
      <c r="N2140" s="1">
        <v>1345</v>
      </c>
      <c r="O2140" s="1">
        <v>1416</v>
      </c>
      <c r="P2140" s="1">
        <v>71</v>
      </c>
      <c r="Q2140" s="1" t="s">
        <v>42</v>
      </c>
      <c r="S2140" s="1" t="s">
        <v>42</v>
      </c>
      <c r="T2140" s="1" t="s">
        <v>170</v>
      </c>
      <c r="V2140" s="5">
        <v>44359</v>
      </c>
      <c r="W2140" s="5">
        <v>44302</v>
      </c>
      <c r="X2140" s="1">
        <v>2500000</v>
      </c>
      <c r="Y2140" s="1">
        <v>2500000</v>
      </c>
      <c r="Z2140" s="5">
        <v>44303</v>
      </c>
      <c r="AA2140" s="1">
        <v>2500000</v>
      </c>
      <c r="AB2140" s="1" t="s">
        <v>181</v>
      </c>
      <c r="AC2140" s="5">
        <v>44358</v>
      </c>
      <c r="AF2140" s="1">
        <v>10069</v>
      </c>
      <c r="AI2140" s="1" t="s">
        <v>109</v>
      </c>
      <c r="AJ2140" s="1">
        <v>2019</v>
      </c>
      <c r="AK2140" s="1" t="s">
        <v>77</v>
      </c>
      <c r="AL2140" s="1">
        <v>160</v>
      </c>
    </row>
    <row r="2141" spans="1:38" x14ac:dyDescent="0.2">
      <c r="A2141" s="2" t="str">
        <f>HYPERLINK("https://www.compass.com/listing/200-east-59th-street-unit-8b-manhattan-ny-10022/328941681382257409/","200 E 59th St, Unit 8B")</f>
        <v>200 E 59th St, Unit 8B</v>
      </c>
      <c r="B2141" s="2" t="str">
        <f t="shared" ref="B2141:B2143" si="320">HYPERLINK("https://www.compass.com/building/200-east-59th-street-manhattan-ny/292859303948266645/","200 East 59th Street")</f>
        <v>200 East 59th Street</v>
      </c>
      <c r="C2141" s="1" t="s">
        <v>64</v>
      </c>
      <c r="D2141" s="1" t="s">
        <v>41</v>
      </c>
      <c r="E2141" s="3">
        <v>1475000</v>
      </c>
      <c r="F2141" s="1">
        <v>1766.4670658682601</v>
      </c>
      <c r="G2141" s="1">
        <v>2.5</v>
      </c>
      <c r="H2141" s="1">
        <v>1</v>
      </c>
      <c r="I2141" s="1">
        <v>2</v>
      </c>
      <c r="J2141" s="1">
        <v>1.5</v>
      </c>
      <c r="K2141" s="1">
        <v>1</v>
      </c>
      <c r="L2141" s="1">
        <v>1</v>
      </c>
      <c r="M2141" s="1">
        <v>835</v>
      </c>
      <c r="N2141" s="1">
        <v>1369</v>
      </c>
      <c r="O2141" s="1">
        <v>2485</v>
      </c>
      <c r="P2141" s="1">
        <v>1116</v>
      </c>
      <c r="Q2141" s="1" t="s">
        <v>42</v>
      </c>
      <c r="S2141" s="1" t="s">
        <v>42</v>
      </c>
      <c r="T2141" s="1" t="s">
        <v>170</v>
      </c>
      <c r="V2141" s="5">
        <v>44364</v>
      </c>
      <c r="W2141" s="5">
        <v>43791</v>
      </c>
      <c r="X2141" s="1">
        <v>2300000</v>
      </c>
      <c r="Y2141" s="1">
        <v>2300000</v>
      </c>
      <c r="Z2141" s="5">
        <v>43791</v>
      </c>
      <c r="AA2141" s="1">
        <v>1475000</v>
      </c>
      <c r="AB2141" s="1" t="s">
        <v>1670</v>
      </c>
      <c r="AC2141" s="5">
        <v>43887</v>
      </c>
      <c r="AF2141" s="1">
        <v>10022</v>
      </c>
      <c r="AI2141" s="1" t="s">
        <v>85</v>
      </c>
      <c r="AJ2141" s="1">
        <v>2018</v>
      </c>
      <c r="AK2141" s="1" t="s">
        <v>73</v>
      </c>
      <c r="AL2141" s="1">
        <v>67</v>
      </c>
    </row>
    <row r="2142" spans="1:38" x14ac:dyDescent="0.2">
      <c r="A2142" s="2" t="str">
        <f>HYPERLINK("https://www.compass.com/listing/200-east-59th-street-unit-6b-manhattan-ny-10022/391144231545151777/","200 E 59th St, Unit 6B")</f>
        <v>200 E 59th St, Unit 6B</v>
      </c>
      <c r="B2142" s="2" t="str">
        <f t="shared" si="320"/>
        <v>200 East 59th Street</v>
      </c>
      <c r="C2142" s="1" t="s">
        <v>64</v>
      </c>
      <c r="D2142" s="1" t="s">
        <v>41</v>
      </c>
      <c r="E2142" s="3">
        <v>1425000</v>
      </c>
      <c r="F2142" s="1">
        <v>1706.5868263473001</v>
      </c>
      <c r="G2142" s="1">
        <v>3</v>
      </c>
      <c r="H2142" s="1">
        <v>1</v>
      </c>
      <c r="I2142" s="1">
        <v>2</v>
      </c>
      <c r="J2142" s="1">
        <v>1.5</v>
      </c>
      <c r="K2142" s="1">
        <v>1</v>
      </c>
      <c r="L2142" s="1">
        <v>1</v>
      </c>
      <c r="M2142" s="1">
        <v>835</v>
      </c>
      <c r="N2142" s="1">
        <v>1369</v>
      </c>
      <c r="O2142" s="1">
        <v>2485</v>
      </c>
      <c r="P2142" s="1">
        <v>1116</v>
      </c>
      <c r="Q2142" s="1" t="s">
        <v>42</v>
      </c>
      <c r="S2142" s="1" t="s">
        <v>42</v>
      </c>
      <c r="T2142" s="1" t="s">
        <v>170</v>
      </c>
      <c r="V2142" s="5">
        <v>44349</v>
      </c>
      <c r="W2142" s="5">
        <v>43792</v>
      </c>
      <c r="X2142" s="1">
        <v>1950000</v>
      </c>
      <c r="Y2142" s="1">
        <v>1950000</v>
      </c>
      <c r="Z2142" s="5">
        <v>43792</v>
      </c>
      <c r="AA2142" s="1">
        <v>1425000</v>
      </c>
      <c r="AB2142" s="1" t="s">
        <v>1671</v>
      </c>
      <c r="AC2142" s="5">
        <v>43885</v>
      </c>
      <c r="AF2142" s="1">
        <v>10022</v>
      </c>
      <c r="AI2142" s="1" t="s">
        <v>1672</v>
      </c>
      <c r="AJ2142" s="1">
        <v>2018</v>
      </c>
      <c r="AK2142" s="1" t="s">
        <v>73</v>
      </c>
      <c r="AL2142" s="1">
        <v>67</v>
      </c>
    </row>
    <row r="2143" spans="1:38" x14ac:dyDescent="0.2">
      <c r="A2143" s="2" t="str">
        <f>HYPERLINK("https://www.compass.com/listing/200-east-59th-street-unit-7b-manhattan-ny-10022/85944573074873121/","200 E 59th St, Unit 7B")</f>
        <v>200 E 59th St, Unit 7B</v>
      </c>
      <c r="B2143" s="2" t="str">
        <f t="shared" si="320"/>
        <v>200 East 59th Street</v>
      </c>
      <c r="C2143" s="1" t="s">
        <v>64</v>
      </c>
      <c r="D2143" s="1" t="s">
        <v>41</v>
      </c>
      <c r="E2143" s="3">
        <v>1475000</v>
      </c>
      <c r="F2143" s="1">
        <v>1506.63942798774</v>
      </c>
      <c r="G2143" s="1">
        <v>3</v>
      </c>
      <c r="H2143" s="1">
        <v>1</v>
      </c>
      <c r="I2143" s="1">
        <v>1</v>
      </c>
      <c r="J2143" s="1">
        <v>1.5</v>
      </c>
      <c r="K2143" s="1">
        <v>1</v>
      </c>
      <c r="L2143" s="1">
        <v>1</v>
      </c>
      <c r="M2143" s="1">
        <v>979</v>
      </c>
      <c r="N2143" s="1">
        <v>1198</v>
      </c>
      <c r="O2143" s="1">
        <v>2289</v>
      </c>
      <c r="P2143" s="1">
        <v>1091</v>
      </c>
      <c r="Q2143" s="1" t="s">
        <v>42</v>
      </c>
      <c r="S2143" s="1" t="s">
        <v>42</v>
      </c>
      <c r="T2143" s="1" t="s">
        <v>170</v>
      </c>
      <c r="U2143" s="1">
        <v>491</v>
      </c>
      <c r="V2143" s="5">
        <v>43876</v>
      </c>
      <c r="W2143" s="5">
        <v>43370</v>
      </c>
      <c r="X2143" s="1">
        <v>1875000</v>
      </c>
      <c r="Y2143" s="1">
        <v>1875000</v>
      </c>
      <c r="AA2143" s="1">
        <v>1475000</v>
      </c>
      <c r="AB2143" s="1" t="s">
        <v>1673</v>
      </c>
      <c r="AC2143" s="5">
        <v>43861</v>
      </c>
      <c r="AF2143" s="1">
        <v>10022</v>
      </c>
      <c r="AI2143" s="1" t="s">
        <v>116</v>
      </c>
      <c r="AJ2143" s="1">
        <v>2018</v>
      </c>
      <c r="AK2143" s="1" t="s">
        <v>46</v>
      </c>
      <c r="AL2143" s="1">
        <v>67</v>
      </c>
    </row>
    <row r="2144" spans="1:38" x14ac:dyDescent="0.2">
      <c r="A2144" s="2" t="str">
        <f>HYPERLINK("https://www.compass.com/listing/30-riverside-boulevard-unit-24j-manhattan-ny-10069/207971232212139729/","30 Riverside Blvd, Unit 24J")</f>
        <v>30 Riverside Blvd, Unit 24J</v>
      </c>
      <c r="B2144" s="2" t="str">
        <f t="shared" ref="B2144:B2181" si="321">HYPERLINK("https://www.compass.com/building/two-waterline-square-manhattan-ny/282058630956612773/","Two Waterline Square")</f>
        <v>Two Waterline Square</v>
      </c>
      <c r="C2144" s="1" t="s">
        <v>50</v>
      </c>
      <c r="D2144" s="1" t="s">
        <v>41</v>
      </c>
      <c r="E2144" s="3">
        <v>3580000</v>
      </c>
      <c r="F2144" s="1">
        <v>2588.5755603759899</v>
      </c>
      <c r="G2144" s="1">
        <v>4</v>
      </c>
      <c r="H2144" s="1">
        <v>2</v>
      </c>
      <c r="I2144" s="1">
        <v>2</v>
      </c>
      <c r="J2144" s="1">
        <v>2</v>
      </c>
      <c r="K2144" s="1">
        <v>2</v>
      </c>
      <c r="M2144" s="4">
        <v>1383</v>
      </c>
      <c r="N2144" s="1">
        <v>1717</v>
      </c>
      <c r="O2144" s="1">
        <v>1810</v>
      </c>
      <c r="P2144" s="1">
        <v>93</v>
      </c>
      <c r="Q2144" s="1" t="s">
        <v>42</v>
      </c>
      <c r="S2144" s="1" t="s">
        <v>42</v>
      </c>
      <c r="T2144" s="1" t="s">
        <v>170</v>
      </c>
      <c r="U2144" s="1">
        <v>1</v>
      </c>
      <c r="V2144" s="5">
        <v>44072</v>
      </c>
      <c r="W2144" s="5">
        <v>43538</v>
      </c>
      <c r="X2144" s="1">
        <v>3580000</v>
      </c>
      <c r="Y2144" s="1">
        <v>3580000</v>
      </c>
      <c r="Z2144" s="5">
        <v>43540</v>
      </c>
      <c r="AA2144" s="1">
        <v>3580000</v>
      </c>
      <c r="AB2144" s="1" t="s">
        <v>181</v>
      </c>
      <c r="AC2144" s="5">
        <v>43997</v>
      </c>
      <c r="AF2144" s="1">
        <v>10069</v>
      </c>
      <c r="AI2144" s="1" t="s">
        <v>109</v>
      </c>
      <c r="AJ2144" s="1">
        <v>2019</v>
      </c>
      <c r="AK2144" s="1" t="s">
        <v>77</v>
      </c>
      <c r="AL2144" s="1">
        <v>160</v>
      </c>
    </row>
    <row r="2145" spans="1:38" x14ac:dyDescent="0.2">
      <c r="A2145" s="2" t="str">
        <f>HYPERLINK("https://www.compass.com/listing/30-riverside-boulevard-unit-26e-manhattan-ny-10069/23228766595645489/","30 Riverside Blvd, Unit 26E")</f>
        <v>30 Riverside Blvd, Unit 26E</v>
      </c>
      <c r="B2145" s="2" t="str">
        <f t="shared" si="321"/>
        <v>Two Waterline Square</v>
      </c>
      <c r="C2145" s="1" t="s">
        <v>50</v>
      </c>
      <c r="D2145" s="1" t="s">
        <v>41</v>
      </c>
      <c r="E2145" s="3">
        <v>2810000</v>
      </c>
      <c r="F2145" s="1">
        <v>2345.57595993322</v>
      </c>
      <c r="G2145" s="1">
        <v>4</v>
      </c>
      <c r="H2145" s="1">
        <v>2</v>
      </c>
      <c r="I2145" s="1">
        <v>2</v>
      </c>
      <c r="J2145" s="1">
        <v>2</v>
      </c>
      <c r="K2145" s="1">
        <v>2</v>
      </c>
      <c r="M2145" s="4">
        <v>1198</v>
      </c>
      <c r="N2145" s="1">
        <v>1502</v>
      </c>
      <c r="O2145" s="1">
        <v>1584</v>
      </c>
      <c r="P2145" s="1">
        <v>82</v>
      </c>
      <c r="Q2145" s="1" t="s">
        <v>42</v>
      </c>
      <c r="S2145" s="1" t="s">
        <v>42</v>
      </c>
      <c r="T2145" s="1" t="s">
        <v>170</v>
      </c>
      <c r="U2145" s="1">
        <v>66</v>
      </c>
      <c r="V2145" s="5">
        <v>44072</v>
      </c>
      <c r="W2145" s="5">
        <v>43042</v>
      </c>
      <c r="X2145" s="1">
        <v>2780000</v>
      </c>
      <c r="Y2145" s="1">
        <v>2810000</v>
      </c>
      <c r="Z2145" s="5">
        <v>43434</v>
      </c>
      <c r="AA2145" s="1">
        <v>2810000</v>
      </c>
      <c r="AB2145" s="1" t="s">
        <v>181</v>
      </c>
      <c r="AC2145" s="5">
        <v>43971</v>
      </c>
      <c r="AF2145" s="1">
        <v>10069</v>
      </c>
      <c r="AI2145" s="1" t="s">
        <v>109</v>
      </c>
      <c r="AJ2145" s="1">
        <v>2019</v>
      </c>
      <c r="AK2145" s="1" t="s">
        <v>77</v>
      </c>
      <c r="AL2145" s="1">
        <v>160</v>
      </c>
    </row>
    <row r="2146" spans="1:38" x14ac:dyDescent="0.2">
      <c r="A2146" s="2" t="str">
        <f>HYPERLINK("https://www.compass.com/listing/30-riverside-boulevard-unit-23n-manhattan-ny-10069/27917222513027361/","30 Riverside Blvd, Unit 23N")</f>
        <v>30 Riverside Blvd, Unit 23N</v>
      </c>
      <c r="B2146" s="2" t="str">
        <f t="shared" si="321"/>
        <v>Two Waterline Square</v>
      </c>
      <c r="C2146" s="1" t="s">
        <v>50</v>
      </c>
      <c r="D2146" s="1" t="s">
        <v>41</v>
      </c>
      <c r="E2146" s="3">
        <v>3135000</v>
      </c>
      <c r="F2146" s="1">
        <v>2258.6455331412099</v>
      </c>
      <c r="G2146" s="1">
        <v>5</v>
      </c>
      <c r="H2146" s="1">
        <v>2</v>
      </c>
      <c r="I2146" s="1">
        <v>2</v>
      </c>
      <c r="J2146" s="1">
        <v>2</v>
      </c>
      <c r="K2146" s="1">
        <v>2</v>
      </c>
      <c r="M2146" s="4">
        <v>1388</v>
      </c>
      <c r="N2146" s="1">
        <v>1764</v>
      </c>
      <c r="O2146" s="1">
        <v>1857</v>
      </c>
      <c r="P2146" s="1">
        <v>93</v>
      </c>
      <c r="Q2146" s="1" t="s">
        <v>42</v>
      </c>
      <c r="S2146" s="1" t="s">
        <v>42</v>
      </c>
      <c r="T2146" s="1" t="s">
        <v>170</v>
      </c>
      <c r="U2146" s="1">
        <v>158</v>
      </c>
      <c r="V2146" s="5">
        <v>43934</v>
      </c>
      <c r="W2146" s="5">
        <v>43042</v>
      </c>
      <c r="X2146" s="1">
        <v>3135000</v>
      </c>
      <c r="Y2146" s="1">
        <v>3135000</v>
      </c>
      <c r="Z2146" s="5">
        <v>43586</v>
      </c>
      <c r="AA2146" s="1">
        <v>3135000</v>
      </c>
      <c r="AB2146" s="1" t="s">
        <v>181</v>
      </c>
      <c r="AC2146" s="5">
        <v>43931</v>
      </c>
      <c r="AF2146" s="1">
        <v>10069</v>
      </c>
      <c r="AI2146" s="1" t="s">
        <v>109</v>
      </c>
      <c r="AJ2146" s="1">
        <v>2019</v>
      </c>
      <c r="AK2146" s="1" t="s">
        <v>77</v>
      </c>
      <c r="AL2146" s="1">
        <v>160</v>
      </c>
    </row>
    <row r="2147" spans="1:38" x14ac:dyDescent="0.2">
      <c r="A2147" s="2" t="str">
        <f>HYPERLINK("https://www.compass.com/listing/30-riverside-boulevard-unit-27e-manhattan-ny-10069/28301684681827521/","30 Riverside Blvd, Unit 27E")</f>
        <v>30 Riverside Blvd, Unit 27E</v>
      </c>
      <c r="B2147" s="2" t="str">
        <f t="shared" si="321"/>
        <v>Two Waterline Square</v>
      </c>
      <c r="C2147" s="1" t="s">
        <v>50</v>
      </c>
      <c r="D2147" s="1" t="s">
        <v>41</v>
      </c>
      <c r="E2147" s="3">
        <v>2850000</v>
      </c>
      <c r="F2147" s="1">
        <v>2378.9649415692802</v>
      </c>
      <c r="G2147" s="1">
        <v>4</v>
      </c>
      <c r="H2147" s="1">
        <v>2</v>
      </c>
      <c r="I2147" s="1">
        <v>2</v>
      </c>
      <c r="J2147" s="1">
        <v>2</v>
      </c>
      <c r="K2147" s="1">
        <v>2</v>
      </c>
      <c r="M2147" s="4">
        <v>1198</v>
      </c>
      <c r="N2147" s="1">
        <v>1552</v>
      </c>
      <c r="O2147" s="1">
        <v>1634</v>
      </c>
      <c r="P2147" s="1">
        <v>82</v>
      </c>
      <c r="Q2147" s="1" t="s">
        <v>42</v>
      </c>
      <c r="S2147" s="1" t="s">
        <v>42</v>
      </c>
      <c r="T2147" s="1" t="s">
        <v>170</v>
      </c>
      <c r="U2147" s="1">
        <v>92</v>
      </c>
      <c r="V2147" s="5">
        <v>44085</v>
      </c>
      <c r="W2147" s="5">
        <v>43108</v>
      </c>
      <c r="X2147" s="1">
        <v>2820000</v>
      </c>
      <c r="Y2147" s="1">
        <v>2850000</v>
      </c>
      <c r="Z2147" s="5">
        <v>43434</v>
      </c>
      <c r="AA2147" s="1">
        <v>2850000</v>
      </c>
      <c r="AB2147" s="1" t="s">
        <v>181</v>
      </c>
      <c r="AC2147" s="5">
        <v>44084</v>
      </c>
      <c r="AF2147" s="1">
        <v>10069</v>
      </c>
      <c r="AI2147" s="1" t="s">
        <v>109</v>
      </c>
      <c r="AJ2147" s="1">
        <v>2019</v>
      </c>
      <c r="AK2147" s="1" t="s">
        <v>77</v>
      </c>
      <c r="AL2147" s="1">
        <v>160</v>
      </c>
    </row>
    <row r="2148" spans="1:38" x14ac:dyDescent="0.2">
      <c r="A2148" s="2" t="str">
        <f>HYPERLINK("https://www.compass.com/listing/30-riverside-boulevard-unit-21n-manhattan-ny-10069/29515086284513217/","30 Riverside Blvd, Unit 21N")</f>
        <v>30 Riverside Blvd, Unit 21N</v>
      </c>
      <c r="B2148" s="2" t="str">
        <f t="shared" si="321"/>
        <v>Two Waterline Square</v>
      </c>
      <c r="C2148" s="1" t="s">
        <v>50</v>
      </c>
      <c r="D2148" s="1" t="s">
        <v>41</v>
      </c>
      <c r="E2148" s="3">
        <v>2840000</v>
      </c>
      <c r="F2148" s="1">
        <v>2193.05019305019</v>
      </c>
      <c r="G2148" s="1">
        <v>4</v>
      </c>
      <c r="H2148" s="1">
        <v>2</v>
      </c>
      <c r="I2148" s="1">
        <v>2</v>
      </c>
      <c r="J2148" s="1">
        <v>2</v>
      </c>
      <c r="K2148" s="1">
        <v>2</v>
      </c>
      <c r="M2148" s="4">
        <v>1295</v>
      </c>
      <c r="N2148" s="1">
        <v>1629</v>
      </c>
      <c r="O2148" s="1">
        <v>1715</v>
      </c>
      <c r="P2148" s="1">
        <v>86</v>
      </c>
      <c r="Q2148" s="1" t="s">
        <v>42</v>
      </c>
      <c r="S2148" s="1" t="s">
        <v>42</v>
      </c>
      <c r="T2148" s="1" t="s">
        <v>170</v>
      </c>
      <c r="U2148" s="1">
        <v>230</v>
      </c>
      <c r="V2148" s="5">
        <v>44000</v>
      </c>
      <c r="W2148" s="5">
        <v>42913</v>
      </c>
      <c r="X2148" s="1">
        <v>2840000</v>
      </c>
      <c r="Y2148" s="1">
        <v>2840000</v>
      </c>
      <c r="Z2148" s="5">
        <v>43144</v>
      </c>
      <c r="AA2148" s="1">
        <v>2840000</v>
      </c>
      <c r="AB2148" s="1" t="s">
        <v>181</v>
      </c>
      <c r="AC2148" s="5">
        <v>43993</v>
      </c>
      <c r="AF2148" s="1">
        <v>10069</v>
      </c>
      <c r="AI2148" s="1" t="s">
        <v>109</v>
      </c>
      <c r="AJ2148" s="1">
        <v>2019</v>
      </c>
      <c r="AK2148" s="1" t="s">
        <v>77</v>
      </c>
      <c r="AL2148" s="1">
        <v>160</v>
      </c>
    </row>
    <row r="2149" spans="1:38" x14ac:dyDescent="0.2">
      <c r="A2149" s="2" t="str">
        <f>HYPERLINK("https://www.compass.com/listing/30-riverside-boulevard-unit-25h-manhattan-ny-10069/29515092877932129/","30 Riverside Blvd, Unit 25H")</f>
        <v>30 Riverside Blvd, Unit 25H</v>
      </c>
      <c r="B2149" s="2" t="str">
        <f t="shared" si="321"/>
        <v>Two Waterline Square</v>
      </c>
      <c r="C2149" s="1" t="s">
        <v>50</v>
      </c>
      <c r="D2149" s="1" t="s">
        <v>41</v>
      </c>
      <c r="E2149" s="3">
        <v>2950000</v>
      </c>
      <c r="F2149" s="1">
        <v>2440.03308519437</v>
      </c>
      <c r="G2149" s="1">
        <v>5</v>
      </c>
      <c r="H2149" s="1">
        <v>2</v>
      </c>
      <c r="I2149" s="1">
        <v>2</v>
      </c>
      <c r="J2149" s="1">
        <v>2</v>
      </c>
      <c r="K2149" s="1">
        <v>2</v>
      </c>
      <c r="M2149" s="4">
        <v>1209</v>
      </c>
      <c r="N2149" s="1">
        <v>1551</v>
      </c>
      <c r="O2149" s="1">
        <v>1633</v>
      </c>
      <c r="P2149" s="1">
        <v>82</v>
      </c>
      <c r="Q2149" s="1" t="s">
        <v>42</v>
      </c>
      <c r="S2149" s="1" t="s">
        <v>42</v>
      </c>
      <c r="T2149" s="1" t="s">
        <v>170</v>
      </c>
      <c r="U2149" s="1">
        <v>181</v>
      </c>
      <c r="V2149" s="5">
        <v>44019</v>
      </c>
      <c r="W2149" s="5">
        <v>43047</v>
      </c>
      <c r="X2149" s="1">
        <v>2950000</v>
      </c>
      <c r="Y2149" s="1">
        <v>2950000</v>
      </c>
      <c r="Z2149" s="5">
        <v>43229</v>
      </c>
      <c r="AA2149" s="1">
        <v>2950000</v>
      </c>
      <c r="AB2149" s="1" t="s">
        <v>181</v>
      </c>
      <c r="AC2149" s="5">
        <v>44018</v>
      </c>
      <c r="AF2149" s="1">
        <v>10069</v>
      </c>
      <c r="AI2149" s="1" t="s">
        <v>109</v>
      </c>
      <c r="AJ2149" s="1">
        <v>2019</v>
      </c>
      <c r="AK2149" s="1" t="s">
        <v>77</v>
      </c>
      <c r="AL2149" s="1">
        <v>160</v>
      </c>
    </row>
    <row r="2150" spans="1:38" x14ac:dyDescent="0.2">
      <c r="A2150" s="2" t="str">
        <f>HYPERLINK("https://www.compass.com/listing/30-riverside-boulevard-unit-25e-manhattan-ny-10069/29515094262079713/","30 Riverside Blvd, Unit 25E")</f>
        <v>30 Riverside Blvd, Unit 25E</v>
      </c>
      <c r="B2150" s="2" t="str">
        <f t="shared" si="321"/>
        <v>Two Waterline Square</v>
      </c>
      <c r="C2150" s="1" t="s">
        <v>50</v>
      </c>
      <c r="D2150" s="1" t="s">
        <v>41</v>
      </c>
      <c r="E2150" s="3">
        <v>2740000</v>
      </c>
      <c r="F2150" s="1">
        <v>2287.1452420701098</v>
      </c>
      <c r="G2150" s="1">
        <v>4</v>
      </c>
      <c r="H2150" s="1">
        <v>2</v>
      </c>
      <c r="I2150" s="1">
        <v>2</v>
      </c>
      <c r="J2150" s="1">
        <v>2</v>
      </c>
      <c r="K2150" s="1">
        <v>2</v>
      </c>
      <c r="M2150" s="4">
        <v>1198</v>
      </c>
      <c r="N2150" s="1">
        <v>1537</v>
      </c>
      <c r="O2150" s="1">
        <v>1618</v>
      </c>
      <c r="P2150" s="1">
        <v>81</v>
      </c>
      <c r="Q2150" s="1" t="s">
        <v>42</v>
      </c>
      <c r="S2150" s="1" t="s">
        <v>42</v>
      </c>
      <c r="T2150" s="1" t="s">
        <v>170</v>
      </c>
      <c r="U2150" s="1">
        <v>237</v>
      </c>
      <c r="V2150" s="5">
        <v>43942</v>
      </c>
      <c r="W2150" s="5">
        <v>42951</v>
      </c>
      <c r="X2150" s="1">
        <v>2740000</v>
      </c>
      <c r="Y2150" s="1">
        <v>2740000</v>
      </c>
      <c r="Z2150" s="5">
        <v>43188</v>
      </c>
      <c r="AA2150" s="1">
        <v>2740000</v>
      </c>
      <c r="AB2150" s="1" t="s">
        <v>181</v>
      </c>
      <c r="AC2150" s="5">
        <v>43941</v>
      </c>
      <c r="AF2150" s="1">
        <v>10069</v>
      </c>
      <c r="AI2150" s="1" t="s">
        <v>109</v>
      </c>
      <c r="AJ2150" s="1">
        <v>2019</v>
      </c>
      <c r="AK2150" s="1" t="s">
        <v>77</v>
      </c>
      <c r="AL2150" s="1">
        <v>160</v>
      </c>
    </row>
    <row r="2151" spans="1:38" x14ac:dyDescent="0.2">
      <c r="A2151" s="2" t="str">
        <f>HYPERLINK("https://www.compass.com/listing/30-riverside-boulevard-unit-20n-manhattan-ny-10069/29515098036926241/","30 Riverside Blvd, Unit 20N")</f>
        <v>30 Riverside Blvd, Unit 20N</v>
      </c>
      <c r="B2151" s="2" t="str">
        <f t="shared" si="321"/>
        <v>Two Waterline Square</v>
      </c>
      <c r="C2151" s="1" t="s">
        <v>50</v>
      </c>
      <c r="D2151" s="1" t="s">
        <v>41</v>
      </c>
      <c r="E2151" s="3">
        <v>2800000</v>
      </c>
      <c r="F2151" s="1">
        <v>2162.1621621621598</v>
      </c>
      <c r="G2151" s="1">
        <v>4</v>
      </c>
      <c r="H2151" s="1">
        <v>2</v>
      </c>
      <c r="I2151" s="1">
        <v>2</v>
      </c>
      <c r="J2151" s="1">
        <v>2</v>
      </c>
      <c r="K2151" s="1">
        <v>2</v>
      </c>
      <c r="M2151" s="4">
        <v>1295</v>
      </c>
      <c r="N2151" s="1">
        <v>1613</v>
      </c>
      <c r="O2151" s="1">
        <v>1698</v>
      </c>
      <c r="P2151" s="1">
        <v>85</v>
      </c>
      <c r="Q2151" s="1" t="s">
        <v>42</v>
      </c>
      <c r="S2151" s="1" t="s">
        <v>42</v>
      </c>
      <c r="T2151" s="1" t="s">
        <v>170</v>
      </c>
      <c r="U2151" s="1">
        <v>245</v>
      </c>
      <c r="V2151" s="5">
        <v>44013</v>
      </c>
      <c r="W2151" s="5">
        <v>42934</v>
      </c>
      <c r="X2151" s="1">
        <v>2800000</v>
      </c>
      <c r="Y2151" s="1">
        <v>2800000</v>
      </c>
      <c r="Z2151" s="5">
        <v>43180</v>
      </c>
      <c r="AA2151" s="1">
        <v>2800000</v>
      </c>
      <c r="AB2151" s="1" t="s">
        <v>181</v>
      </c>
      <c r="AC2151" s="5">
        <v>44012</v>
      </c>
      <c r="AF2151" s="1">
        <v>10069</v>
      </c>
      <c r="AI2151" s="1" t="s">
        <v>109</v>
      </c>
      <c r="AJ2151" s="1">
        <v>2019</v>
      </c>
      <c r="AK2151" s="1" t="s">
        <v>77</v>
      </c>
      <c r="AL2151" s="1">
        <v>160</v>
      </c>
    </row>
    <row r="2152" spans="1:38" x14ac:dyDescent="0.2">
      <c r="A2152" s="2" t="str">
        <f>HYPERLINK("https://www.compass.com/listing/30-riverside-boulevard-unit-22n-manhattan-ny-10069/29515102273200657/","30 Riverside Blvd, Unit 22N")</f>
        <v>30 Riverside Blvd, Unit 22N</v>
      </c>
      <c r="B2152" s="2" t="str">
        <f t="shared" si="321"/>
        <v>Two Waterline Square</v>
      </c>
      <c r="C2152" s="1" t="s">
        <v>50</v>
      </c>
      <c r="D2152" s="1" t="s">
        <v>41</v>
      </c>
      <c r="E2152" s="3">
        <v>3095000</v>
      </c>
      <c r="F2152" s="1">
        <v>2229.82708933717</v>
      </c>
      <c r="G2152" s="1">
        <v>4</v>
      </c>
      <c r="H2152" s="1">
        <v>2</v>
      </c>
      <c r="I2152" s="1">
        <v>2</v>
      </c>
      <c r="J2152" s="1">
        <v>2</v>
      </c>
      <c r="K2152" s="1">
        <v>2</v>
      </c>
      <c r="M2152" s="4">
        <v>1388</v>
      </c>
      <c r="N2152" s="1">
        <v>1755</v>
      </c>
      <c r="O2152" s="1">
        <v>1848</v>
      </c>
      <c r="P2152" s="1">
        <v>93</v>
      </c>
      <c r="Q2152" s="1" t="s">
        <v>42</v>
      </c>
      <c r="S2152" s="1" t="s">
        <v>42</v>
      </c>
      <c r="T2152" s="1" t="s">
        <v>170</v>
      </c>
      <c r="U2152" s="1">
        <v>69</v>
      </c>
      <c r="V2152" s="5">
        <v>44045</v>
      </c>
      <c r="W2152" s="5">
        <v>43173</v>
      </c>
      <c r="X2152" s="1">
        <v>3095000</v>
      </c>
      <c r="Y2152" s="1">
        <v>3095000</v>
      </c>
      <c r="Z2152" s="5">
        <v>43243</v>
      </c>
      <c r="AA2152" s="1">
        <v>3095000</v>
      </c>
      <c r="AB2152" s="1" t="s">
        <v>181</v>
      </c>
      <c r="AC2152" s="5">
        <v>44039</v>
      </c>
      <c r="AF2152" s="1">
        <v>10069</v>
      </c>
      <c r="AI2152" s="1" t="s">
        <v>109</v>
      </c>
      <c r="AJ2152" s="1">
        <v>2019</v>
      </c>
      <c r="AK2152" s="1" t="s">
        <v>77</v>
      </c>
      <c r="AL2152" s="1">
        <v>160</v>
      </c>
    </row>
    <row r="2153" spans="1:38" x14ac:dyDescent="0.2">
      <c r="A2153" s="2" t="str">
        <f>HYPERLINK("https://www.compass.com/listing/30-riverside-boulevard-unit-29e-manhattan-ny-10069/29610796451427857/","30 Riverside Blvd, Unit 29E")</f>
        <v>30 Riverside Blvd, Unit 29E</v>
      </c>
      <c r="B2153" s="2" t="str">
        <f t="shared" si="321"/>
        <v>Two Waterline Square</v>
      </c>
      <c r="C2153" s="1" t="s">
        <v>50</v>
      </c>
      <c r="D2153" s="1" t="s">
        <v>41</v>
      </c>
      <c r="E2153" s="3">
        <v>2930000</v>
      </c>
      <c r="F2153" s="1">
        <v>2445.7429048414001</v>
      </c>
      <c r="G2153" s="1">
        <v>4</v>
      </c>
      <c r="H2153" s="1">
        <v>2</v>
      </c>
      <c r="I2153" s="1">
        <v>2</v>
      </c>
      <c r="J2153" s="1">
        <v>2</v>
      </c>
      <c r="K2153" s="1">
        <v>2</v>
      </c>
      <c r="M2153" s="4">
        <v>1198</v>
      </c>
      <c r="N2153" s="1">
        <v>1524</v>
      </c>
      <c r="O2153" s="1">
        <v>1607</v>
      </c>
      <c r="P2153" s="1">
        <v>83</v>
      </c>
      <c r="Q2153" s="1" t="s">
        <v>42</v>
      </c>
      <c r="S2153" s="1" t="s">
        <v>42</v>
      </c>
      <c r="T2153" s="1" t="s">
        <v>170</v>
      </c>
      <c r="U2153" s="1">
        <v>105</v>
      </c>
      <c r="V2153" s="5">
        <v>44209</v>
      </c>
      <c r="W2153" s="5">
        <v>43200</v>
      </c>
      <c r="X2153" s="1">
        <v>2930000</v>
      </c>
      <c r="Y2153" s="1">
        <v>2930000</v>
      </c>
      <c r="Z2153" s="5">
        <v>43434</v>
      </c>
      <c r="AA2153" s="1">
        <v>2930000</v>
      </c>
      <c r="AB2153" s="1" t="s">
        <v>181</v>
      </c>
      <c r="AC2153" s="5">
        <v>44208</v>
      </c>
      <c r="AF2153" s="1">
        <v>10069</v>
      </c>
      <c r="AI2153" s="1" t="s">
        <v>109</v>
      </c>
      <c r="AJ2153" s="1">
        <v>2019</v>
      </c>
      <c r="AK2153" s="1" t="s">
        <v>77</v>
      </c>
      <c r="AL2153" s="1">
        <v>160</v>
      </c>
    </row>
    <row r="2154" spans="1:38" x14ac:dyDescent="0.2">
      <c r="A2154" s="2" t="str">
        <f>HYPERLINK("https://www.compass.com/listing/30-riverside-boulevard-unit-31e-manhattan-ny-10069/334564647096673089/","30 Riverside Blvd, Unit 31E")</f>
        <v>30 Riverside Blvd, Unit 31E</v>
      </c>
      <c r="B2154" s="2" t="str">
        <f t="shared" si="321"/>
        <v>Two Waterline Square</v>
      </c>
      <c r="C2154" s="1" t="s">
        <v>50</v>
      </c>
      <c r="D2154" s="1" t="s">
        <v>41</v>
      </c>
      <c r="E2154" s="3">
        <v>2980000</v>
      </c>
      <c r="F2154" s="1">
        <v>2555.7461406518</v>
      </c>
      <c r="G2154" s="1">
        <v>4</v>
      </c>
      <c r="H2154" s="1">
        <v>2</v>
      </c>
      <c r="I2154" s="1">
        <v>2</v>
      </c>
      <c r="J2154" s="1">
        <v>2</v>
      </c>
      <c r="K2154" s="1">
        <v>2</v>
      </c>
      <c r="M2154" s="4">
        <v>1166</v>
      </c>
      <c r="N2154" s="1">
        <v>1497</v>
      </c>
      <c r="O2154" s="1">
        <v>1578</v>
      </c>
      <c r="P2154" s="1">
        <v>81</v>
      </c>
      <c r="Q2154" s="1" t="s">
        <v>42</v>
      </c>
      <c r="S2154" s="1" t="s">
        <v>42</v>
      </c>
      <c r="T2154" s="1" t="s">
        <v>170</v>
      </c>
      <c r="U2154" s="1">
        <v>64</v>
      </c>
      <c r="V2154" s="5">
        <v>43984</v>
      </c>
      <c r="W2154" s="5">
        <v>43712</v>
      </c>
      <c r="X2154" s="1">
        <v>2980000</v>
      </c>
      <c r="Y2154" s="1">
        <v>2980000</v>
      </c>
      <c r="Z2154" s="5">
        <v>43777</v>
      </c>
      <c r="AA2154" s="1">
        <v>2980000</v>
      </c>
      <c r="AB2154" s="1" t="s">
        <v>181</v>
      </c>
      <c r="AC2154" s="5">
        <v>43983</v>
      </c>
      <c r="AF2154" s="1">
        <v>10069</v>
      </c>
      <c r="AI2154" s="1" t="s">
        <v>109</v>
      </c>
      <c r="AJ2154" s="1">
        <v>2019</v>
      </c>
      <c r="AK2154" s="1" t="s">
        <v>77</v>
      </c>
      <c r="AL2154" s="1">
        <v>160</v>
      </c>
    </row>
    <row r="2155" spans="1:38" x14ac:dyDescent="0.2">
      <c r="A2155" s="2" t="str">
        <f>HYPERLINK("https://www.compass.com/listing/30-riverside-boulevard-unit-32e-manhattan-ny-10069/401285758389211569/","30 Riverside Blvd, Unit 32E")</f>
        <v>30 Riverside Blvd, Unit 32E</v>
      </c>
      <c r="B2155" s="2" t="str">
        <f t="shared" si="321"/>
        <v>Two Waterline Square</v>
      </c>
      <c r="C2155" s="1" t="s">
        <v>50</v>
      </c>
      <c r="D2155" s="1" t="s">
        <v>41</v>
      </c>
      <c r="E2155" s="3">
        <v>3020000</v>
      </c>
      <c r="F2155" s="1">
        <v>2590.0514579759802</v>
      </c>
      <c r="G2155" s="1">
        <v>4</v>
      </c>
      <c r="H2155" s="1">
        <v>2</v>
      </c>
      <c r="I2155" s="1">
        <v>2</v>
      </c>
      <c r="J2155" s="1">
        <v>2</v>
      </c>
      <c r="K2155" s="1">
        <v>2</v>
      </c>
      <c r="M2155" s="4">
        <v>1166</v>
      </c>
      <c r="N2155" s="1">
        <v>1512</v>
      </c>
      <c r="O2155" s="1">
        <v>1594</v>
      </c>
      <c r="P2155" s="1">
        <v>82</v>
      </c>
      <c r="Q2155" s="1" t="s">
        <v>42</v>
      </c>
      <c r="S2155" s="1" t="s">
        <v>42</v>
      </c>
      <c r="T2155" s="1" t="s">
        <v>170</v>
      </c>
      <c r="U2155" s="1">
        <v>90</v>
      </c>
      <c r="V2155" s="5">
        <v>44067</v>
      </c>
      <c r="W2155" s="5">
        <v>43805</v>
      </c>
      <c r="X2155" s="1">
        <v>3020000</v>
      </c>
      <c r="Y2155" s="1">
        <v>3020000</v>
      </c>
      <c r="Z2155" s="5">
        <v>43923</v>
      </c>
      <c r="AA2155" s="1">
        <v>3020000</v>
      </c>
      <c r="AB2155" s="1" t="s">
        <v>181</v>
      </c>
      <c r="AC2155" s="5">
        <v>44040</v>
      </c>
      <c r="AF2155" s="1">
        <v>10069</v>
      </c>
      <c r="AI2155" s="1" t="s">
        <v>109</v>
      </c>
      <c r="AJ2155" s="1">
        <v>2019</v>
      </c>
      <c r="AK2155" s="1" t="s">
        <v>77</v>
      </c>
      <c r="AL2155" s="1">
        <v>160</v>
      </c>
    </row>
    <row r="2156" spans="1:38" x14ac:dyDescent="0.2">
      <c r="A2156" s="2" t="str">
        <f>HYPERLINK("https://www.compass.com/listing/30-riverside-boulevard-unit-34e-manhattan-ny-10069/466661702688599689/","30 Riverside Blvd, Unit 34E")</f>
        <v>30 Riverside Blvd, Unit 34E</v>
      </c>
      <c r="B2156" s="2" t="str">
        <f t="shared" si="321"/>
        <v>Two Waterline Square</v>
      </c>
      <c r="C2156" s="1" t="s">
        <v>50</v>
      </c>
      <c r="D2156" s="1" t="s">
        <v>41</v>
      </c>
      <c r="E2156" s="3">
        <v>3100000</v>
      </c>
      <c r="F2156" s="1">
        <v>2658.66209262435</v>
      </c>
      <c r="G2156" s="1">
        <v>4</v>
      </c>
      <c r="H2156" s="1">
        <v>2</v>
      </c>
      <c r="I2156" s="1">
        <v>2</v>
      </c>
      <c r="J2156" s="1">
        <v>2</v>
      </c>
      <c r="K2156" s="1">
        <v>2</v>
      </c>
      <c r="M2156" s="4">
        <v>1166</v>
      </c>
      <c r="N2156" s="1">
        <v>1527</v>
      </c>
      <c r="O2156" s="1">
        <v>1609</v>
      </c>
      <c r="P2156" s="1">
        <v>82</v>
      </c>
      <c r="Q2156" s="1" t="s">
        <v>42</v>
      </c>
      <c r="S2156" s="1" t="s">
        <v>42</v>
      </c>
      <c r="T2156" s="1" t="s">
        <v>170</v>
      </c>
      <c r="U2156" s="1">
        <v>14</v>
      </c>
      <c r="V2156" s="5">
        <v>44195</v>
      </c>
      <c r="W2156" s="5">
        <v>43895</v>
      </c>
      <c r="X2156" s="1">
        <v>3100000</v>
      </c>
      <c r="Y2156" s="1">
        <v>3100000</v>
      </c>
      <c r="Z2156" s="5">
        <v>44100</v>
      </c>
      <c r="AA2156" s="1">
        <v>3100000</v>
      </c>
      <c r="AB2156" s="1" t="s">
        <v>181</v>
      </c>
      <c r="AC2156" s="5">
        <v>44194</v>
      </c>
      <c r="AF2156" s="1">
        <v>10069</v>
      </c>
      <c r="AI2156" s="1" t="s">
        <v>109</v>
      </c>
      <c r="AJ2156" s="1">
        <v>2019</v>
      </c>
      <c r="AK2156" s="1" t="s">
        <v>77</v>
      </c>
      <c r="AL2156" s="1">
        <v>160</v>
      </c>
    </row>
    <row r="2157" spans="1:38" x14ac:dyDescent="0.2">
      <c r="A2157" s="2" t="str">
        <f>HYPERLINK("https://www.compass.com/listing/30-riverside-boulevard-unit-21p-manhattan-ny-10069/401285761493355217/","30 Riverside Blvd, Unit 21P")</f>
        <v>30 Riverside Blvd, Unit 21P</v>
      </c>
      <c r="B2157" s="2" t="str">
        <f t="shared" si="321"/>
        <v>Two Waterline Square</v>
      </c>
      <c r="C2157" s="1" t="s">
        <v>50</v>
      </c>
      <c r="D2157" s="1" t="s">
        <v>41</v>
      </c>
      <c r="E2157" s="3">
        <v>4570000</v>
      </c>
      <c r="F2157" s="1">
        <v>2634.00576368876</v>
      </c>
      <c r="G2157" s="1">
        <v>5</v>
      </c>
      <c r="H2157" s="1">
        <v>3</v>
      </c>
      <c r="I2157" s="1">
        <v>4</v>
      </c>
      <c r="J2157" s="1">
        <v>3.5</v>
      </c>
      <c r="K2157" s="1">
        <v>3</v>
      </c>
      <c r="L2157" s="1">
        <v>1</v>
      </c>
      <c r="M2157" s="4">
        <v>1735</v>
      </c>
      <c r="N2157" s="1">
        <v>2134</v>
      </c>
      <c r="O2157" s="1">
        <v>2249</v>
      </c>
      <c r="P2157" s="1">
        <v>115</v>
      </c>
      <c r="Q2157" s="1" t="s">
        <v>42</v>
      </c>
      <c r="S2157" s="1" t="s">
        <v>42</v>
      </c>
      <c r="T2157" s="1" t="s">
        <v>170</v>
      </c>
      <c r="U2157" s="1">
        <v>65</v>
      </c>
      <c r="V2157" s="5">
        <v>44307</v>
      </c>
      <c r="W2157" s="5">
        <v>44201</v>
      </c>
      <c r="Y2157" s="1">
        <v>4570000</v>
      </c>
      <c r="Z2157" s="5">
        <v>44266</v>
      </c>
      <c r="AA2157" s="1">
        <v>4570000</v>
      </c>
      <c r="AB2157" s="1" t="s">
        <v>181</v>
      </c>
      <c r="AC2157" s="5">
        <v>44305</v>
      </c>
      <c r="AF2157" s="1">
        <v>10069</v>
      </c>
      <c r="AI2157" s="1" t="s">
        <v>109</v>
      </c>
      <c r="AJ2157" s="1">
        <v>2019</v>
      </c>
      <c r="AK2157" s="1" t="s">
        <v>77</v>
      </c>
      <c r="AL2157" s="1">
        <v>160</v>
      </c>
    </row>
    <row r="2158" spans="1:38" x14ac:dyDescent="0.2">
      <c r="A2158" s="2" t="str">
        <f>HYPERLINK("https://www.compass.com/listing/30-riverside-boulevard-unit-30g-manhattan-ny-10069/252045305825011953/","30 Riverside Blvd, Unit 30G")</f>
        <v>30 Riverside Blvd, Unit 30G</v>
      </c>
      <c r="B2158" s="2" t="str">
        <f t="shared" si="321"/>
        <v>Two Waterline Square</v>
      </c>
      <c r="C2158" s="1" t="s">
        <v>50</v>
      </c>
      <c r="D2158" s="1" t="s">
        <v>41</v>
      </c>
      <c r="E2158" s="3">
        <v>3810000</v>
      </c>
      <c r="F2158" s="1">
        <v>2485.3228962817998</v>
      </c>
      <c r="G2158" s="1">
        <v>4.5</v>
      </c>
      <c r="H2158" s="1">
        <v>2</v>
      </c>
      <c r="I2158" s="1">
        <v>3</v>
      </c>
      <c r="J2158" s="1">
        <v>2.5</v>
      </c>
      <c r="K2158" s="1">
        <v>2</v>
      </c>
      <c r="L2158" s="1">
        <v>1</v>
      </c>
      <c r="M2158" s="4">
        <v>1533</v>
      </c>
      <c r="N2158" s="1">
        <v>1970</v>
      </c>
      <c r="O2158" s="1">
        <v>2076</v>
      </c>
      <c r="P2158" s="1">
        <v>106</v>
      </c>
      <c r="Q2158" s="1" t="s">
        <v>42</v>
      </c>
      <c r="S2158" s="1" t="s">
        <v>42</v>
      </c>
      <c r="T2158" s="1" t="s">
        <v>170</v>
      </c>
      <c r="V2158" s="5">
        <v>44128</v>
      </c>
      <c r="W2158" s="5">
        <v>43599</v>
      </c>
      <c r="X2158" s="1">
        <v>3810000</v>
      </c>
      <c r="Y2158" s="1">
        <v>3810000</v>
      </c>
      <c r="Z2158" s="5">
        <v>43600</v>
      </c>
      <c r="AA2158" s="1">
        <v>3810000</v>
      </c>
      <c r="AB2158" s="1" t="s">
        <v>181</v>
      </c>
      <c r="AC2158" s="5">
        <v>44127</v>
      </c>
      <c r="AF2158" s="1">
        <v>10069</v>
      </c>
      <c r="AI2158" s="1" t="s">
        <v>109</v>
      </c>
      <c r="AJ2158" s="1">
        <v>2019</v>
      </c>
      <c r="AK2158" s="1" t="s">
        <v>77</v>
      </c>
      <c r="AL2158" s="1">
        <v>160</v>
      </c>
    </row>
    <row r="2159" spans="1:38" x14ac:dyDescent="0.2">
      <c r="A2159" s="2" t="str">
        <f>HYPERLINK("https://www.compass.com/listing/30-riverside-boulevard-unit-24a-manhattan-ny-10069/301359442838779393/","30 Riverside Blvd, Unit 24A")</f>
        <v>30 Riverside Blvd, Unit 24A</v>
      </c>
      <c r="B2159" s="2" t="str">
        <f t="shared" si="321"/>
        <v>Two Waterline Square</v>
      </c>
      <c r="C2159" s="1" t="s">
        <v>50</v>
      </c>
      <c r="D2159" s="1" t="s">
        <v>41</v>
      </c>
      <c r="E2159" s="3">
        <v>4260000</v>
      </c>
      <c r="F2159" s="1">
        <v>2864.8285137861399</v>
      </c>
      <c r="G2159" s="1">
        <v>4.5</v>
      </c>
      <c r="H2159" s="1">
        <v>2</v>
      </c>
      <c r="I2159" s="1">
        <v>3</v>
      </c>
      <c r="J2159" s="1">
        <v>2.5</v>
      </c>
      <c r="K2159" s="1">
        <v>2</v>
      </c>
      <c r="L2159" s="1">
        <v>1</v>
      </c>
      <c r="M2159" s="4">
        <v>1487</v>
      </c>
      <c r="N2159" s="1">
        <v>100</v>
      </c>
      <c r="O2159" s="1">
        <v>1947</v>
      </c>
      <c r="P2159" s="1">
        <v>1847</v>
      </c>
      <c r="Q2159" s="1" t="s">
        <v>42</v>
      </c>
      <c r="S2159" s="1" t="s">
        <v>42</v>
      </c>
      <c r="T2159" s="1" t="s">
        <v>170</v>
      </c>
      <c r="V2159" s="5">
        <v>44229</v>
      </c>
      <c r="W2159" s="5">
        <v>43667</v>
      </c>
      <c r="X2159" s="1">
        <v>4260000</v>
      </c>
      <c r="Y2159" s="1">
        <v>4260000</v>
      </c>
      <c r="Z2159" s="5">
        <v>43668</v>
      </c>
      <c r="AA2159" s="1">
        <v>4260000</v>
      </c>
      <c r="AB2159" s="1" t="s">
        <v>181</v>
      </c>
      <c r="AC2159" s="5">
        <v>44228</v>
      </c>
      <c r="AF2159" s="1">
        <v>10069</v>
      </c>
      <c r="AI2159" s="1" t="s">
        <v>109</v>
      </c>
      <c r="AJ2159" s="1">
        <v>2019</v>
      </c>
      <c r="AK2159" s="1" t="s">
        <v>77</v>
      </c>
      <c r="AL2159" s="1">
        <v>160</v>
      </c>
    </row>
    <row r="2160" spans="1:38" x14ac:dyDescent="0.2">
      <c r="A2160" s="2" t="str">
        <f>HYPERLINK("https://www.compass.com/listing/30-riverside-boulevard-unit-31g-manhattan-ny-10069/542638260332323625/","30 Riverside Blvd, Unit 31G")</f>
        <v>30 Riverside Blvd, Unit 31G</v>
      </c>
      <c r="B2160" s="2" t="str">
        <f t="shared" si="321"/>
        <v>Two Waterline Square</v>
      </c>
      <c r="C2160" s="1" t="s">
        <v>50</v>
      </c>
      <c r="D2160" s="1" t="s">
        <v>41</v>
      </c>
      <c r="E2160" s="3">
        <v>3750000</v>
      </c>
      <c r="F2160" s="1">
        <v>2642.7061310782201</v>
      </c>
      <c r="G2160" s="1">
        <v>4</v>
      </c>
      <c r="H2160" s="1">
        <v>2</v>
      </c>
      <c r="I2160" s="1">
        <v>2</v>
      </c>
      <c r="J2160" s="1">
        <v>2</v>
      </c>
      <c r="K2160" s="1">
        <v>2</v>
      </c>
      <c r="M2160" s="4">
        <v>1419</v>
      </c>
      <c r="N2160" s="1">
        <v>1832</v>
      </c>
      <c r="O2160" s="1">
        <v>1931</v>
      </c>
      <c r="P2160" s="1">
        <v>99</v>
      </c>
      <c r="Q2160" s="1" t="s">
        <v>42</v>
      </c>
      <c r="S2160" s="1" t="s">
        <v>42</v>
      </c>
      <c r="T2160" s="1" t="s">
        <v>170</v>
      </c>
      <c r="V2160" s="5">
        <v>44315</v>
      </c>
      <c r="W2160" s="5">
        <v>44000</v>
      </c>
      <c r="X2160" s="1">
        <v>3750000</v>
      </c>
      <c r="Y2160" s="1">
        <v>3750000</v>
      </c>
      <c r="Z2160" s="5">
        <v>44223</v>
      </c>
      <c r="AA2160" s="1">
        <v>3750000</v>
      </c>
      <c r="AB2160" s="1" t="s">
        <v>181</v>
      </c>
      <c r="AC2160" s="5">
        <v>44315</v>
      </c>
      <c r="AF2160" s="1">
        <v>10069</v>
      </c>
      <c r="AI2160" s="1" t="s">
        <v>109</v>
      </c>
      <c r="AJ2160" s="1">
        <v>2019</v>
      </c>
      <c r="AK2160" s="1" t="s">
        <v>77</v>
      </c>
      <c r="AL2160" s="1">
        <v>160</v>
      </c>
    </row>
    <row r="2161" spans="1:38" x14ac:dyDescent="0.2">
      <c r="A2161" s="2" t="str">
        <f>HYPERLINK("https://www.compass.com/listing/30-riverside-boulevard-unit-23e-manhattan-ny-10069/29515089061142577/","30 Riverside Blvd, Unit 23E")</f>
        <v>30 Riverside Blvd, Unit 23E</v>
      </c>
      <c r="B2161" s="2" t="str">
        <f t="shared" si="321"/>
        <v>Two Waterline Square</v>
      </c>
      <c r="C2161" s="1" t="s">
        <v>50</v>
      </c>
      <c r="D2161" s="1" t="s">
        <v>41</v>
      </c>
      <c r="E2161" s="3">
        <v>3150000</v>
      </c>
      <c r="F2161" s="1">
        <v>2261.30653266331</v>
      </c>
      <c r="G2161" s="1">
        <v>5</v>
      </c>
      <c r="H2161" s="1">
        <v>2</v>
      </c>
      <c r="I2161" s="1">
        <v>3</v>
      </c>
      <c r="J2161" s="1">
        <v>2.5</v>
      </c>
      <c r="K2161" s="1">
        <v>2</v>
      </c>
      <c r="L2161" s="1">
        <v>1</v>
      </c>
      <c r="M2161" s="4">
        <v>1393</v>
      </c>
      <c r="N2161" s="1">
        <v>1770</v>
      </c>
      <c r="O2161" s="1">
        <v>1863</v>
      </c>
      <c r="P2161" s="1">
        <v>93</v>
      </c>
      <c r="Q2161" s="1" t="s">
        <v>42</v>
      </c>
      <c r="S2161" s="1" t="s">
        <v>42</v>
      </c>
      <c r="T2161" s="1" t="s">
        <v>170</v>
      </c>
      <c r="U2161" s="1">
        <v>242</v>
      </c>
      <c r="V2161" s="5">
        <v>44006</v>
      </c>
      <c r="W2161" s="5">
        <v>42965</v>
      </c>
      <c r="X2161" s="1">
        <v>3150000</v>
      </c>
      <c r="Y2161" s="1">
        <v>3150000</v>
      </c>
      <c r="Z2161" s="5">
        <v>43208</v>
      </c>
      <c r="AA2161" s="1">
        <v>3150000</v>
      </c>
      <c r="AB2161" s="1" t="s">
        <v>181</v>
      </c>
      <c r="AC2161" s="5">
        <v>44004</v>
      </c>
      <c r="AF2161" s="1">
        <v>10069</v>
      </c>
      <c r="AI2161" s="1" t="s">
        <v>109</v>
      </c>
      <c r="AJ2161" s="1">
        <v>2019</v>
      </c>
      <c r="AK2161" s="1" t="s">
        <v>77</v>
      </c>
      <c r="AL2161" s="1">
        <v>160</v>
      </c>
    </row>
    <row r="2162" spans="1:38" x14ac:dyDescent="0.2">
      <c r="A2162" s="2" t="str">
        <f>HYPERLINK("https://www.compass.com/listing/30-riverside-boulevard-unit-22e-manhattan-ny-10069/29515090344640353/","30 Riverside Blvd, Unit 22E")</f>
        <v>30 Riverside Blvd, Unit 22E</v>
      </c>
      <c r="B2162" s="2" t="str">
        <f t="shared" si="321"/>
        <v>Two Waterline Square</v>
      </c>
      <c r="C2162" s="1" t="s">
        <v>50</v>
      </c>
      <c r="D2162" s="1" t="s">
        <v>41</v>
      </c>
      <c r="E2162" s="3">
        <v>3110000</v>
      </c>
      <c r="F2162" s="1">
        <v>2232.5915290739399</v>
      </c>
      <c r="G2162" s="1">
        <v>4</v>
      </c>
      <c r="H2162" s="1">
        <v>2</v>
      </c>
      <c r="I2162" s="1">
        <v>3</v>
      </c>
      <c r="J2162" s="1">
        <v>2.5</v>
      </c>
      <c r="K2162" s="1">
        <v>2</v>
      </c>
      <c r="L2162" s="1">
        <v>1</v>
      </c>
      <c r="M2162" s="4">
        <v>1393</v>
      </c>
      <c r="N2162" s="1">
        <v>1761</v>
      </c>
      <c r="O2162" s="1">
        <v>1854</v>
      </c>
      <c r="P2162" s="1">
        <v>93</v>
      </c>
      <c r="Q2162" s="1" t="s">
        <v>42</v>
      </c>
      <c r="S2162" s="1" t="s">
        <v>42</v>
      </c>
      <c r="T2162" s="1" t="s">
        <v>170</v>
      </c>
      <c r="U2162" s="1">
        <v>237</v>
      </c>
      <c r="V2162" s="5">
        <v>44072</v>
      </c>
      <c r="W2162" s="5">
        <v>42978</v>
      </c>
      <c r="X2162" s="1">
        <v>3110000</v>
      </c>
      <c r="Y2162" s="1">
        <v>3110000</v>
      </c>
      <c r="Z2162" s="5">
        <v>43216</v>
      </c>
      <c r="AA2162" s="1">
        <v>3110000</v>
      </c>
      <c r="AB2162" s="1" t="s">
        <v>181</v>
      </c>
      <c r="AC2162" s="5">
        <v>44046</v>
      </c>
      <c r="AF2162" s="1">
        <v>10069</v>
      </c>
      <c r="AI2162" s="1" t="s">
        <v>109</v>
      </c>
      <c r="AJ2162" s="1">
        <v>2019</v>
      </c>
      <c r="AK2162" s="1" t="s">
        <v>77</v>
      </c>
      <c r="AL2162" s="1">
        <v>160</v>
      </c>
    </row>
    <row r="2163" spans="1:38" x14ac:dyDescent="0.2">
      <c r="A2163" s="2" t="str">
        <f>HYPERLINK("https://www.compass.com/listing/30-riverside-boulevard-unit-21m-manhattan-ny-10069/45538840231866001/","30 Riverside Blvd, Unit 21M")</f>
        <v>30 Riverside Blvd, Unit 21M</v>
      </c>
      <c r="B2163" s="2" t="str">
        <f t="shared" si="321"/>
        <v>Two Waterline Square</v>
      </c>
      <c r="C2163" s="1" t="s">
        <v>50</v>
      </c>
      <c r="D2163" s="1" t="s">
        <v>41</v>
      </c>
      <c r="E2163" s="3">
        <v>3663000</v>
      </c>
      <c r="F2163" s="1">
        <v>2392.55388634879</v>
      </c>
      <c r="G2163" s="1">
        <v>4</v>
      </c>
      <c r="H2163" s="1">
        <v>2</v>
      </c>
      <c r="I2163" s="1">
        <v>3</v>
      </c>
      <c r="J2163" s="1">
        <v>2.5</v>
      </c>
      <c r="K2163" s="1">
        <v>2</v>
      </c>
      <c r="L2163" s="1">
        <v>1</v>
      </c>
      <c r="M2163" s="4">
        <v>1531</v>
      </c>
      <c r="N2163" s="1">
        <v>1890</v>
      </c>
      <c r="O2163" s="1">
        <v>1993</v>
      </c>
      <c r="P2163" s="1">
        <v>103</v>
      </c>
      <c r="Q2163" s="1" t="s">
        <v>42</v>
      </c>
      <c r="S2163" s="1" t="s">
        <v>42</v>
      </c>
      <c r="T2163" s="1" t="s">
        <v>170</v>
      </c>
      <c r="U2163" s="1">
        <v>49</v>
      </c>
      <c r="V2163" s="5">
        <v>44369</v>
      </c>
      <c r="W2163" s="5">
        <v>43265</v>
      </c>
      <c r="X2163" s="1">
        <v>3870000</v>
      </c>
      <c r="Y2163" s="1">
        <v>3870000</v>
      </c>
      <c r="Z2163" s="5">
        <v>43315</v>
      </c>
      <c r="AA2163" s="1">
        <v>3663000</v>
      </c>
      <c r="AB2163" s="1" t="s">
        <v>181</v>
      </c>
      <c r="AC2163" s="5">
        <v>44203</v>
      </c>
      <c r="AF2163" s="1">
        <v>10069</v>
      </c>
      <c r="AI2163" s="1" t="s">
        <v>164</v>
      </c>
      <c r="AJ2163" s="1">
        <v>2019</v>
      </c>
      <c r="AK2163" s="1" t="s">
        <v>77</v>
      </c>
      <c r="AL2163" s="1">
        <v>160</v>
      </c>
    </row>
    <row r="2164" spans="1:38" x14ac:dyDescent="0.2">
      <c r="A2164" s="2" t="str">
        <f>HYPERLINK("https://www.compass.com/listing/30-riverside-boulevard-unit-25c-manhattan-ny-10069/542638068686510425/","30 Riverside Blvd, Unit 25C")</f>
        <v>30 Riverside Blvd, Unit 25C</v>
      </c>
      <c r="B2164" s="2" t="str">
        <f t="shared" si="321"/>
        <v>Two Waterline Square</v>
      </c>
      <c r="C2164" s="1" t="s">
        <v>50</v>
      </c>
      <c r="D2164" s="1" t="s">
        <v>41</v>
      </c>
      <c r="E2164" s="3">
        <v>3670000</v>
      </c>
      <c r="F2164" s="1">
        <v>2525.8086717136898</v>
      </c>
      <c r="G2164" s="1">
        <v>4.5</v>
      </c>
      <c r="H2164" s="1">
        <v>2</v>
      </c>
      <c r="I2164" s="1">
        <v>3</v>
      </c>
      <c r="J2164" s="1">
        <v>2.5</v>
      </c>
      <c r="K2164" s="1">
        <v>2</v>
      </c>
      <c r="L2164" s="1">
        <v>1</v>
      </c>
      <c r="M2164" s="4">
        <v>1453</v>
      </c>
      <c r="N2164" s="1">
        <v>1939</v>
      </c>
      <c r="O2164" s="1">
        <v>2042</v>
      </c>
      <c r="P2164" s="1">
        <v>103</v>
      </c>
      <c r="Q2164" s="1" t="s">
        <v>42</v>
      </c>
      <c r="S2164" s="1" t="s">
        <v>42</v>
      </c>
      <c r="T2164" s="1" t="s">
        <v>170</v>
      </c>
      <c r="U2164" s="1">
        <v>154</v>
      </c>
      <c r="V2164" s="5">
        <v>44426</v>
      </c>
      <c r="W2164" s="5">
        <v>44201</v>
      </c>
      <c r="Y2164" s="1">
        <v>3670000</v>
      </c>
      <c r="Z2164" s="5">
        <v>44356</v>
      </c>
      <c r="AA2164" s="1">
        <v>3670000</v>
      </c>
      <c r="AB2164" s="1" t="s">
        <v>181</v>
      </c>
      <c r="AC2164" s="5">
        <v>44425</v>
      </c>
      <c r="AF2164" s="1">
        <v>10069</v>
      </c>
      <c r="AI2164" s="1" t="s">
        <v>109</v>
      </c>
      <c r="AJ2164" s="1">
        <v>2019</v>
      </c>
      <c r="AK2164" s="1" t="s">
        <v>77</v>
      </c>
      <c r="AL2164" s="1">
        <v>160</v>
      </c>
    </row>
    <row r="2165" spans="1:38" x14ac:dyDescent="0.2">
      <c r="A2165" s="2" t="str">
        <f>HYPERLINK("https://www.compass.com/listing/30-riverside-boulevard-unit-33b-manhattan-ny-10069/770953331331238105/","30 Riverside Blvd, Unit 33B")</f>
        <v>30 Riverside Blvd, Unit 33B</v>
      </c>
      <c r="B2165" s="2" t="str">
        <f t="shared" si="321"/>
        <v>Two Waterline Square</v>
      </c>
      <c r="C2165" s="1" t="s">
        <v>50</v>
      </c>
      <c r="D2165" s="1" t="s">
        <v>41</v>
      </c>
      <c r="E2165" s="3">
        <v>7040000</v>
      </c>
      <c r="F2165" s="1">
        <v>3127.4988893824898</v>
      </c>
      <c r="G2165" s="1">
        <v>6</v>
      </c>
      <c r="H2165" s="1">
        <v>4</v>
      </c>
      <c r="I2165" s="1">
        <v>5</v>
      </c>
      <c r="J2165" s="1">
        <v>4.5</v>
      </c>
      <c r="K2165" s="1">
        <v>4</v>
      </c>
      <c r="L2165" s="1">
        <v>1</v>
      </c>
      <c r="M2165" s="4">
        <v>2251</v>
      </c>
      <c r="N2165" s="1">
        <v>3120</v>
      </c>
      <c r="O2165" s="1">
        <v>3286</v>
      </c>
      <c r="P2165" s="1">
        <v>166</v>
      </c>
      <c r="Q2165" s="1" t="s">
        <v>42</v>
      </c>
      <c r="S2165" s="1" t="s">
        <v>42</v>
      </c>
      <c r="T2165" s="1" t="s">
        <v>170</v>
      </c>
      <c r="V2165" s="5">
        <v>44337</v>
      </c>
      <c r="W2165" s="5">
        <v>44315</v>
      </c>
      <c r="X2165" s="1">
        <v>7040000</v>
      </c>
      <c r="Y2165" s="1">
        <v>7040000</v>
      </c>
      <c r="Z2165" s="5">
        <v>44316</v>
      </c>
      <c r="AA2165" s="1">
        <v>7040000</v>
      </c>
      <c r="AB2165" s="1" t="s">
        <v>181</v>
      </c>
      <c r="AC2165" s="5">
        <v>44336</v>
      </c>
      <c r="AF2165" s="1">
        <v>10069</v>
      </c>
      <c r="AI2165" s="1" t="s">
        <v>109</v>
      </c>
      <c r="AJ2165" s="1">
        <v>2019</v>
      </c>
      <c r="AK2165" s="1" t="s">
        <v>77</v>
      </c>
      <c r="AL2165" s="1">
        <v>160</v>
      </c>
    </row>
    <row r="2166" spans="1:38" x14ac:dyDescent="0.2">
      <c r="A2166" s="2" t="str">
        <f>HYPERLINK("https://www.compass.com/listing/30-riverside-boulevard-unit-30j-manhattan-ny-10069/613735558747078809/","30 Riverside Blvd, Unit 30J")</f>
        <v>30 Riverside Blvd, Unit 30J</v>
      </c>
      <c r="B2166" s="2" t="str">
        <f t="shared" si="321"/>
        <v>Two Waterline Square</v>
      </c>
      <c r="C2166" s="1" t="s">
        <v>50</v>
      </c>
      <c r="D2166" s="1" t="s">
        <v>41</v>
      </c>
      <c r="E2166" s="3">
        <v>3820000</v>
      </c>
      <c r="F2166" s="1">
        <v>2762.1113521330399</v>
      </c>
      <c r="G2166" s="1">
        <v>4</v>
      </c>
      <c r="H2166" s="1">
        <v>2</v>
      </c>
      <c r="I2166" s="1">
        <v>2</v>
      </c>
      <c r="J2166" s="1">
        <v>2</v>
      </c>
      <c r="K2166" s="1">
        <v>2</v>
      </c>
      <c r="M2166" s="4">
        <v>1383</v>
      </c>
      <c r="N2166" s="1">
        <v>1777</v>
      </c>
      <c r="O2166" s="1">
        <v>1873</v>
      </c>
      <c r="P2166" s="1">
        <v>96</v>
      </c>
      <c r="Q2166" s="1" t="s">
        <v>42</v>
      </c>
      <c r="S2166" s="1" t="s">
        <v>42</v>
      </c>
      <c r="T2166" s="1" t="s">
        <v>170</v>
      </c>
      <c r="V2166" s="5">
        <v>44317</v>
      </c>
      <c r="W2166" s="5">
        <v>44098</v>
      </c>
      <c r="X2166" s="1">
        <v>3820000</v>
      </c>
      <c r="Y2166" s="1">
        <v>3820000</v>
      </c>
      <c r="Z2166" s="5">
        <v>44098</v>
      </c>
      <c r="AA2166" s="1">
        <v>3820000</v>
      </c>
      <c r="AB2166" s="1" t="s">
        <v>181</v>
      </c>
      <c r="AC2166" s="5">
        <v>44316</v>
      </c>
      <c r="AF2166" s="1">
        <v>10069</v>
      </c>
      <c r="AI2166" s="1" t="s">
        <v>109</v>
      </c>
      <c r="AJ2166" s="1">
        <v>2019</v>
      </c>
      <c r="AK2166" s="1" t="s">
        <v>77</v>
      </c>
      <c r="AL2166" s="1">
        <v>160</v>
      </c>
    </row>
    <row r="2167" spans="1:38" x14ac:dyDescent="0.2">
      <c r="A2167" s="2" t="str">
        <f>HYPERLINK("https://www.compass.com/listing/30-riverside-boulevard-unit-29j-manhattan-ny-10069/341874807272131985/","30 Riverside Blvd, Unit 29J")</f>
        <v>30 Riverside Blvd, Unit 29J</v>
      </c>
      <c r="B2167" s="2" t="str">
        <f t="shared" si="321"/>
        <v>Two Waterline Square</v>
      </c>
      <c r="C2167" s="1" t="s">
        <v>50</v>
      </c>
      <c r="D2167" s="1" t="s">
        <v>41</v>
      </c>
      <c r="E2167" s="3">
        <v>3780000</v>
      </c>
      <c r="F2167" s="1">
        <v>2733.1887201735299</v>
      </c>
      <c r="G2167" s="1">
        <v>4</v>
      </c>
      <c r="H2167" s="1">
        <v>2</v>
      </c>
      <c r="I2167" s="1">
        <v>2</v>
      </c>
      <c r="J2167" s="1">
        <v>2</v>
      </c>
      <c r="K2167" s="1">
        <v>2</v>
      </c>
      <c r="M2167" s="4">
        <v>1383</v>
      </c>
      <c r="N2167" s="1">
        <v>1759</v>
      </c>
      <c r="O2167" s="1">
        <v>1854</v>
      </c>
      <c r="P2167" s="1">
        <v>95</v>
      </c>
      <c r="Q2167" s="1" t="s">
        <v>42</v>
      </c>
      <c r="S2167" s="1" t="s">
        <v>42</v>
      </c>
      <c r="T2167" s="1" t="s">
        <v>170</v>
      </c>
      <c r="U2167" s="1">
        <v>2</v>
      </c>
      <c r="V2167" s="5">
        <v>43932</v>
      </c>
      <c r="W2167" s="5">
        <v>43721</v>
      </c>
      <c r="X2167" s="1">
        <v>3780000</v>
      </c>
      <c r="Y2167" s="1">
        <v>3780000</v>
      </c>
      <c r="Z2167" s="5">
        <v>43724</v>
      </c>
      <c r="AA2167" s="1">
        <v>3780000</v>
      </c>
      <c r="AB2167" s="1" t="s">
        <v>181</v>
      </c>
      <c r="AC2167" s="5">
        <v>43916</v>
      </c>
      <c r="AF2167" s="1">
        <v>10069</v>
      </c>
      <c r="AI2167" s="1" t="s">
        <v>109</v>
      </c>
      <c r="AJ2167" s="1">
        <v>2019</v>
      </c>
      <c r="AK2167" s="1" t="s">
        <v>77</v>
      </c>
      <c r="AL2167" s="1">
        <v>160</v>
      </c>
    </row>
    <row r="2168" spans="1:38" x14ac:dyDescent="0.2">
      <c r="A2168" s="2" t="str">
        <f>HYPERLINK("https://www.compass.com/listing/30-riverside-boulevard-unit-27a-manhattan-ny-10069/613750554581276393/","30 Riverside Blvd, Unit 27A")</f>
        <v>30 Riverside Blvd, Unit 27A</v>
      </c>
      <c r="B2168" s="2" t="str">
        <f t="shared" si="321"/>
        <v>Two Waterline Square</v>
      </c>
      <c r="C2168" s="1" t="s">
        <v>50</v>
      </c>
      <c r="D2168" s="1" t="s">
        <v>41</v>
      </c>
      <c r="E2168" s="3">
        <v>4395000</v>
      </c>
      <c r="F2168" s="1">
        <v>2955.615332885</v>
      </c>
      <c r="G2168" s="1">
        <v>4.5</v>
      </c>
      <c r="H2168" s="1">
        <v>2</v>
      </c>
      <c r="I2168" s="1">
        <v>3</v>
      </c>
      <c r="J2168" s="1">
        <v>2.5</v>
      </c>
      <c r="K2168" s="1">
        <v>2</v>
      </c>
      <c r="L2168" s="1">
        <v>1</v>
      </c>
      <c r="M2168" s="4">
        <v>1487</v>
      </c>
      <c r="N2168" s="1">
        <v>1883</v>
      </c>
      <c r="O2168" s="1">
        <v>1985</v>
      </c>
      <c r="P2168" s="1">
        <v>102</v>
      </c>
      <c r="Q2168" s="1" t="s">
        <v>42</v>
      </c>
      <c r="S2168" s="1" t="s">
        <v>42</v>
      </c>
      <c r="T2168" s="1" t="s">
        <v>170</v>
      </c>
      <c r="U2168" s="1">
        <v>60</v>
      </c>
      <c r="V2168" s="5">
        <v>44247</v>
      </c>
      <c r="W2168" s="5">
        <v>44098</v>
      </c>
      <c r="X2168" s="1">
        <v>4395000</v>
      </c>
      <c r="Y2168" s="1">
        <v>4395000</v>
      </c>
      <c r="Z2168" s="5">
        <v>44159</v>
      </c>
      <c r="AA2168" s="1">
        <v>4395000</v>
      </c>
      <c r="AB2168" s="1" t="s">
        <v>181</v>
      </c>
      <c r="AC2168" s="5">
        <v>44246</v>
      </c>
      <c r="AF2168" s="1">
        <v>10069</v>
      </c>
      <c r="AI2168" s="1" t="s">
        <v>109</v>
      </c>
      <c r="AJ2168" s="1">
        <v>2019</v>
      </c>
      <c r="AK2168" s="1" t="s">
        <v>77</v>
      </c>
      <c r="AL2168" s="1">
        <v>160</v>
      </c>
    </row>
    <row r="2169" spans="1:38" x14ac:dyDescent="0.2">
      <c r="A2169" s="2" t="str">
        <f>HYPERLINK("https://www.compass.com/listing/30-riverside-boulevard-unit-29a-manhattan-ny-10069/29515093549088721/","30 Riverside Blvd, Unit 29A")</f>
        <v>30 Riverside Blvd, Unit 29A</v>
      </c>
      <c r="B2169" s="2" t="str">
        <f t="shared" si="321"/>
        <v>Two Waterline Square</v>
      </c>
      <c r="C2169" s="1" t="s">
        <v>50</v>
      </c>
      <c r="D2169" s="1" t="s">
        <v>41</v>
      </c>
      <c r="E2169" s="3">
        <v>4360000</v>
      </c>
      <c r="F2169" s="1">
        <v>2932.07800941492</v>
      </c>
      <c r="G2169" s="1">
        <v>4</v>
      </c>
      <c r="H2169" s="1">
        <v>2</v>
      </c>
      <c r="I2169" s="1">
        <v>3</v>
      </c>
      <c r="J2169" s="1">
        <v>2.5</v>
      </c>
      <c r="K2169" s="1">
        <v>2</v>
      </c>
      <c r="L2169" s="1">
        <v>1</v>
      </c>
      <c r="M2169" s="4">
        <v>1487</v>
      </c>
      <c r="N2169" s="1">
        <v>1945</v>
      </c>
      <c r="O2169" s="1">
        <v>2048</v>
      </c>
      <c r="P2169" s="1">
        <v>103</v>
      </c>
      <c r="Q2169" s="1" t="s">
        <v>42</v>
      </c>
      <c r="S2169" s="1" t="s">
        <v>42</v>
      </c>
      <c r="T2169" s="1" t="s">
        <v>170</v>
      </c>
      <c r="U2169" s="1">
        <v>155</v>
      </c>
      <c r="V2169" s="5">
        <v>44139</v>
      </c>
      <c r="W2169" s="5">
        <v>43038</v>
      </c>
      <c r="X2169" s="1">
        <v>4405000</v>
      </c>
      <c r="Y2169" s="1">
        <v>4405000</v>
      </c>
      <c r="Z2169" s="5">
        <v>43194</v>
      </c>
      <c r="AA2169" s="1">
        <v>4360000</v>
      </c>
      <c r="AB2169" s="1" t="s">
        <v>181</v>
      </c>
      <c r="AC2169" s="5">
        <v>44097</v>
      </c>
      <c r="AF2169" s="1">
        <v>10069</v>
      </c>
      <c r="AI2169" s="1" t="s">
        <v>109</v>
      </c>
      <c r="AJ2169" s="1">
        <v>2019</v>
      </c>
      <c r="AK2169" s="1" t="s">
        <v>77</v>
      </c>
      <c r="AL2169" s="1">
        <v>160</v>
      </c>
    </row>
    <row r="2170" spans="1:38" x14ac:dyDescent="0.2">
      <c r="A2170" s="2" t="str">
        <f>HYPERLINK("https://www.compass.com/listing/30-riverside-boulevard-unit-25a-manhattan-ny-10069/29515099077113713/","30 Riverside Blvd, Unit 25A")</f>
        <v>30 Riverside Blvd, Unit 25A</v>
      </c>
      <c r="B2170" s="2" t="str">
        <f t="shared" si="321"/>
        <v>Two Waterline Square</v>
      </c>
      <c r="C2170" s="1" t="s">
        <v>50</v>
      </c>
      <c r="D2170" s="1" t="s">
        <v>41</v>
      </c>
      <c r="E2170" s="3">
        <v>4225000</v>
      </c>
      <c r="F2170" s="1">
        <v>2841.2911903160698</v>
      </c>
      <c r="G2170" s="1">
        <v>4</v>
      </c>
      <c r="H2170" s="1">
        <v>2</v>
      </c>
      <c r="I2170" s="1">
        <v>3</v>
      </c>
      <c r="J2170" s="1">
        <v>2.5</v>
      </c>
      <c r="K2170" s="1">
        <v>2</v>
      </c>
      <c r="L2170" s="1">
        <v>1</v>
      </c>
      <c r="M2170" s="4">
        <v>1487</v>
      </c>
      <c r="N2170" s="1">
        <v>1908</v>
      </c>
      <c r="O2170" s="1">
        <v>2009</v>
      </c>
      <c r="P2170" s="1">
        <v>101</v>
      </c>
      <c r="Q2170" s="1" t="s">
        <v>42</v>
      </c>
      <c r="S2170" s="1" t="s">
        <v>42</v>
      </c>
      <c r="T2170" s="1" t="s">
        <v>170</v>
      </c>
      <c r="U2170" s="1">
        <v>220</v>
      </c>
      <c r="V2170" s="5">
        <v>44111</v>
      </c>
      <c r="W2170" s="5">
        <v>42954</v>
      </c>
      <c r="X2170" s="1">
        <v>4225000</v>
      </c>
      <c r="Y2170" s="1">
        <v>4225000</v>
      </c>
      <c r="Z2170" s="5">
        <v>43175</v>
      </c>
      <c r="AA2170" s="1">
        <v>4225000</v>
      </c>
      <c r="AB2170" s="1" t="s">
        <v>181</v>
      </c>
      <c r="AC2170" s="5">
        <v>44110</v>
      </c>
      <c r="AF2170" s="1">
        <v>10069</v>
      </c>
      <c r="AI2170" s="1" t="s">
        <v>109</v>
      </c>
      <c r="AJ2170" s="1">
        <v>2019</v>
      </c>
      <c r="AK2170" s="1" t="s">
        <v>77</v>
      </c>
      <c r="AL2170" s="1">
        <v>160</v>
      </c>
    </row>
    <row r="2171" spans="1:38" x14ac:dyDescent="0.2">
      <c r="A2171" s="2" t="str">
        <f>HYPERLINK("https://www.compass.com/listing/30-riverside-boulevard-unit-27c-manhattan-ny-10069/339796206242391569/","30 Riverside Blvd, Unit 27C")</f>
        <v>30 Riverside Blvd, Unit 27C</v>
      </c>
      <c r="B2171" s="2" t="str">
        <f t="shared" si="321"/>
        <v>Two Waterline Square</v>
      </c>
      <c r="C2171" s="1" t="s">
        <v>50</v>
      </c>
      <c r="D2171" s="1" t="s">
        <v>41</v>
      </c>
      <c r="E2171" s="3">
        <v>3750000</v>
      </c>
      <c r="F2171" s="1">
        <v>2580.8671713695799</v>
      </c>
      <c r="G2171" s="1">
        <v>4</v>
      </c>
      <c r="H2171" s="1">
        <v>2</v>
      </c>
      <c r="I2171" s="1">
        <v>3</v>
      </c>
      <c r="J2171" s="1">
        <v>2.5</v>
      </c>
      <c r="K2171" s="1">
        <v>2</v>
      </c>
      <c r="L2171" s="1">
        <v>1</v>
      </c>
      <c r="M2171" s="4">
        <v>1453</v>
      </c>
      <c r="N2171" s="1">
        <v>1831</v>
      </c>
      <c r="O2171" s="1">
        <v>1930</v>
      </c>
      <c r="P2171" s="1">
        <v>99</v>
      </c>
      <c r="Q2171" s="1" t="s">
        <v>42</v>
      </c>
      <c r="S2171" s="1" t="s">
        <v>42</v>
      </c>
      <c r="T2171" s="1" t="s">
        <v>170</v>
      </c>
      <c r="V2171" s="5">
        <v>44048</v>
      </c>
      <c r="W2171" s="5">
        <v>43720</v>
      </c>
      <c r="X2171" s="1">
        <v>3750000</v>
      </c>
      <c r="Y2171" s="1">
        <v>3750000</v>
      </c>
      <c r="Z2171" s="5">
        <v>43721</v>
      </c>
      <c r="AA2171" s="1">
        <v>3750000</v>
      </c>
      <c r="AB2171" s="1" t="s">
        <v>181</v>
      </c>
      <c r="AC2171" s="5">
        <v>44047</v>
      </c>
      <c r="AF2171" s="1">
        <v>10069</v>
      </c>
      <c r="AI2171" s="1" t="s">
        <v>109</v>
      </c>
      <c r="AJ2171" s="1">
        <v>2019</v>
      </c>
      <c r="AK2171" s="1" t="s">
        <v>77</v>
      </c>
      <c r="AL2171" s="1">
        <v>160</v>
      </c>
    </row>
    <row r="2172" spans="1:38" x14ac:dyDescent="0.2">
      <c r="A2172" s="2" t="str">
        <f>HYPERLINK("https://www.compass.com/listing/30-riverside-boulevard-unit-36d-manhattan-ny-10069/131832964538483473/","30 Riverside Blvd, Unit 36D")</f>
        <v>30 Riverside Blvd, Unit 36D</v>
      </c>
      <c r="B2172" s="2" t="str">
        <f t="shared" si="321"/>
        <v>Two Waterline Square</v>
      </c>
      <c r="C2172" s="1" t="s">
        <v>50</v>
      </c>
      <c r="D2172" s="1" t="s">
        <v>41</v>
      </c>
      <c r="E2172" s="3">
        <v>4125000</v>
      </c>
      <c r="F2172" s="1">
        <v>2629.0630975143399</v>
      </c>
      <c r="G2172" s="1">
        <v>4</v>
      </c>
      <c r="H2172" s="1">
        <v>2</v>
      </c>
      <c r="I2172" s="1">
        <v>3</v>
      </c>
      <c r="J2172" s="1">
        <v>2.5</v>
      </c>
      <c r="K2172" s="1">
        <v>2</v>
      </c>
      <c r="L2172" s="1">
        <v>1</v>
      </c>
      <c r="M2172" s="4">
        <v>1569</v>
      </c>
      <c r="N2172" s="1">
        <v>2063</v>
      </c>
      <c r="O2172" s="1">
        <v>2175</v>
      </c>
      <c r="P2172" s="1">
        <v>112</v>
      </c>
      <c r="Q2172" s="1" t="s">
        <v>42</v>
      </c>
      <c r="S2172" s="1" t="s">
        <v>42</v>
      </c>
      <c r="T2172" s="1" t="s">
        <v>170</v>
      </c>
      <c r="U2172" s="1">
        <v>91</v>
      </c>
      <c r="V2172" s="5">
        <v>43929</v>
      </c>
      <c r="W2172" s="5">
        <v>43342</v>
      </c>
      <c r="X2172" s="1">
        <v>4125000</v>
      </c>
      <c r="Y2172" s="1">
        <v>4125000</v>
      </c>
      <c r="Z2172" s="5">
        <v>43434</v>
      </c>
      <c r="AA2172" s="1">
        <v>4125000</v>
      </c>
      <c r="AB2172" s="1" t="s">
        <v>181</v>
      </c>
      <c r="AC2172" s="5">
        <v>43927</v>
      </c>
      <c r="AF2172" s="1">
        <v>10069</v>
      </c>
      <c r="AI2172" s="1" t="s">
        <v>109</v>
      </c>
      <c r="AJ2172" s="1">
        <v>2019</v>
      </c>
      <c r="AK2172" s="1" t="s">
        <v>77</v>
      </c>
      <c r="AL2172" s="1">
        <v>160</v>
      </c>
    </row>
    <row r="2173" spans="1:38" x14ac:dyDescent="0.2">
      <c r="A2173" s="2" t="str">
        <f>HYPERLINK("https://www.compass.com/listing/30-riverside-boulevard-unit-22b-manhattan-ny-10069/131847902032071793/","30 Riverside Blvd, Unit 22B")</f>
        <v>30 Riverside Blvd, Unit 22B</v>
      </c>
      <c r="B2173" s="2" t="str">
        <f t="shared" si="321"/>
        <v>Two Waterline Square</v>
      </c>
      <c r="C2173" s="1" t="s">
        <v>50</v>
      </c>
      <c r="D2173" s="1" t="s">
        <v>41</v>
      </c>
      <c r="E2173" s="3">
        <v>4455000</v>
      </c>
      <c r="F2173" s="1">
        <v>2561.8171362852199</v>
      </c>
      <c r="G2173" s="1">
        <v>4</v>
      </c>
      <c r="H2173" s="1">
        <v>2</v>
      </c>
      <c r="I2173" s="1">
        <v>3</v>
      </c>
      <c r="J2173" s="1">
        <v>2.5</v>
      </c>
      <c r="K2173" s="1">
        <v>2</v>
      </c>
      <c r="L2173" s="1">
        <v>1</v>
      </c>
      <c r="M2173" s="4">
        <v>1739</v>
      </c>
      <c r="N2173" s="1">
        <v>2139</v>
      </c>
      <c r="O2173" s="1">
        <v>2255</v>
      </c>
      <c r="P2173" s="1">
        <v>116</v>
      </c>
      <c r="Q2173" s="1" t="s">
        <v>42</v>
      </c>
      <c r="S2173" s="1" t="s">
        <v>42</v>
      </c>
      <c r="T2173" s="1" t="s">
        <v>170</v>
      </c>
      <c r="U2173" s="1">
        <v>65</v>
      </c>
      <c r="V2173" s="5">
        <v>43922</v>
      </c>
      <c r="W2173" s="5">
        <v>43368</v>
      </c>
      <c r="X2173" s="1">
        <v>4455000</v>
      </c>
      <c r="Y2173" s="1">
        <v>4455000</v>
      </c>
      <c r="Z2173" s="5">
        <v>43434</v>
      </c>
      <c r="AA2173" s="1">
        <v>4455000</v>
      </c>
      <c r="AB2173" s="1" t="s">
        <v>181</v>
      </c>
      <c r="AC2173" s="5">
        <v>43921</v>
      </c>
      <c r="AF2173" s="1">
        <v>10069</v>
      </c>
      <c r="AI2173" s="1" t="s">
        <v>109</v>
      </c>
      <c r="AJ2173" s="1">
        <v>2019</v>
      </c>
      <c r="AK2173" s="1" t="s">
        <v>77</v>
      </c>
      <c r="AL2173" s="1">
        <v>160</v>
      </c>
    </row>
    <row r="2174" spans="1:38" x14ac:dyDescent="0.2">
      <c r="A2174" s="2" t="str">
        <f>HYPERLINK("https://www.compass.com/listing/30-riverside-boulevard-unit-21b-manhattan-ny-10069/131847902233437793/","30 Riverside Blvd, Unit 21B")</f>
        <v>30 Riverside Blvd, Unit 21B</v>
      </c>
      <c r="B2174" s="2" t="str">
        <f t="shared" si="321"/>
        <v>Two Waterline Square</v>
      </c>
      <c r="C2174" s="1" t="s">
        <v>50</v>
      </c>
      <c r="D2174" s="1" t="s">
        <v>41</v>
      </c>
      <c r="E2174" s="3">
        <v>4415000</v>
      </c>
      <c r="F2174" s="1">
        <v>2538.8154111558301</v>
      </c>
      <c r="G2174" s="1">
        <v>4</v>
      </c>
      <c r="H2174" s="1">
        <v>2</v>
      </c>
      <c r="I2174" s="1">
        <v>3</v>
      </c>
      <c r="J2174" s="1">
        <v>2.5</v>
      </c>
      <c r="K2174" s="1">
        <v>2</v>
      </c>
      <c r="L2174" s="1">
        <v>1</v>
      </c>
      <c r="M2174" s="4">
        <v>1739</v>
      </c>
      <c r="N2174" s="1">
        <v>2128</v>
      </c>
      <c r="O2174" s="1">
        <v>2243</v>
      </c>
      <c r="P2174" s="1">
        <v>115</v>
      </c>
      <c r="Q2174" s="1" t="s">
        <v>42</v>
      </c>
      <c r="S2174" s="1" t="s">
        <v>42</v>
      </c>
      <c r="T2174" s="1" t="s">
        <v>170</v>
      </c>
      <c r="U2174" s="1">
        <v>64</v>
      </c>
      <c r="V2174" s="5">
        <v>44223</v>
      </c>
      <c r="W2174" s="5">
        <v>43369</v>
      </c>
      <c r="X2174" s="1">
        <v>4415000</v>
      </c>
      <c r="Y2174" s="1">
        <v>4415000</v>
      </c>
      <c r="Z2174" s="5">
        <v>43434</v>
      </c>
      <c r="AA2174" s="1">
        <v>4415000</v>
      </c>
      <c r="AB2174" s="1" t="s">
        <v>181</v>
      </c>
      <c r="AC2174" s="5">
        <v>44222</v>
      </c>
      <c r="AF2174" s="1">
        <v>10069</v>
      </c>
      <c r="AI2174" s="1" t="s">
        <v>109</v>
      </c>
      <c r="AJ2174" s="1">
        <v>2019</v>
      </c>
      <c r="AK2174" s="1" t="s">
        <v>77</v>
      </c>
      <c r="AL2174" s="1">
        <v>160</v>
      </c>
    </row>
    <row r="2175" spans="1:38" x14ac:dyDescent="0.2">
      <c r="A2175" s="2" t="str">
        <f>HYPERLINK("https://www.compass.com/listing/30-riverside-boulevard-unit-20a-manhattan-ny-10069/29515085420527297/","30 Riverside Blvd, Unit 20A")</f>
        <v>30 Riverside Blvd, Unit 20A</v>
      </c>
      <c r="B2175" s="2" t="str">
        <f t="shared" si="321"/>
        <v>Two Waterline Square</v>
      </c>
      <c r="C2175" s="1" t="s">
        <v>50</v>
      </c>
      <c r="D2175" s="1" t="s">
        <v>41</v>
      </c>
      <c r="E2175" s="3">
        <v>4050000</v>
      </c>
      <c r="F2175" s="1">
        <v>2723.6045729656998</v>
      </c>
      <c r="G2175" s="1">
        <v>5</v>
      </c>
      <c r="H2175" s="1">
        <v>2</v>
      </c>
      <c r="I2175" s="1">
        <v>3</v>
      </c>
      <c r="J2175" s="1">
        <v>2.5</v>
      </c>
      <c r="K2175" s="1">
        <v>2</v>
      </c>
      <c r="L2175" s="1">
        <v>1</v>
      </c>
      <c r="M2175" s="4">
        <v>1487</v>
      </c>
      <c r="N2175" s="1">
        <v>1853</v>
      </c>
      <c r="O2175" s="1">
        <v>1951</v>
      </c>
      <c r="P2175" s="1">
        <v>98</v>
      </c>
      <c r="Q2175" s="1" t="s">
        <v>42</v>
      </c>
      <c r="S2175" s="1" t="s">
        <v>42</v>
      </c>
      <c r="T2175" s="1" t="s">
        <v>170</v>
      </c>
      <c r="U2175" s="1">
        <v>66</v>
      </c>
      <c r="V2175" s="5">
        <v>44072</v>
      </c>
      <c r="W2175" s="5">
        <v>43042</v>
      </c>
      <c r="X2175" s="1">
        <v>4050000</v>
      </c>
      <c r="Y2175" s="1">
        <v>4050000</v>
      </c>
      <c r="Z2175" s="5">
        <v>43250</v>
      </c>
      <c r="AA2175" s="1">
        <v>4050000</v>
      </c>
      <c r="AB2175" s="1" t="s">
        <v>181</v>
      </c>
      <c r="AC2175" s="5">
        <v>44036</v>
      </c>
      <c r="AF2175" s="1">
        <v>10069</v>
      </c>
      <c r="AI2175" s="1" t="s">
        <v>109</v>
      </c>
      <c r="AJ2175" s="1">
        <v>2019</v>
      </c>
      <c r="AK2175" s="1" t="s">
        <v>77</v>
      </c>
      <c r="AL2175" s="1">
        <v>160</v>
      </c>
    </row>
    <row r="2176" spans="1:38" x14ac:dyDescent="0.2">
      <c r="A2176" s="2" t="str">
        <f>HYPERLINK("https://www.compass.com/listing/30-riverside-boulevard-unit-23b-manhattan-ny-10069/29515087752492465/","30 Riverside Blvd, Unit 23B")</f>
        <v>30 Riverside Blvd, Unit 23B</v>
      </c>
      <c r="B2176" s="2" t="str">
        <f t="shared" si="321"/>
        <v>Two Waterline Square</v>
      </c>
      <c r="C2176" s="1" t="s">
        <v>50</v>
      </c>
      <c r="D2176" s="1" t="s">
        <v>41</v>
      </c>
      <c r="E2176" s="3">
        <v>4495000</v>
      </c>
      <c r="F2176" s="1">
        <v>2584.8188614146002</v>
      </c>
      <c r="G2176" s="1">
        <v>4</v>
      </c>
      <c r="H2176" s="1">
        <v>2</v>
      </c>
      <c r="I2176" s="1">
        <v>3</v>
      </c>
      <c r="J2176" s="1">
        <v>2.5</v>
      </c>
      <c r="K2176" s="1">
        <v>2</v>
      </c>
      <c r="L2176" s="1">
        <v>1</v>
      </c>
      <c r="M2176" s="4">
        <v>1739</v>
      </c>
      <c r="N2176" s="1">
        <v>2210</v>
      </c>
      <c r="O2176" s="1">
        <v>2327</v>
      </c>
      <c r="P2176" s="1">
        <v>117</v>
      </c>
      <c r="Q2176" s="1" t="s">
        <v>42</v>
      </c>
      <c r="S2176" s="1" t="s">
        <v>42</v>
      </c>
      <c r="T2176" s="1" t="s">
        <v>170</v>
      </c>
      <c r="U2176" s="1">
        <v>215</v>
      </c>
      <c r="V2176" s="5">
        <v>43956</v>
      </c>
      <c r="W2176" s="5">
        <v>42921</v>
      </c>
      <c r="X2176" s="1">
        <v>4495000</v>
      </c>
      <c r="Y2176" s="1">
        <v>4495000</v>
      </c>
      <c r="Z2176" s="5">
        <v>43137</v>
      </c>
      <c r="AA2176" s="1">
        <v>4495000</v>
      </c>
      <c r="AB2176" s="1" t="s">
        <v>181</v>
      </c>
      <c r="AC2176" s="5">
        <v>43952</v>
      </c>
      <c r="AF2176" s="1">
        <v>10069</v>
      </c>
      <c r="AI2176" s="1" t="s">
        <v>109</v>
      </c>
      <c r="AJ2176" s="1">
        <v>2019</v>
      </c>
      <c r="AK2176" s="1" t="s">
        <v>77</v>
      </c>
      <c r="AL2176" s="1">
        <v>160</v>
      </c>
    </row>
    <row r="2177" spans="1:38" x14ac:dyDescent="0.2">
      <c r="A2177" s="2" t="str">
        <f>HYPERLINK("https://www.compass.com/listing/30-riverside-boulevard-unit-22m-manhattan-ny-10069/29515093901342353/","30 Riverside Blvd, Unit 22M")</f>
        <v>30 Riverside Blvd, Unit 22M</v>
      </c>
      <c r="B2177" s="2" t="str">
        <f t="shared" si="321"/>
        <v>Two Waterline Square</v>
      </c>
      <c r="C2177" s="1" t="s">
        <v>50</v>
      </c>
      <c r="D2177" s="1" t="s">
        <v>41</v>
      </c>
      <c r="E2177" s="3">
        <v>3880000</v>
      </c>
      <c r="F2177" s="1">
        <v>2534.2913128673999</v>
      </c>
      <c r="G2177" s="1">
        <v>4</v>
      </c>
      <c r="H2177" s="1">
        <v>2</v>
      </c>
      <c r="I2177" s="1">
        <v>3</v>
      </c>
      <c r="J2177" s="1">
        <v>2.5</v>
      </c>
      <c r="K2177" s="1">
        <v>2</v>
      </c>
      <c r="L2177" s="1">
        <v>1</v>
      </c>
      <c r="M2177" s="4">
        <v>1531</v>
      </c>
      <c r="N2177" s="1">
        <v>1953</v>
      </c>
      <c r="O2177" s="1">
        <v>2056</v>
      </c>
      <c r="P2177" s="1">
        <v>103</v>
      </c>
      <c r="Q2177" s="1" t="s">
        <v>42</v>
      </c>
      <c r="S2177" s="1" t="s">
        <v>42</v>
      </c>
      <c r="T2177" s="1" t="s">
        <v>170</v>
      </c>
      <c r="U2177" s="1">
        <v>233</v>
      </c>
      <c r="V2177" s="5">
        <v>44023</v>
      </c>
      <c r="W2177" s="5">
        <v>42955</v>
      </c>
      <c r="X2177" s="1">
        <v>3880000</v>
      </c>
      <c r="Y2177" s="1">
        <v>3880000</v>
      </c>
      <c r="Z2177" s="5">
        <v>43188</v>
      </c>
      <c r="AA2177" s="1">
        <v>3880000</v>
      </c>
      <c r="AB2177" s="1" t="s">
        <v>181</v>
      </c>
      <c r="AC2177" s="5">
        <v>44022</v>
      </c>
      <c r="AF2177" s="1">
        <v>10069</v>
      </c>
      <c r="AI2177" s="1" t="s">
        <v>164</v>
      </c>
      <c r="AJ2177" s="1">
        <v>2019</v>
      </c>
      <c r="AK2177" s="1" t="s">
        <v>77</v>
      </c>
      <c r="AL2177" s="1">
        <v>160</v>
      </c>
    </row>
    <row r="2178" spans="1:38" x14ac:dyDescent="0.2">
      <c r="A2178" s="2" t="str">
        <f>HYPERLINK("https://www.compass.com/listing/30-riverside-boulevard-unit-28a-manhattan-ny-10069/29515100041803681/","30 Riverside Blvd, Unit 28A")</f>
        <v>30 Riverside Blvd, Unit 28A</v>
      </c>
      <c r="B2178" s="2" t="str">
        <f t="shared" si="321"/>
        <v>Two Waterline Square</v>
      </c>
      <c r="C2178" s="1" t="s">
        <v>50</v>
      </c>
      <c r="D2178" s="1" t="s">
        <v>41</v>
      </c>
      <c r="E2178" s="3">
        <v>4360000</v>
      </c>
      <c r="F2178" s="1">
        <v>2932.07800941492</v>
      </c>
      <c r="G2178" s="1">
        <v>4</v>
      </c>
      <c r="H2178" s="1">
        <v>2</v>
      </c>
      <c r="I2178" s="1">
        <v>3</v>
      </c>
      <c r="J2178" s="1">
        <v>2.5</v>
      </c>
      <c r="K2178" s="1">
        <v>2</v>
      </c>
      <c r="L2178" s="1">
        <v>1</v>
      </c>
      <c r="M2178" s="4">
        <v>1487</v>
      </c>
      <c r="N2178" s="1">
        <v>1936</v>
      </c>
      <c r="O2178" s="1">
        <v>2038</v>
      </c>
      <c r="P2178" s="1">
        <v>102</v>
      </c>
      <c r="Q2178" s="1" t="s">
        <v>42</v>
      </c>
      <c r="S2178" s="1" t="s">
        <v>42</v>
      </c>
      <c r="T2178" s="1" t="s">
        <v>170</v>
      </c>
      <c r="U2178" s="1">
        <v>215</v>
      </c>
      <c r="V2178" s="5">
        <v>43994</v>
      </c>
      <c r="W2178" s="5">
        <v>42949</v>
      </c>
      <c r="X2178" s="1">
        <v>4360000</v>
      </c>
      <c r="Y2178" s="1">
        <v>4360000</v>
      </c>
      <c r="Z2178" s="5">
        <v>43165</v>
      </c>
      <c r="AA2178" s="1">
        <v>4360000</v>
      </c>
      <c r="AB2178" s="1" t="s">
        <v>181</v>
      </c>
      <c r="AC2178" s="5">
        <v>43990</v>
      </c>
      <c r="AF2178" s="1">
        <v>10069</v>
      </c>
      <c r="AI2178" s="1" t="s">
        <v>109</v>
      </c>
      <c r="AJ2178" s="1">
        <v>2019</v>
      </c>
      <c r="AK2178" s="1" t="s">
        <v>77</v>
      </c>
      <c r="AL2178" s="1">
        <v>160</v>
      </c>
    </row>
    <row r="2179" spans="1:38" x14ac:dyDescent="0.2">
      <c r="A2179" s="2" t="str">
        <f>HYPERLINK("https://www.compass.com/listing/30-riverside-boulevard-unit-20m-manhattan-ny-10069/29515101593764161/","30 Riverside Blvd, Unit 20M")</f>
        <v>30 Riverside Blvd, Unit 20M</v>
      </c>
      <c r="B2179" s="2" t="str">
        <f t="shared" si="321"/>
        <v>Two Waterline Square</v>
      </c>
      <c r="C2179" s="1" t="s">
        <v>50</v>
      </c>
      <c r="D2179" s="1" t="s">
        <v>41</v>
      </c>
      <c r="E2179" s="3">
        <v>3800000</v>
      </c>
      <c r="F2179" s="1">
        <v>2482.03788373612</v>
      </c>
      <c r="G2179" s="1">
        <v>4</v>
      </c>
      <c r="H2179" s="1">
        <v>2</v>
      </c>
      <c r="I2179" s="1">
        <v>3</v>
      </c>
      <c r="J2179" s="1">
        <v>2.5</v>
      </c>
      <c r="K2179" s="1">
        <v>2</v>
      </c>
      <c r="L2179" s="1">
        <v>1</v>
      </c>
      <c r="M2179" s="4">
        <v>1531</v>
      </c>
      <c r="N2179" s="1">
        <v>1871</v>
      </c>
      <c r="O2179" s="1">
        <v>1973</v>
      </c>
      <c r="P2179" s="1">
        <v>102</v>
      </c>
      <c r="Q2179" s="1" t="s">
        <v>42</v>
      </c>
      <c r="S2179" s="1" t="s">
        <v>42</v>
      </c>
      <c r="T2179" s="1" t="s">
        <v>170</v>
      </c>
      <c r="U2179" s="1">
        <v>136</v>
      </c>
      <c r="V2179" s="5">
        <v>43951</v>
      </c>
      <c r="W2179" s="5">
        <v>43119</v>
      </c>
      <c r="X2179" s="1">
        <v>3800000</v>
      </c>
      <c r="Y2179" s="1">
        <v>3800000</v>
      </c>
      <c r="Z2179" s="5">
        <v>43256</v>
      </c>
      <c r="AA2179" s="1">
        <v>3800000</v>
      </c>
      <c r="AB2179" s="1" t="s">
        <v>181</v>
      </c>
      <c r="AC2179" s="5">
        <v>43950</v>
      </c>
      <c r="AF2179" s="1">
        <v>10069</v>
      </c>
      <c r="AI2179" s="1" t="s">
        <v>164</v>
      </c>
      <c r="AJ2179" s="1">
        <v>2019</v>
      </c>
      <c r="AK2179" s="1" t="s">
        <v>77</v>
      </c>
      <c r="AL2179" s="1">
        <v>160</v>
      </c>
    </row>
    <row r="2180" spans="1:38" x14ac:dyDescent="0.2">
      <c r="A2180" s="2" t="str">
        <f>HYPERLINK("https://www.compass.com/listing/30-riverside-boulevard-unit-30a-manhattan-ny-10069/401285760477617233/","30 Riverside Blvd, Unit 30A")</f>
        <v>30 Riverside Blvd, Unit 30A</v>
      </c>
      <c r="B2180" s="2" t="str">
        <f t="shared" si="321"/>
        <v>Two Waterline Square</v>
      </c>
      <c r="C2180" s="1" t="s">
        <v>50</v>
      </c>
      <c r="D2180" s="1" t="s">
        <v>41</v>
      </c>
      <c r="E2180" s="3">
        <v>3940857</v>
      </c>
      <c r="F2180" s="1">
        <v>2650.2064559515802</v>
      </c>
      <c r="G2180" s="1">
        <v>4.5</v>
      </c>
      <c r="H2180" s="1">
        <v>2</v>
      </c>
      <c r="I2180" s="1">
        <v>3</v>
      </c>
      <c r="J2180" s="1">
        <v>2.5</v>
      </c>
      <c r="K2180" s="1">
        <v>2</v>
      </c>
      <c r="L2180" s="1">
        <v>1</v>
      </c>
      <c r="M2180" s="4">
        <v>1487</v>
      </c>
      <c r="N2180" s="1">
        <v>1911</v>
      </c>
      <c r="O2180" s="1">
        <v>2014</v>
      </c>
      <c r="P2180" s="1">
        <v>103</v>
      </c>
      <c r="Q2180" s="1" t="s">
        <v>42</v>
      </c>
      <c r="S2180" s="1" t="s">
        <v>42</v>
      </c>
      <c r="T2180" s="1" t="s">
        <v>170</v>
      </c>
      <c r="U2180" s="1">
        <v>185</v>
      </c>
      <c r="V2180" s="5">
        <v>44212</v>
      </c>
      <c r="W2180" s="5">
        <v>43805</v>
      </c>
      <c r="X2180" s="1">
        <v>4530000</v>
      </c>
      <c r="Y2180" s="1">
        <v>4530000</v>
      </c>
      <c r="AA2180" s="1">
        <v>3940857</v>
      </c>
      <c r="AB2180" s="1" t="s">
        <v>173</v>
      </c>
      <c r="AC2180" s="5">
        <v>44173</v>
      </c>
      <c r="AF2180" s="1">
        <v>10069</v>
      </c>
      <c r="AI2180" s="1" t="s">
        <v>109</v>
      </c>
      <c r="AJ2180" s="1">
        <v>2019</v>
      </c>
      <c r="AK2180" s="1" t="s">
        <v>77</v>
      </c>
      <c r="AL2180" s="1">
        <v>160</v>
      </c>
    </row>
    <row r="2181" spans="1:38" x14ac:dyDescent="0.2">
      <c r="A2181" s="2" t="str">
        <f>HYPERLINK("https://www.compass.com/listing/30-riverside-boulevard-unit-20b-manhattan-ny-10069/50612086455157105/","30 Riverside Blvd, Unit 20B")</f>
        <v>30 Riverside Blvd, Unit 20B</v>
      </c>
      <c r="B2181" s="2" t="str">
        <f t="shared" si="321"/>
        <v>Two Waterline Square</v>
      </c>
      <c r="C2181" s="1" t="s">
        <v>50</v>
      </c>
      <c r="D2181" s="1" t="s">
        <v>41</v>
      </c>
      <c r="E2181" s="3">
        <v>4375000</v>
      </c>
      <c r="F2181" s="1">
        <v>2515.8136860264499</v>
      </c>
      <c r="G2181" s="1">
        <v>4</v>
      </c>
      <c r="H2181" s="1">
        <v>2</v>
      </c>
      <c r="I2181" s="1">
        <v>3</v>
      </c>
      <c r="J2181" s="1">
        <v>2.5</v>
      </c>
      <c r="K2181" s="1">
        <v>2</v>
      </c>
      <c r="L2181" s="1">
        <v>1</v>
      </c>
      <c r="M2181" s="4">
        <v>1739</v>
      </c>
      <c r="N2181" s="1">
        <v>2107</v>
      </c>
      <c r="O2181" s="1">
        <v>2221</v>
      </c>
      <c r="P2181" s="1">
        <v>114</v>
      </c>
      <c r="Q2181" s="1" t="s">
        <v>42</v>
      </c>
      <c r="S2181" s="1" t="s">
        <v>42</v>
      </c>
      <c r="T2181" s="1" t="s">
        <v>170</v>
      </c>
      <c r="U2181" s="1">
        <v>35</v>
      </c>
      <c r="V2181" s="5">
        <v>44083</v>
      </c>
      <c r="W2181" s="5">
        <v>43286</v>
      </c>
      <c r="X2181" s="1">
        <v>4375000</v>
      </c>
      <c r="Y2181" s="1">
        <v>4375000</v>
      </c>
      <c r="Z2181" s="5">
        <v>43322</v>
      </c>
      <c r="AA2181" s="1">
        <v>4375000</v>
      </c>
      <c r="AB2181" s="1" t="s">
        <v>181</v>
      </c>
      <c r="AC2181" s="5">
        <v>44082</v>
      </c>
      <c r="AF2181" s="1">
        <v>10069</v>
      </c>
      <c r="AI2181" s="1" t="s">
        <v>109</v>
      </c>
      <c r="AJ2181" s="1">
        <v>2019</v>
      </c>
      <c r="AK2181" s="1" t="s">
        <v>77</v>
      </c>
      <c r="AL2181" s="1">
        <v>160</v>
      </c>
    </row>
    <row r="2182" spans="1:38" x14ac:dyDescent="0.2">
      <c r="A2182" s="2" t="str">
        <f>HYPERLINK("https://www.compass.com/listing/200-east-59th-street-unit-9b-manhattan-ny-10022/455764354772752873/","200 E 59th St, Unit 9B")</f>
        <v>200 E 59th St, Unit 9B</v>
      </c>
      <c r="B2182" s="2" t="str">
        <f>HYPERLINK("https://www.compass.com/building/200-east-59th-street-manhattan-ny/292859303948266645/","200 East 59th Street")</f>
        <v>200 East 59th Street</v>
      </c>
      <c r="C2182" s="1" t="s">
        <v>64</v>
      </c>
      <c r="D2182" s="1" t="s">
        <v>41</v>
      </c>
      <c r="E2182" s="3">
        <v>2330000</v>
      </c>
      <c r="F2182" s="1">
        <v>2790.4191616766402</v>
      </c>
      <c r="G2182" s="1">
        <v>2.5</v>
      </c>
      <c r="H2182" s="1">
        <v>1</v>
      </c>
      <c r="I2182" s="1">
        <v>2</v>
      </c>
      <c r="J2182" s="1">
        <v>1.5</v>
      </c>
      <c r="K2182" s="1">
        <v>1</v>
      </c>
      <c r="L2182" s="1">
        <v>1</v>
      </c>
      <c r="M2182" s="1">
        <v>835</v>
      </c>
      <c r="N2182" s="1">
        <v>1369</v>
      </c>
      <c r="O2182" s="1">
        <v>2485</v>
      </c>
      <c r="P2182" s="1">
        <v>1116</v>
      </c>
      <c r="Q2182" s="1" t="s">
        <v>42</v>
      </c>
      <c r="S2182" s="1" t="s">
        <v>42</v>
      </c>
      <c r="T2182" s="1" t="s">
        <v>170</v>
      </c>
      <c r="U2182" s="1">
        <v>1097</v>
      </c>
      <c r="V2182" s="5">
        <v>44427</v>
      </c>
      <c r="W2182" s="5">
        <v>42783</v>
      </c>
      <c r="X2182" s="1">
        <v>2330000</v>
      </c>
      <c r="Y2182" s="1">
        <v>2330000</v>
      </c>
      <c r="Z2182" s="5">
        <v>43881</v>
      </c>
      <c r="AA2182" s="1">
        <v>2330000</v>
      </c>
      <c r="AB2182" s="1" t="s">
        <v>181</v>
      </c>
      <c r="AC2182" s="5">
        <v>44084</v>
      </c>
      <c r="AF2182" s="1">
        <v>10022</v>
      </c>
      <c r="AI2182" s="1" t="s">
        <v>85</v>
      </c>
      <c r="AJ2182" s="1">
        <v>2018</v>
      </c>
      <c r="AK2182" s="1" t="s">
        <v>46</v>
      </c>
      <c r="AL2182" s="1">
        <v>67</v>
      </c>
    </row>
    <row r="2183" spans="1:38" x14ac:dyDescent="0.2">
      <c r="A2183" s="2" t="str">
        <f>HYPERLINK("https://www.compass.com/listing/30-riverside-boulevard-unit-32b-manhattan-ny-10069/756652088974430937/","30 Riverside Blvd, Unit 32B")</f>
        <v>30 Riverside Blvd, Unit 32B</v>
      </c>
      <c r="B2183" s="2" t="str">
        <f>HYPERLINK("https://www.compass.com/building/two-waterline-square-manhattan-ny/282058630956612773/","Two Waterline Square")</f>
        <v>Two Waterline Square</v>
      </c>
      <c r="C2183" s="1" t="s">
        <v>50</v>
      </c>
      <c r="D2183" s="1" t="s">
        <v>41</v>
      </c>
      <c r="E2183" s="3">
        <v>6970000</v>
      </c>
      <c r="F2183" s="1">
        <v>3096.4015992892</v>
      </c>
      <c r="G2183" s="1">
        <v>7</v>
      </c>
      <c r="H2183" s="1">
        <v>4</v>
      </c>
      <c r="I2183" s="1">
        <v>5</v>
      </c>
      <c r="J2183" s="1">
        <v>4.5</v>
      </c>
      <c r="K2183" s="1">
        <v>4</v>
      </c>
      <c r="L2183" s="1">
        <v>1</v>
      </c>
      <c r="M2183" s="4">
        <v>2251</v>
      </c>
      <c r="N2183" s="1">
        <v>3106</v>
      </c>
      <c r="O2183" s="1">
        <v>3271</v>
      </c>
      <c r="P2183" s="1">
        <v>165</v>
      </c>
      <c r="Q2183" s="1" t="s">
        <v>42</v>
      </c>
      <c r="S2183" s="1" t="s">
        <v>42</v>
      </c>
      <c r="T2183" s="1" t="s">
        <v>170</v>
      </c>
      <c r="U2183" s="1">
        <v>11</v>
      </c>
      <c r="V2183" s="5">
        <v>44378</v>
      </c>
      <c r="W2183" s="5">
        <v>44295</v>
      </c>
      <c r="X2183" s="1">
        <v>6970000</v>
      </c>
      <c r="Y2183" s="1">
        <v>6970000</v>
      </c>
      <c r="Z2183" s="5">
        <v>44307</v>
      </c>
      <c r="AA2183" s="1">
        <v>6970000</v>
      </c>
      <c r="AB2183" s="1" t="s">
        <v>181</v>
      </c>
      <c r="AC2183" s="5">
        <v>44378</v>
      </c>
      <c r="AF2183" s="1">
        <v>10069</v>
      </c>
      <c r="AI2183" s="1" t="s">
        <v>109</v>
      </c>
      <c r="AJ2183" s="1">
        <v>2019</v>
      </c>
      <c r="AK2183" s="1" t="s">
        <v>77</v>
      </c>
      <c r="AL2183" s="1">
        <v>160</v>
      </c>
    </row>
    <row r="2184" spans="1:38" x14ac:dyDescent="0.2">
      <c r="A2184" s="2" t="str">
        <f>HYPERLINK("https://www.compass.com/listing/200-east-59th-street-unit-6c-manhattan-ny-10022/85401640932222689/","200 E 59th St, Unit 6C")</f>
        <v>200 E 59th St, Unit 6C</v>
      </c>
      <c r="B2184" s="2" t="str">
        <f t="shared" ref="B2184:B2186" si="322">HYPERLINK("https://www.compass.com/building/200-east-59th-street-manhattan-ny/292859303948266645/","200 East 59th Street")</f>
        <v>200 East 59th Street</v>
      </c>
      <c r="C2184" s="1" t="s">
        <v>64</v>
      </c>
      <c r="D2184" s="1" t="s">
        <v>41</v>
      </c>
      <c r="E2184" s="3">
        <v>1825000</v>
      </c>
      <c r="F2184" s="1">
        <v>1510.76158940397</v>
      </c>
      <c r="G2184" s="1">
        <v>3.5</v>
      </c>
      <c r="H2184" s="1">
        <v>1</v>
      </c>
      <c r="I2184" s="1">
        <v>2</v>
      </c>
      <c r="J2184" s="1">
        <v>1.5</v>
      </c>
      <c r="K2184" s="1">
        <v>1</v>
      </c>
      <c r="L2184" s="1">
        <v>1</v>
      </c>
      <c r="M2184" s="4">
        <v>1208</v>
      </c>
      <c r="N2184" s="1">
        <v>1423</v>
      </c>
      <c r="O2184" s="1">
        <v>2719</v>
      </c>
      <c r="P2184" s="1">
        <v>1296</v>
      </c>
      <c r="Q2184" s="1" t="s">
        <v>42</v>
      </c>
      <c r="S2184" s="1" t="s">
        <v>42</v>
      </c>
      <c r="T2184" s="1" t="s">
        <v>170</v>
      </c>
      <c r="U2184" s="1">
        <v>425</v>
      </c>
      <c r="V2184" s="5">
        <v>43877</v>
      </c>
      <c r="W2184" s="5">
        <v>43370</v>
      </c>
      <c r="X2184" s="1">
        <v>1975000</v>
      </c>
      <c r="Y2184" s="1">
        <v>1975000</v>
      </c>
      <c r="Z2184" s="5">
        <v>43795</v>
      </c>
      <c r="AA2184" s="1">
        <v>1825000</v>
      </c>
      <c r="AB2184" s="1" t="s">
        <v>1674</v>
      </c>
      <c r="AC2184" s="5">
        <v>43859</v>
      </c>
      <c r="AF2184" s="1">
        <v>10022</v>
      </c>
      <c r="AI2184" s="1" t="s">
        <v>116</v>
      </c>
      <c r="AJ2184" s="1">
        <v>2018</v>
      </c>
      <c r="AK2184" s="1" t="s">
        <v>46</v>
      </c>
      <c r="AL2184" s="1">
        <v>67</v>
      </c>
    </row>
    <row r="2185" spans="1:38" x14ac:dyDescent="0.2">
      <c r="A2185" s="2" t="str">
        <f>HYPERLINK("https://www.compass.com/listing/200-east-59th-street-unit-15b-manhattan-ny-10022/85401642760939809/","200 E 59th St, Unit 15B")</f>
        <v>200 E 59th St, Unit 15B</v>
      </c>
      <c r="B2185" s="2" t="str">
        <f t="shared" si="322"/>
        <v>200 East 59th Street</v>
      </c>
      <c r="C2185" s="1" t="s">
        <v>64</v>
      </c>
      <c r="D2185" s="1" t="s">
        <v>41</v>
      </c>
      <c r="E2185" s="3">
        <v>1749549</v>
      </c>
      <c r="F2185" s="1">
        <v>1787.07737487231</v>
      </c>
      <c r="G2185" s="1">
        <v>2.5</v>
      </c>
      <c r="H2185" s="1">
        <v>1</v>
      </c>
      <c r="I2185" s="1">
        <v>2</v>
      </c>
      <c r="J2185" s="1">
        <v>1.5</v>
      </c>
      <c r="K2185" s="1">
        <v>1</v>
      </c>
      <c r="L2185" s="1">
        <v>1</v>
      </c>
      <c r="M2185" s="1">
        <v>979</v>
      </c>
      <c r="N2185" s="1">
        <v>1369</v>
      </c>
      <c r="O2185" s="1">
        <v>2485</v>
      </c>
      <c r="P2185" s="1">
        <v>1116</v>
      </c>
      <c r="Q2185" s="1" t="s">
        <v>42</v>
      </c>
      <c r="S2185" s="1" t="s">
        <v>42</v>
      </c>
      <c r="T2185" s="1" t="s">
        <v>170</v>
      </c>
      <c r="U2185" s="1">
        <v>351</v>
      </c>
      <c r="V2185" s="5">
        <v>44408</v>
      </c>
      <c r="W2185" s="5">
        <v>43370</v>
      </c>
      <c r="X2185" s="1">
        <v>2050000</v>
      </c>
      <c r="Y2185" s="1">
        <v>2050000</v>
      </c>
      <c r="Z2185" s="5">
        <v>43721</v>
      </c>
      <c r="AA2185" s="1">
        <v>1749548.75</v>
      </c>
      <c r="AB2185" s="1" t="s">
        <v>1675</v>
      </c>
      <c r="AC2185" s="5">
        <v>43866</v>
      </c>
      <c r="AF2185" s="1">
        <v>10022</v>
      </c>
      <c r="AI2185" s="1" t="s">
        <v>85</v>
      </c>
      <c r="AJ2185" s="1">
        <v>2018</v>
      </c>
      <c r="AK2185" s="1" t="s">
        <v>46</v>
      </c>
      <c r="AL2185" s="1">
        <v>67</v>
      </c>
    </row>
    <row r="2186" spans="1:38" x14ac:dyDescent="0.2">
      <c r="A2186" s="2" t="str">
        <f>HYPERLINK("https://www.compass.com/listing/200-east-59th-street-unit-15c-manhattan-ny-10022/85944345433217793/","200 E 59th St, Unit 15C")</f>
        <v>200 E 59th St, Unit 15C</v>
      </c>
      <c r="B2186" s="2" t="str">
        <f t="shared" si="322"/>
        <v>200 East 59th Street</v>
      </c>
      <c r="C2186" s="1" t="s">
        <v>64</v>
      </c>
      <c r="D2186" s="1" t="s">
        <v>41</v>
      </c>
      <c r="E2186" s="3">
        <v>2480000</v>
      </c>
      <c r="F2186" s="1">
        <v>2052.9801324503301</v>
      </c>
      <c r="G2186" s="1">
        <v>3.5</v>
      </c>
      <c r="H2186" s="1">
        <v>1</v>
      </c>
      <c r="I2186" s="1">
        <v>2</v>
      </c>
      <c r="J2186" s="1">
        <v>1.5</v>
      </c>
      <c r="K2186" s="1">
        <v>1</v>
      </c>
      <c r="L2186" s="1">
        <v>1</v>
      </c>
      <c r="M2186" s="4">
        <v>1208</v>
      </c>
      <c r="N2186" s="1">
        <v>1423</v>
      </c>
      <c r="O2186" s="1">
        <v>2719</v>
      </c>
      <c r="P2186" s="1">
        <v>1296</v>
      </c>
      <c r="Q2186" s="1" t="s">
        <v>42</v>
      </c>
      <c r="S2186" s="1" t="s">
        <v>42</v>
      </c>
      <c r="T2186" s="1" t="s">
        <v>170</v>
      </c>
      <c r="U2186" s="1">
        <v>492</v>
      </c>
      <c r="V2186" s="5">
        <v>43877</v>
      </c>
      <c r="W2186" s="5">
        <v>43367</v>
      </c>
      <c r="X2186" s="1">
        <v>2500000</v>
      </c>
      <c r="Y2186" s="1">
        <v>2500000</v>
      </c>
      <c r="AA2186" s="1">
        <v>2480000</v>
      </c>
      <c r="AB2186" s="1" t="s">
        <v>1676</v>
      </c>
      <c r="AC2186" s="5">
        <v>43859</v>
      </c>
      <c r="AF2186" s="1">
        <v>10022</v>
      </c>
      <c r="AI2186" s="1" t="s">
        <v>116</v>
      </c>
      <c r="AJ2186" s="1">
        <v>2018</v>
      </c>
      <c r="AK2186" s="1" t="s">
        <v>46</v>
      </c>
      <c r="AL2186" s="1">
        <v>67</v>
      </c>
    </row>
    <row r="2187" spans="1:38" x14ac:dyDescent="0.2">
      <c r="A2187" s="2" t="str">
        <f>HYPERLINK("https://www.compass.com/listing/30-riverside-boulevard-unit-27b-manhattan-ny-10069/542638141096851201/","30 Riverside Blvd, Unit 27B")</f>
        <v>30 Riverside Blvd, Unit 27B</v>
      </c>
      <c r="B2187" s="2" t="str">
        <f t="shared" ref="B2187:B2203" si="323">HYPERLINK("https://www.compass.com/building/two-waterline-square-manhattan-ny/282058630956612773/","Two Waterline Square")</f>
        <v>Two Waterline Square</v>
      </c>
      <c r="C2187" s="1" t="s">
        <v>50</v>
      </c>
      <c r="D2187" s="1" t="s">
        <v>41</v>
      </c>
      <c r="E2187" s="3">
        <v>5290000</v>
      </c>
      <c r="F2187" s="1">
        <v>2901.81020296215</v>
      </c>
      <c r="G2187" s="1">
        <v>5</v>
      </c>
      <c r="H2187" s="1">
        <v>3</v>
      </c>
      <c r="I2187" s="1">
        <v>4</v>
      </c>
      <c r="J2187" s="1">
        <v>3.5</v>
      </c>
      <c r="K2187" s="1">
        <v>3</v>
      </c>
      <c r="L2187" s="1">
        <v>1</v>
      </c>
      <c r="M2187" s="4">
        <v>1823</v>
      </c>
      <c r="N2187" s="1">
        <v>2309</v>
      </c>
      <c r="O2187" s="1">
        <v>2434</v>
      </c>
      <c r="P2187" s="1">
        <v>125</v>
      </c>
      <c r="Q2187" s="1" t="s">
        <v>42</v>
      </c>
      <c r="S2187" s="1" t="s">
        <v>42</v>
      </c>
      <c r="T2187" s="1" t="s">
        <v>170</v>
      </c>
      <c r="U2187" s="1">
        <v>2</v>
      </c>
      <c r="V2187" s="5">
        <v>44302</v>
      </c>
      <c r="W2187" s="5">
        <v>44258</v>
      </c>
      <c r="Y2187" s="1">
        <v>5290000</v>
      </c>
      <c r="Z2187" s="5">
        <v>44261</v>
      </c>
      <c r="AA2187" s="1">
        <v>5290000</v>
      </c>
      <c r="AB2187" s="1" t="s">
        <v>181</v>
      </c>
      <c r="AC2187" s="5">
        <v>44301</v>
      </c>
      <c r="AF2187" s="1">
        <v>10069</v>
      </c>
      <c r="AI2187" s="1" t="s">
        <v>109</v>
      </c>
      <c r="AJ2187" s="1">
        <v>2019</v>
      </c>
      <c r="AK2187" s="1" t="s">
        <v>77</v>
      </c>
      <c r="AL2187" s="1">
        <v>160</v>
      </c>
    </row>
    <row r="2188" spans="1:38" x14ac:dyDescent="0.2">
      <c r="A2188" s="2" t="str">
        <f>HYPERLINK("https://www.compass.com/listing/30-riverside-boulevard-unit-31b-manhattan-ny-10069/613737659221077505/","30 Riverside Blvd, Unit 31B")</f>
        <v>30 Riverside Blvd, Unit 31B</v>
      </c>
      <c r="B2188" s="2" t="str">
        <f t="shared" si="323"/>
        <v>Two Waterline Square</v>
      </c>
      <c r="C2188" s="1" t="s">
        <v>50</v>
      </c>
      <c r="D2188" s="1" t="s">
        <v>41</v>
      </c>
      <c r="E2188" s="3">
        <v>6900000</v>
      </c>
      <c r="F2188" s="1">
        <v>3065.3043091959098</v>
      </c>
      <c r="G2188" s="1">
        <v>7</v>
      </c>
      <c r="H2188" s="1">
        <v>4</v>
      </c>
      <c r="I2188" s="1">
        <v>5</v>
      </c>
      <c r="J2188" s="1">
        <v>4.5</v>
      </c>
      <c r="K2188" s="1">
        <v>4</v>
      </c>
      <c r="L2188" s="1">
        <v>1</v>
      </c>
      <c r="M2188" s="4">
        <v>2251</v>
      </c>
      <c r="N2188" s="1">
        <v>2906</v>
      </c>
      <c r="O2188" s="1">
        <v>3063</v>
      </c>
      <c r="P2188" s="1">
        <v>157</v>
      </c>
      <c r="Q2188" s="1" t="s">
        <v>42</v>
      </c>
      <c r="S2188" s="1" t="s">
        <v>42</v>
      </c>
      <c r="T2188" s="1" t="s">
        <v>170</v>
      </c>
      <c r="U2188" s="1">
        <v>2</v>
      </c>
      <c r="V2188" s="5">
        <v>44301</v>
      </c>
      <c r="W2188" s="5">
        <v>44237</v>
      </c>
      <c r="Y2188" s="1">
        <v>6900000</v>
      </c>
      <c r="Z2188" s="5">
        <v>44239</v>
      </c>
      <c r="AA2188" s="1">
        <v>6900000</v>
      </c>
      <c r="AB2188" s="1" t="s">
        <v>181</v>
      </c>
      <c r="AC2188" s="5">
        <v>44299</v>
      </c>
      <c r="AF2188" s="1">
        <v>10069</v>
      </c>
      <c r="AI2188" s="1" t="s">
        <v>109</v>
      </c>
      <c r="AJ2188" s="1">
        <v>2019</v>
      </c>
      <c r="AK2188" s="1" t="s">
        <v>77</v>
      </c>
      <c r="AL2188" s="1">
        <v>160</v>
      </c>
    </row>
    <row r="2189" spans="1:38" x14ac:dyDescent="0.2">
      <c r="A2189" s="2" t="str">
        <f>HYPERLINK("https://www.compass.com/listing/30-riverside-boulevard-unit-34f-manhattan-ny-10069/401285763397004545/","30 Riverside Blvd, Unit 34F")</f>
        <v>30 Riverside Blvd, Unit 34F</v>
      </c>
      <c r="B2189" s="2" t="str">
        <f t="shared" si="323"/>
        <v>Two Waterline Square</v>
      </c>
      <c r="C2189" s="1" t="s">
        <v>50</v>
      </c>
      <c r="D2189" s="1" t="s">
        <v>41</v>
      </c>
      <c r="E2189" s="3">
        <v>5840000</v>
      </c>
      <c r="F2189" s="1">
        <v>2752.1206409048</v>
      </c>
      <c r="G2189" s="1">
        <v>5.5</v>
      </c>
      <c r="H2189" s="1">
        <v>3</v>
      </c>
      <c r="I2189" s="1">
        <v>4</v>
      </c>
      <c r="J2189" s="1">
        <v>3.5</v>
      </c>
      <c r="K2189" s="1">
        <v>3</v>
      </c>
      <c r="L2189" s="1">
        <v>1</v>
      </c>
      <c r="M2189" s="4">
        <v>2122</v>
      </c>
      <c r="N2189" s="1">
        <v>2955</v>
      </c>
      <c r="O2189" s="1">
        <v>3112</v>
      </c>
      <c r="P2189" s="1">
        <v>157</v>
      </c>
      <c r="Q2189" s="1" t="s">
        <v>42</v>
      </c>
      <c r="S2189" s="1" t="s">
        <v>42</v>
      </c>
      <c r="T2189" s="1" t="s">
        <v>170</v>
      </c>
      <c r="U2189" s="1">
        <v>84</v>
      </c>
      <c r="V2189" s="5">
        <v>44342</v>
      </c>
      <c r="W2189" s="5">
        <v>44201</v>
      </c>
      <c r="Y2189" s="1">
        <v>5840000</v>
      </c>
      <c r="Z2189" s="5">
        <v>44285</v>
      </c>
      <c r="AA2189" s="1">
        <v>5840000</v>
      </c>
      <c r="AB2189" s="1" t="s">
        <v>181</v>
      </c>
      <c r="AC2189" s="5">
        <v>44341</v>
      </c>
      <c r="AF2189" s="1">
        <v>10069</v>
      </c>
      <c r="AI2189" s="1" t="s">
        <v>109</v>
      </c>
      <c r="AJ2189" s="1">
        <v>2019</v>
      </c>
      <c r="AK2189" s="1" t="s">
        <v>77</v>
      </c>
      <c r="AL2189" s="1">
        <v>160</v>
      </c>
    </row>
    <row r="2190" spans="1:38" x14ac:dyDescent="0.2">
      <c r="A2190" s="2" t="str">
        <f>HYPERLINK("https://www.compass.com/listing/30-riverside-boulevard-unit-21e-manhattan-ny-10069/542638246197667481/","30 Riverside Blvd, Unit 21E")</f>
        <v>30 Riverside Blvd, Unit 21E</v>
      </c>
      <c r="B2190" s="2" t="str">
        <f t="shared" si="323"/>
        <v>Two Waterline Square</v>
      </c>
      <c r="C2190" s="1" t="s">
        <v>50</v>
      </c>
      <c r="D2190" s="1" t="s">
        <v>41</v>
      </c>
      <c r="E2190" s="3">
        <v>4780000</v>
      </c>
      <c r="F2190" s="1">
        <v>2368.68186323092</v>
      </c>
      <c r="G2190" s="1">
        <v>5</v>
      </c>
      <c r="H2190" s="1">
        <v>3</v>
      </c>
      <c r="I2190" s="1">
        <v>4</v>
      </c>
      <c r="J2190" s="1">
        <v>3.5</v>
      </c>
      <c r="K2190" s="1">
        <v>3</v>
      </c>
      <c r="L2190" s="1">
        <v>1</v>
      </c>
      <c r="M2190" s="4">
        <v>2018</v>
      </c>
      <c r="N2190" s="1">
        <v>2482</v>
      </c>
      <c r="O2190" s="1">
        <v>2616</v>
      </c>
      <c r="P2190" s="1">
        <v>134</v>
      </c>
      <c r="Q2190" s="1" t="s">
        <v>42</v>
      </c>
      <c r="S2190" s="1" t="s">
        <v>42</v>
      </c>
      <c r="T2190" s="1" t="s">
        <v>170</v>
      </c>
      <c r="U2190" s="1">
        <v>23</v>
      </c>
      <c r="V2190" s="5">
        <v>44313</v>
      </c>
      <c r="W2190" s="5">
        <v>44201</v>
      </c>
      <c r="Y2190" s="1">
        <v>4780000</v>
      </c>
      <c r="Z2190" s="5">
        <v>44225</v>
      </c>
      <c r="AA2190" s="1">
        <v>4780000</v>
      </c>
      <c r="AB2190" s="1" t="s">
        <v>181</v>
      </c>
      <c r="AC2190" s="5">
        <v>44312</v>
      </c>
      <c r="AF2190" s="1">
        <v>10069</v>
      </c>
      <c r="AI2190" s="1" t="s">
        <v>109</v>
      </c>
      <c r="AJ2190" s="1">
        <v>2019</v>
      </c>
      <c r="AK2190" s="1" t="s">
        <v>77</v>
      </c>
      <c r="AL2190" s="1">
        <v>160</v>
      </c>
    </row>
    <row r="2191" spans="1:38" x14ac:dyDescent="0.2">
      <c r="A2191" s="2" t="str">
        <f>HYPERLINK("https://www.compass.com/listing/30-riverside-boulevard-unit-37b-manhattan-ny-10069/542638290648776145/","30 Riverside Blvd, Unit 37B")</f>
        <v>30 Riverside Blvd, Unit 37B</v>
      </c>
      <c r="B2191" s="2" t="str">
        <f t="shared" si="323"/>
        <v>Two Waterline Square</v>
      </c>
      <c r="C2191" s="1" t="s">
        <v>50</v>
      </c>
      <c r="D2191" s="1" t="s">
        <v>41</v>
      </c>
      <c r="E2191" s="3">
        <v>12500000</v>
      </c>
      <c r="F2191" s="1">
        <v>3618.99247249565</v>
      </c>
      <c r="G2191" s="1">
        <v>8</v>
      </c>
      <c r="H2191" s="1">
        <v>4</v>
      </c>
      <c r="I2191" s="1">
        <v>6</v>
      </c>
      <c r="J2191" s="1">
        <v>5.5</v>
      </c>
      <c r="K2191" s="1">
        <v>5</v>
      </c>
      <c r="L2191" s="1">
        <v>1</v>
      </c>
      <c r="M2191" s="4">
        <v>3454</v>
      </c>
      <c r="N2191" s="1">
        <v>4877</v>
      </c>
      <c r="O2191" s="1">
        <v>5136</v>
      </c>
      <c r="P2191" s="1">
        <v>259</v>
      </c>
      <c r="Q2191" s="1" t="s">
        <v>42</v>
      </c>
      <c r="S2191" s="1" t="s">
        <v>42</v>
      </c>
      <c r="T2191" s="1" t="s">
        <v>170</v>
      </c>
      <c r="U2191" s="1">
        <v>112</v>
      </c>
      <c r="V2191" s="5">
        <v>44356</v>
      </c>
      <c r="W2191" s="5">
        <v>44201</v>
      </c>
      <c r="Y2191" s="1">
        <v>12500000</v>
      </c>
      <c r="Z2191" s="5">
        <v>44313</v>
      </c>
      <c r="AA2191" s="1">
        <v>12500000</v>
      </c>
      <c r="AB2191" s="1" t="s">
        <v>181</v>
      </c>
      <c r="AC2191" s="5">
        <v>44355</v>
      </c>
      <c r="AF2191" s="1">
        <v>10069</v>
      </c>
      <c r="AI2191" s="1" t="s">
        <v>109</v>
      </c>
      <c r="AJ2191" s="1">
        <v>2019</v>
      </c>
      <c r="AK2191" s="1" t="s">
        <v>77</v>
      </c>
      <c r="AL2191" s="1">
        <v>160</v>
      </c>
    </row>
    <row r="2192" spans="1:38" x14ac:dyDescent="0.2">
      <c r="A2192" s="2" t="str">
        <f>HYPERLINK("https://www.compass.com/listing/30-riverside-boulevard-unit-35b-manhattan-ny-10069/790334785749320841/","30 Riverside Blvd, Unit 35B")</f>
        <v>30 Riverside Blvd, Unit 35B</v>
      </c>
      <c r="B2192" s="2" t="str">
        <f t="shared" si="323"/>
        <v>Two Waterline Square</v>
      </c>
      <c r="C2192" s="1" t="s">
        <v>50</v>
      </c>
      <c r="D2192" s="1" t="s">
        <v>41</v>
      </c>
      <c r="E2192" s="3">
        <v>6415000</v>
      </c>
      <c r="F2192" s="1">
        <v>2849.8445135495299</v>
      </c>
      <c r="G2192" s="1">
        <v>7</v>
      </c>
      <c r="H2192" s="1">
        <v>4</v>
      </c>
      <c r="I2192" s="1">
        <v>5</v>
      </c>
      <c r="J2192" s="1">
        <v>4.5</v>
      </c>
      <c r="K2192" s="1">
        <v>4</v>
      </c>
      <c r="L2192" s="1">
        <v>1</v>
      </c>
      <c r="M2192" s="4">
        <v>2251</v>
      </c>
      <c r="N2192" s="1">
        <v>3149</v>
      </c>
      <c r="O2192" s="1">
        <v>3316</v>
      </c>
      <c r="P2192" s="1">
        <v>167</v>
      </c>
      <c r="Q2192" s="1" t="s">
        <v>42</v>
      </c>
      <c r="S2192" s="1" t="s">
        <v>42</v>
      </c>
      <c r="T2192" s="1" t="s">
        <v>170</v>
      </c>
      <c r="U2192" s="1">
        <v>146</v>
      </c>
      <c r="V2192" s="5">
        <v>44413</v>
      </c>
      <c r="W2192" s="5">
        <v>44200</v>
      </c>
      <c r="X2192" s="1">
        <v>7180000</v>
      </c>
      <c r="Y2192" s="1">
        <v>7180000</v>
      </c>
      <c r="Z2192" s="5">
        <v>44365</v>
      </c>
      <c r="AA2192" s="1">
        <v>6415000</v>
      </c>
      <c r="AB2192" s="1" t="s">
        <v>181</v>
      </c>
      <c r="AC2192" s="5">
        <v>44406</v>
      </c>
      <c r="AF2192" s="1">
        <v>10069</v>
      </c>
      <c r="AI2192" s="1" t="s">
        <v>109</v>
      </c>
      <c r="AJ2192" s="1">
        <v>2019</v>
      </c>
      <c r="AK2192" s="1" t="s">
        <v>77</v>
      </c>
      <c r="AL2192" s="1">
        <v>160</v>
      </c>
    </row>
    <row r="2193" spans="1:38" x14ac:dyDescent="0.2">
      <c r="A2193" s="2" t="str">
        <f>HYPERLINK("https://www.compass.com/listing/30-riverside-boulevard-unit-33f-manhattan-ny-10069/643432492350218849/","30 Riverside Blvd, Unit 33F")</f>
        <v>30 Riverside Blvd, Unit 33F</v>
      </c>
      <c r="B2193" s="2" t="str">
        <f t="shared" si="323"/>
        <v>Two Waterline Square</v>
      </c>
      <c r="C2193" s="1" t="s">
        <v>50</v>
      </c>
      <c r="D2193" s="1" t="s">
        <v>41</v>
      </c>
      <c r="E2193" s="3">
        <v>5059237</v>
      </c>
      <c r="F2193" s="1">
        <v>2384.1833176248801</v>
      </c>
      <c r="G2193" s="1">
        <v>5</v>
      </c>
      <c r="H2193" s="1">
        <v>3</v>
      </c>
      <c r="I2193" s="1">
        <v>4</v>
      </c>
      <c r="J2193" s="1">
        <v>3.5</v>
      </c>
      <c r="K2193" s="1">
        <v>3</v>
      </c>
      <c r="L2193" s="1">
        <v>1</v>
      </c>
      <c r="M2193" s="4">
        <v>2122</v>
      </c>
      <c r="N2193" s="1">
        <v>2765</v>
      </c>
      <c r="O2193" s="1">
        <v>2914</v>
      </c>
      <c r="P2193" s="1">
        <v>149</v>
      </c>
      <c r="Q2193" s="1" t="s">
        <v>42</v>
      </c>
      <c r="S2193" s="1" t="s">
        <v>42</v>
      </c>
      <c r="T2193" s="1" t="s">
        <v>170</v>
      </c>
      <c r="V2193" s="5">
        <v>44207</v>
      </c>
      <c r="W2193" s="5">
        <v>44139</v>
      </c>
      <c r="X2193" s="1">
        <v>5770000</v>
      </c>
      <c r="Y2193" s="1">
        <v>5770000</v>
      </c>
      <c r="Z2193" s="5">
        <v>44139</v>
      </c>
      <c r="AA2193" s="1">
        <v>5059237</v>
      </c>
      <c r="AB2193" s="1" t="s">
        <v>173</v>
      </c>
      <c r="AC2193" s="5">
        <v>44194</v>
      </c>
      <c r="AF2193" s="1">
        <v>10069</v>
      </c>
      <c r="AI2193" s="1" t="s">
        <v>109</v>
      </c>
      <c r="AJ2193" s="1">
        <v>2019</v>
      </c>
      <c r="AK2193" s="1" t="s">
        <v>77</v>
      </c>
      <c r="AL2193" s="1">
        <v>160</v>
      </c>
    </row>
    <row r="2194" spans="1:38" x14ac:dyDescent="0.2">
      <c r="A2194" s="2" t="str">
        <f>HYPERLINK("https://www.compass.com/listing/30-riverside-boulevard-unit-28b-manhattan-ny-10069/401285762539757649/","30 Riverside Blvd, Unit 28B")</f>
        <v>30 Riverside Blvd, Unit 28B</v>
      </c>
      <c r="B2194" s="2" t="str">
        <f t="shared" si="323"/>
        <v>Two Waterline Square</v>
      </c>
      <c r="C2194" s="1" t="s">
        <v>50</v>
      </c>
      <c r="D2194" s="1" t="s">
        <v>41</v>
      </c>
      <c r="E2194" s="3">
        <v>5360000</v>
      </c>
      <c r="F2194" s="1">
        <v>2940.2084476138202</v>
      </c>
      <c r="G2194" s="1">
        <v>5.5</v>
      </c>
      <c r="H2194" s="1">
        <v>3</v>
      </c>
      <c r="I2194" s="1">
        <v>4</v>
      </c>
      <c r="J2194" s="1">
        <v>3.5</v>
      </c>
      <c r="K2194" s="1">
        <v>3</v>
      </c>
      <c r="L2194" s="1">
        <v>1</v>
      </c>
      <c r="M2194" s="4">
        <v>1823</v>
      </c>
      <c r="N2194" s="1">
        <v>2320</v>
      </c>
      <c r="O2194" s="1">
        <v>2445</v>
      </c>
      <c r="P2194" s="1">
        <v>125</v>
      </c>
      <c r="Q2194" s="1" t="s">
        <v>42</v>
      </c>
      <c r="S2194" s="1" t="s">
        <v>42</v>
      </c>
      <c r="T2194" s="1" t="s">
        <v>170</v>
      </c>
      <c r="U2194" s="1">
        <v>104</v>
      </c>
      <c r="V2194" s="5">
        <v>44322</v>
      </c>
      <c r="W2194" s="5">
        <v>44098</v>
      </c>
      <c r="Y2194" s="1">
        <v>5360000</v>
      </c>
      <c r="Z2194" s="5">
        <v>44265</v>
      </c>
      <c r="AA2194" s="1">
        <v>5360000</v>
      </c>
      <c r="AB2194" s="1" t="s">
        <v>181</v>
      </c>
      <c r="AC2194" s="5">
        <v>44321</v>
      </c>
      <c r="AF2194" s="1">
        <v>10069</v>
      </c>
      <c r="AI2194" s="1" t="s">
        <v>109</v>
      </c>
      <c r="AJ2194" s="1">
        <v>2019</v>
      </c>
      <c r="AK2194" s="1" t="s">
        <v>77</v>
      </c>
      <c r="AL2194" s="1">
        <v>160</v>
      </c>
    </row>
    <row r="2195" spans="1:38" x14ac:dyDescent="0.2">
      <c r="A2195" s="2" t="str">
        <f>HYPERLINK("https://www.compass.com/listing/30-riverside-boulevard-unit-32f-manhattan-ny-10069/613739260614645521/","30 Riverside Blvd, Unit 32F")</f>
        <v>30 Riverside Blvd, Unit 32F</v>
      </c>
      <c r="B2195" s="2" t="str">
        <f t="shared" si="323"/>
        <v>Two Waterline Square</v>
      </c>
      <c r="C2195" s="1" t="s">
        <v>50</v>
      </c>
      <c r="D2195" s="1" t="s">
        <v>41</v>
      </c>
      <c r="E2195" s="3">
        <v>5190000</v>
      </c>
      <c r="F2195" s="1">
        <v>2445.8058435438202</v>
      </c>
      <c r="G2195" s="1">
        <v>5</v>
      </c>
      <c r="H2195" s="1">
        <v>3</v>
      </c>
      <c r="I2195" s="1">
        <v>4</v>
      </c>
      <c r="J2195" s="1">
        <v>3.5</v>
      </c>
      <c r="K2195" s="1">
        <v>3</v>
      </c>
      <c r="L2195" s="1">
        <v>1</v>
      </c>
      <c r="M2195" s="4">
        <v>2122</v>
      </c>
      <c r="N2195" s="1">
        <v>2752</v>
      </c>
      <c r="O2195" s="1">
        <v>2901</v>
      </c>
      <c r="P2195" s="1">
        <v>149</v>
      </c>
      <c r="Q2195" s="1" t="s">
        <v>42</v>
      </c>
      <c r="S2195" s="1" t="s">
        <v>42</v>
      </c>
      <c r="T2195" s="1" t="s">
        <v>170</v>
      </c>
      <c r="U2195" s="1">
        <v>42</v>
      </c>
      <c r="V2195" s="5">
        <v>44194</v>
      </c>
      <c r="W2195" s="5">
        <v>44098</v>
      </c>
      <c r="X2195" s="1">
        <v>5700000</v>
      </c>
      <c r="Y2195" s="1">
        <v>5700000</v>
      </c>
      <c r="Z2195" s="5">
        <v>44141</v>
      </c>
      <c r="AA2195" s="1">
        <v>5190000</v>
      </c>
      <c r="AB2195" s="1" t="s">
        <v>181</v>
      </c>
      <c r="AC2195" s="5">
        <v>44182</v>
      </c>
      <c r="AF2195" s="1">
        <v>10069</v>
      </c>
      <c r="AI2195" s="1" t="s">
        <v>109</v>
      </c>
      <c r="AJ2195" s="1">
        <v>2019</v>
      </c>
      <c r="AK2195" s="1" t="s">
        <v>77</v>
      </c>
      <c r="AL2195" s="1">
        <v>160</v>
      </c>
    </row>
    <row r="2196" spans="1:38" x14ac:dyDescent="0.2">
      <c r="A2196" s="2" t="str">
        <f>HYPERLINK("https://www.compass.com/listing/30-riverside-boulevard-unit-25b-manhattan-ny-10069/23228752091739009/","30 Riverside Blvd, Unit 25B")</f>
        <v>30 Riverside Blvd, Unit 25B</v>
      </c>
      <c r="B2196" s="2" t="str">
        <f t="shared" si="323"/>
        <v>Two Waterline Square</v>
      </c>
      <c r="C2196" s="1" t="s">
        <v>50</v>
      </c>
      <c r="D2196" s="1" t="s">
        <v>41</v>
      </c>
      <c r="E2196" s="3">
        <v>5150000</v>
      </c>
      <c r="F2196" s="1">
        <v>2825.0137136588</v>
      </c>
      <c r="G2196" s="1">
        <v>5.5</v>
      </c>
      <c r="H2196" s="1">
        <v>3</v>
      </c>
      <c r="I2196" s="1">
        <v>4</v>
      </c>
      <c r="J2196" s="1">
        <v>3.5</v>
      </c>
      <c r="K2196" s="1">
        <v>3</v>
      </c>
      <c r="L2196" s="1">
        <v>1</v>
      </c>
      <c r="M2196" s="4">
        <v>1823</v>
      </c>
      <c r="N2196" s="1">
        <v>2275</v>
      </c>
      <c r="O2196" s="1">
        <v>2398</v>
      </c>
      <c r="P2196" s="1">
        <v>123</v>
      </c>
      <c r="Q2196" s="1" t="s">
        <v>42</v>
      </c>
      <c r="S2196" s="1" t="s">
        <v>42</v>
      </c>
      <c r="T2196" s="1" t="s">
        <v>170</v>
      </c>
      <c r="U2196" s="1">
        <v>49</v>
      </c>
      <c r="V2196" s="5">
        <v>44006</v>
      </c>
      <c r="W2196" s="5">
        <v>43108</v>
      </c>
      <c r="X2196" s="1">
        <v>5120000</v>
      </c>
      <c r="Y2196" s="1">
        <v>5150000</v>
      </c>
      <c r="Z2196" s="5">
        <v>43434</v>
      </c>
      <c r="AA2196" s="1">
        <v>5150000</v>
      </c>
      <c r="AB2196" s="1" t="s">
        <v>181</v>
      </c>
      <c r="AC2196" s="5">
        <v>44004</v>
      </c>
      <c r="AF2196" s="1">
        <v>10069</v>
      </c>
      <c r="AI2196" s="1" t="s">
        <v>109</v>
      </c>
      <c r="AJ2196" s="1">
        <v>2019</v>
      </c>
      <c r="AK2196" s="1" t="s">
        <v>77</v>
      </c>
      <c r="AL2196" s="1">
        <v>160</v>
      </c>
    </row>
    <row r="2197" spans="1:38" x14ac:dyDescent="0.2">
      <c r="A2197" s="2" t="str">
        <f>HYPERLINK("https://www.compass.com/listing/30-riverside-boulevard-unit-pha-manhattan-ny-10069/272324452644136529/","30 Riverside Blvd, Unit PHA")</f>
        <v>30 Riverside Blvd, Unit PHA</v>
      </c>
      <c r="B2197" s="2" t="str">
        <f t="shared" si="323"/>
        <v>Two Waterline Square</v>
      </c>
      <c r="C2197" s="1" t="s">
        <v>50</v>
      </c>
      <c r="D2197" s="1" t="s">
        <v>41</v>
      </c>
      <c r="E2197" s="3">
        <v>18000000</v>
      </c>
      <c r="F2197" s="1">
        <v>3834.6825734980798</v>
      </c>
      <c r="G2197" s="1">
        <v>7.5</v>
      </c>
      <c r="H2197" s="1">
        <v>4</v>
      </c>
      <c r="I2197" s="1">
        <v>6</v>
      </c>
      <c r="J2197" s="1">
        <v>5.5</v>
      </c>
      <c r="K2197" s="1">
        <v>5</v>
      </c>
      <c r="L2197" s="1">
        <v>1</v>
      </c>
      <c r="M2197" s="4">
        <v>4694</v>
      </c>
      <c r="N2197" s="1">
        <v>6702</v>
      </c>
      <c r="O2197" s="1">
        <v>7058</v>
      </c>
      <c r="P2197" s="1">
        <v>356</v>
      </c>
      <c r="Q2197" s="1" t="s">
        <v>42</v>
      </c>
      <c r="S2197" s="1" t="s">
        <v>42</v>
      </c>
      <c r="T2197" s="1" t="s">
        <v>170</v>
      </c>
      <c r="V2197" s="5">
        <v>44418</v>
      </c>
      <c r="W2197" s="5">
        <v>43627</v>
      </c>
      <c r="X2197" s="1">
        <v>18000000</v>
      </c>
      <c r="Y2197" s="1">
        <v>18000000</v>
      </c>
      <c r="Z2197" s="5">
        <v>43627</v>
      </c>
      <c r="AA2197" s="1">
        <v>18000000</v>
      </c>
      <c r="AB2197" s="1" t="s">
        <v>181</v>
      </c>
      <c r="AC2197" s="5">
        <v>44410</v>
      </c>
      <c r="AF2197" s="1">
        <v>10069</v>
      </c>
      <c r="AI2197" s="1" t="s">
        <v>74</v>
      </c>
      <c r="AJ2197" s="1">
        <v>2019</v>
      </c>
      <c r="AK2197" s="1" t="s">
        <v>77</v>
      </c>
      <c r="AL2197" s="1">
        <v>160</v>
      </c>
    </row>
    <row r="2198" spans="1:38" x14ac:dyDescent="0.2">
      <c r="A2198" s="2" t="str">
        <f>HYPERLINK("https://www.compass.com/listing/30-riverside-boulevard-unit-20p-manhattan-ny-10069/28301679841599537/","30 Riverside Blvd, Unit 20P")</f>
        <v>30 Riverside Blvd, Unit 20P</v>
      </c>
      <c r="B2198" s="2" t="str">
        <f t="shared" si="323"/>
        <v>Two Waterline Square</v>
      </c>
      <c r="C2198" s="1" t="s">
        <v>50</v>
      </c>
      <c r="D2198" s="1" t="s">
        <v>41</v>
      </c>
      <c r="E2198" s="3">
        <v>4500000</v>
      </c>
      <c r="F2198" s="1">
        <v>2593.6599423631101</v>
      </c>
      <c r="G2198" s="1">
        <v>5</v>
      </c>
      <c r="H2198" s="1">
        <v>3</v>
      </c>
      <c r="I2198" s="1">
        <v>4</v>
      </c>
      <c r="J2198" s="1">
        <v>3.5</v>
      </c>
      <c r="K2198" s="1">
        <v>3</v>
      </c>
      <c r="L2198" s="1">
        <v>1</v>
      </c>
      <c r="M2198" s="4">
        <v>1735</v>
      </c>
      <c r="N2198" s="1">
        <v>2162</v>
      </c>
      <c r="O2198" s="1">
        <v>2276</v>
      </c>
      <c r="P2198" s="1">
        <v>114</v>
      </c>
      <c r="Q2198" s="1" t="s">
        <v>42</v>
      </c>
      <c r="S2198" s="1" t="s">
        <v>42</v>
      </c>
      <c r="T2198" s="1" t="s">
        <v>170</v>
      </c>
      <c r="U2198" s="1">
        <v>92</v>
      </c>
      <c r="V2198" s="5">
        <v>43897</v>
      </c>
      <c r="W2198" s="5">
        <v>43108</v>
      </c>
      <c r="X2198" s="1">
        <v>4450000</v>
      </c>
      <c r="Y2198" s="1">
        <v>4500000</v>
      </c>
      <c r="Z2198" s="5">
        <v>43307</v>
      </c>
      <c r="AA2198" s="1">
        <v>4500000</v>
      </c>
      <c r="AB2198" s="1" t="s">
        <v>181</v>
      </c>
      <c r="AC2198" s="5">
        <v>43896</v>
      </c>
      <c r="AF2198" s="1">
        <v>10069</v>
      </c>
      <c r="AI2198" s="1" t="s">
        <v>109</v>
      </c>
      <c r="AJ2198" s="1">
        <v>2019</v>
      </c>
      <c r="AK2198" s="1" t="s">
        <v>73</v>
      </c>
      <c r="AL2198" s="1">
        <v>160</v>
      </c>
    </row>
    <row r="2199" spans="1:38" x14ac:dyDescent="0.2">
      <c r="A2199" s="2" t="str">
        <f>HYPERLINK("https://www.compass.com/listing/30-riverside-boulevard-unit-24b-manhattan-ny-10069/29515088415260449/","30 Riverside Blvd, Unit 24B")</f>
        <v>30 Riverside Blvd, Unit 24B</v>
      </c>
      <c r="B2199" s="2" t="str">
        <f t="shared" si="323"/>
        <v>Two Waterline Square</v>
      </c>
      <c r="C2199" s="1" t="s">
        <v>50</v>
      </c>
      <c r="D2199" s="1" t="s">
        <v>41</v>
      </c>
      <c r="E2199" s="3">
        <v>5050000</v>
      </c>
      <c r="F2199" s="1">
        <v>2770.1590784421201</v>
      </c>
      <c r="G2199" s="1">
        <v>5</v>
      </c>
      <c r="H2199" s="1">
        <v>3</v>
      </c>
      <c r="I2199" s="1">
        <v>4</v>
      </c>
      <c r="J2199" s="1">
        <v>3.5</v>
      </c>
      <c r="K2199" s="1">
        <v>3</v>
      </c>
      <c r="L2199" s="1">
        <v>1</v>
      </c>
      <c r="M2199" s="4">
        <v>1823</v>
      </c>
      <c r="N2199" s="1">
        <v>2328</v>
      </c>
      <c r="O2199" s="1">
        <v>2451</v>
      </c>
      <c r="P2199" s="1">
        <v>123</v>
      </c>
      <c r="Q2199" s="1" t="s">
        <v>42</v>
      </c>
      <c r="S2199" s="1" t="s">
        <v>42</v>
      </c>
      <c r="T2199" s="1" t="s">
        <v>170</v>
      </c>
      <c r="V2199" s="5">
        <v>43934</v>
      </c>
      <c r="W2199" s="5">
        <v>43157</v>
      </c>
      <c r="X2199" s="1">
        <v>5050000</v>
      </c>
      <c r="Y2199" s="1">
        <v>5050000</v>
      </c>
      <c r="Z2199" s="5">
        <v>43158</v>
      </c>
      <c r="AA2199" s="1">
        <v>5050000</v>
      </c>
      <c r="AB2199" s="1" t="s">
        <v>181</v>
      </c>
      <c r="AC2199" s="5">
        <v>43931</v>
      </c>
      <c r="AF2199" s="1">
        <v>10069</v>
      </c>
      <c r="AI2199" s="1" t="s">
        <v>109</v>
      </c>
      <c r="AJ2199" s="1">
        <v>2019</v>
      </c>
      <c r="AK2199" s="1" t="s">
        <v>77</v>
      </c>
      <c r="AL2199" s="1">
        <v>160</v>
      </c>
    </row>
    <row r="2200" spans="1:38" x14ac:dyDescent="0.2">
      <c r="A2200" s="2" t="str">
        <f>HYPERLINK("https://www.compass.com/listing/30-riverside-boulevard-unit-31a-manhattan-ny-10069/29515090009055313/","30 Riverside Blvd, Unit 31A")</f>
        <v>30 Riverside Blvd, Unit 31A</v>
      </c>
      <c r="B2200" s="2" t="str">
        <f t="shared" si="323"/>
        <v>Two Waterline Square</v>
      </c>
      <c r="C2200" s="1" t="s">
        <v>50</v>
      </c>
      <c r="D2200" s="1" t="s">
        <v>41</v>
      </c>
      <c r="E2200" s="3">
        <v>5825000</v>
      </c>
      <c r="F2200" s="1">
        <v>3037.0177267987401</v>
      </c>
      <c r="G2200" s="1">
        <v>5</v>
      </c>
      <c r="H2200" s="1">
        <v>3</v>
      </c>
      <c r="I2200" s="1">
        <v>4</v>
      </c>
      <c r="J2200" s="1">
        <v>3.5</v>
      </c>
      <c r="K2200" s="1">
        <v>3</v>
      </c>
      <c r="L2200" s="1">
        <v>1</v>
      </c>
      <c r="M2200" s="4">
        <v>1918</v>
      </c>
      <c r="N2200" s="1">
        <v>2533</v>
      </c>
      <c r="O2200" s="1">
        <v>2667</v>
      </c>
      <c r="P2200" s="1">
        <v>134</v>
      </c>
      <c r="Q2200" s="1" t="s">
        <v>42</v>
      </c>
      <c r="S2200" s="1" t="s">
        <v>42</v>
      </c>
      <c r="T2200" s="1" t="s">
        <v>170</v>
      </c>
      <c r="U2200" s="1">
        <v>188</v>
      </c>
      <c r="V2200" s="5">
        <v>44072</v>
      </c>
      <c r="W2200" s="5">
        <v>43027</v>
      </c>
      <c r="X2200" s="1">
        <v>5825000</v>
      </c>
      <c r="Y2200" s="1">
        <v>5825000</v>
      </c>
      <c r="Z2200" s="5">
        <v>43216</v>
      </c>
      <c r="AA2200" s="1">
        <v>5825000</v>
      </c>
      <c r="AB2200" s="1" t="s">
        <v>181</v>
      </c>
      <c r="AC2200" s="5">
        <v>44071</v>
      </c>
      <c r="AF2200" s="1">
        <v>10069</v>
      </c>
      <c r="AI2200" s="1" t="s">
        <v>109</v>
      </c>
      <c r="AJ2200" s="1">
        <v>2019</v>
      </c>
      <c r="AK2200" s="1" t="s">
        <v>77</v>
      </c>
      <c r="AL2200" s="1">
        <v>160</v>
      </c>
    </row>
    <row r="2201" spans="1:38" x14ac:dyDescent="0.2">
      <c r="A2201" s="2" t="str">
        <f>HYPERLINK("https://www.compass.com/listing/30-riverside-boulevard-unit-31f-manhattan-ny-10069/29515099437851025/","30 Riverside Blvd, Unit 31F")</f>
        <v>30 Riverside Blvd, Unit 31F</v>
      </c>
      <c r="B2201" s="2" t="str">
        <f t="shared" si="323"/>
        <v>Two Waterline Square</v>
      </c>
      <c r="C2201" s="1" t="s">
        <v>50</v>
      </c>
      <c r="D2201" s="1" t="s">
        <v>41</v>
      </c>
      <c r="E2201" s="3">
        <v>5600000</v>
      </c>
      <c r="F2201" s="1">
        <v>2639.0197926484402</v>
      </c>
      <c r="G2201" s="1">
        <v>5</v>
      </c>
      <c r="H2201" s="1">
        <v>3</v>
      </c>
      <c r="I2201" s="1">
        <v>4</v>
      </c>
      <c r="J2201" s="1">
        <v>3.5</v>
      </c>
      <c r="K2201" s="1">
        <v>3</v>
      </c>
      <c r="L2201" s="1">
        <v>1</v>
      </c>
      <c r="M2201" s="4">
        <v>2122</v>
      </c>
      <c r="N2201" s="1">
        <v>2802</v>
      </c>
      <c r="O2201" s="1">
        <v>2950</v>
      </c>
      <c r="P2201" s="1">
        <v>148</v>
      </c>
      <c r="Q2201" s="1" t="s">
        <v>42</v>
      </c>
      <c r="S2201" s="1" t="s">
        <v>42</v>
      </c>
      <c r="T2201" s="1" t="s">
        <v>170</v>
      </c>
      <c r="U2201" s="1">
        <v>205</v>
      </c>
      <c r="V2201" s="5">
        <v>43929</v>
      </c>
      <c r="W2201" s="5">
        <v>42969</v>
      </c>
      <c r="X2201" s="1">
        <v>5600000</v>
      </c>
      <c r="Y2201" s="1">
        <v>5600000</v>
      </c>
      <c r="Z2201" s="5">
        <v>43175</v>
      </c>
      <c r="AA2201" s="1">
        <v>5600000</v>
      </c>
      <c r="AB2201" s="1" t="s">
        <v>181</v>
      </c>
      <c r="AC2201" s="5">
        <v>43927</v>
      </c>
      <c r="AF2201" s="1">
        <v>10069</v>
      </c>
      <c r="AI2201" s="1" t="s">
        <v>109</v>
      </c>
      <c r="AJ2201" s="1">
        <v>2019</v>
      </c>
      <c r="AK2201" s="1" t="s">
        <v>77</v>
      </c>
      <c r="AL2201" s="1">
        <v>160</v>
      </c>
    </row>
    <row r="2202" spans="1:38" x14ac:dyDescent="0.2">
      <c r="A2202" s="2" t="str">
        <f>HYPERLINK("https://www.compass.com/listing/30-riverside-boulevard-unit-20e-manhattan-ny-10069/466661504448968505/","30 Riverside Blvd, Unit 20E")</f>
        <v>30 Riverside Blvd, Unit 20E</v>
      </c>
      <c r="B2202" s="2" t="str">
        <f t="shared" si="323"/>
        <v>Two Waterline Square</v>
      </c>
      <c r="C2202" s="1" t="s">
        <v>50</v>
      </c>
      <c r="D2202" s="1" t="s">
        <v>41</v>
      </c>
      <c r="E2202" s="3">
        <v>5515000</v>
      </c>
      <c r="F2202" s="1">
        <v>2732.9038652130798</v>
      </c>
      <c r="G2202" s="1">
        <v>6</v>
      </c>
      <c r="H2202" s="1">
        <v>3</v>
      </c>
      <c r="I2202" s="1">
        <v>4</v>
      </c>
      <c r="J2202" s="1">
        <v>3.5</v>
      </c>
      <c r="K2202" s="1">
        <v>3</v>
      </c>
      <c r="L2202" s="1">
        <v>1</v>
      </c>
      <c r="M2202" s="4">
        <v>2018</v>
      </c>
      <c r="N2202" s="1">
        <v>2808</v>
      </c>
      <c r="O2202" s="1">
        <v>2960</v>
      </c>
      <c r="P2202" s="1">
        <v>152</v>
      </c>
      <c r="Q2202" s="1" t="s">
        <v>42</v>
      </c>
      <c r="S2202" s="1" t="s">
        <v>42</v>
      </c>
      <c r="T2202" s="1" t="s">
        <v>170</v>
      </c>
      <c r="U2202" s="1">
        <v>14</v>
      </c>
      <c r="V2202" s="5">
        <v>44106</v>
      </c>
      <c r="W2202" s="5">
        <v>43895</v>
      </c>
      <c r="X2202" s="1">
        <v>5515000</v>
      </c>
      <c r="Y2202" s="1">
        <v>5515000</v>
      </c>
      <c r="Z2202" s="5">
        <v>43972</v>
      </c>
      <c r="AA2202" s="1">
        <v>5515000</v>
      </c>
      <c r="AB2202" s="1" t="s">
        <v>181</v>
      </c>
      <c r="AC2202" s="5">
        <v>44105</v>
      </c>
      <c r="AF2202" s="1">
        <v>10069</v>
      </c>
      <c r="AI2202" s="1" t="s">
        <v>1677</v>
      </c>
      <c r="AJ2202" s="1">
        <v>2019</v>
      </c>
      <c r="AK2202" s="1" t="s">
        <v>77</v>
      </c>
      <c r="AL2202" s="1">
        <v>160</v>
      </c>
    </row>
    <row r="2203" spans="1:38" x14ac:dyDescent="0.2">
      <c r="A2203" s="2" t="str">
        <f>HYPERLINK("https://www.compass.com/listing/30-riverside-boulevard-unit-35f-manhattan-ny-10069/536856969657720033/","30 Riverside Blvd, Unit 35F")</f>
        <v>30 Riverside Blvd, Unit 35F</v>
      </c>
      <c r="B2203" s="2" t="str">
        <f t="shared" si="323"/>
        <v>Two Waterline Square</v>
      </c>
      <c r="C2203" s="1" t="s">
        <v>50</v>
      </c>
      <c r="D2203" s="1" t="s">
        <v>41</v>
      </c>
      <c r="E2203" s="3">
        <v>5910000</v>
      </c>
      <c r="F2203" s="1">
        <v>2785.1083883129099</v>
      </c>
      <c r="G2203" s="1">
        <v>5.5</v>
      </c>
      <c r="H2203" s="1">
        <v>3</v>
      </c>
      <c r="I2203" s="1">
        <v>4</v>
      </c>
      <c r="J2203" s="1">
        <v>3.5</v>
      </c>
      <c r="K2203" s="1">
        <v>3</v>
      </c>
      <c r="L2203" s="1">
        <v>1</v>
      </c>
      <c r="M2203" s="4">
        <v>2122</v>
      </c>
      <c r="N2203" s="1">
        <v>2791</v>
      </c>
      <c r="O2203" s="1">
        <v>2942</v>
      </c>
      <c r="P2203" s="1">
        <v>151</v>
      </c>
      <c r="Q2203" s="1" t="s">
        <v>42</v>
      </c>
      <c r="S2203" s="1" t="s">
        <v>42</v>
      </c>
      <c r="T2203" s="1" t="s">
        <v>170</v>
      </c>
      <c r="V2203" s="5">
        <v>44040</v>
      </c>
      <c r="W2203" s="5">
        <v>43990</v>
      </c>
      <c r="X2203" s="1">
        <v>5910000</v>
      </c>
      <c r="Y2203" s="1">
        <v>5910000</v>
      </c>
      <c r="Z2203" s="5">
        <v>43993</v>
      </c>
      <c r="AA2203" s="1">
        <v>5910000</v>
      </c>
      <c r="AB2203" s="1" t="s">
        <v>181</v>
      </c>
      <c r="AC2203" s="5">
        <v>44040</v>
      </c>
      <c r="AF2203" s="1">
        <v>10069</v>
      </c>
      <c r="AI2203" s="1" t="s">
        <v>109</v>
      </c>
      <c r="AJ2203" s="1">
        <v>2019</v>
      </c>
      <c r="AK2203" s="1" t="s">
        <v>77</v>
      </c>
      <c r="AL2203" s="1">
        <v>160</v>
      </c>
    </row>
    <row r="2204" spans="1:38" x14ac:dyDescent="0.2">
      <c r="A2204" s="2" t="str">
        <f>HYPERLINK("https://www.compass.com/listing/252-east-57th-street-unit-55c-manhattan-ny-10022/803339246307720049/","252 E 57th St, Unit 55C")</f>
        <v>252 E 57th St, Unit 55C</v>
      </c>
      <c r="B2204" s="2" t="str">
        <f t="shared" ref="B2204:B2223" si="324">HYPERLINK("https://www.compass.com/building/252-e-57th-st-manhattan-ny-10022/281924023602945813/","252 E 57th St")</f>
        <v>252 E 57th St</v>
      </c>
      <c r="C2204" s="1" t="s">
        <v>64</v>
      </c>
      <c r="D2204" s="1" t="s">
        <v>41</v>
      </c>
      <c r="E2204" s="3">
        <v>8149000</v>
      </c>
      <c r="G2204" s="1">
        <v>5</v>
      </c>
      <c r="H2204" s="1">
        <v>3</v>
      </c>
      <c r="I2204" s="1">
        <v>1</v>
      </c>
      <c r="J2204" s="1">
        <v>1</v>
      </c>
      <c r="K2204" s="1">
        <v>1</v>
      </c>
      <c r="N2204" s="1">
        <v>5000</v>
      </c>
      <c r="O2204" s="1">
        <v>7950</v>
      </c>
      <c r="P2204" s="1">
        <v>2950</v>
      </c>
      <c r="Q2204" s="1" t="s">
        <v>42</v>
      </c>
      <c r="S2204" s="1" t="s">
        <v>42</v>
      </c>
      <c r="T2204" s="1" t="s">
        <v>170</v>
      </c>
      <c r="V2204" s="5">
        <v>43424</v>
      </c>
      <c r="W2204" s="5">
        <v>43048</v>
      </c>
      <c r="X2204" s="1">
        <v>10600000</v>
      </c>
      <c r="Y2204" s="1">
        <v>10600000</v>
      </c>
      <c r="Z2204" s="5">
        <v>43049</v>
      </c>
      <c r="AA2204" s="1">
        <v>8149000</v>
      </c>
      <c r="AB2204" s="1" t="s">
        <v>1678</v>
      </c>
      <c r="AC2204" s="5">
        <v>43081</v>
      </c>
      <c r="AF2204" s="1">
        <v>10022</v>
      </c>
      <c r="AI2204" s="1" t="s">
        <v>84</v>
      </c>
      <c r="AJ2204" s="1">
        <v>2016</v>
      </c>
      <c r="AK2204" s="1" t="s">
        <v>73</v>
      </c>
      <c r="AL2204" s="1">
        <v>95</v>
      </c>
    </row>
    <row r="2205" spans="1:38" x14ac:dyDescent="0.2">
      <c r="A2205" s="2" t="str">
        <f>HYPERLINK("https://www.compass.com/listing/252-east-57th-street-unit-49d-manhattan-ny-10022/29405832105984417/","252 E 57th St, Unit 49D")</f>
        <v>252 E 57th St, Unit 49D</v>
      </c>
      <c r="B2205" s="2" t="str">
        <f t="shared" si="324"/>
        <v>252 E 57th St</v>
      </c>
      <c r="C2205" s="1" t="s">
        <v>64</v>
      </c>
      <c r="D2205" s="1" t="s">
        <v>41</v>
      </c>
      <c r="E2205" s="3">
        <v>4427296</v>
      </c>
      <c r="F2205" s="1">
        <v>2556.1755196304798</v>
      </c>
      <c r="G2205" s="1">
        <v>4</v>
      </c>
      <c r="H2205" s="1">
        <v>2</v>
      </c>
      <c r="I2205" s="1">
        <v>3</v>
      </c>
      <c r="J2205" s="1">
        <v>0.5</v>
      </c>
      <c r="L2205" s="1">
        <v>1</v>
      </c>
      <c r="M2205" s="4">
        <v>1732</v>
      </c>
      <c r="N2205" s="1">
        <v>3094</v>
      </c>
      <c r="O2205" s="1">
        <v>4499</v>
      </c>
      <c r="P2205" s="1">
        <v>1405</v>
      </c>
      <c r="Q2205" s="1" t="s">
        <v>42</v>
      </c>
      <c r="S2205" s="1" t="s">
        <v>42</v>
      </c>
      <c r="T2205" s="1" t="s">
        <v>170</v>
      </c>
      <c r="V2205" s="5">
        <v>43658</v>
      </c>
      <c r="W2205" s="5">
        <v>42139</v>
      </c>
      <c r="X2205" s="1">
        <v>4510000</v>
      </c>
      <c r="Y2205" s="1">
        <v>4510000</v>
      </c>
      <c r="Z2205" s="5">
        <v>42139</v>
      </c>
      <c r="AA2205" s="1">
        <v>4427296</v>
      </c>
      <c r="AB2205" s="1" t="s">
        <v>1679</v>
      </c>
      <c r="AC2205" s="5">
        <v>42872</v>
      </c>
      <c r="AF2205" s="1">
        <v>10022</v>
      </c>
      <c r="AI2205" s="1" t="s">
        <v>84</v>
      </c>
      <c r="AJ2205" s="1">
        <v>2016</v>
      </c>
      <c r="AK2205" s="1" t="s">
        <v>73</v>
      </c>
      <c r="AL2205" s="1">
        <v>95</v>
      </c>
    </row>
    <row r="2206" spans="1:38" x14ac:dyDescent="0.2">
      <c r="A2206" s="2" t="str">
        <f>HYPERLINK("https://www.compass.com/listing/252-east-57th-street-unit-45d-manhattan-ny-10022/29405825789362049/","252 E 57th St, Unit 45D")</f>
        <v>252 E 57th St, Unit 45D</v>
      </c>
      <c r="B2206" s="2" t="str">
        <f t="shared" si="324"/>
        <v>252 E 57th St</v>
      </c>
      <c r="C2206" s="1" t="s">
        <v>64</v>
      </c>
      <c r="D2206" s="1" t="s">
        <v>41</v>
      </c>
      <c r="E2206" s="3">
        <v>3790890</v>
      </c>
      <c r="F2206" s="1">
        <v>2181.1795166858401</v>
      </c>
      <c r="G2206" s="1">
        <v>4</v>
      </c>
      <c r="H2206" s="1">
        <v>2</v>
      </c>
      <c r="I2206" s="1">
        <v>3</v>
      </c>
      <c r="J2206" s="1">
        <v>0.5</v>
      </c>
      <c r="L2206" s="1">
        <v>1</v>
      </c>
      <c r="M2206" s="4">
        <v>1738</v>
      </c>
      <c r="N2206" s="1">
        <v>3096</v>
      </c>
      <c r="O2206" s="1">
        <v>4502</v>
      </c>
      <c r="P2206" s="1">
        <v>1406</v>
      </c>
      <c r="Q2206" s="1" t="s">
        <v>42</v>
      </c>
      <c r="S2206" s="1" t="s">
        <v>42</v>
      </c>
      <c r="T2206" s="1" t="s">
        <v>170</v>
      </c>
      <c r="U2206" s="1">
        <v>266</v>
      </c>
      <c r="V2206" s="5">
        <v>43661</v>
      </c>
      <c r="W2206" s="5">
        <v>42675</v>
      </c>
      <c r="X2206" s="1">
        <v>4065000</v>
      </c>
      <c r="Y2206" s="1">
        <v>3975000</v>
      </c>
      <c r="Z2206" s="5">
        <v>42941</v>
      </c>
      <c r="AA2206" s="1">
        <v>3790890</v>
      </c>
      <c r="AB2206" s="1" t="s">
        <v>1680</v>
      </c>
      <c r="AC2206" s="5">
        <v>42972</v>
      </c>
      <c r="AF2206" s="1">
        <v>10022</v>
      </c>
      <c r="AI2206" s="1" t="s">
        <v>110</v>
      </c>
      <c r="AJ2206" s="1">
        <v>2016</v>
      </c>
      <c r="AK2206" s="1" t="s">
        <v>73</v>
      </c>
      <c r="AL2206" s="1">
        <v>95</v>
      </c>
    </row>
    <row r="2207" spans="1:38" x14ac:dyDescent="0.2">
      <c r="A2207" s="2" t="str">
        <f>HYPERLINK("https://www.compass.com/listing/252-east-57th-street-unit-48d-manhattan-ny-10022/29405830637977985/","252 E 57th St, Unit 48D")</f>
        <v>252 E 57th St, Unit 48D</v>
      </c>
      <c r="B2207" s="2" t="str">
        <f t="shared" si="324"/>
        <v>252 E 57th St</v>
      </c>
      <c r="C2207" s="1" t="s">
        <v>64</v>
      </c>
      <c r="D2207" s="1" t="s">
        <v>41</v>
      </c>
      <c r="E2207" s="3">
        <v>3821437</v>
      </c>
      <c r="F2207" s="1">
        <v>2205.0992498557398</v>
      </c>
      <c r="G2207" s="1">
        <v>4</v>
      </c>
      <c r="H2207" s="1">
        <v>2</v>
      </c>
      <c r="I2207" s="1">
        <v>3</v>
      </c>
      <c r="J2207" s="1">
        <v>0.5</v>
      </c>
      <c r="L2207" s="1">
        <v>1</v>
      </c>
      <c r="M2207" s="4">
        <v>1733</v>
      </c>
      <c r="N2207" s="1">
        <v>3092</v>
      </c>
      <c r="O2207" s="1">
        <v>4497</v>
      </c>
      <c r="P2207" s="1">
        <v>1405</v>
      </c>
      <c r="Q2207" s="1" t="s">
        <v>42</v>
      </c>
      <c r="S2207" s="1" t="s">
        <v>42</v>
      </c>
      <c r="T2207" s="1" t="s">
        <v>170</v>
      </c>
      <c r="U2207" s="1">
        <v>8</v>
      </c>
      <c r="V2207" s="5">
        <v>43658</v>
      </c>
      <c r="W2207" s="5">
        <v>42796</v>
      </c>
      <c r="X2207" s="1">
        <v>4050000</v>
      </c>
      <c r="Y2207" s="1">
        <v>4050000</v>
      </c>
      <c r="Z2207" s="5">
        <v>42804</v>
      </c>
      <c r="AA2207" s="1">
        <v>3821437</v>
      </c>
      <c r="AB2207" s="1" t="s">
        <v>1681</v>
      </c>
      <c r="AC2207" s="5">
        <v>42907</v>
      </c>
      <c r="AF2207" s="1">
        <v>10022</v>
      </c>
      <c r="AI2207" s="1" t="s">
        <v>84</v>
      </c>
      <c r="AJ2207" s="1">
        <v>2016</v>
      </c>
      <c r="AK2207" s="1" t="s">
        <v>73</v>
      </c>
      <c r="AL2207" s="1">
        <v>95</v>
      </c>
    </row>
    <row r="2208" spans="1:38" x14ac:dyDescent="0.2">
      <c r="A2208" s="2" t="str">
        <f>HYPERLINK("https://www.compass.com/listing/252-east-57th-street-unit-36c-manhattan-ny-10022/29405809817541953/","252 E 57th St, Unit 36C")</f>
        <v>252 E 57th St, Unit 36C</v>
      </c>
      <c r="B2208" s="2" t="str">
        <f t="shared" si="324"/>
        <v>252 E 57th St</v>
      </c>
      <c r="C2208" s="1" t="s">
        <v>64</v>
      </c>
      <c r="D2208" s="1" t="s">
        <v>41</v>
      </c>
      <c r="E2208" s="3">
        <v>4381475</v>
      </c>
      <c r="F2208" s="1">
        <v>2175.5089374379299</v>
      </c>
      <c r="G2208" s="1">
        <v>5</v>
      </c>
      <c r="H2208" s="1">
        <v>3</v>
      </c>
      <c r="I2208" s="1">
        <v>3</v>
      </c>
      <c r="M2208" s="4">
        <v>2014</v>
      </c>
      <c r="N2208" s="1">
        <v>3600</v>
      </c>
      <c r="O2208" s="1">
        <v>5234</v>
      </c>
      <c r="P2208" s="1">
        <v>1634</v>
      </c>
      <c r="Q2208" s="1" t="s">
        <v>42</v>
      </c>
      <c r="S2208" s="1" t="s">
        <v>42</v>
      </c>
      <c r="T2208" s="1" t="s">
        <v>170</v>
      </c>
      <c r="U2208" s="1">
        <v>164</v>
      </c>
      <c r="V2208" s="5">
        <v>43661</v>
      </c>
      <c r="W2208" s="5">
        <v>42350</v>
      </c>
      <c r="X2208" s="1">
        <v>4875000</v>
      </c>
      <c r="Y2208" s="1">
        <v>4875000</v>
      </c>
      <c r="Z2208" s="5">
        <v>42514</v>
      </c>
      <c r="AA2208" s="1">
        <v>4381475</v>
      </c>
      <c r="AB2208" s="1" t="s">
        <v>1682</v>
      </c>
      <c r="AC2208" s="5">
        <v>42908</v>
      </c>
      <c r="AF2208" s="1">
        <v>10022</v>
      </c>
      <c r="AI2208" s="1" t="s">
        <v>138</v>
      </c>
      <c r="AJ2208" s="1">
        <v>2016</v>
      </c>
      <c r="AK2208" s="1" t="s">
        <v>73</v>
      </c>
      <c r="AL2208" s="1">
        <v>95</v>
      </c>
    </row>
    <row r="2209" spans="1:38" x14ac:dyDescent="0.2">
      <c r="A2209" s="2" t="str">
        <f>HYPERLINK("https://www.compass.com/listing/252-east-57th-street-unit-36d-manhattan-ny-10022/29405810262048305/","252 E 57th St, Unit 36D")</f>
        <v>252 E 57th St, Unit 36D</v>
      </c>
      <c r="B2209" s="2" t="str">
        <f t="shared" si="324"/>
        <v>252 E 57th St</v>
      </c>
      <c r="C2209" s="1" t="s">
        <v>64</v>
      </c>
      <c r="D2209" s="1" t="s">
        <v>41</v>
      </c>
      <c r="E2209" s="3">
        <v>4004722</v>
      </c>
      <c r="F2209" s="1">
        <v>2072.8374741200801</v>
      </c>
      <c r="G2209" s="1">
        <v>5</v>
      </c>
      <c r="H2209" s="1">
        <v>3</v>
      </c>
      <c r="I2209" s="1">
        <v>3</v>
      </c>
      <c r="M2209" s="4">
        <v>1932</v>
      </c>
      <c r="N2209" s="1">
        <v>3424</v>
      </c>
      <c r="O2209" s="1">
        <v>4980</v>
      </c>
      <c r="P2209" s="1">
        <v>1556</v>
      </c>
      <c r="Q2209" s="1" t="s">
        <v>42</v>
      </c>
      <c r="S2209" s="1" t="s">
        <v>42</v>
      </c>
      <c r="T2209" s="1" t="s">
        <v>170</v>
      </c>
      <c r="U2209" s="1">
        <v>321</v>
      </c>
      <c r="V2209" s="5">
        <v>43658</v>
      </c>
      <c r="W2209" s="5">
        <v>42557</v>
      </c>
      <c r="X2209" s="1">
        <v>4685000</v>
      </c>
      <c r="Y2209" s="1">
        <v>3995000</v>
      </c>
      <c r="Z2209" s="5">
        <v>42878</v>
      </c>
      <c r="AA2209" s="1">
        <v>4004722</v>
      </c>
      <c r="AB2209" s="1" t="s">
        <v>1683</v>
      </c>
      <c r="AC2209" s="5">
        <v>42938</v>
      </c>
      <c r="AF2209" s="1">
        <v>10022</v>
      </c>
      <c r="AI2209" s="1" t="s">
        <v>110</v>
      </c>
      <c r="AJ2209" s="1">
        <v>2016</v>
      </c>
      <c r="AK2209" s="1" t="s">
        <v>73</v>
      </c>
      <c r="AL2209" s="1">
        <v>95</v>
      </c>
    </row>
    <row r="2210" spans="1:38" x14ac:dyDescent="0.2">
      <c r="A2210" s="2" t="str">
        <f>HYPERLINK("https://www.compass.com/listing/252-east-57th-street-unit-38a-manhattan-ny-10022/29405812627725681/","252 E 57th St, Unit 38A")</f>
        <v>252 E 57th St, Unit 38A</v>
      </c>
      <c r="B2210" s="2" t="str">
        <f t="shared" si="324"/>
        <v>252 E 57th St</v>
      </c>
      <c r="C2210" s="1" t="s">
        <v>64</v>
      </c>
      <c r="D2210" s="1" t="s">
        <v>41</v>
      </c>
      <c r="E2210" s="3">
        <v>4916056</v>
      </c>
      <c r="F2210" s="1">
        <v>2439.7300248138899</v>
      </c>
      <c r="G2210" s="1">
        <v>5</v>
      </c>
      <c r="H2210" s="1">
        <v>3</v>
      </c>
      <c r="I2210" s="1">
        <v>3</v>
      </c>
      <c r="M2210" s="4">
        <v>2015</v>
      </c>
      <c r="N2210" s="1">
        <v>3608</v>
      </c>
      <c r="O2210" s="1">
        <v>5246</v>
      </c>
      <c r="P2210" s="1">
        <v>1638</v>
      </c>
      <c r="Q2210" s="1" t="s">
        <v>42</v>
      </c>
      <c r="S2210" s="1" t="s">
        <v>42</v>
      </c>
      <c r="T2210" s="1" t="s">
        <v>170</v>
      </c>
      <c r="U2210" s="1">
        <v>14</v>
      </c>
      <c r="V2210" s="5">
        <v>43659</v>
      </c>
      <c r="W2210" s="5">
        <v>42199</v>
      </c>
      <c r="X2210" s="1">
        <v>4975000</v>
      </c>
      <c r="Y2210" s="1">
        <v>4975000</v>
      </c>
      <c r="Z2210" s="5">
        <v>42213</v>
      </c>
      <c r="AA2210" s="1">
        <v>4916056</v>
      </c>
      <c r="AB2210" s="1" t="s">
        <v>1684</v>
      </c>
      <c r="AC2210" s="5">
        <v>42833</v>
      </c>
      <c r="AF2210" s="1">
        <v>10022</v>
      </c>
      <c r="AI2210" s="1" t="s">
        <v>65</v>
      </c>
      <c r="AJ2210" s="1">
        <v>2016</v>
      </c>
      <c r="AK2210" s="1" t="s">
        <v>73</v>
      </c>
      <c r="AL2210" s="1">
        <v>95</v>
      </c>
    </row>
    <row r="2211" spans="1:38" x14ac:dyDescent="0.2">
      <c r="A2211" s="2" t="str">
        <f>HYPERLINK("https://www.compass.com/listing/252-east-57th-street-unit-38c-manhattan-ny-10022/29405813541994529/","252 E 57th St, Unit 38C")</f>
        <v>252 E 57th St, Unit 38C</v>
      </c>
      <c r="B2211" s="2" t="str">
        <f t="shared" si="324"/>
        <v>252 E 57th St</v>
      </c>
      <c r="C2211" s="1" t="s">
        <v>64</v>
      </c>
      <c r="D2211" s="1" t="s">
        <v>41</v>
      </c>
      <c r="E2211" s="3">
        <v>4228737</v>
      </c>
      <c r="F2211" s="1">
        <v>2101.7579522862802</v>
      </c>
      <c r="G2211" s="1">
        <v>5</v>
      </c>
      <c r="H2211" s="1">
        <v>3</v>
      </c>
      <c r="I2211" s="1">
        <v>3</v>
      </c>
      <c r="M2211" s="4">
        <v>2012</v>
      </c>
      <c r="N2211" s="1">
        <v>3603</v>
      </c>
      <c r="O2211" s="1">
        <v>5239</v>
      </c>
      <c r="P2211" s="1">
        <v>1636</v>
      </c>
      <c r="Q2211" s="1" t="s">
        <v>42</v>
      </c>
      <c r="S2211" s="1" t="s">
        <v>42</v>
      </c>
      <c r="T2211" s="1" t="s">
        <v>170</v>
      </c>
      <c r="U2211" s="1">
        <v>155</v>
      </c>
      <c r="V2211" s="5">
        <v>43650</v>
      </c>
      <c r="W2211" s="5">
        <v>42516</v>
      </c>
      <c r="X2211" s="1">
        <v>4975000</v>
      </c>
      <c r="Y2211" s="1">
        <v>4395000</v>
      </c>
      <c r="Z2211" s="5">
        <v>42671</v>
      </c>
      <c r="AA2211" s="1">
        <v>4228737</v>
      </c>
      <c r="AB2211" s="1" t="s">
        <v>1685</v>
      </c>
      <c r="AC2211" s="5">
        <v>42990</v>
      </c>
      <c r="AF2211" s="1">
        <v>10022</v>
      </c>
      <c r="AI2211" s="1" t="s">
        <v>138</v>
      </c>
      <c r="AJ2211" s="1">
        <v>2016</v>
      </c>
      <c r="AK2211" s="1" t="s">
        <v>73</v>
      </c>
      <c r="AL2211" s="1">
        <v>95</v>
      </c>
    </row>
    <row r="2212" spans="1:38" x14ac:dyDescent="0.2">
      <c r="A2212" s="2" t="str">
        <f>HYPERLINK("https://www.compass.com/listing/252-east-57th-street-unit-39b-manhattan-ny-10022/29405814909337665/","252 E 57th St, Unit 39B")</f>
        <v>252 E 57th St, Unit 39B</v>
      </c>
      <c r="B2212" s="2" t="str">
        <f t="shared" si="324"/>
        <v>252 E 57th St</v>
      </c>
      <c r="C2212" s="1" t="s">
        <v>64</v>
      </c>
      <c r="D2212" s="1" t="s">
        <v>41</v>
      </c>
      <c r="E2212" s="3">
        <v>3948718</v>
      </c>
      <c r="F2212" s="1">
        <v>2050.2170301142201</v>
      </c>
      <c r="G2212" s="1">
        <v>5</v>
      </c>
      <c r="H2212" s="1">
        <v>3</v>
      </c>
      <c r="I2212" s="1">
        <v>3</v>
      </c>
      <c r="M2212" s="4">
        <v>1926</v>
      </c>
      <c r="N2212" s="1">
        <v>3420</v>
      </c>
      <c r="O2212" s="1">
        <v>4974</v>
      </c>
      <c r="P2212" s="1">
        <v>1554</v>
      </c>
      <c r="Q2212" s="1" t="s">
        <v>42</v>
      </c>
      <c r="S2212" s="1" t="s">
        <v>42</v>
      </c>
      <c r="T2212" s="1" t="s">
        <v>170</v>
      </c>
      <c r="U2212" s="1">
        <v>11</v>
      </c>
      <c r="V2212" s="5">
        <v>43637</v>
      </c>
      <c r="W2212" s="5">
        <v>42707</v>
      </c>
      <c r="X2212" s="1">
        <v>4245000</v>
      </c>
      <c r="Y2212" s="1">
        <v>4245000</v>
      </c>
      <c r="Z2212" s="5">
        <v>42718</v>
      </c>
      <c r="AA2212" s="1">
        <v>3948718</v>
      </c>
      <c r="AB2212" s="1" t="s">
        <v>1686</v>
      </c>
      <c r="AC2212" s="5">
        <v>42838</v>
      </c>
      <c r="AF2212" s="1">
        <v>10022</v>
      </c>
      <c r="AI2212" s="1" t="s">
        <v>84</v>
      </c>
      <c r="AJ2212" s="1">
        <v>2016</v>
      </c>
      <c r="AK2212" s="1" t="s">
        <v>73</v>
      </c>
      <c r="AL2212" s="1">
        <v>95</v>
      </c>
    </row>
    <row r="2213" spans="1:38" x14ac:dyDescent="0.2">
      <c r="A2213" s="2" t="str">
        <f>HYPERLINK("https://www.compass.com/listing/252-east-57th-street-unit-39c-manhattan-ny-10022/29405815412743601/","252 E 57th St, Unit 39C")</f>
        <v>252 E 57th St, Unit 39C</v>
      </c>
      <c r="B2213" s="2" t="str">
        <f t="shared" si="324"/>
        <v>252 E 57th St</v>
      </c>
      <c r="C2213" s="1" t="s">
        <v>64</v>
      </c>
      <c r="D2213" s="1" t="s">
        <v>41</v>
      </c>
      <c r="E2213" s="3">
        <v>4480300</v>
      </c>
      <c r="F2213" s="1">
        <v>2226.78926441351</v>
      </c>
      <c r="G2213" s="1">
        <v>5</v>
      </c>
      <c r="H2213" s="1">
        <v>3</v>
      </c>
      <c r="I2213" s="1">
        <v>3</v>
      </c>
      <c r="M2213" s="4">
        <v>2012</v>
      </c>
      <c r="N2213" s="1">
        <v>3602</v>
      </c>
      <c r="O2213" s="1">
        <v>5238</v>
      </c>
      <c r="P2213" s="1">
        <v>1636</v>
      </c>
      <c r="Q2213" s="1" t="s">
        <v>42</v>
      </c>
      <c r="S2213" s="1" t="s">
        <v>42</v>
      </c>
      <c r="T2213" s="1" t="s">
        <v>170</v>
      </c>
      <c r="U2213" s="1">
        <v>18</v>
      </c>
      <c r="V2213" s="5">
        <v>43662</v>
      </c>
      <c r="W2213" s="5">
        <v>42671</v>
      </c>
      <c r="X2213" s="1">
        <v>4445000</v>
      </c>
      <c r="Y2213" s="1">
        <v>4445000</v>
      </c>
      <c r="Z2213" s="5">
        <v>42689</v>
      </c>
      <c r="AA2213" s="1">
        <v>4480300</v>
      </c>
      <c r="AB2213" s="1" t="s">
        <v>1687</v>
      </c>
      <c r="AC2213" s="5">
        <v>42825</v>
      </c>
      <c r="AF2213" s="1">
        <v>10022</v>
      </c>
      <c r="AI2213" s="1" t="s">
        <v>138</v>
      </c>
      <c r="AJ2213" s="1">
        <v>2016</v>
      </c>
      <c r="AK2213" s="1" t="s">
        <v>73</v>
      </c>
      <c r="AL2213" s="1">
        <v>95</v>
      </c>
    </row>
    <row r="2214" spans="1:38" x14ac:dyDescent="0.2">
      <c r="A2214" s="2" t="str">
        <f>HYPERLINK("https://www.compass.com/listing/252-east-57th-street-unit-40a-manhattan-ny-10022/29405816352178273/","252 E 57th St, Unit 40A")</f>
        <v>252 E 57th St, Unit 40A</v>
      </c>
      <c r="B2214" s="2" t="str">
        <f t="shared" si="324"/>
        <v>252 E 57th St</v>
      </c>
      <c r="C2214" s="1" t="s">
        <v>64</v>
      </c>
      <c r="D2214" s="1" t="s">
        <v>41</v>
      </c>
      <c r="E2214" s="3">
        <v>4406931</v>
      </c>
      <c r="F2214" s="1">
        <v>2189.2354694485798</v>
      </c>
      <c r="G2214" s="1">
        <v>5</v>
      </c>
      <c r="H2214" s="1">
        <v>3</v>
      </c>
      <c r="I2214" s="1">
        <v>3</v>
      </c>
      <c r="M2214" s="4">
        <v>2013</v>
      </c>
      <c r="N2214" s="1">
        <v>3607</v>
      </c>
      <c r="O2214" s="1">
        <v>5246</v>
      </c>
      <c r="P2214" s="1">
        <v>1639</v>
      </c>
      <c r="Q2214" s="1" t="s">
        <v>42</v>
      </c>
      <c r="S2214" s="1" t="s">
        <v>42</v>
      </c>
      <c r="T2214" s="1" t="s">
        <v>170</v>
      </c>
      <c r="U2214" s="1">
        <v>7</v>
      </c>
      <c r="V2214" s="5">
        <v>43650</v>
      </c>
      <c r="W2214" s="5">
        <v>42930</v>
      </c>
      <c r="X2214" s="1">
        <v>4575000</v>
      </c>
      <c r="Y2214" s="1">
        <v>4575000</v>
      </c>
      <c r="Z2214" s="5">
        <v>42937</v>
      </c>
      <c r="AA2214" s="1">
        <v>4406931</v>
      </c>
      <c r="AB2214" s="1" t="s">
        <v>1688</v>
      </c>
      <c r="AC2214" s="5">
        <v>42987</v>
      </c>
      <c r="AF2214" s="1">
        <v>10022</v>
      </c>
      <c r="AI2214" s="1" t="s">
        <v>65</v>
      </c>
      <c r="AJ2214" s="1">
        <v>2016</v>
      </c>
      <c r="AK2214" s="1" t="s">
        <v>73</v>
      </c>
      <c r="AL2214" s="1">
        <v>95</v>
      </c>
    </row>
    <row r="2215" spans="1:38" x14ac:dyDescent="0.2">
      <c r="A2215" s="2" t="str">
        <f>HYPERLINK("https://www.compass.com/listing/252-east-57th-street-unit-40b-manhattan-ny-10022/29405816905915857/","252 E 57th St, Unit 40B")</f>
        <v>252 E 57th St, Unit 40B</v>
      </c>
      <c r="B2215" s="2" t="str">
        <f t="shared" si="324"/>
        <v>252 E 57th St</v>
      </c>
      <c r="C2215" s="1" t="s">
        <v>64</v>
      </c>
      <c r="D2215" s="1" t="s">
        <v>41</v>
      </c>
      <c r="E2215" s="3">
        <v>4104511</v>
      </c>
      <c r="F2215" s="1">
        <v>2132.2135064935001</v>
      </c>
      <c r="G2215" s="1">
        <v>5</v>
      </c>
      <c r="H2215" s="1">
        <v>3</v>
      </c>
      <c r="I2215" s="1">
        <v>3</v>
      </c>
      <c r="M2215" s="4">
        <v>1925</v>
      </c>
      <c r="N2215" s="1">
        <v>3421</v>
      </c>
      <c r="O2215" s="1">
        <v>4975</v>
      </c>
      <c r="P2215" s="1">
        <v>1554</v>
      </c>
      <c r="Q2215" s="1" t="s">
        <v>42</v>
      </c>
      <c r="S2215" s="1" t="s">
        <v>42</v>
      </c>
      <c r="T2215" s="1" t="s">
        <v>170</v>
      </c>
      <c r="U2215" s="1">
        <v>6</v>
      </c>
      <c r="V2215" s="5">
        <v>43662</v>
      </c>
      <c r="W2215" s="5">
        <v>42861</v>
      </c>
      <c r="X2215" s="1">
        <v>4295000</v>
      </c>
      <c r="Y2215" s="1">
        <v>4295000</v>
      </c>
      <c r="Z2215" s="5">
        <v>42867</v>
      </c>
      <c r="AA2215" s="1">
        <v>4104511</v>
      </c>
      <c r="AB2215" s="1" t="s">
        <v>1689</v>
      </c>
      <c r="AC2215" s="5">
        <v>42888</v>
      </c>
      <c r="AF2215" s="1">
        <v>10022</v>
      </c>
      <c r="AI2215" s="1" t="s">
        <v>84</v>
      </c>
      <c r="AJ2215" s="1">
        <v>2016</v>
      </c>
      <c r="AK2215" s="1" t="s">
        <v>73</v>
      </c>
      <c r="AL2215" s="1">
        <v>95</v>
      </c>
    </row>
    <row r="2216" spans="1:38" x14ac:dyDescent="0.2">
      <c r="A2216" s="2" t="str">
        <f>HYPERLINK("https://www.compass.com/listing/252-east-57th-street-unit-41b-manhattan-ny-10022/29405818826817249/","252 E 57th St, Unit 41B")</f>
        <v>252 E 57th St, Unit 41B</v>
      </c>
      <c r="B2216" s="2" t="str">
        <f t="shared" si="324"/>
        <v>252 E 57th St</v>
      </c>
      <c r="C2216" s="1" t="s">
        <v>64</v>
      </c>
      <c r="D2216" s="1" t="s">
        <v>41</v>
      </c>
      <c r="E2216" s="3">
        <v>4076000</v>
      </c>
      <c r="F2216" s="1">
        <v>2118.5031185031098</v>
      </c>
      <c r="G2216" s="1">
        <v>5</v>
      </c>
      <c r="H2216" s="1">
        <v>3</v>
      </c>
      <c r="I2216" s="1">
        <v>3</v>
      </c>
      <c r="M2216" s="4">
        <v>1924</v>
      </c>
      <c r="N2216" s="1">
        <v>3421</v>
      </c>
      <c r="O2216" s="1">
        <v>4975</v>
      </c>
      <c r="P2216" s="1">
        <v>1554</v>
      </c>
      <c r="Q2216" s="1" t="s">
        <v>42</v>
      </c>
      <c r="S2216" s="1" t="s">
        <v>42</v>
      </c>
      <c r="T2216" s="1" t="s">
        <v>170</v>
      </c>
      <c r="U2216" s="1">
        <v>9</v>
      </c>
      <c r="V2216" s="5">
        <v>43637</v>
      </c>
      <c r="W2216" s="5">
        <v>42780</v>
      </c>
      <c r="X2216" s="1">
        <v>4345000</v>
      </c>
      <c r="Y2216" s="1">
        <v>4345000</v>
      </c>
      <c r="Z2216" s="5">
        <v>42789</v>
      </c>
      <c r="AA2216" s="1">
        <v>4076000</v>
      </c>
      <c r="AB2216" s="1" t="s">
        <v>1690</v>
      </c>
      <c r="AC2216" s="5">
        <v>42864</v>
      </c>
      <c r="AF2216" s="1">
        <v>10022</v>
      </c>
      <c r="AI2216" s="1" t="s">
        <v>84</v>
      </c>
      <c r="AJ2216" s="1">
        <v>2016</v>
      </c>
      <c r="AK2216" s="1" t="s">
        <v>73</v>
      </c>
      <c r="AL2216" s="1">
        <v>95</v>
      </c>
    </row>
    <row r="2217" spans="1:38" x14ac:dyDescent="0.2">
      <c r="A2217" s="2" t="str">
        <f>HYPERLINK("https://www.compass.com/listing/252-east-57th-street-unit-41c-manhattan-ny-10022/29405819304968353/","252 E 57th St, Unit 41C")</f>
        <v>252 E 57th St, Unit 41C</v>
      </c>
      <c r="B2217" s="2" t="str">
        <f t="shared" si="324"/>
        <v>252 E 57th St</v>
      </c>
      <c r="C2217" s="1" t="s">
        <v>64</v>
      </c>
      <c r="D2217" s="1" t="s">
        <v>41</v>
      </c>
      <c r="E2217" s="3">
        <v>4381475</v>
      </c>
      <c r="F2217" s="1">
        <v>2179.8383084577099</v>
      </c>
      <c r="G2217" s="1">
        <v>5</v>
      </c>
      <c r="H2217" s="1">
        <v>3</v>
      </c>
      <c r="I2217" s="1">
        <v>3</v>
      </c>
      <c r="M2217" s="4">
        <v>2010</v>
      </c>
      <c r="N2217" s="1">
        <v>3606</v>
      </c>
      <c r="O2217" s="1">
        <v>5243</v>
      </c>
      <c r="P2217" s="1">
        <v>1637</v>
      </c>
      <c r="Q2217" s="1" t="s">
        <v>42</v>
      </c>
      <c r="S2217" s="1" t="s">
        <v>42</v>
      </c>
      <c r="T2217" s="1" t="s">
        <v>170</v>
      </c>
      <c r="U2217" s="1">
        <v>7</v>
      </c>
      <c r="V2217" s="5">
        <v>43638</v>
      </c>
      <c r="W2217" s="5">
        <v>42629</v>
      </c>
      <c r="X2217" s="1">
        <v>4545000</v>
      </c>
      <c r="Y2217" s="1">
        <v>4545000</v>
      </c>
      <c r="Z2217" s="5">
        <v>42636</v>
      </c>
      <c r="AA2217" s="1">
        <v>4381475</v>
      </c>
      <c r="AB2217" s="1" t="s">
        <v>1691</v>
      </c>
      <c r="AC2217" s="5">
        <v>42835</v>
      </c>
      <c r="AF2217" s="1">
        <v>10022</v>
      </c>
      <c r="AI2217" s="1" t="s">
        <v>138</v>
      </c>
      <c r="AJ2217" s="1">
        <v>2016</v>
      </c>
      <c r="AK2217" s="1" t="s">
        <v>73</v>
      </c>
      <c r="AL2217" s="1">
        <v>95</v>
      </c>
    </row>
    <row r="2218" spans="1:38" x14ac:dyDescent="0.2">
      <c r="A2218" s="2" t="str">
        <f>HYPERLINK("https://www.compass.com/listing/252-east-57th-street-unit-37c-manhattan-ny-10022/803383082874416849/","252 E 57th St, Unit 37C")</f>
        <v>252 E 57th St, Unit 37C</v>
      </c>
      <c r="B2218" s="2" t="str">
        <f t="shared" si="324"/>
        <v>252 E 57th St</v>
      </c>
      <c r="C2218" s="1" t="s">
        <v>64</v>
      </c>
      <c r="D2218" s="1" t="s">
        <v>41</v>
      </c>
      <c r="E2218" s="3">
        <v>4150000</v>
      </c>
      <c r="F2218" s="1">
        <v>2061.5996025832001</v>
      </c>
      <c r="G2218" s="1">
        <v>5</v>
      </c>
      <c r="H2218" s="1">
        <v>3</v>
      </c>
      <c r="I2218" s="1">
        <v>3</v>
      </c>
      <c r="M2218" s="4">
        <v>2013</v>
      </c>
      <c r="N2218" s="1">
        <v>3599</v>
      </c>
      <c r="O2218" s="1">
        <v>5234</v>
      </c>
      <c r="P2218" s="1">
        <v>1635</v>
      </c>
      <c r="Q2218" s="1" t="s">
        <v>42</v>
      </c>
      <c r="S2218" s="1" t="s">
        <v>42</v>
      </c>
      <c r="T2218" s="1" t="s">
        <v>170</v>
      </c>
      <c r="V2218" s="5">
        <v>43237</v>
      </c>
      <c r="W2218" s="5">
        <v>42704</v>
      </c>
      <c r="X2218" s="1">
        <v>4925000</v>
      </c>
      <c r="AB2218" s="1" t="s">
        <v>181</v>
      </c>
      <c r="AF2218" s="1">
        <v>10022</v>
      </c>
      <c r="AI2218" s="1" t="s">
        <v>138</v>
      </c>
      <c r="AJ2218" s="1">
        <v>2016</v>
      </c>
      <c r="AK2218" s="1" t="s">
        <v>73</v>
      </c>
      <c r="AL2218" s="1">
        <v>95</v>
      </c>
    </row>
    <row r="2219" spans="1:38" x14ac:dyDescent="0.2">
      <c r="A2219" s="2" t="str">
        <f>HYPERLINK("https://www.compass.com/listing/252-east-57th-street-unit-36b-manhattan-ny-10022/29405809339301841/","252 E 57th St, Unit 36B")</f>
        <v>252 E 57th St, Unit 36B</v>
      </c>
      <c r="B2219" s="2" t="str">
        <f t="shared" si="324"/>
        <v>252 E 57th St</v>
      </c>
      <c r="C2219" s="1" t="s">
        <v>64</v>
      </c>
      <c r="D2219" s="1" t="s">
        <v>41</v>
      </c>
      <c r="E2219" s="3">
        <v>3821437</v>
      </c>
      <c r="F2219" s="1">
        <v>1980.0191709844501</v>
      </c>
      <c r="G2219" s="1">
        <v>5</v>
      </c>
      <c r="H2219" s="1">
        <v>3</v>
      </c>
      <c r="I2219" s="1">
        <v>3</v>
      </c>
      <c r="M2219" s="4">
        <v>1930</v>
      </c>
      <c r="N2219" s="1">
        <v>3423</v>
      </c>
      <c r="O2219" s="1">
        <v>4977</v>
      </c>
      <c r="P2219" s="1">
        <v>1554</v>
      </c>
      <c r="Q2219" s="1" t="s">
        <v>42</v>
      </c>
      <c r="S2219" s="1" t="s">
        <v>42</v>
      </c>
      <c r="T2219" s="1" t="s">
        <v>170</v>
      </c>
      <c r="U2219" s="1">
        <v>201</v>
      </c>
      <c r="V2219" s="5">
        <v>43636</v>
      </c>
      <c r="W2219" s="5">
        <v>42348</v>
      </c>
      <c r="X2219" s="1">
        <v>4685000</v>
      </c>
      <c r="Y2219" s="1">
        <v>3950000</v>
      </c>
      <c r="Z2219" s="5">
        <v>42549</v>
      </c>
      <c r="AA2219" s="1">
        <v>3821437</v>
      </c>
      <c r="AB2219" s="1" t="s">
        <v>1692</v>
      </c>
      <c r="AC2219" s="5">
        <v>42843</v>
      </c>
      <c r="AF2219" s="1">
        <v>10022</v>
      </c>
      <c r="AI2219" s="1" t="s">
        <v>110</v>
      </c>
      <c r="AJ2219" s="1">
        <v>2016</v>
      </c>
      <c r="AK2219" s="1" t="s">
        <v>73</v>
      </c>
      <c r="AL2219" s="1">
        <v>95</v>
      </c>
    </row>
    <row r="2220" spans="1:38" x14ac:dyDescent="0.2">
      <c r="A2220" s="2" t="str">
        <f>HYPERLINK("https://www.compass.com/listing/252-east-57th-street-unit-38b-manhattan-ny-10022/29405813089009265/","252 E 57th St, Unit 38B")</f>
        <v>252 E 57th St, Unit 38B</v>
      </c>
      <c r="B2220" s="2" t="str">
        <f t="shared" si="324"/>
        <v>252 E 57th St</v>
      </c>
      <c r="C2220" s="1" t="s">
        <v>64</v>
      </c>
      <c r="D2220" s="1" t="s">
        <v>41</v>
      </c>
      <c r="E2220" s="3">
        <v>3872350</v>
      </c>
      <c r="F2220" s="1">
        <v>2008.4802904564301</v>
      </c>
      <c r="G2220" s="1">
        <v>5</v>
      </c>
      <c r="H2220" s="1">
        <v>3</v>
      </c>
      <c r="I2220" s="1">
        <v>3</v>
      </c>
      <c r="M2220" s="4">
        <v>1928</v>
      </c>
      <c r="N2220" s="1">
        <v>3422</v>
      </c>
      <c r="O2220" s="1">
        <v>4977</v>
      </c>
      <c r="P2220" s="1">
        <v>1555</v>
      </c>
      <c r="Q2220" s="1" t="s">
        <v>42</v>
      </c>
      <c r="S2220" s="1" t="s">
        <v>42</v>
      </c>
      <c r="T2220" s="1" t="s">
        <v>170</v>
      </c>
      <c r="U2220" s="1">
        <v>441</v>
      </c>
      <c r="V2220" s="5">
        <v>43636</v>
      </c>
      <c r="W2220" s="5">
        <v>42557</v>
      </c>
      <c r="X2220" s="1">
        <v>3995000</v>
      </c>
      <c r="Y2220" s="1">
        <v>3995000</v>
      </c>
      <c r="Z2220" s="5">
        <v>42998</v>
      </c>
      <c r="AA2220" s="1">
        <v>3872350</v>
      </c>
      <c r="AB2220" s="1" t="s">
        <v>1693</v>
      </c>
      <c r="AC2220" s="5">
        <v>43042</v>
      </c>
      <c r="AF2220" s="1">
        <v>10022</v>
      </c>
      <c r="AI2220" s="1" t="s">
        <v>84</v>
      </c>
      <c r="AJ2220" s="1">
        <v>2016</v>
      </c>
      <c r="AK2220" s="1" t="s">
        <v>73</v>
      </c>
      <c r="AL2220" s="1">
        <v>95</v>
      </c>
    </row>
    <row r="2221" spans="1:38" x14ac:dyDescent="0.2">
      <c r="A2221" s="2" t="str">
        <f>HYPERLINK("https://www.compass.com/listing/252-east-57th-street-unit-38d-manhattan-ny-10022/29405814053789073/","252 E 57th St, Unit 38D")</f>
        <v>252 E 57th St, Unit 38D</v>
      </c>
      <c r="B2221" s="2" t="str">
        <f t="shared" si="324"/>
        <v>252 E 57th St</v>
      </c>
      <c r="C2221" s="1" t="s">
        <v>64</v>
      </c>
      <c r="D2221" s="1" t="s">
        <v>41</v>
      </c>
      <c r="E2221" s="3">
        <v>3933445</v>
      </c>
      <c r="F2221" s="1">
        <v>2038.0544041450701</v>
      </c>
      <c r="G2221" s="1">
        <v>5</v>
      </c>
      <c r="H2221" s="1">
        <v>3</v>
      </c>
      <c r="I2221" s="1">
        <v>3</v>
      </c>
      <c r="M2221" s="4">
        <v>1930</v>
      </c>
      <c r="N2221" s="1">
        <v>3426</v>
      </c>
      <c r="O2221" s="1">
        <v>4983</v>
      </c>
      <c r="P2221" s="1">
        <v>1557</v>
      </c>
      <c r="Q2221" s="1" t="s">
        <v>42</v>
      </c>
      <c r="S2221" s="1" t="s">
        <v>42</v>
      </c>
      <c r="T2221" s="1" t="s">
        <v>170</v>
      </c>
      <c r="U2221" s="1">
        <v>142</v>
      </c>
      <c r="V2221" s="5">
        <v>43650</v>
      </c>
      <c r="W2221" s="5">
        <v>42878</v>
      </c>
      <c r="X2221" s="1">
        <v>4045000</v>
      </c>
      <c r="Y2221" s="1">
        <v>4045000</v>
      </c>
      <c r="Z2221" s="5">
        <v>43020</v>
      </c>
      <c r="AA2221" s="1">
        <v>3933445</v>
      </c>
      <c r="AB2221" s="1" t="s">
        <v>1694</v>
      </c>
      <c r="AC2221" s="5">
        <v>43074</v>
      </c>
      <c r="AF2221" s="1">
        <v>10022</v>
      </c>
      <c r="AI2221" s="1" t="s">
        <v>84</v>
      </c>
      <c r="AJ2221" s="1">
        <v>2016</v>
      </c>
      <c r="AK2221" s="1" t="s">
        <v>73</v>
      </c>
      <c r="AL2221" s="1">
        <v>95</v>
      </c>
    </row>
    <row r="2222" spans="1:38" x14ac:dyDescent="0.2">
      <c r="A2222" s="2" t="str">
        <f>HYPERLINK("https://www.compass.com/listing/252-east-57th-street-unit-40c-manhattan-ny-10022/29405817451085505/","252 E 57th St, Unit 40C")</f>
        <v>252 E 57th St, Unit 40C</v>
      </c>
      <c r="B2222" s="2" t="str">
        <f t="shared" si="324"/>
        <v>252 E 57th St</v>
      </c>
      <c r="C2222" s="1" t="s">
        <v>64</v>
      </c>
      <c r="D2222" s="1" t="s">
        <v>41</v>
      </c>
      <c r="E2222" s="3">
        <v>4381475</v>
      </c>
      <c r="F2222" s="1">
        <v>2178.7543510691198</v>
      </c>
      <c r="G2222" s="1">
        <v>5</v>
      </c>
      <c r="H2222" s="1">
        <v>3</v>
      </c>
      <c r="I2222" s="1">
        <v>3</v>
      </c>
      <c r="M2222" s="4">
        <v>2011</v>
      </c>
      <c r="N2222" s="1">
        <v>3603</v>
      </c>
      <c r="O2222" s="1">
        <v>5240</v>
      </c>
      <c r="P2222" s="1">
        <v>1637</v>
      </c>
      <c r="Q2222" s="1" t="s">
        <v>42</v>
      </c>
      <c r="S2222" s="1" t="s">
        <v>42</v>
      </c>
      <c r="T2222" s="1" t="s">
        <v>170</v>
      </c>
      <c r="U2222" s="1">
        <v>14</v>
      </c>
      <c r="V2222" s="5">
        <v>43637</v>
      </c>
      <c r="W2222" s="5">
        <v>42689</v>
      </c>
      <c r="X2222" s="1">
        <v>4495000</v>
      </c>
      <c r="Y2222" s="1">
        <v>4495000</v>
      </c>
      <c r="Z2222" s="5">
        <v>42703</v>
      </c>
      <c r="AA2222" s="1">
        <v>4381475</v>
      </c>
      <c r="AB2222" s="1" t="s">
        <v>1695</v>
      </c>
      <c r="AC2222" s="5">
        <v>42844</v>
      </c>
      <c r="AF2222" s="1">
        <v>10022</v>
      </c>
      <c r="AI2222" s="1" t="s">
        <v>138</v>
      </c>
      <c r="AJ2222" s="1">
        <v>2016</v>
      </c>
      <c r="AK2222" s="1" t="s">
        <v>73</v>
      </c>
      <c r="AL2222" s="1">
        <v>95</v>
      </c>
    </row>
    <row r="2223" spans="1:38" x14ac:dyDescent="0.2">
      <c r="A2223" s="2" t="str">
        <f>HYPERLINK("https://www.compass.com/listing/252-east-57th-street-unit-44b-manhattan-ny-10022/29405823373443329/","252 E 57th St, Unit 44B")</f>
        <v>252 E 57th St, Unit 44B</v>
      </c>
      <c r="B2223" s="2" t="str">
        <f t="shared" si="324"/>
        <v>252 E 57th St</v>
      </c>
      <c r="C2223" s="1" t="s">
        <v>64</v>
      </c>
      <c r="D2223" s="1" t="s">
        <v>41</v>
      </c>
      <c r="E2223" s="3">
        <v>4300754</v>
      </c>
      <c r="F2223" s="1">
        <v>2461.7939324556301</v>
      </c>
      <c r="G2223" s="1">
        <v>4</v>
      </c>
      <c r="H2223" s="1">
        <v>2</v>
      </c>
      <c r="I2223" s="1">
        <v>3</v>
      </c>
      <c r="J2223" s="1">
        <v>0.5</v>
      </c>
      <c r="L2223" s="1">
        <v>1</v>
      </c>
      <c r="M2223" s="4">
        <v>1747</v>
      </c>
      <c r="N2223" s="1">
        <v>3112</v>
      </c>
      <c r="O2223" s="1">
        <v>4525</v>
      </c>
      <c r="P2223" s="1">
        <v>1413</v>
      </c>
      <c r="Q2223" s="1" t="s">
        <v>42</v>
      </c>
      <c r="S2223" s="1" t="s">
        <v>42</v>
      </c>
      <c r="T2223" s="1" t="s">
        <v>170</v>
      </c>
      <c r="U2223" s="1">
        <v>115</v>
      </c>
      <c r="V2223" s="5">
        <v>43642</v>
      </c>
      <c r="W2223" s="5">
        <v>42084</v>
      </c>
      <c r="X2223" s="1">
        <v>4285000</v>
      </c>
      <c r="Y2223" s="1">
        <v>4285000</v>
      </c>
      <c r="Z2223" s="5">
        <v>42199</v>
      </c>
      <c r="AA2223" s="1">
        <v>4300754</v>
      </c>
      <c r="AB2223" s="1" t="s">
        <v>1696</v>
      </c>
      <c r="AC2223" s="5">
        <v>42850</v>
      </c>
      <c r="AF2223" s="1">
        <v>10022</v>
      </c>
      <c r="AI2223" s="1" t="s">
        <v>84</v>
      </c>
      <c r="AJ2223" s="1">
        <v>2016</v>
      </c>
      <c r="AK2223" s="1" t="s">
        <v>73</v>
      </c>
      <c r="AL2223" s="1">
        <v>95</v>
      </c>
    </row>
    <row r="2224" spans="1:38" x14ac:dyDescent="0.2">
      <c r="A2224" s="2" t="str">
        <f>HYPERLINK("https://www.compass.com/listing/48-east-132nd-street-unit-4d-manhattan-ny-10037/29428818896822993/","48 E 132nd St, Unit 4D")</f>
        <v>48 E 132nd St, Unit 4D</v>
      </c>
      <c r="B2224" s="2" t="str">
        <f>HYPERLINK("https://www.compass.com/building/48-e-132nd-st-manhattan-ny-10037/282028625274876293/","48 E 132nd St")</f>
        <v>48 E 132nd St</v>
      </c>
      <c r="C2224" s="1" t="s">
        <v>61</v>
      </c>
      <c r="D2224" s="1" t="s">
        <v>41</v>
      </c>
      <c r="E2224" s="3">
        <v>408642</v>
      </c>
      <c r="F2224" s="1">
        <v>959.25352112676001</v>
      </c>
      <c r="H2224" s="1">
        <v>1</v>
      </c>
      <c r="J2224" s="1">
        <v>1</v>
      </c>
      <c r="K2224" s="1">
        <v>1</v>
      </c>
      <c r="M2224" s="1">
        <v>426</v>
      </c>
      <c r="N2224" s="1">
        <v>416</v>
      </c>
      <c r="O2224" s="1">
        <v>1010</v>
      </c>
      <c r="P2224" s="1">
        <v>594</v>
      </c>
      <c r="Q2224" s="1" t="s">
        <v>42</v>
      </c>
      <c r="S2224" s="1" t="s">
        <v>42</v>
      </c>
      <c r="T2224" s="1" t="s">
        <v>170</v>
      </c>
      <c r="AA2224" s="1">
        <v>408642</v>
      </c>
      <c r="AB2224" s="1" t="s">
        <v>1697</v>
      </c>
      <c r="AC2224" s="5">
        <v>42929</v>
      </c>
      <c r="AF2224" s="1">
        <v>10037</v>
      </c>
      <c r="AI2224" s="1" t="s">
        <v>59</v>
      </c>
      <c r="AJ2224" s="1">
        <v>2016</v>
      </c>
      <c r="AL2224" s="1">
        <v>19</v>
      </c>
    </row>
    <row r="2225" spans="1:38" x14ac:dyDescent="0.2">
      <c r="A2225" s="2" t="str">
        <f>HYPERLINK("https://www.compass.com/listing/252-east-57th-street-unit-46b-manhattan-ny-10022/29405826217181505/","252 E 57th St, Unit 46B")</f>
        <v>252 E 57th St, Unit 46B</v>
      </c>
      <c r="B2225" s="2" t="str">
        <f t="shared" ref="B2225:B2229" si="325">HYPERLINK("https://www.compass.com/building/252-e-57th-st-manhattan-ny-10022/281924023602945813/","252 E 57th St")</f>
        <v>252 E 57th St</v>
      </c>
      <c r="C2225" s="1" t="s">
        <v>64</v>
      </c>
      <c r="D2225" s="1" t="s">
        <v>41</v>
      </c>
      <c r="E2225" s="3">
        <v>4330562</v>
      </c>
      <c r="F2225" s="1">
        <v>2481.6974212034302</v>
      </c>
      <c r="G2225" s="1">
        <v>4</v>
      </c>
      <c r="H2225" s="1">
        <v>2</v>
      </c>
      <c r="I2225" s="1">
        <v>3</v>
      </c>
      <c r="J2225" s="1">
        <v>0.5</v>
      </c>
      <c r="L2225" s="1">
        <v>1</v>
      </c>
      <c r="M2225" s="4">
        <v>1745</v>
      </c>
      <c r="N2225" s="1">
        <v>3110</v>
      </c>
      <c r="O2225" s="1">
        <v>4523</v>
      </c>
      <c r="P2225" s="1">
        <v>1413</v>
      </c>
      <c r="Q2225" s="1" t="s">
        <v>42</v>
      </c>
      <c r="S2225" s="1" t="s">
        <v>42</v>
      </c>
      <c r="T2225" s="1" t="s">
        <v>170</v>
      </c>
      <c r="U2225" s="1">
        <v>679</v>
      </c>
      <c r="V2225" s="5">
        <v>43670</v>
      </c>
      <c r="W2225" s="5">
        <v>42326</v>
      </c>
      <c r="X2225" s="1">
        <v>4575000</v>
      </c>
      <c r="Y2225" s="1">
        <v>4375000</v>
      </c>
      <c r="Z2225" s="5">
        <v>43005</v>
      </c>
      <c r="AA2225" s="1">
        <v>4330562</v>
      </c>
      <c r="AB2225" s="1" t="s">
        <v>1698</v>
      </c>
      <c r="AC2225" s="5">
        <v>43013</v>
      </c>
      <c r="AF2225" s="1">
        <v>10022</v>
      </c>
      <c r="AI2225" s="1" t="s">
        <v>110</v>
      </c>
      <c r="AJ2225" s="1">
        <v>2016</v>
      </c>
      <c r="AK2225" s="1" t="s">
        <v>73</v>
      </c>
      <c r="AL2225" s="1">
        <v>95</v>
      </c>
    </row>
    <row r="2226" spans="1:38" x14ac:dyDescent="0.2">
      <c r="A2226" s="2" t="str">
        <f>HYPERLINK("https://www.compass.com/listing/252-east-57th-street-unit-47b-manhattan-ny-10022/29405828087930545/","252 E 57th St, Unit 47B")</f>
        <v>252 E 57th St, Unit 47B</v>
      </c>
      <c r="B2226" s="2" t="str">
        <f t="shared" si="325"/>
        <v>252 E 57th St</v>
      </c>
      <c r="C2226" s="1" t="s">
        <v>64</v>
      </c>
      <c r="D2226" s="1" t="s">
        <v>41</v>
      </c>
      <c r="E2226" s="3">
        <v>4381475</v>
      </c>
      <c r="F2226" s="1">
        <v>2513.7550200803198</v>
      </c>
      <c r="G2226" s="1">
        <v>4</v>
      </c>
      <c r="H2226" s="1">
        <v>2</v>
      </c>
      <c r="I2226" s="1">
        <v>3</v>
      </c>
      <c r="J2226" s="1">
        <v>0.5</v>
      </c>
      <c r="L2226" s="1">
        <v>1</v>
      </c>
      <c r="M2226" s="4">
        <v>1743</v>
      </c>
      <c r="N2226" s="1">
        <v>3108</v>
      </c>
      <c r="O2226" s="1">
        <v>4520</v>
      </c>
      <c r="P2226" s="1">
        <v>1412</v>
      </c>
      <c r="Q2226" s="1" t="s">
        <v>42</v>
      </c>
      <c r="S2226" s="1" t="s">
        <v>42</v>
      </c>
      <c r="T2226" s="1" t="s">
        <v>170</v>
      </c>
      <c r="U2226" s="1">
        <v>28</v>
      </c>
      <c r="V2226" s="5">
        <v>43650</v>
      </c>
      <c r="W2226" s="5">
        <v>43005</v>
      </c>
      <c r="X2226" s="1">
        <v>4420000</v>
      </c>
      <c r="Y2226" s="1">
        <v>4420000</v>
      </c>
      <c r="Z2226" s="5">
        <v>43033</v>
      </c>
      <c r="AA2226" s="1">
        <v>4381475</v>
      </c>
      <c r="AB2226" s="1" t="s">
        <v>1699</v>
      </c>
      <c r="AC2226" s="5">
        <v>43060</v>
      </c>
      <c r="AF2226" s="1">
        <v>10022</v>
      </c>
      <c r="AI2226" s="1" t="s">
        <v>84</v>
      </c>
      <c r="AJ2226" s="1">
        <v>2016</v>
      </c>
      <c r="AK2226" s="1" t="s">
        <v>73</v>
      </c>
      <c r="AL2226" s="1">
        <v>95</v>
      </c>
    </row>
    <row r="2227" spans="1:38" x14ac:dyDescent="0.2">
      <c r="A2227" s="2" t="str">
        <f>HYPERLINK("https://www.compass.com/listing/252-east-57th-street-unit-50b-manhattan-ny-10022/29405833137782801/","252 E 57th St, Unit 50B")</f>
        <v>252 E 57th St, Unit 50B</v>
      </c>
      <c r="B2227" s="2" t="str">
        <f t="shared" si="325"/>
        <v>252 E 57th St</v>
      </c>
      <c r="C2227" s="1" t="s">
        <v>64</v>
      </c>
      <c r="D2227" s="1" t="s">
        <v>41</v>
      </c>
      <c r="E2227" s="3">
        <v>4330563</v>
      </c>
      <c r="F2227" s="1">
        <v>2490.2604945370899</v>
      </c>
      <c r="G2227" s="1">
        <v>5</v>
      </c>
      <c r="H2227" s="1">
        <v>2</v>
      </c>
      <c r="I2227" s="1">
        <v>3</v>
      </c>
      <c r="J2227" s="1">
        <v>0.5</v>
      </c>
      <c r="L2227" s="1">
        <v>1</v>
      </c>
      <c r="M2227" s="4">
        <v>1739</v>
      </c>
      <c r="N2227" s="1">
        <v>3106</v>
      </c>
      <c r="O2227" s="1">
        <v>4517</v>
      </c>
      <c r="P2227" s="1">
        <v>1411</v>
      </c>
      <c r="Q2227" s="1" t="s">
        <v>42</v>
      </c>
      <c r="S2227" s="1" t="s">
        <v>42</v>
      </c>
      <c r="T2227" s="1" t="s">
        <v>170</v>
      </c>
      <c r="U2227" s="1">
        <v>4</v>
      </c>
      <c r="V2227" s="5">
        <v>43662</v>
      </c>
      <c r="W2227" s="5">
        <v>42850</v>
      </c>
      <c r="X2227" s="1">
        <v>4640000</v>
      </c>
      <c r="Y2227" s="1">
        <v>4640000</v>
      </c>
      <c r="Z2227" s="5">
        <v>42854</v>
      </c>
      <c r="AA2227" s="1">
        <v>4330563</v>
      </c>
      <c r="AB2227" s="1" t="s">
        <v>1700</v>
      </c>
      <c r="AC2227" s="5">
        <v>42894</v>
      </c>
      <c r="AF2227" s="1">
        <v>10022</v>
      </c>
      <c r="AI2227" s="1" t="s">
        <v>84</v>
      </c>
      <c r="AJ2227" s="1">
        <v>2016</v>
      </c>
      <c r="AK2227" s="1" t="s">
        <v>73</v>
      </c>
      <c r="AL2227" s="1">
        <v>95</v>
      </c>
    </row>
    <row r="2228" spans="1:38" x14ac:dyDescent="0.2">
      <c r="A2228" s="2" t="str">
        <f>HYPERLINK("https://www.compass.com/listing/252-east-57th-street-unit-49a-manhattan-ny-10022/29405831191715569/","252 E 57th St, Unit 49A")</f>
        <v>252 E 57th St, Unit 49A</v>
      </c>
      <c r="B2228" s="2" t="str">
        <f t="shared" si="325"/>
        <v>252 E 57th St</v>
      </c>
      <c r="C2228" s="1" t="s">
        <v>64</v>
      </c>
      <c r="D2228" s="1" t="s">
        <v>41</v>
      </c>
      <c r="E2228" s="3">
        <v>4979696</v>
      </c>
      <c r="F2228" s="1">
        <v>2275.9122486288802</v>
      </c>
      <c r="G2228" s="1">
        <v>5</v>
      </c>
      <c r="H2228" s="1">
        <v>3</v>
      </c>
      <c r="I2228" s="1">
        <v>4</v>
      </c>
      <c r="J2228" s="1">
        <v>0.5</v>
      </c>
      <c r="L2228" s="1">
        <v>1</v>
      </c>
      <c r="M2228" s="4">
        <v>2188</v>
      </c>
      <c r="N2228" s="1">
        <v>3944</v>
      </c>
      <c r="O2228" s="1">
        <v>5734</v>
      </c>
      <c r="P2228" s="1">
        <v>1790</v>
      </c>
      <c r="Q2228" s="1" t="s">
        <v>42</v>
      </c>
      <c r="S2228" s="1" t="s">
        <v>42</v>
      </c>
      <c r="T2228" s="1" t="s">
        <v>170</v>
      </c>
      <c r="V2228" s="5">
        <v>43670</v>
      </c>
      <c r="W2228" s="5">
        <v>42139</v>
      </c>
      <c r="X2228" s="1">
        <v>6170000</v>
      </c>
      <c r="Y2228" s="1">
        <v>6170000</v>
      </c>
      <c r="Z2228" s="5">
        <v>42139</v>
      </c>
      <c r="AA2228" s="1">
        <v>4979696</v>
      </c>
      <c r="AB2228" s="1" t="s">
        <v>1701</v>
      </c>
      <c r="AC2228" s="5">
        <v>43049</v>
      </c>
      <c r="AF2228" s="1">
        <v>10022</v>
      </c>
      <c r="AI2228" s="1" t="s">
        <v>138</v>
      </c>
      <c r="AJ2228" s="1">
        <v>2016</v>
      </c>
      <c r="AK2228" s="1" t="s">
        <v>73</v>
      </c>
      <c r="AL2228" s="1">
        <v>95</v>
      </c>
    </row>
    <row r="2229" spans="1:38" x14ac:dyDescent="0.2">
      <c r="A2229" s="2" t="str">
        <f>HYPERLINK("https://www.compass.com/listing/252-east-57th-street-unit-42b-manhattan-ny-10022/29405820596814017/","252 E 57th St, Unit 42B")</f>
        <v>252 E 57th St, Unit 42B</v>
      </c>
      <c r="B2229" s="2" t="str">
        <f t="shared" si="325"/>
        <v>252 E 57th St</v>
      </c>
      <c r="C2229" s="1" t="s">
        <v>64</v>
      </c>
      <c r="D2229" s="1" t="s">
        <v>41</v>
      </c>
      <c r="E2229" s="3">
        <v>4274558</v>
      </c>
      <c r="F2229" s="1">
        <v>2442.6045714285701</v>
      </c>
      <c r="G2229" s="1">
        <v>4</v>
      </c>
      <c r="H2229" s="1">
        <v>2</v>
      </c>
      <c r="I2229" s="1">
        <v>3</v>
      </c>
      <c r="J2229" s="1">
        <v>0.5</v>
      </c>
      <c r="L2229" s="1">
        <v>1</v>
      </c>
      <c r="M2229" s="4">
        <v>1750</v>
      </c>
      <c r="N2229" s="1">
        <v>3115</v>
      </c>
      <c r="O2229" s="1">
        <v>4529</v>
      </c>
      <c r="P2229" s="1">
        <v>1414</v>
      </c>
      <c r="Q2229" s="1" t="s">
        <v>42</v>
      </c>
      <c r="S2229" s="1" t="s">
        <v>42</v>
      </c>
      <c r="T2229" s="1" t="s">
        <v>170</v>
      </c>
      <c r="U2229" s="1">
        <v>191</v>
      </c>
      <c r="V2229" s="5">
        <v>43650</v>
      </c>
      <c r="W2229" s="5">
        <v>41893</v>
      </c>
      <c r="X2229" s="1">
        <v>4195000</v>
      </c>
      <c r="Y2229" s="1">
        <v>4195000</v>
      </c>
      <c r="Z2229" s="5">
        <v>42084</v>
      </c>
      <c r="AA2229" s="1">
        <v>4274558</v>
      </c>
      <c r="AB2229" s="1" t="s">
        <v>1702</v>
      </c>
      <c r="AC2229" s="5">
        <v>42852</v>
      </c>
      <c r="AF2229" s="1">
        <v>10022</v>
      </c>
      <c r="AI2229" s="1" t="s">
        <v>110</v>
      </c>
      <c r="AJ2229" s="1">
        <v>2016</v>
      </c>
      <c r="AK2229" s="1" t="s">
        <v>73</v>
      </c>
      <c r="AL2229" s="1">
        <v>95</v>
      </c>
    </row>
    <row r="2230" spans="1:38" x14ac:dyDescent="0.2">
      <c r="A2230" s="2" t="str">
        <f>HYPERLINK("https://www.compass.com/listing/48-east-132nd-street-unit-3c-manhattan-ny-10037/29428817655255073/","48 E 132nd St, Unit 3C")</f>
        <v>48 E 132nd St, Unit 3C</v>
      </c>
      <c r="B2230" s="2" t="str">
        <f t="shared" ref="B2230:B2232" si="326">HYPERLINK("https://www.compass.com/building/48-e-132nd-st-manhattan-ny-10037/282028625274876293/","48 E 132nd St")</f>
        <v>48 E 132nd St</v>
      </c>
      <c r="C2230" s="1" t="s">
        <v>61</v>
      </c>
      <c r="D2230" s="1" t="s">
        <v>41</v>
      </c>
      <c r="E2230" s="3">
        <v>390390</v>
      </c>
      <c r="F2230" s="1">
        <v>975.97500000000002</v>
      </c>
      <c r="H2230" s="1" t="s">
        <v>97</v>
      </c>
      <c r="J2230" s="1">
        <v>1</v>
      </c>
      <c r="K2230" s="1">
        <v>1</v>
      </c>
      <c r="M2230" s="1">
        <v>400</v>
      </c>
      <c r="N2230" s="1">
        <v>395</v>
      </c>
      <c r="O2230" s="1">
        <v>654</v>
      </c>
      <c r="P2230" s="1">
        <v>259</v>
      </c>
      <c r="Q2230" s="1" t="s">
        <v>42</v>
      </c>
      <c r="S2230" s="1" t="s">
        <v>42</v>
      </c>
      <c r="T2230" s="1" t="s">
        <v>170</v>
      </c>
      <c r="AA2230" s="1">
        <v>390390</v>
      </c>
      <c r="AB2230" s="1" t="s">
        <v>1703</v>
      </c>
      <c r="AC2230" s="5">
        <v>42928</v>
      </c>
      <c r="AF2230" s="1">
        <v>10037</v>
      </c>
      <c r="AI2230" s="1" t="s">
        <v>59</v>
      </c>
      <c r="AJ2230" s="1">
        <v>2016</v>
      </c>
      <c r="AL2230" s="1">
        <v>19</v>
      </c>
    </row>
    <row r="2231" spans="1:38" x14ac:dyDescent="0.2">
      <c r="A2231" s="2" t="str">
        <f>HYPERLINK("https://www.compass.com/listing/48-east-132nd-street-unit-3d-manhattan-ny-10037/29428817974076097/","48 E 132nd St, Unit 3D")</f>
        <v>48 E 132nd St, Unit 3D</v>
      </c>
      <c r="B2231" s="2" t="str">
        <f t="shared" si="326"/>
        <v>48 E 132nd St</v>
      </c>
      <c r="C2231" s="1" t="s">
        <v>61</v>
      </c>
      <c r="D2231" s="1" t="s">
        <v>41</v>
      </c>
      <c r="E2231" s="3">
        <v>413712</v>
      </c>
      <c r="F2231" s="1">
        <v>973.44</v>
      </c>
      <c r="H2231" s="1" t="s">
        <v>79</v>
      </c>
      <c r="J2231" s="1">
        <v>1</v>
      </c>
      <c r="K2231" s="1">
        <v>1</v>
      </c>
      <c r="M2231" s="1">
        <v>425</v>
      </c>
      <c r="N2231" s="1">
        <v>415</v>
      </c>
      <c r="O2231" s="1">
        <v>1081</v>
      </c>
      <c r="P2231" s="1">
        <v>666</v>
      </c>
      <c r="Q2231" s="1" t="s">
        <v>42</v>
      </c>
      <c r="S2231" s="1" t="s">
        <v>42</v>
      </c>
      <c r="T2231" s="1" t="s">
        <v>170</v>
      </c>
      <c r="AA2231" s="1">
        <v>413712</v>
      </c>
      <c r="AB2231" s="1" t="s">
        <v>1704</v>
      </c>
      <c r="AC2231" s="5">
        <v>42914</v>
      </c>
      <c r="AF2231" s="1">
        <v>10037</v>
      </c>
      <c r="AI2231" s="1" t="s">
        <v>59</v>
      </c>
      <c r="AJ2231" s="1">
        <v>2016</v>
      </c>
      <c r="AL2231" s="1">
        <v>19</v>
      </c>
    </row>
    <row r="2232" spans="1:38" x14ac:dyDescent="0.2">
      <c r="A2232" s="2" t="str">
        <f>HYPERLINK("https://www.compass.com/listing/48-east-132nd-street-unit-4e-manhattan-ny-10037/380801078166411713/","48 E 132nd St, Unit 4E")</f>
        <v>48 E 132nd St, Unit 4E</v>
      </c>
      <c r="B2232" s="2" t="str">
        <f t="shared" si="326"/>
        <v>48 E 132nd St</v>
      </c>
      <c r="C2232" s="1" t="s">
        <v>61</v>
      </c>
      <c r="D2232" s="1" t="s">
        <v>41</v>
      </c>
      <c r="E2232" s="3">
        <v>456300</v>
      </c>
      <c r="F2232" s="1">
        <v>1030.02257336343</v>
      </c>
      <c r="H2232" s="1" t="s">
        <v>79</v>
      </c>
      <c r="J2232" s="1">
        <v>1</v>
      </c>
      <c r="K2232" s="1">
        <v>1</v>
      </c>
      <c r="M2232" s="1">
        <v>443</v>
      </c>
      <c r="N2232" s="1">
        <v>406</v>
      </c>
      <c r="O2232" s="1">
        <v>1016</v>
      </c>
      <c r="P2232" s="1">
        <v>610</v>
      </c>
      <c r="Q2232" s="1" t="s">
        <v>42</v>
      </c>
      <c r="S2232" s="1" t="s">
        <v>42</v>
      </c>
      <c r="T2232" s="1" t="s">
        <v>170</v>
      </c>
      <c r="AA2232" s="1">
        <v>456300</v>
      </c>
      <c r="AB2232" s="1" t="s">
        <v>1705</v>
      </c>
      <c r="AC2232" s="5">
        <v>42964</v>
      </c>
      <c r="AF2232" s="1">
        <v>10037</v>
      </c>
      <c r="AI2232" s="1" t="s">
        <v>59</v>
      </c>
      <c r="AJ2232" s="1">
        <v>2016</v>
      </c>
      <c r="AL2232" s="1">
        <v>19</v>
      </c>
    </row>
    <row r="2233" spans="1:38" x14ac:dyDescent="0.2">
      <c r="A2233" s="2" t="str">
        <f>HYPERLINK("https://www.compass.com/listing/252-east-57th-street-unit-43b-manhattan-ny-10022/29405821460840225/","252 E 57th St, Unit 43B")</f>
        <v>252 E 57th St, Unit 43B</v>
      </c>
      <c r="B2233" s="2" t="str">
        <f t="shared" ref="B2233:B2282" si="327">HYPERLINK("https://www.compass.com/building/252-e-57th-st-manhattan-ny-10022/281924023602945813/","252 E 57th St")</f>
        <v>252 E 57th St</v>
      </c>
      <c r="C2233" s="1" t="s">
        <v>64</v>
      </c>
      <c r="D2233" s="1" t="s">
        <v>41</v>
      </c>
      <c r="E2233" s="3">
        <v>4320380</v>
      </c>
      <c r="F2233" s="1">
        <v>2470.2001143510502</v>
      </c>
      <c r="G2233" s="1">
        <v>4</v>
      </c>
      <c r="H2233" s="1">
        <v>2</v>
      </c>
      <c r="I2233" s="1">
        <v>3</v>
      </c>
      <c r="J2233" s="1">
        <v>0.5</v>
      </c>
      <c r="L2233" s="1">
        <v>1</v>
      </c>
      <c r="M2233" s="4">
        <v>1749</v>
      </c>
      <c r="N2233" s="1">
        <v>3114</v>
      </c>
      <c r="O2233" s="1">
        <v>4528</v>
      </c>
      <c r="P2233" s="1">
        <v>1414</v>
      </c>
      <c r="Q2233" s="1" t="s">
        <v>42</v>
      </c>
      <c r="S2233" s="1" t="s">
        <v>42</v>
      </c>
      <c r="T2233" s="1" t="s">
        <v>170</v>
      </c>
      <c r="U2233" s="1">
        <v>9</v>
      </c>
      <c r="V2233" s="5">
        <v>43662</v>
      </c>
      <c r="W2233" s="5">
        <v>42256</v>
      </c>
      <c r="X2233" s="1">
        <v>4440000</v>
      </c>
      <c r="Y2233" s="1">
        <v>4440000</v>
      </c>
      <c r="Z2233" s="5">
        <v>42265</v>
      </c>
      <c r="AA2233" s="1">
        <v>4320380</v>
      </c>
      <c r="AB2233" s="1" t="s">
        <v>1706</v>
      </c>
      <c r="AC2233" s="5">
        <v>42829</v>
      </c>
      <c r="AF2233" s="1">
        <v>10022</v>
      </c>
      <c r="AI2233" s="1" t="s">
        <v>110</v>
      </c>
      <c r="AJ2233" s="1">
        <v>2016</v>
      </c>
      <c r="AK2233" s="1" t="s">
        <v>73</v>
      </c>
      <c r="AL2233" s="1">
        <v>95</v>
      </c>
    </row>
    <row r="2234" spans="1:38" x14ac:dyDescent="0.2">
      <c r="A2234" s="2" t="str">
        <f>HYPERLINK("https://www.compass.com/listing/252-east-57th-street-unit-45b-manhattan-ny-10022/803404999262208625/","252 E 57th St, Unit 45B")</f>
        <v>252 E 57th St, Unit 45B</v>
      </c>
      <c r="B2234" s="2" t="str">
        <f t="shared" si="327"/>
        <v>252 E 57th St</v>
      </c>
      <c r="C2234" s="1" t="s">
        <v>64</v>
      </c>
      <c r="D2234" s="1" t="s">
        <v>41</v>
      </c>
      <c r="E2234" s="3">
        <v>4000000</v>
      </c>
      <c r="F2234" s="1">
        <v>2290.9507445589902</v>
      </c>
      <c r="G2234" s="1">
        <v>4</v>
      </c>
      <c r="H2234" s="1">
        <v>2</v>
      </c>
      <c r="I2234" s="1">
        <v>3</v>
      </c>
      <c r="J2234" s="1">
        <v>0.5</v>
      </c>
      <c r="L2234" s="1">
        <v>1</v>
      </c>
      <c r="M2234" s="4">
        <v>1746</v>
      </c>
      <c r="N2234" s="1">
        <v>3112</v>
      </c>
      <c r="O2234" s="1">
        <v>4525</v>
      </c>
      <c r="P2234" s="1">
        <v>1413</v>
      </c>
      <c r="Q2234" s="1" t="s">
        <v>42</v>
      </c>
      <c r="S2234" s="1" t="s">
        <v>42</v>
      </c>
      <c r="T2234" s="1" t="s">
        <v>170</v>
      </c>
      <c r="V2234" s="5">
        <v>43270</v>
      </c>
      <c r="W2234" s="5">
        <v>42202</v>
      </c>
      <c r="X2234" s="1">
        <v>4530000</v>
      </c>
      <c r="AB2234" s="1" t="s">
        <v>181</v>
      </c>
      <c r="AF2234" s="1">
        <v>10022</v>
      </c>
      <c r="AI2234" s="1" t="s">
        <v>110</v>
      </c>
      <c r="AJ2234" s="1">
        <v>2016</v>
      </c>
      <c r="AK2234" s="1" t="s">
        <v>73</v>
      </c>
      <c r="AL2234" s="1">
        <v>95</v>
      </c>
    </row>
    <row r="2235" spans="1:38" x14ac:dyDescent="0.2">
      <c r="A2235" s="2" t="str">
        <f>HYPERLINK("https://www.compass.com/listing/252-east-57th-street-unit-50d-manhattan-ny-10022/29405834119339825/","252 E 57th St, Unit 50D")</f>
        <v>252 E 57th St, Unit 50D</v>
      </c>
      <c r="B2235" s="2" t="str">
        <f t="shared" si="327"/>
        <v>252 E 57th St</v>
      </c>
      <c r="C2235" s="1" t="s">
        <v>64</v>
      </c>
      <c r="D2235" s="1" t="s">
        <v>41</v>
      </c>
      <c r="E2235" s="3">
        <v>4475298</v>
      </c>
      <c r="F2235" s="1">
        <v>2586.8774566473899</v>
      </c>
      <c r="G2235" s="1">
        <v>4</v>
      </c>
      <c r="H2235" s="1">
        <v>2</v>
      </c>
      <c r="I2235" s="1">
        <v>3</v>
      </c>
      <c r="J2235" s="1">
        <v>0.5</v>
      </c>
      <c r="L2235" s="1">
        <v>1</v>
      </c>
      <c r="M2235" s="4">
        <v>1730</v>
      </c>
      <c r="N2235" s="1">
        <v>3092</v>
      </c>
      <c r="O2235" s="1">
        <v>4496</v>
      </c>
      <c r="P2235" s="1">
        <v>1404</v>
      </c>
      <c r="Q2235" s="1" t="s">
        <v>42</v>
      </c>
      <c r="S2235" s="1" t="s">
        <v>42</v>
      </c>
      <c r="T2235" s="1" t="s">
        <v>170</v>
      </c>
      <c r="U2235" s="1">
        <v>13</v>
      </c>
      <c r="V2235" s="5">
        <v>43650</v>
      </c>
      <c r="W2235" s="5">
        <v>42438</v>
      </c>
      <c r="X2235" s="1">
        <v>4640000</v>
      </c>
      <c r="Y2235" s="1">
        <v>4640000</v>
      </c>
      <c r="Z2235" s="5">
        <v>42451</v>
      </c>
      <c r="AA2235" s="1">
        <v>4475298</v>
      </c>
      <c r="AB2235" s="1" t="s">
        <v>1707</v>
      </c>
      <c r="AC2235" s="5">
        <v>42871</v>
      </c>
      <c r="AF2235" s="1">
        <v>10022</v>
      </c>
      <c r="AI2235" s="1" t="s">
        <v>110</v>
      </c>
      <c r="AJ2235" s="1">
        <v>2016</v>
      </c>
      <c r="AK2235" s="1" t="s">
        <v>73</v>
      </c>
      <c r="AL2235" s="1">
        <v>95</v>
      </c>
    </row>
    <row r="2236" spans="1:38" x14ac:dyDescent="0.2">
      <c r="A2236" s="2" t="str">
        <f>HYPERLINK("https://www.compass.com/listing/252-east-57th-street-unit-50a-manhattan-ny-10022/29405832668110609/","252 E 57th St, Unit 50A")</f>
        <v>252 E 57th St, Unit 50A</v>
      </c>
      <c r="B2236" s="2" t="str">
        <f t="shared" si="327"/>
        <v>252 E 57th St</v>
      </c>
      <c r="C2236" s="1" t="s">
        <v>64</v>
      </c>
      <c r="D2236" s="1" t="s">
        <v>41</v>
      </c>
      <c r="E2236" s="3">
        <v>4961877</v>
      </c>
      <c r="F2236" s="1">
        <v>2268.80521262002</v>
      </c>
      <c r="G2236" s="1">
        <v>5</v>
      </c>
      <c r="H2236" s="1">
        <v>3</v>
      </c>
      <c r="I2236" s="1">
        <v>4</v>
      </c>
      <c r="J2236" s="1">
        <v>0.5</v>
      </c>
      <c r="L2236" s="1">
        <v>1</v>
      </c>
      <c r="M2236" s="4">
        <v>2187</v>
      </c>
      <c r="N2236" s="1">
        <v>3941</v>
      </c>
      <c r="O2236" s="1">
        <v>5732</v>
      </c>
      <c r="P2236" s="1">
        <v>1791</v>
      </c>
      <c r="Q2236" s="1" t="s">
        <v>42</v>
      </c>
      <c r="S2236" s="1" t="s">
        <v>42</v>
      </c>
      <c r="T2236" s="1" t="s">
        <v>170</v>
      </c>
      <c r="U2236" s="1">
        <v>7</v>
      </c>
      <c r="V2236" s="5">
        <v>43638</v>
      </c>
      <c r="W2236" s="5">
        <v>42790</v>
      </c>
      <c r="X2236" s="1">
        <v>5590000</v>
      </c>
      <c r="Y2236" s="1">
        <v>5590000</v>
      </c>
      <c r="Z2236" s="5">
        <v>42797</v>
      </c>
      <c r="AA2236" s="1">
        <v>4961877</v>
      </c>
      <c r="AB2236" s="1" t="s">
        <v>1708</v>
      </c>
      <c r="AC2236" s="5">
        <v>42871</v>
      </c>
      <c r="AF2236" s="1">
        <v>10022</v>
      </c>
      <c r="AI2236" s="1" t="s">
        <v>65</v>
      </c>
      <c r="AJ2236" s="1">
        <v>2016</v>
      </c>
      <c r="AK2236" s="1" t="s">
        <v>73</v>
      </c>
      <c r="AL2236" s="1">
        <v>95</v>
      </c>
    </row>
    <row r="2237" spans="1:38" x14ac:dyDescent="0.2">
      <c r="A2237" s="2" t="str">
        <f>HYPERLINK("https://www.compass.com/listing/252-east-57th-street-unit-44d-manhattan-ny-10022/29405824405241697/","252 E 57th St, Unit 44D")</f>
        <v>252 E 57th St, Unit 44D</v>
      </c>
      <c r="B2237" s="2" t="str">
        <f t="shared" si="327"/>
        <v>252 E 57th St</v>
      </c>
      <c r="C2237" s="1" t="s">
        <v>64</v>
      </c>
      <c r="D2237" s="1" t="s">
        <v>41</v>
      </c>
      <c r="E2237" s="3">
        <v>3795981</v>
      </c>
      <c r="F2237" s="1">
        <v>2182.8527889591701</v>
      </c>
      <c r="G2237" s="1">
        <v>4</v>
      </c>
      <c r="H2237" s="1">
        <v>2</v>
      </c>
      <c r="I2237" s="1">
        <v>3</v>
      </c>
      <c r="J2237" s="1">
        <v>0.5</v>
      </c>
      <c r="L2237" s="1">
        <v>1</v>
      </c>
      <c r="M2237" s="4">
        <v>1739</v>
      </c>
      <c r="N2237" s="1">
        <v>3098</v>
      </c>
      <c r="O2237" s="1">
        <v>4504</v>
      </c>
      <c r="P2237" s="1">
        <v>1406</v>
      </c>
      <c r="Q2237" s="1" t="s">
        <v>42</v>
      </c>
      <c r="S2237" s="1" t="s">
        <v>42</v>
      </c>
      <c r="T2237" s="1" t="s">
        <v>170</v>
      </c>
      <c r="U2237" s="1">
        <v>55</v>
      </c>
      <c r="V2237" s="5">
        <v>43638</v>
      </c>
      <c r="W2237" s="5">
        <v>42657</v>
      </c>
      <c r="X2237" s="1">
        <v>4020000</v>
      </c>
      <c r="Y2237" s="1">
        <v>4020000</v>
      </c>
      <c r="Z2237" s="5">
        <v>42712</v>
      </c>
      <c r="AA2237" s="1">
        <v>3795981</v>
      </c>
      <c r="AB2237" s="1" t="s">
        <v>1709</v>
      </c>
      <c r="AC2237" s="5">
        <v>42833</v>
      </c>
      <c r="AF2237" s="1">
        <v>10022</v>
      </c>
      <c r="AI2237" s="1" t="s">
        <v>110</v>
      </c>
      <c r="AJ2237" s="1">
        <v>2016</v>
      </c>
      <c r="AK2237" s="1" t="s">
        <v>73</v>
      </c>
      <c r="AL2237" s="1">
        <v>95</v>
      </c>
    </row>
    <row r="2238" spans="1:38" x14ac:dyDescent="0.2">
      <c r="A2238" s="2" t="str">
        <f>HYPERLINK("https://www.compass.com/listing/252-east-57th-street-unit-48b-manhattan-ny-10022/29405829564325585/","252 E 57th St, Unit 48B")</f>
        <v>252 E 57th St, Unit 48B</v>
      </c>
      <c r="B2238" s="2" t="str">
        <f t="shared" si="327"/>
        <v>252 E 57th St</v>
      </c>
      <c r="C2238" s="1" t="s">
        <v>64</v>
      </c>
      <c r="D2238" s="1" t="s">
        <v>41</v>
      </c>
      <c r="E2238" s="3">
        <v>4413040</v>
      </c>
      <c r="F2238" s="1">
        <v>2533.3180252583202</v>
      </c>
      <c r="G2238" s="1">
        <v>4</v>
      </c>
      <c r="H2238" s="1">
        <v>2</v>
      </c>
      <c r="I2238" s="1">
        <v>3</v>
      </c>
      <c r="J2238" s="1">
        <v>0.5</v>
      </c>
      <c r="L2238" s="1">
        <v>1</v>
      </c>
      <c r="M2238" s="4">
        <v>1742</v>
      </c>
      <c r="N2238" s="1">
        <v>3110</v>
      </c>
      <c r="O2238" s="1">
        <v>4521</v>
      </c>
      <c r="P2238" s="1">
        <v>1411</v>
      </c>
      <c r="Q2238" s="1" t="s">
        <v>42</v>
      </c>
      <c r="S2238" s="1" t="s">
        <v>42</v>
      </c>
      <c r="T2238" s="1" t="s">
        <v>170</v>
      </c>
      <c r="U2238" s="1">
        <v>14</v>
      </c>
      <c r="V2238" s="5">
        <v>43638</v>
      </c>
      <c r="W2238" s="5">
        <v>42460</v>
      </c>
      <c r="X2238" s="1">
        <v>4665000</v>
      </c>
      <c r="Y2238" s="1">
        <v>4665000</v>
      </c>
      <c r="Z2238" s="5">
        <v>42474</v>
      </c>
      <c r="AA2238" s="1">
        <v>4413040</v>
      </c>
      <c r="AB2238" s="1" t="s">
        <v>1710</v>
      </c>
      <c r="AC2238" s="5">
        <v>42837</v>
      </c>
      <c r="AF2238" s="1">
        <v>10022</v>
      </c>
      <c r="AI2238" s="1" t="s">
        <v>110</v>
      </c>
      <c r="AJ2238" s="1">
        <v>2016</v>
      </c>
      <c r="AK2238" s="1" t="s">
        <v>73</v>
      </c>
      <c r="AL2238" s="1">
        <v>95</v>
      </c>
    </row>
    <row r="2239" spans="1:38" x14ac:dyDescent="0.2">
      <c r="A2239" s="2" t="str">
        <f>HYPERLINK("https://www.compass.com/listing/252-east-57th-street-unit-39d-manhattan-ny-10022/29405815899192993/","252 E 57th St, Unit 39D")</f>
        <v>252 E 57th St, Unit 39D</v>
      </c>
      <c r="B2239" s="2" t="str">
        <f t="shared" si="327"/>
        <v>252 E 57th St</v>
      </c>
      <c r="C2239" s="1" t="s">
        <v>64</v>
      </c>
      <c r="D2239" s="1" t="s">
        <v>41</v>
      </c>
      <c r="E2239" s="3">
        <v>3999631</v>
      </c>
      <c r="F2239" s="1">
        <v>2074.497406639</v>
      </c>
      <c r="G2239" s="1">
        <v>5</v>
      </c>
      <c r="H2239" s="1">
        <v>3</v>
      </c>
      <c r="I2239" s="1">
        <v>3</v>
      </c>
      <c r="M2239" s="4">
        <v>1928</v>
      </c>
      <c r="N2239" s="1">
        <v>3424</v>
      </c>
      <c r="O2239" s="1">
        <v>4980</v>
      </c>
      <c r="P2239" s="1">
        <v>1556</v>
      </c>
      <c r="Q2239" s="1" t="s">
        <v>42</v>
      </c>
      <c r="S2239" s="1" t="s">
        <v>42</v>
      </c>
      <c r="T2239" s="1" t="s">
        <v>170</v>
      </c>
      <c r="U2239" s="1">
        <v>27</v>
      </c>
      <c r="V2239" s="5">
        <v>43670</v>
      </c>
      <c r="W2239" s="5">
        <v>43022</v>
      </c>
      <c r="X2239" s="1">
        <v>4085000</v>
      </c>
      <c r="Y2239" s="1">
        <v>4085000</v>
      </c>
      <c r="Z2239" s="5">
        <v>43049</v>
      </c>
      <c r="AA2239" s="1">
        <v>3999631</v>
      </c>
      <c r="AB2239" s="1" t="s">
        <v>1711</v>
      </c>
      <c r="AC2239" s="5">
        <v>43098</v>
      </c>
      <c r="AF2239" s="1">
        <v>10022</v>
      </c>
      <c r="AI2239" s="1" t="s">
        <v>84</v>
      </c>
      <c r="AJ2239" s="1">
        <v>2016</v>
      </c>
      <c r="AK2239" s="1" t="s">
        <v>73</v>
      </c>
      <c r="AL2239" s="1">
        <v>95</v>
      </c>
    </row>
    <row r="2240" spans="1:38" x14ac:dyDescent="0.2">
      <c r="A2240" s="2" t="str">
        <f>HYPERLINK("https://www.compass.com/listing/252-east-57th-street-unit-40d-manhattan-ny-10022/29405817920848001/","252 E 57th St, Unit 40D")</f>
        <v>252 E 57th St, Unit 40D</v>
      </c>
      <c r="B2240" s="2" t="str">
        <f t="shared" si="327"/>
        <v>252 E 57th St</v>
      </c>
      <c r="C2240" s="1" t="s">
        <v>64</v>
      </c>
      <c r="D2240" s="1" t="s">
        <v>41</v>
      </c>
      <c r="E2240" s="3">
        <v>4686950</v>
      </c>
      <c r="F2240" s="1">
        <v>2432.2522055007698</v>
      </c>
      <c r="G2240" s="1">
        <v>5</v>
      </c>
      <c r="H2240" s="1">
        <v>3</v>
      </c>
      <c r="I2240" s="1">
        <v>3</v>
      </c>
      <c r="M2240" s="4">
        <v>1927</v>
      </c>
      <c r="N2240" s="1">
        <v>3427</v>
      </c>
      <c r="O2240" s="1">
        <v>4983</v>
      </c>
      <c r="P2240" s="1">
        <v>1556</v>
      </c>
      <c r="Q2240" s="1" t="s">
        <v>42</v>
      </c>
      <c r="S2240" s="1" t="s">
        <v>42</v>
      </c>
      <c r="T2240" s="1" t="s">
        <v>170</v>
      </c>
      <c r="V2240" s="5">
        <v>43637</v>
      </c>
      <c r="W2240" s="5">
        <v>42171</v>
      </c>
      <c r="X2240" s="1">
        <v>4985000</v>
      </c>
      <c r="Y2240" s="1">
        <v>4985000</v>
      </c>
      <c r="Z2240" s="5">
        <v>42171</v>
      </c>
      <c r="AA2240" s="1">
        <v>4686950</v>
      </c>
      <c r="AB2240" s="1" t="s">
        <v>1712</v>
      </c>
      <c r="AC2240" s="5">
        <v>42837</v>
      </c>
      <c r="AF2240" s="1">
        <v>10022</v>
      </c>
      <c r="AI2240" s="1" t="s">
        <v>84</v>
      </c>
      <c r="AJ2240" s="1">
        <v>2016</v>
      </c>
      <c r="AK2240" s="1" t="s">
        <v>73</v>
      </c>
      <c r="AL2240" s="1">
        <v>95</v>
      </c>
    </row>
    <row r="2241" spans="1:38" x14ac:dyDescent="0.2">
      <c r="A2241" s="2" t="str">
        <f>HYPERLINK("https://www.compass.com/listing/252-east-57th-street-unit-51b-manhattan-ny-10022/29405835167826401/","252 E 57th St, Unit 51B")</f>
        <v>252 E 57th St, Unit 51B</v>
      </c>
      <c r="B2241" s="2" t="str">
        <f t="shared" si="327"/>
        <v>252 E 57th St</v>
      </c>
      <c r="C2241" s="1" t="s">
        <v>64</v>
      </c>
      <c r="D2241" s="1" t="s">
        <v>41</v>
      </c>
      <c r="E2241" s="3">
        <v>5399725</v>
      </c>
      <c r="F2241" s="1">
        <v>2377.6860413914501</v>
      </c>
      <c r="G2241" s="1">
        <v>5</v>
      </c>
      <c r="H2241" s="1">
        <v>3</v>
      </c>
      <c r="I2241" s="1">
        <v>3</v>
      </c>
      <c r="M2241" s="4">
        <v>2271</v>
      </c>
      <c r="N2241" s="1">
        <v>4058</v>
      </c>
      <c r="O2241" s="1">
        <v>5901</v>
      </c>
      <c r="P2241" s="1">
        <v>1843</v>
      </c>
      <c r="Q2241" s="1" t="s">
        <v>42</v>
      </c>
      <c r="S2241" s="1" t="s">
        <v>42</v>
      </c>
      <c r="T2241" s="1" t="s">
        <v>170</v>
      </c>
      <c r="U2241" s="1">
        <v>55</v>
      </c>
      <c r="V2241" s="5">
        <v>43670</v>
      </c>
      <c r="W2241" s="5">
        <v>42923</v>
      </c>
      <c r="X2241" s="1">
        <v>5875000</v>
      </c>
      <c r="Y2241" s="1">
        <v>5875000</v>
      </c>
      <c r="Z2241" s="5">
        <v>42978</v>
      </c>
      <c r="AA2241" s="1">
        <v>5399725</v>
      </c>
      <c r="AB2241" s="1" t="s">
        <v>1713</v>
      </c>
      <c r="AC2241" s="5">
        <v>43011</v>
      </c>
      <c r="AF2241" s="1">
        <v>10022</v>
      </c>
      <c r="AI2241" s="1" t="s">
        <v>110</v>
      </c>
      <c r="AJ2241" s="1">
        <v>2016</v>
      </c>
      <c r="AK2241" s="1" t="s">
        <v>73</v>
      </c>
      <c r="AL2241" s="1">
        <v>95</v>
      </c>
    </row>
    <row r="2242" spans="1:38" x14ac:dyDescent="0.2">
      <c r="A2242" s="2" t="str">
        <f>HYPERLINK("https://www.compass.com/listing/252-east-57th-street-unit-55b-manhattan-ny-10022/29405841518002785/","252 E 57th St, Unit 55B")</f>
        <v>252 E 57th St, Unit 55B</v>
      </c>
      <c r="B2242" s="2" t="str">
        <f t="shared" si="327"/>
        <v>252 E 57th St</v>
      </c>
      <c r="C2242" s="1" t="s">
        <v>64</v>
      </c>
      <c r="D2242" s="1" t="s">
        <v>41</v>
      </c>
      <c r="E2242" s="3">
        <v>5541261</v>
      </c>
      <c r="F2242" s="1">
        <v>2447.5534452296802</v>
      </c>
      <c r="G2242" s="1">
        <v>5</v>
      </c>
      <c r="H2242" s="1">
        <v>3</v>
      </c>
      <c r="I2242" s="1">
        <v>3</v>
      </c>
      <c r="M2242" s="4">
        <v>2264</v>
      </c>
      <c r="N2242" s="1">
        <v>4053</v>
      </c>
      <c r="O2242" s="1">
        <v>5894</v>
      </c>
      <c r="P2242" s="1">
        <v>1841</v>
      </c>
      <c r="Q2242" s="1" t="s">
        <v>42</v>
      </c>
      <c r="S2242" s="1" t="s">
        <v>42</v>
      </c>
      <c r="T2242" s="1" t="s">
        <v>170</v>
      </c>
      <c r="U2242" s="1">
        <v>114</v>
      </c>
      <c r="V2242" s="5">
        <v>43670</v>
      </c>
      <c r="W2242" s="5">
        <v>42808</v>
      </c>
      <c r="X2242" s="1">
        <v>6075000</v>
      </c>
      <c r="Y2242" s="1">
        <v>6075000</v>
      </c>
      <c r="Z2242" s="5">
        <v>42922</v>
      </c>
      <c r="AA2242" s="1">
        <v>5541261</v>
      </c>
      <c r="AB2242" s="1" t="s">
        <v>1714</v>
      </c>
      <c r="AC2242" s="5">
        <v>43008</v>
      </c>
      <c r="AF2242" s="1">
        <v>10022</v>
      </c>
      <c r="AI2242" s="1" t="s">
        <v>110</v>
      </c>
      <c r="AJ2242" s="1">
        <v>2016</v>
      </c>
      <c r="AK2242" s="1" t="s">
        <v>73</v>
      </c>
      <c r="AL2242" s="1">
        <v>95</v>
      </c>
    </row>
    <row r="2243" spans="1:38" x14ac:dyDescent="0.2">
      <c r="A2243" s="2" t="str">
        <f>HYPERLINK("https://www.compass.com/listing/252-east-57th-street-unit-44a-manhattan-ny-10022/29405822912069441/","252 E 57th St, Unit 44A")</f>
        <v>252 E 57th St, Unit 44A</v>
      </c>
      <c r="B2243" s="2" t="str">
        <f t="shared" si="327"/>
        <v>252 E 57th St</v>
      </c>
      <c r="C2243" s="1" t="s">
        <v>64</v>
      </c>
      <c r="D2243" s="1" t="s">
        <v>41</v>
      </c>
      <c r="E2243" s="3">
        <v>4890600</v>
      </c>
      <c r="F2243" s="1">
        <v>2228.0637813211802</v>
      </c>
      <c r="G2243" s="1">
        <v>5</v>
      </c>
      <c r="H2243" s="1">
        <v>3</v>
      </c>
      <c r="I2243" s="1">
        <v>4</v>
      </c>
      <c r="J2243" s="1">
        <v>0.5</v>
      </c>
      <c r="L2243" s="1">
        <v>1</v>
      </c>
      <c r="M2243" s="4">
        <v>2195</v>
      </c>
      <c r="N2243" s="1">
        <v>3940</v>
      </c>
      <c r="O2243" s="1">
        <v>5730</v>
      </c>
      <c r="P2243" s="1">
        <v>1790</v>
      </c>
      <c r="Q2243" s="1" t="s">
        <v>42</v>
      </c>
      <c r="S2243" s="1" t="s">
        <v>42</v>
      </c>
      <c r="T2243" s="1" t="s">
        <v>170</v>
      </c>
      <c r="U2243" s="1">
        <v>7</v>
      </c>
      <c r="V2243" s="5">
        <v>43659</v>
      </c>
      <c r="W2243" s="5">
        <v>43013</v>
      </c>
      <c r="X2243" s="1">
        <v>5025000</v>
      </c>
      <c r="Y2243" s="1">
        <v>5025000</v>
      </c>
      <c r="Z2243" s="5">
        <v>43020</v>
      </c>
      <c r="AA2243" s="1">
        <v>4890600</v>
      </c>
      <c r="AB2243" s="1" t="s">
        <v>1715</v>
      </c>
      <c r="AC2243" s="5">
        <v>43026</v>
      </c>
      <c r="AF2243" s="1">
        <v>10022</v>
      </c>
      <c r="AI2243" s="1" t="s">
        <v>65</v>
      </c>
      <c r="AJ2243" s="1">
        <v>2016</v>
      </c>
      <c r="AK2243" s="1" t="s">
        <v>73</v>
      </c>
      <c r="AL2243" s="1">
        <v>95</v>
      </c>
    </row>
    <row r="2244" spans="1:38" x14ac:dyDescent="0.2">
      <c r="A2244" s="2" t="str">
        <f>HYPERLINK("https://www.compass.com/listing/252-east-57th-street-unit-42c-manhattan-ny-10022/29405821058276881/","252 E 57th St, Unit 42C")</f>
        <v>252 E 57th St, Unit 42C</v>
      </c>
      <c r="B2244" s="2" t="str">
        <f t="shared" si="327"/>
        <v>252 E 57th St</v>
      </c>
      <c r="C2244" s="1" t="s">
        <v>64</v>
      </c>
      <c r="D2244" s="1" t="s">
        <v>41</v>
      </c>
      <c r="E2244" s="3">
        <v>5857937</v>
      </c>
      <c r="F2244" s="1">
        <v>2667.5487249544599</v>
      </c>
      <c r="G2244" s="1">
        <v>5</v>
      </c>
      <c r="H2244" s="1">
        <v>3</v>
      </c>
      <c r="I2244" s="1">
        <v>4</v>
      </c>
      <c r="J2244" s="1">
        <v>0.5</v>
      </c>
      <c r="L2244" s="1">
        <v>1</v>
      </c>
      <c r="M2244" s="4">
        <v>2196</v>
      </c>
      <c r="N2244" s="1">
        <v>3940</v>
      </c>
      <c r="O2244" s="1">
        <v>5729</v>
      </c>
      <c r="P2244" s="1">
        <v>1789</v>
      </c>
      <c r="Q2244" s="1" t="s">
        <v>42</v>
      </c>
      <c r="S2244" s="1" t="s">
        <v>42</v>
      </c>
      <c r="T2244" s="1" t="s">
        <v>170</v>
      </c>
      <c r="U2244" s="1">
        <v>191</v>
      </c>
      <c r="V2244" s="5">
        <v>43650</v>
      </c>
      <c r="W2244" s="5">
        <v>41893</v>
      </c>
      <c r="X2244" s="1">
        <v>5750000</v>
      </c>
      <c r="Y2244" s="1">
        <v>5750000</v>
      </c>
      <c r="Z2244" s="5">
        <v>42084</v>
      </c>
      <c r="AA2244" s="1">
        <v>5857937</v>
      </c>
      <c r="AB2244" s="1" t="s">
        <v>1716</v>
      </c>
      <c r="AC2244" s="5">
        <v>42852</v>
      </c>
      <c r="AF2244" s="1">
        <v>10022</v>
      </c>
      <c r="AI2244" s="1" t="s">
        <v>138</v>
      </c>
      <c r="AJ2244" s="1">
        <v>2016</v>
      </c>
      <c r="AK2244" s="1" t="s">
        <v>73</v>
      </c>
      <c r="AL2244" s="1">
        <v>95</v>
      </c>
    </row>
    <row r="2245" spans="1:38" x14ac:dyDescent="0.2">
      <c r="A2245" s="2" t="str">
        <f>HYPERLINK("https://www.compass.com/listing/252-east-57th-street-unit-60b-manhattan-ny-10022/29405847364862273/","252 E 57th St, Unit 60B")</f>
        <v>252 E 57th St, Unit 60B</v>
      </c>
      <c r="B2245" s="2" t="str">
        <f t="shared" si="327"/>
        <v>252 E 57th St</v>
      </c>
      <c r="C2245" s="1" t="s">
        <v>64</v>
      </c>
      <c r="D2245" s="1" t="s">
        <v>41</v>
      </c>
      <c r="E2245" s="3">
        <v>12636482</v>
      </c>
      <c r="F2245" s="1">
        <v>3785.6446974236001</v>
      </c>
      <c r="G2245" s="1">
        <v>7</v>
      </c>
      <c r="H2245" s="1">
        <v>4</v>
      </c>
      <c r="I2245" s="1">
        <v>5</v>
      </c>
      <c r="J2245" s="1">
        <v>0.5</v>
      </c>
      <c r="L2245" s="1">
        <v>1</v>
      </c>
      <c r="M2245" s="4">
        <v>3338</v>
      </c>
      <c r="N2245" s="1">
        <v>6037</v>
      </c>
      <c r="O2245" s="1">
        <v>8778</v>
      </c>
      <c r="P2245" s="1">
        <v>2741</v>
      </c>
      <c r="Q2245" s="1" t="s">
        <v>42</v>
      </c>
      <c r="S2245" s="1" t="s">
        <v>42</v>
      </c>
      <c r="T2245" s="1" t="s">
        <v>170</v>
      </c>
      <c r="U2245" s="1">
        <v>191</v>
      </c>
      <c r="V2245" s="5">
        <v>43670</v>
      </c>
      <c r="W2245" s="5">
        <v>41893</v>
      </c>
      <c r="X2245" s="1">
        <v>13150000</v>
      </c>
      <c r="Y2245" s="1">
        <v>13150000</v>
      </c>
      <c r="Z2245" s="5">
        <v>42084</v>
      </c>
      <c r="AA2245" s="1">
        <v>12636482</v>
      </c>
      <c r="AB2245" s="1" t="s">
        <v>1717</v>
      </c>
      <c r="AC2245" s="5">
        <v>42998</v>
      </c>
      <c r="AF2245" s="1">
        <v>10022</v>
      </c>
      <c r="AI2245" s="1" t="s">
        <v>138</v>
      </c>
      <c r="AJ2245" s="1">
        <v>2016</v>
      </c>
      <c r="AK2245" s="1" t="s">
        <v>73</v>
      </c>
      <c r="AL2245" s="1">
        <v>95</v>
      </c>
    </row>
    <row r="2246" spans="1:38" x14ac:dyDescent="0.2">
      <c r="A2246" s="2" t="str">
        <f>HYPERLINK("https://www.compass.com/listing/252-east-57th-street-unit-51c-manhattan-ny-10022/803332337181806625/","252 E 57th St, Unit 51C")</f>
        <v>252 E 57th St, Unit 51C</v>
      </c>
      <c r="B2246" s="2" t="str">
        <f t="shared" si="327"/>
        <v>252 E 57th St</v>
      </c>
      <c r="C2246" s="1" t="s">
        <v>64</v>
      </c>
      <c r="D2246" s="1" t="s">
        <v>41</v>
      </c>
      <c r="E2246" s="3">
        <v>8819000</v>
      </c>
      <c r="F2246" s="1">
        <v>2887.6882776686298</v>
      </c>
      <c r="G2246" s="1">
        <v>5</v>
      </c>
      <c r="H2246" s="1">
        <v>3</v>
      </c>
      <c r="I2246" s="1">
        <v>4</v>
      </c>
      <c r="J2246" s="1">
        <v>0.5</v>
      </c>
      <c r="L2246" s="1">
        <v>1</v>
      </c>
      <c r="M2246" s="4">
        <v>3054</v>
      </c>
      <c r="N2246" s="1">
        <v>5497</v>
      </c>
      <c r="O2246" s="1">
        <v>7992</v>
      </c>
      <c r="P2246" s="1">
        <v>2495</v>
      </c>
      <c r="Q2246" s="1" t="s">
        <v>42</v>
      </c>
      <c r="S2246" s="1" t="s">
        <v>42</v>
      </c>
      <c r="T2246" s="1" t="s">
        <v>170</v>
      </c>
      <c r="V2246" s="5">
        <v>43237</v>
      </c>
      <c r="W2246" s="5">
        <v>41892</v>
      </c>
      <c r="X2246" s="1">
        <v>9350000</v>
      </c>
      <c r="AB2246" s="1" t="s">
        <v>181</v>
      </c>
      <c r="AF2246" s="1">
        <v>10022</v>
      </c>
      <c r="AI2246" s="1" t="s">
        <v>138</v>
      </c>
      <c r="AJ2246" s="1">
        <v>2016</v>
      </c>
      <c r="AK2246" s="1" t="s">
        <v>73</v>
      </c>
      <c r="AL2246" s="1">
        <v>95</v>
      </c>
    </row>
    <row r="2247" spans="1:38" x14ac:dyDescent="0.2">
      <c r="A2247" s="2" t="str">
        <f>HYPERLINK("https://www.compass.com/listing/252-east-57th-street-unit-43d-manhattan-ny-10022/29405822459174449/","252 E 57th St, Unit 43D")</f>
        <v>252 E 57th St, Unit 43D</v>
      </c>
      <c r="B2247" s="2" t="str">
        <f t="shared" si="327"/>
        <v>252 E 57th St</v>
      </c>
      <c r="C2247" s="1" t="s">
        <v>64</v>
      </c>
      <c r="D2247" s="1" t="s">
        <v>41</v>
      </c>
      <c r="E2247" s="3">
        <v>3643243</v>
      </c>
      <c r="F2247" s="1">
        <v>2092.6151636990198</v>
      </c>
      <c r="G2247" s="1">
        <v>4</v>
      </c>
      <c r="H2247" s="1">
        <v>2</v>
      </c>
      <c r="I2247" s="1">
        <v>3</v>
      </c>
      <c r="J2247" s="1">
        <v>0.5</v>
      </c>
      <c r="L2247" s="1">
        <v>1</v>
      </c>
      <c r="M2247" s="4">
        <v>1741</v>
      </c>
      <c r="N2247" s="1">
        <v>3100</v>
      </c>
      <c r="O2247" s="1">
        <v>4507</v>
      </c>
      <c r="P2247" s="1">
        <v>1407</v>
      </c>
      <c r="Q2247" s="1" t="s">
        <v>42</v>
      </c>
      <c r="S2247" s="1" t="s">
        <v>42</v>
      </c>
      <c r="T2247" s="1" t="s">
        <v>170</v>
      </c>
      <c r="U2247" s="1">
        <v>573</v>
      </c>
      <c r="V2247" s="5">
        <v>43638</v>
      </c>
      <c r="W2247" s="5">
        <v>42084</v>
      </c>
      <c r="X2247" s="1">
        <v>4240000</v>
      </c>
      <c r="Y2247" s="1">
        <v>3975000</v>
      </c>
      <c r="Z2247" s="5">
        <v>42657</v>
      </c>
      <c r="AA2247" s="1">
        <v>3643243</v>
      </c>
      <c r="AB2247" s="1" t="s">
        <v>1718</v>
      </c>
      <c r="AC2247" s="5">
        <v>42833</v>
      </c>
      <c r="AF2247" s="1">
        <v>10022</v>
      </c>
      <c r="AI2247" s="1" t="s">
        <v>110</v>
      </c>
      <c r="AJ2247" s="1">
        <v>2016</v>
      </c>
      <c r="AK2247" s="1" t="s">
        <v>73</v>
      </c>
      <c r="AL2247" s="1">
        <v>95</v>
      </c>
    </row>
    <row r="2248" spans="1:38" x14ac:dyDescent="0.2">
      <c r="A2248" s="2" t="str">
        <f>HYPERLINK("https://www.compass.com/listing/252-east-57th-street-unit-49c-manhattan-ny-10022/29405831661387761/","252 E 57th St, Unit 49C")</f>
        <v>252 E 57th St, Unit 49C</v>
      </c>
      <c r="B2248" s="2" t="str">
        <f t="shared" si="327"/>
        <v>252 E 57th St</v>
      </c>
      <c r="C2248" s="1" t="s">
        <v>64</v>
      </c>
      <c r="D2248" s="1" t="s">
        <v>41</v>
      </c>
      <c r="E2248" s="3">
        <v>6386206</v>
      </c>
      <c r="F2248" s="1">
        <v>2921.4117108874598</v>
      </c>
      <c r="G2248" s="1">
        <v>5</v>
      </c>
      <c r="H2248" s="1">
        <v>3</v>
      </c>
      <c r="I2248" s="1">
        <v>4</v>
      </c>
      <c r="J2248" s="1">
        <v>0.5</v>
      </c>
      <c r="L2248" s="1">
        <v>1</v>
      </c>
      <c r="M2248" s="4">
        <v>2186</v>
      </c>
      <c r="N2248" s="1">
        <v>3940</v>
      </c>
      <c r="O2248" s="1">
        <v>5729</v>
      </c>
      <c r="P2248" s="1">
        <v>1789</v>
      </c>
      <c r="Q2248" s="1" t="s">
        <v>42</v>
      </c>
      <c r="S2248" s="1" t="s">
        <v>42</v>
      </c>
      <c r="T2248" s="1" t="s">
        <v>170</v>
      </c>
      <c r="U2248" s="1">
        <v>13</v>
      </c>
      <c r="V2248" s="5">
        <v>43650</v>
      </c>
      <c r="W2248" s="5">
        <v>42256</v>
      </c>
      <c r="X2248" s="1">
        <v>6670000</v>
      </c>
      <c r="Y2248" s="1">
        <v>6670000</v>
      </c>
      <c r="Z2248" s="5">
        <v>42269</v>
      </c>
      <c r="AA2248" s="1">
        <v>6386206</v>
      </c>
      <c r="AB2248" s="1" t="s">
        <v>1719</v>
      </c>
      <c r="AC2248" s="5">
        <v>42868</v>
      </c>
      <c r="AF2248" s="1">
        <v>10022</v>
      </c>
      <c r="AI2248" s="1" t="s">
        <v>138</v>
      </c>
      <c r="AJ2248" s="1">
        <v>2016</v>
      </c>
      <c r="AK2248" s="1" t="s">
        <v>73</v>
      </c>
      <c r="AL2248" s="1">
        <v>95</v>
      </c>
    </row>
    <row r="2249" spans="1:38" x14ac:dyDescent="0.2">
      <c r="A2249" s="2" t="str">
        <f>HYPERLINK("https://www.compass.com/listing/252-east-57th-street-unit-52b-manhattan-ny-10022/29405836728107521/","252 E 57th St, Unit 52B")</f>
        <v>252 E 57th St, Unit 52B</v>
      </c>
      <c r="B2249" s="2" t="str">
        <f t="shared" si="327"/>
        <v>252 E 57th St</v>
      </c>
      <c r="C2249" s="1" t="s">
        <v>64</v>
      </c>
      <c r="D2249" s="1" t="s">
        <v>41</v>
      </c>
      <c r="E2249" s="3">
        <v>5399725</v>
      </c>
      <c r="F2249" s="1">
        <v>2379.7818422212399</v>
      </c>
      <c r="G2249" s="1">
        <v>5</v>
      </c>
      <c r="H2249" s="1">
        <v>3</v>
      </c>
      <c r="I2249" s="1">
        <v>3</v>
      </c>
      <c r="M2249" s="4">
        <v>2269</v>
      </c>
      <c r="N2249" s="1">
        <v>4059</v>
      </c>
      <c r="O2249" s="1">
        <v>5902</v>
      </c>
      <c r="P2249" s="1">
        <v>1843</v>
      </c>
      <c r="Q2249" s="1" t="s">
        <v>42</v>
      </c>
      <c r="S2249" s="1" t="s">
        <v>42</v>
      </c>
      <c r="T2249" s="1" t="s">
        <v>170</v>
      </c>
      <c r="U2249" s="1">
        <v>54</v>
      </c>
      <c r="V2249" s="5">
        <v>43638</v>
      </c>
      <c r="W2249" s="5">
        <v>42425</v>
      </c>
      <c r="X2249" s="1">
        <v>6425000</v>
      </c>
      <c r="Y2249" s="1">
        <v>6425000</v>
      </c>
      <c r="Z2249" s="5">
        <v>42479</v>
      </c>
      <c r="AA2249" s="1">
        <v>5399725</v>
      </c>
      <c r="AB2249" s="1" t="s">
        <v>1720</v>
      </c>
      <c r="AC2249" s="5">
        <v>42859</v>
      </c>
      <c r="AF2249" s="1">
        <v>10022</v>
      </c>
      <c r="AI2249" s="1" t="s">
        <v>110</v>
      </c>
      <c r="AJ2249" s="1">
        <v>2016</v>
      </c>
      <c r="AK2249" s="1" t="s">
        <v>73</v>
      </c>
      <c r="AL2249" s="1">
        <v>95</v>
      </c>
    </row>
    <row r="2250" spans="1:38" x14ac:dyDescent="0.2">
      <c r="A2250" s="2" t="str">
        <f>HYPERLINK("https://www.compass.com/listing/252-east-57th-street-unit-53b-manhattan-ny-10022/29405838246445601/","252 E 57th St, Unit 53B")</f>
        <v>252 E 57th St, Unit 53B</v>
      </c>
      <c r="B2250" s="2" t="str">
        <f t="shared" si="327"/>
        <v>252 E 57th St</v>
      </c>
      <c r="C2250" s="1" t="s">
        <v>64</v>
      </c>
      <c r="D2250" s="1" t="s">
        <v>41</v>
      </c>
      <c r="E2250" s="3">
        <v>5450637</v>
      </c>
      <c r="F2250" s="1">
        <v>2403.2791005291001</v>
      </c>
      <c r="G2250" s="1">
        <v>5</v>
      </c>
      <c r="H2250" s="1">
        <v>3</v>
      </c>
      <c r="I2250" s="1">
        <v>3</v>
      </c>
      <c r="M2250" s="4">
        <v>2268</v>
      </c>
      <c r="N2250" s="1">
        <v>4056</v>
      </c>
      <c r="O2250" s="1">
        <v>5899</v>
      </c>
      <c r="P2250" s="1">
        <v>1843</v>
      </c>
      <c r="Q2250" s="1" t="s">
        <v>42</v>
      </c>
      <c r="S2250" s="1" t="s">
        <v>42</v>
      </c>
      <c r="T2250" s="1" t="s">
        <v>170</v>
      </c>
      <c r="U2250" s="1">
        <v>260</v>
      </c>
      <c r="V2250" s="5">
        <v>43650</v>
      </c>
      <c r="W2250" s="5">
        <v>42479</v>
      </c>
      <c r="X2250" s="1">
        <v>6500000</v>
      </c>
      <c r="Y2250" s="1">
        <v>6500000</v>
      </c>
      <c r="Z2250" s="5">
        <v>42739</v>
      </c>
      <c r="AA2250" s="1">
        <v>5450637</v>
      </c>
      <c r="AB2250" s="1" t="s">
        <v>1721</v>
      </c>
      <c r="AC2250" s="5">
        <v>42888</v>
      </c>
      <c r="AF2250" s="1">
        <v>10022</v>
      </c>
      <c r="AI2250" s="1" t="s">
        <v>110</v>
      </c>
      <c r="AJ2250" s="1">
        <v>2016</v>
      </c>
      <c r="AK2250" s="1" t="s">
        <v>73</v>
      </c>
      <c r="AL2250" s="1">
        <v>95</v>
      </c>
    </row>
    <row r="2251" spans="1:38" x14ac:dyDescent="0.2">
      <c r="A2251" s="2" t="str">
        <f>HYPERLINK("https://www.compass.com/listing/252-east-57th-street-unit-57b-manhattan-ny-10022/29405844286243057/","252 E 57th St, Unit 57B")</f>
        <v>252 E 57th St, Unit 57B</v>
      </c>
      <c r="B2251" s="2" t="str">
        <f t="shared" si="327"/>
        <v>252 E 57th St</v>
      </c>
      <c r="C2251" s="1" t="s">
        <v>64</v>
      </c>
      <c r="D2251" s="1" t="s">
        <v>41</v>
      </c>
      <c r="E2251" s="3">
        <v>9032331</v>
      </c>
      <c r="F2251" s="1">
        <v>3007.76923076923</v>
      </c>
      <c r="G2251" s="1">
        <v>6</v>
      </c>
      <c r="H2251" s="1">
        <v>3</v>
      </c>
      <c r="I2251" s="1">
        <v>4</v>
      </c>
      <c r="J2251" s="1">
        <v>0.5</v>
      </c>
      <c r="L2251" s="1">
        <v>1</v>
      </c>
      <c r="M2251" s="4">
        <v>3003</v>
      </c>
      <c r="N2251" s="1">
        <v>5425</v>
      </c>
      <c r="O2251" s="1">
        <v>7888</v>
      </c>
      <c r="P2251" s="1">
        <v>2463</v>
      </c>
      <c r="Q2251" s="1" t="s">
        <v>42</v>
      </c>
      <c r="S2251" s="1" t="s">
        <v>42</v>
      </c>
      <c r="T2251" s="1" t="s">
        <v>170</v>
      </c>
      <c r="U2251" s="1">
        <v>13</v>
      </c>
      <c r="V2251" s="5">
        <v>43664</v>
      </c>
      <c r="W2251" s="5">
        <v>42327</v>
      </c>
      <c r="X2251" s="1">
        <v>10500000</v>
      </c>
      <c r="Y2251" s="1">
        <v>10500000</v>
      </c>
      <c r="Z2251" s="5">
        <v>42340</v>
      </c>
      <c r="AA2251" s="1">
        <v>9032331</v>
      </c>
      <c r="AB2251" s="1" t="s">
        <v>1722</v>
      </c>
      <c r="AC2251" s="5">
        <v>43008</v>
      </c>
      <c r="AF2251" s="1">
        <v>10022</v>
      </c>
      <c r="AI2251" s="1" t="s">
        <v>138</v>
      </c>
      <c r="AJ2251" s="1">
        <v>2016</v>
      </c>
      <c r="AK2251" s="1" t="s">
        <v>73</v>
      </c>
      <c r="AL2251" s="1">
        <v>95</v>
      </c>
    </row>
    <row r="2252" spans="1:38" x14ac:dyDescent="0.2">
      <c r="A2252" s="2" t="str">
        <f>HYPERLINK("https://www.compass.com/listing/252-east-57th-street-unit-43c-manhattan-ny-10022/803338716483546521/","252 E 57th St, Unit 43C")</f>
        <v>252 E 57th St, Unit 43C</v>
      </c>
      <c r="B2252" s="2" t="str">
        <f t="shared" si="327"/>
        <v>252 E 57th St</v>
      </c>
      <c r="C2252" s="1" t="s">
        <v>64</v>
      </c>
      <c r="D2252" s="1" t="s">
        <v>41</v>
      </c>
      <c r="E2252" s="3">
        <v>5630000</v>
      </c>
      <c r="F2252" s="1">
        <v>2564.9202733485099</v>
      </c>
      <c r="G2252" s="1">
        <v>5</v>
      </c>
      <c r="H2252" s="1">
        <v>3</v>
      </c>
      <c r="I2252" s="1">
        <v>4</v>
      </c>
      <c r="J2252" s="1">
        <v>0.5</v>
      </c>
      <c r="L2252" s="1">
        <v>1</v>
      </c>
      <c r="M2252" s="4">
        <v>2195</v>
      </c>
      <c r="N2252" s="1">
        <v>3940</v>
      </c>
      <c r="O2252" s="1">
        <v>5729</v>
      </c>
      <c r="P2252" s="1">
        <v>1789</v>
      </c>
      <c r="Q2252" s="1" t="s">
        <v>42</v>
      </c>
      <c r="S2252" s="1" t="s">
        <v>42</v>
      </c>
      <c r="T2252" s="1" t="s">
        <v>170</v>
      </c>
      <c r="V2252" s="5">
        <v>43237</v>
      </c>
      <c r="W2252" s="5">
        <v>42255</v>
      </c>
      <c r="X2252" s="1">
        <v>5810000</v>
      </c>
      <c r="AB2252" s="1" t="s">
        <v>181</v>
      </c>
      <c r="AF2252" s="1">
        <v>10022</v>
      </c>
      <c r="AI2252" s="1" t="s">
        <v>138</v>
      </c>
      <c r="AJ2252" s="1">
        <v>2016</v>
      </c>
      <c r="AK2252" s="1" t="s">
        <v>73</v>
      </c>
      <c r="AL2252" s="1">
        <v>95</v>
      </c>
    </row>
    <row r="2253" spans="1:38" x14ac:dyDescent="0.2">
      <c r="A2253" s="2" t="str">
        <f>HYPERLINK("https://www.compass.com/listing/252-east-57th-street-unit-45a-manhattan-ny-10022/29405824833061153/","252 E 57th St, Unit 45A")</f>
        <v>252 E 57th St, Unit 45A</v>
      </c>
      <c r="B2253" s="2" t="str">
        <f t="shared" si="327"/>
        <v>252 E 57th St</v>
      </c>
      <c r="C2253" s="1" t="s">
        <v>64</v>
      </c>
      <c r="D2253" s="1" t="s">
        <v>41</v>
      </c>
      <c r="E2253" s="3">
        <v>4989410</v>
      </c>
      <c r="F2253" s="1">
        <v>2274.1157702825799</v>
      </c>
      <c r="G2253" s="1">
        <v>5</v>
      </c>
      <c r="H2253" s="1">
        <v>3</v>
      </c>
      <c r="I2253" s="1">
        <v>4</v>
      </c>
      <c r="J2253" s="1">
        <v>0.5</v>
      </c>
      <c r="L2253" s="1">
        <v>1</v>
      </c>
      <c r="M2253" s="4">
        <v>2194</v>
      </c>
      <c r="N2253" s="1">
        <v>3941</v>
      </c>
      <c r="O2253" s="1">
        <v>5732</v>
      </c>
      <c r="P2253" s="1">
        <v>1791</v>
      </c>
      <c r="Q2253" s="1" t="s">
        <v>42</v>
      </c>
      <c r="S2253" s="1" t="s">
        <v>42</v>
      </c>
      <c r="T2253" s="1" t="s">
        <v>170</v>
      </c>
      <c r="U2253" s="1">
        <v>19</v>
      </c>
      <c r="V2253" s="5">
        <v>43649</v>
      </c>
      <c r="W2253" s="5">
        <v>43025</v>
      </c>
      <c r="X2253" s="1">
        <v>5075000</v>
      </c>
      <c r="Y2253" s="1">
        <v>5075000</v>
      </c>
      <c r="Z2253" s="5">
        <v>43044</v>
      </c>
      <c r="AA2253" s="1">
        <v>4989410</v>
      </c>
      <c r="AB2253" s="1" t="s">
        <v>1723</v>
      </c>
      <c r="AC2253" s="5">
        <v>43067</v>
      </c>
      <c r="AF2253" s="1">
        <v>10022</v>
      </c>
      <c r="AI2253" s="1" t="s">
        <v>65</v>
      </c>
      <c r="AJ2253" s="1">
        <v>2016</v>
      </c>
      <c r="AK2253" s="1" t="s">
        <v>73</v>
      </c>
      <c r="AL2253" s="1">
        <v>95</v>
      </c>
    </row>
    <row r="2254" spans="1:38" x14ac:dyDescent="0.2">
      <c r="A2254" s="2" t="str">
        <f>HYPERLINK("https://www.compass.com/listing/252-east-57th-street-unit-46c-manhattan-ny-10022/29405826712198801/","252 E 57th St, Unit 46C")</f>
        <v>252 E 57th St, Unit 46C</v>
      </c>
      <c r="B2254" s="2" t="str">
        <f t="shared" si="327"/>
        <v>252 E 57th St</v>
      </c>
      <c r="C2254" s="1" t="s">
        <v>64</v>
      </c>
      <c r="D2254" s="1" t="s">
        <v>41</v>
      </c>
      <c r="E2254" s="3">
        <v>5603375</v>
      </c>
      <c r="F2254" s="1">
        <v>2557.4509356458202</v>
      </c>
      <c r="G2254" s="1">
        <v>5</v>
      </c>
      <c r="H2254" s="1">
        <v>3</v>
      </c>
      <c r="I2254" s="1">
        <v>4</v>
      </c>
      <c r="J2254" s="1">
        <v>0.5</v>
      </c>
      <c r="L2254" s="1">
        <v>1</v>
      </c>
      <c r="M2254" s="4">
        <v>2191</v>
      </c>
      <c r="N2254" s="1">
        <v>3941</v>
      </c>
      <c r="O2254" s="1">
        <v>5886</v>
      </c>
      <c r="P2254" s="1">
        <v>1945</v>
      </c>
      <c r="Q2254" s="1" t="s">
        <v>42</v>
      </c>
      <c r="S2254" s="1" t="s">
        <v>42</v>
      </c>
      <c r="T2254" s="1" t="s">
        <v>170</v>
      </c>
      <c r="U2254" s="1">
        <v>280</v>
      </c>
      <c r="V2254" s="5">
        <v>43638</v>
      </c>
      <c r="W2254" s="5">
        <v>42208</v>
      </c>
      <c r="X2254" s="1">
        <v>6490000</v>
      </c>
      <c r="Y2254" s="1">
        <v>6490000</v>
      </c>
      <c r="Z2254" s="5">
        <v>42536</v>
      </c>
      <c r="AA2254" s="1">
        <v>5603375</v>
      </c>
      <c r="AB2254" s="1" t="s">
        <v>1724</v>
      </c>
      <c r="AC2254" s="5">
        <v>42850</v>
      </c>
      <c r="AF2254" s="1">
        <v>10022</v>
      </c>
      <c r="AI2254" s="1" t="s">
        <v>138</v>
      </c>
      <c r="AJ2254" s="1">
        <v>2016</v>
      </c>
      <c r="AK2254" s="1" t="s">
        <v>73</v>
      </c>
      <c r="AL2254" s="1">
        <v>95</v>
      </c>
    </row>
    <row r="2255" spans="1:38" x14ac:dyDescent="0.2">
      <c r="A2255" s="2" t="str">
        <f>HYPERLINK("https://www.compass.com/listing/252-east-57th-street-unit-50c-manhattan-ny-10022/29405833632711105/","252 E 57th St, Unit 50C")</f>
        <v>252 E 57th St, Unit 50C</v>
      </c>
      <c r="B2255" s="2" t="str">
        <f t="shared" si="327"/>
        <v>252 E 57th St</v>
      </c>
      <c r="C2255" s="1" t="s">
        <v>64</v>
      </c>
      <c r="D2255" s="1" t="s">
        <v>41</v>
      </c>
      <c r="E2255" s="3">
        <v>5705200</v>
      </c>
      <c r="F2255" s="1">
        <v>2611.07551487414</v>
      </c>
      <c r="G2255" s="1">
        <v>5</v>
      </c>
      <c r="H2255" s="1">
        <v>3</v>
      </c>
      <c r="I2255" s="1">
        <v>4</v>
      </c>
      <c r="J2255" s="1">
        <v>0.5</v>
      </c>
      <c r="L2255" s="1">
        <v>1</v>
      </c>
      <c r="M2255" s="4">
        <v>2185</v>
      </c>
      <c r="N2255" s="1">
        <v>3937</v>
      </c>
      <c r="O2255" s="1">
        <v>5726</v>
      </c>
      <c r="P2255" s="1">
        <v>1789</v>
      </c>
      <c r="Q2255" s="1" t="s">
        <v>42</v>
      </c>
      <c r="S2255" s="1" t="s">
        <v>42</v>
      </c>
      <c r="T2255" s="1" t="s">
        <v>170</v>
      </c>
      <c r="U2255" s="1">
        <v>440</v>
      </c>
      <c r="V2255" s="5">
        <v>43650</v>
      </c>
      <c r="W2255" s="5">
        <v>42557</v>
      </c>
      <c r="X2255" s="1">
        <v>6845000</v>
      </c>
      <c r="Y2255" s="1">
        <v>6295000</v>
      </c>
      <c r="Z2255" s="5">
        <v>42997</v>
      </c>
      <c r="AA2255" s="1">
        <v>5705200</v>
      </c>
      <c r="AB2255" s="1" t="s">
        <v>1725</v>
      </c>
      <c r="AC2255" s="5">
        <v>43032</v>
      </c>
      <c r="AF2255" s="1">
        <v>10022</v>
      </c>
      <c r="AI2255" s="1" t="s">
        <v>138</v>
      </c>
      <c r="AJ2255" s="1">
        <v>2016</v>
      </c>
      <c r="AK2255" s="1" t="s">
        <v>73</v>
      </c>
      <c r="AL2255" s="1">
        <v>95</v>
      </c>
    </row>
    <row r="2256" spans="1:38" x14ac:dyDescent="0.2">
      <c r="A2256" s="2" t="str">
        <f>HYPERLINK("https://www.compass.com/listing/252-east-57th-street-unit-52a-manhattan-ny-10022/29405836275122257/","252 E 57th St, Unit 52A")</f>
        <v>252 E 57th St, Unit 52A</v>
      </c>
      <c r="B2256" s="2" t="str">
        <f t="shared" si="327"/>
        <v>252 E 57th St</v>
      </c>
      <c r="C2256" s="1" t="s">
        <v>64</v>
      </c>
      <c r="D2256" s="1" t="s">
        <v>41</v>
      </c>
      <c r="E2256" s="3">
        <v>6265237</v>
      </c>
      <c r="F2256" s="1">
        <v>2387.66653963414</v>
      </c>
      <c r="G2256" s="1">
        <v>5</v>
      </c>
      <c r="H2256" s="1">
        <v>3</v>
      </c>
      <c r="I2256" s="1">
        <v>4</v>
      </c>
      <c r="J2256" s="1">
        <v>0.5</v>
      </c>
      <c r="L2256" s="1">
        <v>1</v>
      </c>
      <c r="M2256" s="4">
        <v>2624</v>
      </c>
      <c r="N2256" s="1">
        <v>4731</v>
      </c>
      <c r="O2256" s="1">
        <v>6879</v>
      </c>
      <c r="P2256" s="1">
        <v>2148</v>
      </c>
      <c r="Q2256" s="1" t="s">
        <v>42</v>
      </c>
      <c r="S2256" s="1" t="s">
        <v>42</v>
      </c>
      <c r="T2256" s="1" t="s">
        <v>170</v>
      </c>
      <c r="U2256" s="1">
        <v>12</v>
      </c>
      <c r="V2256" s="5">
        <v>43650</v>
      </c>
      <c r="W2256" s="5">
        <v>42559</v>
      </c>
      <c r="X2256" s="1">
        <v>6800000</v>
      </c>
      <c r="Y2256" s="1">
        <v>6800000</v>
      </c>
      <c r="Z2256" s="5">
        <v>42571</v>
      </c>
      <c r="AA2256" s="1">
        <v>6265237</v>
      </c>
      <c r="AB2256" s="1" t="s">
        <v>1726</v>
      </c>
      <c r="AC2256" s="5">
        <v>42875</v>
      </c>
      <c r="AF2256" s="1">
        <v>10022</v>
      </c>
      <c r="AI2256" s="1" t="s">
        <v>138</v>
      </c>
      <c r="AJ2256" s="1">
        <v>2016</v>
      </c>
      <c r="AK2256" s="1" t="s">
        <v>73</v>
      </c>
      <c r="AL2256" s="1">
        <v>95</v>
      </c>
    </row>
    <row r="2257" spans="1:38" x14ac:dyDescent="0.2">
      <c r="A2257" s="2" t="str">
        <f>HYPERLINK("https://www.compass.com/listing/252-east-57th-street-unit-53a-manhattan-ny-10022/29405837734740081/","252 E 57th St, Unit 53A")</f>
        <v>252 E 57th St, Unit 53A</v>
      </c>
      <c r="B2257" s="2" t="str">
        <f t="shared" si="327"/>
        <v>252 E 57th St</v>
      </c>
      <c r="C2257" s="1" t="s">
        <v>64</v>
      </c>
      <c r="D2257" s="1" t="s">
        <v>41</v>
      </c>
      <c r="E2257" s="3">
        <v>6112500</v>
      </c>
      <c r="F2257" s="1">
        <v>2330.3469309950401</v>
      </c>
      <c r="G2257" s="1">
        <v>5</v>
      </c>
      <c r="H2257" s="1">
        <v>3</v>
      </c>
      <c r="I2257" s="1">
        <v>4</v>
      </c>
      <c r="J2257" s="1">
        <v>0.5</v>
      </c>
      <c r="L2257" s="1">
        <v>1</v>
      </c>
      <c r="M2257" s="4">
        <v>2623</v>
      </c>
      <c r="N2257" s="1">
        <v>4372</v>
      </c>
      <c r="O2257" s="1">
        <v>6520</v>
      </c>
      <c r="P2257" s="1">
        <v>2148</v>
      </c>
      <c r="Q2257" s="1" t="s">
        <v>42</v>
      </c>
      <c r="S2257" s="1" t="s">
        <v>42</v>
      </c>
      <c r="T2257" s="1" t="s">
        <v>170</v>
      </c>
      <c r="U2257" s="1">
        <v>9</v>
      </c>
      <c r="V2257" s="5">
        <v>43650</v>
      </c>
      <c r="W2257" s="5">
        <v>42549</v>
      </c>
      <c r="X2257" s="1">
        <v>6875000</v>
      </c>
      <c r="Y2257" s="1">
        <v>6875000</v>
      </c>
      <c r="Z2257" s="5">
        <v>42558</v>
      </c>
      <c r="AA2257" s="1">
        <v>6112500</v>
      </c>
      <c r="AB2257" s="1" t="s">
        <v>1727</v>
      </c>
      <c r="AC2257" s="5">
        <v>42887</v>
      </c>
      <c r="AF2257" s="1">
        <v>10022</v>
      </c>
      <c r="AI2257" s="1" t="s">
        <v>138</v>
      </c>
      <c r="AJ2257" s="1">
        <v>2016</v>
      </c>
      <c r="AK2257" s="1" t="s">
        <v>73</v>
      </c>
      <c r="AL2257" s="1">
        <v>95</v>
      </c>
    </row>
    <row r="2258" spans="1:38" x14ac:dyDescent="0.2">
      <c r="A2258" s="2" t="str">
        <f>HYPERLINK("https://www.compass.com/listing/252-east-57th-street-unit-53c-manhattan-ny-10022/29405838917623697/","252 E 57th St, Unit 53C")</f>
        <v>252 E 57th St, Unit 53C</v>
      </c>
      <c r="B2258" s="2" t="str">
        <f t="shared" si="327"/>
        <v>252 E 57th St</v>
      </c>
      <c r="C2258" s="1" t="s">
        <v>64</v>
      </c>
      <c r="D2258" s="1" t="s">
        <v>41</v>
      </c>
      <c r="E2258" s="3">
        <v>8658125</v>
      </c>
      <c r="F2258" s="1">
        <v>2841.5244502789601</v>
      </c>
      <c r="G2258" s="1">
        <v>6</v>
      </c>
      <c r="H2258" s="1">
        <v>3</v>
      </c>
      <c r="I2258" s="1">
        <v>4</v>
      </c>
      <c r="J2258" s="1">
        <v>0.5</v>
      </c>
      <c r="L2258" s="1">
        <v>1</v>
      </c>
      <c r="M2258" s="4">
        <v>3047</v>
      </c>
      <c r="N2258" s="1">
        <v>5487</v>
      </c>
      <c r="O2258" s="1">
        <v>7980</v>
      </c>
      <c r="P2258" s="1">
        <v>2493</v>
      </c>
      <c r="Q2258" s="1" t="s">
        <v>42</v>
      </c>
      <c r="S2258" s="1" t="s">
        <v>42</v>
      </c>
      <c r="T2258" s="1" t="s">
        <v>170</v>
      </c>
      <c r="U2258" s="1">
        <v>175</v>
      </c>
      <c r="V2258" s="5">
        <v>43658</v>
      </c>
      <c r="W2258" s="5">
        <v>42516</v>
      </c>
      <c r="X2258" s="1">
        <v>9700000</v>
      </c>
      <c r="Y2258" s="1">
        <v>9100000</v>
      </c>
      <c r="Z2258" s="5">
        <v>42691</v>
      </c>
      <c r="AA2258" s="1">
        <v>8658125</v>
      </c>
      <c r="AB2258" s="1" t="s">
        <v>1728</v>
      </c>
      <c r="AC2258" s="5">
        <v>42870</v>
      </c>
      <c r="AF2258" s="1">
        <v>10022</v>
      </c>
      <c r="AI2258" s="1" t="s">
        <v>138</v>
      </c>
      <c r="AJ2258" s="1">
        <v>2016</v>
      </c>
      <c r="AK2258" s="1" t="s">
        <v>73</v>
      </c>
      <c r="AL2258" s="1">
        <v>95</v>
      </c>
    </row>
    <row r="2259" spans="1:38" x14ac:dyDescent="0.2">
      <c r="A2259" s="2" t="str">
        <f>HYPERLINK("https://www.compass.com/listing/252-east-57th-street-unit-54a-manhattan-ny-10022/29405839395684497/","252 E 57th St, Unit 54A")</f>
        <v>252 E 57th St, Unit 54A</v>
      </c>
      <c r="B2259" s="2" t="str">
        <f t="shared" si="327"/>
        <v>252 E 57th St</v>
      </c>
      <c r="C2259" s="1" t="s">
        <v>64</v>
      </c>
      <c r="D2259" s="1" t="s">
        <v>41</v>
      </c>
      <c r="E2259" s="3">
        <v>6938303</v>
      </c>
      <c r="F2259" s="1">
        <v>2647.1968714231198</v>
      </c>
      <c r="G2259" s="1">
        <v>5</v>
      </c>
      <c r="H2259" s="1">
        <v>3</v>
      </c>
      <c r="I2259" s="1">
        <v>4</v>
      </c>
      <c r="J2259" s="1">
        <v>0.5</v>
      </c>
      <c r="L2259" s="1">
        <v>1</v>
      </c>
      <c r="M2259" s="4">
        <v>2621</v>
      </c>
      <c r="N2259" s="1">
        <v>4728</v>
      </c>
      <c r="O2259" s="1">
        <v>6876</v>
      </c>
      <c r="P2259" s="1">
        <v>2148</v>
      </c>
      <c r="Q2259" s="1" t="s">
        <v>42</v>
      </c>
      <c r="S2259" s="1" t="s">
        <v>42</v>
      </c>
      <c r="T2259" s="1" t="s">
        <v>170</v>
      </c>
      <c r="U2259" s="1">
        <v>89</v>
      </c>
      <c r="V2259" s="5">
        <v>43658</v>
      </c>
      <c r="W2259" s="5">
        <v>42671</v>
      </c>
      <c r="X2259" s="1">
        <v>6950000</v>
      </c>
      <c r="Y2259" s="1">
        <v>6950000</v>
      </c>
      <c r="Z2259" s="5">
        <v>42760</v>
      </c>
      <c r="AA2259" s="1">
        <v>6938303</v>
      </c>
      <c r="AB2259" s="1" t="s">
        <v>1729</v>
      </c>
      <c r="AC2259" s="5">
        <v>42903</v>
      </c>
      <c r="AF2259" s="1">
        <v>10022</v>
      </c>
      <c r="AI2259" s="1" t="s">
        <v>138</v>
      </c>
      <c r="AJ2259" s="1">
        <v>2016</v>
      </c>
      <c r="AK2259" s="1" t="s">
        <v>73</v>
      </c>
      <c r="AL2259" s="1">
        <v>95</v>
      </c>
    </row>
    <row r="2260" spans="1:38" x14ac:dyDescent="0.2">
      <c r="A2260" s="2" t="str">
        <f>HYPERLINK("https://www.compass.com/listing/252-east-57th-street-unit-54c-manhattan-ny-10022/29405840511459249/","252 E 57th St, Unit 54C")</f>
        <v>252 E 57th St, Unit 54C</v>
      </c>
      <c r="B2260" s="2" t="str">
        <f t="shared" si="327"/>
        <v>252 E 57th St</v>
      </c>
      <c r="C2260" s="1" t="s">
        <v>64</v>
      </c>
      <c r="D2260" s="1" t="s">
        <v>41</v>
      </c>
      <c r="E2260" s="3">
        <v>8149000</v>
      </c>
      <c r="F2260" s="1">
        <v>2677.9493920473201</v>
      </c>
      <c r="G2260" s="1">
        <v>5</v>
      </c>
      <c r="H2260" s="1">
        <v>3</v>
      </c>
      <c r="I2260" s="1">
        <v>4</v>
      </c>
      <c r="J2260" s="1">
        <v>0.5</v>
      </c>
      <c r="L2260" s="1">
        <v>1</v>
      </c>
      <c r="M2260" s="4">
        <v>3043</v>
      </c>
      <c r="N2260" s="1">
        <v>5483</v>
      </c>
      <c r="O2260" s="1">
        <v>7974</v>
      </c>
      <c r="P2260" s="1">
        <v>2491</v>
      </c>
      <c r="Q2260" s="1" t="s">
        <v>42</v>
      </c>
      <c r="S2260" s="1" t="s">
        <v>42</v>
      </c>
      <c r="T2260" s="1" t="s">
        <v>170</v>
      </c>
      <c r="U2260" s="1">
        <v>320</v>
      </c>
      <c r="V2260" s="5">
        <v>43642</v>
      </c>
      <c r="W2260" s="5">
        <v>42691</v>
      </c>
      <c r="X2260" s="1">
        <v>9200000</v>
      </c>
      <c r="Y2260" s="1">
        <v>8225000</v>
      </c>
      <c r="Z2260" s="5">
        <v>43011</v>
      </c>
      <c r="AA2260" s="1">
        <v>8149000</v>
      </c>
      <c r="AB2260" s="1" t="s">
        <v>1730</v>
      </c>
      <c r="AC2260" s="5">
        <v>43017</v>
      </c>
      <c r="AF2260" s="1">
        <v>10022</v>
      </c>
      <c r="AI2260" s="1" t="s">
        <v>138</v>
      </c>
      <c r="AJ2260" s="1">
        <v>2016</v>
      </c>
      <c r="AK2260" s="1" t="s">
        <v>73</v>
      </c>
      <c r="AL2260" s="1">
        <v>95</v>
      </c>
    </row>
    <row r="2261" spans="1:38" x14ac:dyDescent="0.2">
      <c r="A2261" s="2" t="str">
        <f>HYPERLINK("https://www.compass.com/listing/252-east-57th-street-unit-55a-manhattan-ny-10022/29405841081794737/","252 E 57th St, Unit 55A")</f>
        <v>252 E 57th St, Unit 55A</v>
      </c>
      <c r="B2261" s="2" t="str">
        <f t="shared" si="327"/>
        <v>252 E 57th St</v>
      </c>
      <c r="C2261" s="1" t="s">
        <v>64</v>
      </c>
      <c r="D2261" s="1" t="s">
        <v>41</v>
      </c>
      <c r="E2261" s="3">
        <v>6392518</v>
      </c>
      <c r="F2261" s="1">
        <v>2434.3175932977902</v>
      </c>
      <c r="G2261" s="1">
        <v>5</v>
      </c>
      <c r="H2261" s="1">
        <v>3</v>
      </c>
      <c r="I2261" s="1">
        <v>4</v>
      </c>
      <c r="J2261" s="1">
        <v>0.5</v>
      </c>
      <c r="L2261" s="1">
        <v>1</v>
      </c>
      <c r="M2261" s="4">
        <v>2626</v>
      </c>
      <c r="N2261" s="1">
        <v>4732</v>
      </c>
      <c r="O2261" s="1">
        <v>6880</v>
      </c>
      <c r="P2261" s="1">
        <v>2148</v>
      </c>
      <c r="Q2261" s="1" t="s">
        <v>42</v>
      </c>
      <c r="S2261" s="1" t="s">
        <v>42</v>
      </c>
      <c r="T2261" s="1" t="s">
        <v>170</v>
      </c>
      <c r="U2261" s="1">
        <v>7</v>
      </c>
      <c r="V2261" s="5">
        <v>43664</v>
      </c>
      <c r="W2261" s="5">
        <v>42538</v>
      </c>
      <c r="X2261" s="1">
        <v>6725000</v>
      </c>
      <c r="Y2261" s="1">
        <v>6725000</v>
      </c>
      <c r="Z2261" s="5">
        <v>42545</v>
      </c>
      <c r="AA2261" s="1">
        <v>6392518</v>
      </c>
      <c r="AB2261" s="1" t="s">
        <v>1731</v>
      </c>
      <c r="AC2261" s="5">
        <v>42942</v>
      </c>
      <c r="AF2261" s="1">
        <v>10022</v>
      </c>
      <c r="AI2261" s="1" t="s">
        <v>138</v>
      </c>
      <c r="AJ2261" s="1">
        <v>2016</v>
      </c>
      <c r="AK2261" s="1" t="s">
        <v>73</v>
      </c>
      <c r="AL2261" s="1">
        <v>95</v>
      </c>
    </row>
    <row r="2262" spans="1:38" x14ac:dyDescent="0.2">
      <c r="A2262" s="2" t="str">
        <f>HYPERLINK("https://www.compass.com/listing/252-east-57th-street-unit-56a-manhattan-ny-10022/29405842625298641/","252 E 57th St, Unit 56A")</f>
        <v>252 E 57th St, Unit 56A</v>
      </c>
      <c r="B2262" s="2" t="str">
        <f t="shared" si="327"/>
        <v>252 E 57th St</v>
      </c>
      <c r="C2262" s="1" t="s">
        <v>64</v>
      </c>
      <c r="D2262" s="1" t="s">
        <v>41</v>
      </c>
      <c r="E2262" s="3">
        <v>13342075</v>
      </c>
      <c r="F2262" s="1">
        <v>2683.4422767497899</v>
      </c>
      <c r="G2262" s="1">
        <v>8</v>
      </c>
      <c r="H2262" s="1">
        <v>5</v>
      </c>
      <c r="I2262" s="1">
        <v>6</v>
      </c>
      <c r="J2262" s="1">
        <v>0.5</v>
      </c>
      <c r="L2262" s="1">
        <v>1</v>
      </c>
      <c r="M2262" s="4">
        <v>4972</v>
      </c>
      <c r="N2262" s="1">
        <v>8945</v>
      </c>
      <c r="O2262" s="1">
        <v>13009</v>
      </c>
      <c r="P2262" s="1">
        <v>4064</v>
      </c>
      <c r="Q2262" s="1" t="s">
        <v>42</v>
      </c>
      <c r="S2262" s="1" t="s">
        <v>42</v>
      </c>
      <c r="T2262" s="1" t="s">
        <v>170</v>
      </c>
      <c r="U2262" s="1">
        <v>866</v>
      </c>
      <c r="V2262" s="5">
        <v>43650</v>
      </c>
      <c r="W2262" s="5">
        <v>42084</v>
      </c>
      <c r="X2262" s="1">
        <v>19000000</v>
      </c>
      <c r="Y2262" s="1">
        <v>14650000</v>
      </c>
      <c r="Z2262" s="5">
        <v>42950</v>
      </c>
      <c r="AA2262" s="1">
        <v>13342075</v>
      </c>
      <c r="AB2262" s="1" t="s">
        <v>1732</v>
      </c>
      <c r="AC2262" s="5">
        <v>43024</v>
      </c>
      <c r="AF2262" s="1">
        <v>10022</v>
      </c>
      <c r="AI2262" s="1" t="s">
        <v>138</v>
      </c>
      <c r="AJ2262" s="1">
        <v>2016</v>
      </c>
      <c r="AK2262" s="1" t="s">
        <v>73</v>
      </c>
      <c r="AL2262" s="1">
        <v>95</v>
      </c>
    </row>
    <row r="2263" spans="1:38" x14ac:dyDescent="0.2">
      <c r="A2263" s="2" t="str">
        <f>HYPERLINK("https://www.compass.com/listing/252-east-57th-street-unit-57a-manhattan-ny-10022/29405843707518977/","252 E 57th St, Unit 57A")</f>
        <v>252 E 57th St, Unit 57A</v>
      </c>
      <c r="B2263" s="2" t="str">
        <f t="shared" si="327"/>
        <v>252 E 57th St</v>
      </c>
      <c r="C2263" s="1" t="s">
        <v>64</v>
      </c>
      <c r="D2263" s="1" t="s">
        <v>41</v>
      </c>
      <c r="E2263" s="3">
        <v>13851200</v>
      </c>
      <c r="F2263" s="1">
        <v>2788.08373590982</v>
      </c>
      <c r="G2263" s="1">
        <v>8</v>
      </c>
      <c r="H2263" s="1">
        <v>5</v>
      </c>
      <c r="I2263" s="1">
        <v>6</v>
      </c>
      <c r="J2263" s="1">
        <v>0.5</v>
      </c>
      <c r="L2263" s="1">
        <v>1</v>
      </c>
      <c r="M2263" s="4">
        <v>4968</v>
      </c>
      <c r="N2263" s="1">
        <v>8942</v>
      </c>
      <c r="O2263" s="1">
        <v>13005</v>
      </c>
      <c r="P2263" s="1">
        <v>4063</v>
      </c>
      <c r="Q2263" s="1" t="s">
        <v>42</v>
      </c>
      <c r="S2263" s="1" t="s">
        <v>42</v>
      </c>
      <c r="T2263" s="1" t="s">
        <v>170</v>
      </c>
      <c r="U2263" s="1">
        <v>12</v>
      </c>
      <c r="V2263" s="5">
        <v>43650</v>
      </c>
      <c r="W2263" s="5">
        <v>42916</v>
      </c>
      <c r="X2263" s="1">
        <v>14800000</v>
      </c>
      <c r="Y2263" s="1">
        <v>14800000</v>
      </c>
      <c r="Z2263" s="5">
        <v>42928</v>
      </c>
      <c r="AA2263" s="1">
        <v>13851200</v>
      </c>
      <c r="AB2263" s="1" t="s">
        <v>1733</v>
      </c>
      <c r="AC2263" s="5">
        <v>43010</v>
      </c>
      <c r="AF2263" s="1">
        <v>10022</v>
      </c>
      <c r="AI2263" s="1" t="s">
        <v>65</v>
      </c>
      <c r="AJ2263" s="1">
        <v>2016</v>
      </c>
      <c r="AK2263" s="1" t="s">
        <v>73</v>
      </c>
      <c r="AL2263" s="1">
        <v>95</v>
      </c>
    </row>
    <row r="2264" spans="1:38" x14ac:dyDescent="0.2">
      <c r="A2264" s="2" t="str">
        <f>HYPERLINK("https://www.compass.com/listing/252-east-57th-street-unit-60a-manhattan-ny-10022/29405846559645745/","252 E 57th St, Unit 60A")</f>
        <v>252 E 57th St, Unit 60A</v>
      </c>
      <c r="B2264" s="2" t="str">
        <f t="shared" si="327"/>
        <v>252 E 57th St</v>
      </c>
      <c r="C2264" s="1" t="s">
        <v>64</v>
      </c>
      <c r="D2264" s="1" t="s">
        <v>41</v>
      </c>
      <c r="E2264" s="3">
        <v>10567343</v>
      </c>
      <c r="F2264" s="1">
        <v>2281.8706542863301</v>
      </c>
      <c r="G2264" s="1">
        <v>8</v>
      </c>
      <c r="H2264" s="1">
        <v>5</v>
      </c>
      <c r="I2264" s="1">
        <v>7</v>
      </c>
      <c r="J2264" s="1">
        <v>0.5</v>
      </c>
      <c r="L2264" s="1">
        <v>1</v>
      </c>
      <c r="M2264" s="4">
        <v>4631</v>
      </c>
      <c r="N2264" s="1">
        <v>8360</v>
      </c>
      <c r="O2264" s="1">
        <v>12155</v>
      </c>
      <c r="P2264" s="1">
        <v>3795</v>
      </c>
      <c r="Q2264" s="1" t="s">
        <v>42</v>
      </c>
      <c r="S2264" s="1" t="s">
        <v>42</v>
      </c>
      <c r="T2264" s="1" t="s">
        <v>170</v>
      </c>
      <c r="U2264" s="1">
        <v>152</v>
      </c>
      <c r="V2264" s="5">
        <v>43658</v>
      </c>
      <c r="W2264" s="5">
        <v>42392</v>
      </c>
      <c r="X2264" s="1">
        <v>15750000</v>
      </c>
      <c r="Y2264" s="1">
        <v>12900000</v>
      </c>
      <c r="Z2264" s="5">
        <v>42544</v>
      </c>
      <c r="AA2264" s="1">
        <v>10567343</v>
      </c>
      <c r="AB2264" s="1" t="s">
        <v>1734</v>
      </c>
      <c r="AC2264" s="5">
        <v>42977</v>
      </c>
      <c r="AF2264" s="1">
        <v>10022</v>
      </c>
      <c r="AI2264" s="1" t="s">
        <v>138</v>
      </c>
      <c r="AJ2264" s="1">
        <v>2016</v>
      </c>
      <c r="AK2264" s="1" t="s">
        <v>73</v>
      </c>
      <c r="AL2264" s="1">
        <v>95</v>
      </c>
    </row>
    <row r="2265" spans="1:38" x14ac:dyDescent="0.2">
      <c r="A2265" s="2" t="str">
        <f>HYPERLINK("https://www.compass.com/listing/252-east-57th-street-unit-61a-manhattan-ny-10022/29405847817847505/","252 E 57th St, Unit 61A")</f>
        <v>252 E 57th St, Unit 61A</v>
      </c>
      <c r="B2265" s="2" t="str">
        <f t="shared" si="327"/>
        <v>252 E 57th St</v>
      </c>
      <c r="C2265" s="1" t="s">
        <v>64</v>
      </c>
      <c r="D2265" s="1" t="s">
        <v>41</v>
      </c>
      <c r="E2265" s="3">
        <v>12425650</v>
      </c>
      <c r="F2265" s="1">
        <v>2687.2080449826899</v>
      </c>
      <c r="G2265" s="1">
        <v>8</v>
      </c>
      <c r="H2265" s="1">
        <v>5</v>
      </c>
      <c r="I2265" s="1">
        <v>7</v>
      </c>
      <c r="J2265" s="1">
        <v>0.5</v>
      </c>
      <c r="L2265" s="1">
        <v>1</v>
      </c>
      <c r="M2265" s="4">
        <v>4624</v>
      </c>
      <c r="N2265" s="1">
        <v>8352</v>
      </c>
      <c r="O2265" s="1">
        <v>12143</v>
      </c>
      <c r="P2265" s="1">
        <v>3791</v>
      </c>
      <c r="Q2265" s="1" t="s">
        <v>42</v>
      </c>
      <c r="S2265" s="1" t="s">
        <v>42</v>
      </c>
      <c r="T2265" s="1" t="s">
        <v>170</v>
      </c>
      <c r="U2265" s="1">
        <v>72</v>
      </c>
      <c r="V2265" s="5">
        <v>43637</v>
      </c>
      <c r="W2265" s="5">
        <v>42557</v>
      </c>
      <c r="X2265" s="1">
        <v>12950000</v>
      </c>
      <c r="Y2265" s="1">
        <v>12950000</v>
      </c>
      <c r="Z2265" s="5">
        <v>42629</v>
      </c>
      <c r="AA2265" s="1">
        <v>12425650</v>
      </c>
      <c r="AB2265" s="1" t="s">
        <v>1735</v>
      </c>
      <c r="AC2265" s="5">
        <v>42968</v>
      </c>
      <c r="AF2265" s="1">
        <v>10022</v>
      </c>
      <c r="AI2265" s="1" t="s">
        <v>138</v>
      </c>
      <c r="AJ2265" s="1">
        <v>2016</v>
      </c>
      <c r="AK2265" s="1" t="s">
        <v>73</v>
      </c>
      <c r="AL2265" s="1">
        <v>95</v>
      </c>
    </row>
    <row r="2266" spans="1:38" x14ac:dyDescent="0.2">
      <c r="A2266" s="2" t="str">
        <f>HYPERLINK("https://www.compass.com/listing/252-east-57th-street-unit-61b-manhattan-ny-10022/29405848346419281/","252 E 57th St, Unit 61B")</f>
        <v>252 E 57th St, Unit 61B</v>
      </c>
      <c r="B2266" s="2" t="str">
        <f t="shared" si="327"/>
        <v>252 E 57th St</v>
      </c>
      <c r="C2266" s="1" t="s">
        <v>64</v>
      </c>
      <c r="D2266" s="1" t="s">
        <v>41</v>
      </c>
      <c r="E2266" s="3">
        <v>9269075</v>
      </c>
      <c r="F2266" s="1">
        <v>2782.6703692584802</v>
      </c>
      <c r="G2266" s="1">
        <v>7</v>
      </c>
      <c r="H2266" s="1">
        <v>4</v>
      </c>
      <c r="I2266" s="1">
        <v>5</v>
      </c>
      <c r="J2266" s="1">
        <v>0.5</v>
      </c>
      <c r="L2266" s="1">
        <v>1</v>
      </c>
      <c r="M2266" s="4">
        <v>3331</v>
      </c>
      <c r="N2266" s="1">
        <v>6028</v>
      </c>
      <c r="O2266" s="1">
        <v>8765</v>
      </c>
      <c r="P2266" s="1">
        <v>2737</v>
      </c>
      <c r="Q2266" s="1" t="s">
        <v>42</v>
      </c>
      <c r="S2266" s="1" t="s">
        <v>42</v>
      </c>
      <c r="T2266" s="1" t="s">
        <v>170</v>
      </c>
      <c r="U2266" s="1">
        <v>404</v>
      </c>
      <c r="V2266" s="5">
        <v>43637</v>
      </c>
      <c r="W2266" s="5">
        <v>42084</v>
      </c>
      <c r="X2266" s="1">
        <v>13400000</v>
      </c>
      <c r="Y2266" s="1">
        <v>11400000</v>
      </c>
      <c r="Z2266" s="5">
        <v>42524</v>
      </c>
      <c r="AA2266" s="1">
        <v>9269075</v>
      </c>
      <c r="AB2266" s="1" t="s">
        <v>1736</v>
      </c>
      <c r="AC2266" s="5">
        <v>42968</v>
      </c>
      <c r="AF2266" s="1">
        <v>10022</v>
      </c>
      <c r="AI2266" s="1" t="s">
        <v>138</v>
      </c>
      <c r="AJ2266" s="1">
        <v>2016</v>
      </c>
      <c r="AK2266" s="1" t="s">
        <v>73</v>
      </c>
      <c r="AL2266" s="1">
        <v>95</v>
      </c>
    </row>
    <row r="2267" spans="1:38" x14ac:dyDescent="0.2">
      <c r="A2267" s="2" t="str">
        <f>HYPERLINK("https://www.compass.com/listing/252-east-57th-street-unit-62a-manhattan-ny-10022/29405848899977569/","252 E 57th St, Unit 62A")</f>
        <v>252 E 57th St, Unit 62A</v>
      </c>
      <c r="B2267" s="2" t="str">
        <f t="shared" si="327"/>
        <v>252 E 57th St</v>
      </c>
      <c r="C2267" s="1" t="s">
        <v>64</v>
      </c>
      <c r="D2267" s="1" t="s">
        <v>41</v>
      </c>
      <c r="E2267" s="3">
        <v>12629300</v>
      </c>
      <c r="F2267" s="1">
        <v>2735.98353552859</v>
      </c>
      <c r="G2267" s="1">
        <v>8</v>
      </c>
      <c r="H2267" s="1">
        <v>5</v>
      </c>
      <c r="I2267" s="1">
        <v>7</v>
      </c>
      <c r="J2267" s="1">
        <v>0.5</v>
      </c>
      <c r="L2267" s="1">
        <v>1</v>
      </c>
      <c r="M2267" s="4">
        <v>4616</v>
      </c>
      <c r="N2267" s="1">
        <v>8336</v>
      </c>
      <c r="O2267" s="1">
        <v>12123</v>
      </c>
      <c r="P2267" s="1">
        <v>3787</v>
      </c>
      <c r="Q2267" s="1" t="s">
        <v>42</v>
      </c>
      <c r="S2267" s="1" t="s">
        <v>42</v>
      </c>
      <c r="T2267" s="1" t="s">
        <v>170</v>
      </c>
      <c r="U2267" s="1">
        <v>214</v>
      </c>
      <c r="V2267" s="5">
        <v>43637</v>
      </c>
      <c r="W2267" s="5">
        <v>42629</v>
      </c>
      <c r="X2267" s="1">
        <v>13200000</v>
      </c>
      <c r="Y2267" s="1">
        <v>13200000</v>
      </c>
      <c r="Z2267" s="5">
        <v>42843</v>
      </c>
      <c r="AA2267" s="1">
        <v>12629300</v>
      </c>
      <c r="AB2267" s="1" t="s">
        <v>1737</v>
      </c>
      <c r="AC2267" s="5">
        <v>42969</v>
      </c>
      <c r="AF2267" s="1">
        <v>10022</v>
      </c>
      <c r="AI2267" s="1" t="s">
        <v>138</v>
      </c>
      <c r="AJ2267" s="1">
        <v>2016</v>
      </c>
      <c r="AK2267" s="1" t="s">
        <v>73</v>
      </c>
      <c r="AL2267" s="1">
        <v>95</v>
      </c>
    </row>
    <row r="2268" spans="1:38" x14ac:dyDescent="0.2">
      <c r="A2268" s="2" t="str">
        <f>HYPERLINK("https://www.compass.com/listing/252-east-57th-street-unit-62b-manhattan-ny-10022/29405849420071665/","252 E 57th St, Unit 62B")</f>
        <v>252 E 57th St, Unit 62B</v>
      </c>
      <c r="B2268" s="2" t="str">
        <f t="shared" si="327"/>
        <v>252 E 57th St</v>
      </c>
      <c r="C2268" s="1" t="s">
        <v>64</v>
      </c>
      <c r="D2268" s="1" t="s">
        <v>41</v>
      </c>
      <c r="E2268" s="3">
        <v>9625462</v>
      </c>
      <c r="F2268" s="1">
        <v>2896.6181161600898</v>
      </c>
      <c r="G2268" s="1">
        <v>6</v>
      </c>
      <c r="H2268" s="1">
        <v>4</v>
      </c>
      <c r="I2268" s="1">
        <v>5</v>
      </c>
      <c r="J2268" s="1">
        <v>0.5</v>
      </c>
      <c r="L2268" s="1">
        <v>1</v>
      </c>
      <c r="M2268" s="4">
        <v>3323</v>
      </c>
      <c r="N2268" s="1">
        <v>6013</v>
      </c>
      <c r="O2268" s="1">
        <v>8745</v>
      </c>
      <c r="P2268" s="1">
        <v>2732</v>
      </c>
      <c r="Q2268" s="1" t="s">
        <v>42</v>
      </c>
      <c r="S2268" s="1" t="s">
        <v>42</v>
      </c>
      <c r="T2268" s="1" t="s">
        <v>170</v>
      </c>
      <c r="U2268" s="1">
        <v>146</v>
      </c>
      <c r="V2268" s="5">
        <v>43650</v>
      </c>
      <c r="W2268" s="5">
        <v>42557</v>
      </c>
      <c r="X2268" s="1">
        <v>11600000</v>
      </c>
      <c r="Y2268" s="1">
        <v>11600000</v>
      </c>
      <c r="Z2268" s="5">
        <v>42703</v>
      </c>
      <c r="AA2268" s="1">
        <v>9625462</v>
      </c>
      <c r="AB2268" s="1" t="s">
        <v>1738</v>
      </c>
      <c r="AC2268" s="5">
        <v>42971</v>
      </c>
      <c r="AF2268" s="1">
        <v>10022</v>
      </c>
      <c r="AI2268" s="1" t="s">
        <v>138</v>
      </c>
      <c r="AJ2268" s="1">
        <v>2016</v>
      </c>
      <c r="AK2268" s="1" t="s">
        <v>73</v>
      </c>
      <c r="AL2268" s="1">
        <v>95</v>
      </c>
    </row>
    <row r="2269" spans="1:38" x14ac:dyDescent="0.2">
      <c r="A2269" s="2" t="str">
        <f>HYPERLINK("https://www.compass.com/listing/252-east-57th-street-unit-63b-manhattan-ny-10022/29405850510590337/","252 E 57th St, Unit 63B")</f>
        <v>252 E 57th St, Unit 63B</v>
      </c>
      <c r="B2269" s="2" t="str">
        <f t="shared" si="327"/>
        <v>252 E 57th St</v>
      </c>
      <c r="C2269" s="1" t="s">
        <v>64</v>
      </c>
      <c r="D2269" s="1" t="s">
        <v>41</v>
      </c>
      <c r="E2269" s="3">
        <v>9266075</v>
      </c>
      <c r="F2269" s="1">
        <v>2795.1960784313701</v>
      </c>
      <c r="G2269" s="1">
        <v>6</v>
      </c>
      <c r="H2269" s="1">
        <v>4</v>
      </c>
      <c r="I2269" s="1">
        <v>5</v>
      </c>
      <c r="J2269" s="1">
        <v>0.5</v>
      </c>
      <c r="L2269" s="1">
        <v>1</v>
      </c>
      <c r="M2269" s="4">
        <v>3315</v>
      </c>
      <c r="N2269" s="1">
        <v>6002</v>
      </c>
      <c r="O2269" s="1">
        <v>8729</v>
      </c>
      <c r="P2269" s="1">
        <v>2727</v>
      </c>
      <c r="Q2269" s="1" t="s">
        <v>42</v>
      </c>
      <c r="S2269" s="1" t="s">
        <v>42</v>
      </c>
      <c r="T2269" s="1" t="s">
        <v>170</v>
      </c>
      <c r="U2269" s="1">
        <v>85</v>
      </c>
      <c r="V2269" s="5">
        <v>43658</v>
      </c>
      <c r="W2269" s="5">
        <v>42703</v>
      </c>
      <c r="X2269" s="1">
        <v>11800000</v>
      </c>
      <c r="Y2269" s="1">
        <v>11800000</v>
      </c>
      <c r="Z2269" s="5">
        <v>42788</v>
      </c>
      <c r="AA2269" s="1">
        <v>9266075</v>
      </c>
      <c r="AB2269" s="1" t="s">
        <v>1739</v>
      </c>
      <c r="AC2269" s="5">
        <v>43089</v>
      </c>
      <c r="AF2269" s="1">
        <v>10022</v>
      </c>
      <c r="AI2269" s="1" t="s">
        <v>138</v>
      </c>
      <c r="AJ2269" s="1">
        <v>2016</v>
      </c>
      <c r="AK2269" s="1" t="s">
        <v>73</v>
      </c>
      <c r="AL2269" s="1">
        <v>95</v>
      </c>
    </row>
    <row r="2270" spans="1:38" x14ac:dyDescent="0.2">
      <c r="A2270" s="2" t="str">
        <f>HYPERLINK("https://www.compass.com/listing/252-east-57th-street-unit-64a-manhattan-ny-10022/29405851072627473/","252 E 57th St, Unit 64A")</f>
        <v>252 E 57th St, Unit 64A</v>
      </c>
      <c r="B2270" s="2" t="str">
        <f t="shared" si="327"/>
        <v>252 E 57th St</v>
      </c>
      <c r="C2270" s="1" t="s">
        <v>64</v>
      </c>
      <c r="D2270" s="1" t="s">
        <v>41</v>
      </c>
      <c r="E2270" s="3">
        <v>13545725</v>
      </c>
      <c r="F2270" s="1">
        <v>2944.7228260869501</v>
      </c>
      <c r="G2270" s="1">
        <v>8</v>
      </c>
      <c r="H2270" s="1">
        <v>5</v>
      </c>
      <c r="I2270" s="1">
        <v>7</v>
      </c>
      <c r="J2270" s="1">
        <v>0.5</v>
      </c>
      <c r="L2270" s="1">
        <v>1</v>
      </c>
      <c r="M2270" s="4">
        <v>4600</v>
      </c>
      <c r="N2270" s="1">
        <v>8316</v>
      </c>
      <c r="O2270" s="1">
        <v>12094</v>
      </c>
      <c r="P2270" s="1">
        <v>3778</v>
      </c>
      <c r="Q2270" s="1" t="s">
        <v>42</v>
      </c>
      <c r="S2270" s="1" t="s">
        <v>42</v>
      </c>
      <c r="T2270" s="1" t="s">
        <v>170</v>
      </c>
      <c r="U2270" s="1">
        <v>137</v>
      </c>
      <c r="V2270" s="5">
        <v>43637</v>
      </c>
      <c r="W2270" s="5">
        <v>42867</v>
      </c>
      <c r="X2270" s="1">
        <v>13700000</v>
      </c>
      <c r="Y2270" s="1">
        <v>13700000</v>
      </c>
      <c r="Z2270" s="5">
        <v>43004</v>
      </c>
      <c r="AA2270" s="1">
        <v>13545725</v>
      </c>
      <c r="AB2270" s="1" t="s">
        <v>1740</v>
      </c>
      <c r="AC2270" s="5">
        <v>43042</v>
      </c>
      <c r="AF2270" s="1">
        <v>10022</v>
      </c>
      <c r="AI2270" s="1" t="s">
        <v>65</v>
      </c>
      <c r="AJ2270" s="1">
        <v>2016</v>
      </c>
      <c r="AK2270" s="1" t="s">
        <v>73</v>
      </c>
      <c r="AL2270" s="1">
        <v>95</v>
      </c>
    </row>
    <row r="2271" spans="1:38" x14ac:dyDescent="0.2">
      <c r="A2271" s="2" t="str">
        <f>HYPERLINK("https://www.compass.com/listing/252-east-57th-street-unit-64b-manhattan-ny-10022/29405851567644817/","252 E 57th St, Unit 64B")</f>
        <v>252 E 57th St, Unit 64B</v>
      </c>
      <c r="B2271" s="2" t="str">
        <f t="shared" si="327"/>
        <v>252 E 57th St</v>
      </c>
      <c r="C2271" s="1" t="s">
        <v>64</v>
      </c>
      <c r="D2271" s="1" t="s">
        <v>41</v>
      </c>
      <c r="E2271" s="3">
        <v>10490975</v>
      </c>
      <c r="F2271" s="1">
        <v>3172.3540973692102</v>
      </c>
      <c r="G2271" s="1">
        <v>6</v>
      </c>
      <c r="H2271" s="1">
        <v>4</v>
      </c>
      <c r="I2271" s="1">
        <v>5</v>
      </c>
      <c r="J2271" s="1">
        <v>0.5</v>
      </c>
      <c r="L2271" s="1">
        <v>1</v>
      </c>
      <c r="M2271" s="4">
        <v>3307</v>
      </c>
      <c r="N2271" s="1">
        <v>5991</v>
      </c>
      <c r="O2271" s="1">
        <v>8713</v>
      </c>
      <c r="P2271" s="1">
        <v>2722</v>
      </c>
      <c r="Q2271" s="1" t="s">
        <v>42</v>
      </c>
      <c r="S2271" s="1" t="s">
        <v>42</v>
      </c>
      <c r="T2271" s="1" t="s">
        <v>170</v>
      </c>
      <c r="U2271" s="1">
        <v>201</v>
      </c>
      <c r="V2271" s="5">
        <v>43637</v>
      </c>
      <c r="W2271" s="5">
        <v>42789</v>
      </c>
      <c r="X2271" s="1">
        <v>12000000</v>
      </c>
      <c r="Y2271" s="1">
        <v>12000000</v>
      </c>
      <c r="Z2271" s="5">
        <v>42990</v>
      </c>
      <c r="AA2271" s="1">
        <v>10490975</v>
      </c>
      <c r="AB2271" s="1" t="s">
        <v>1741</v>
      </c>
      <c r="AC2271" s="5">
        <v>43031</v>
      </c>
      <c r="AF2271" s="1">
        <v>10022</v>
      </c>
      <c r="AI2271" s="1" t="s">
        <v>138</v>
      </c>
      <c r="AJ2271" s="1">
        <v>2016</v>
      </c>
      <c r="AK2271" s="1" t="s">
        <v>73</v>
      </c>
      <c r="AL2271" s="1">
        <v>95</v>
      </c>
    </row>
    <row r="2272" spans="1:38" x14ac:dyDescent="0.2">
      <c r="A2272" s="2" t="str">
        <f>HYPERLINK("https://www.compass.com/listing/252-east-57th-street-unit-48c-manhattan-ny-10022/803404673138270969/","252 E 57th St, Unit 48C")</f>
        <v>252 E 57th St, Unit 48C</v>
      </c>
      <c r="B2272" s="2" t="str">
        <f t="shared" si="327"/>
        <v>252 E 57th St</v>
      </c>
      <c r="C2272" s="1" t="s">
        <v>64</v>
      </c>
      <c r="D2272" s="1" t="s">
        <v>41</v>
      </c>
      <c r="E2272" s="3">
        <v>6610000</v>
      </c>
      <c r="F2272" s="1">
        <v>3021.02376599634</v>
      </c>
      <c r="G2272" s="1">
        <v>5</v>
      </c>
      <c r="H2272" s="1">
        <v>3</v>
      </c>
      <c r="I2272" s="1">
        <v>4</v>
      </c>
      <c r="J2272" s="1">
        <v>0.5</v>
      </c>
      <c r="L2272" s="1">
        <v>1</v>
      </c>
      <c r="M2272" s="4">
        <v>2188</v>
      </c>
      <c r="N2272" s="1">
        <v>4286</v>
      </c>
      <c r="O2272" s="1">
        <v>6231</v>
      </c>
      <c r="P2272" s="1">
        <v>1945</v>
      </c>
      <c r="Q2272" s="1" t="s">
        <v>42</v>
      </c>
      <c r="S2272" s="1" t="s">
        <v>42</v>
      </c>
      <c r="T2272" s="1" t="s">
        <v>170</v>
      </c>
      <c r="V2272" s="5">
        <v>43237</v>
      </c>
      <c r="W2272" s="5">
        <v>42299</v>
      </c>
      <c r="X2272" s="1">
        <v>6610000</v>
      </c>
      <c r="AB2272" s="1" t="s">
        <v>181</v>
      </c>
      <c r="AF2272" s="1">
        <v>10022</v>
      </c>
      <c r="AI2272" s="1" t="s">
        <v>138</v>
      </c>
      <c r="AJ2272" s="1">
        <v>2016</v>
      </c>
      <c r="AK2272" s="1" t="s">
        <v>73</v>
      </c>
      <c r="AL2272" s="1">
        <v>95</v>
      </c>
    </row>
    <row r="2273" spans="1:38" x14ac:dyDescent="0.2">
      <c r="A2273" s="2" t="str">
        <f>HYPERLINK("https://www.compass.com/listing/252-east-57th-street-unit-42a-manhattan-ny-10022/29405820152217345/","252 E 57th St, Unit 42A")</f>
        <v>252 E 57th St, Unit 42A</v>
      </c>
      <c r="B2273" s="2" t="str">
        <f t="shared" si="327"/>
        <v>252 E 57th St</v>
      </c>
      <c r="C2273" s="1" t="s">
        <v>64</v>
      </c>
      <c r="D2273" s="1" t="s">
        <v>41</v>
      </c>
      <c r="E2273" s="3">
        <v>4636037</v>
      </c>
      <c r="F2273" s="1">
        <v>2109.20700636942</v>
      </c>
      <c r="G2273" s="1">
        <v>5</v>
      </c>
      <c r="H2273" s="1">
        <v>3</v>
      </c>
      <c r="I2273" s="1">
        <v>4</v>
      </c>
      <c r="J2273" s="1">
        <v>0.5</v>
      </c>
      <c r="L2273" s="1">
        <v>1</v>
      </c>
      <c r="M2273" s="4">
        <v>2198</v>
      </c>
      <c r="N2273" s="1">
        <v>3943</v>
      </c>
      <c r="O2273" s="1">
        <v>5733</v>
      </c>
      <c r="P2273" s="1">
        <v>1790</v>
      </c>
      <c r="Q2273" s="1" t="s">
        <v>42</v>
      </c>
      <c r="S2273" s="1" t="s">
        <v>42</v>
      </c>
      <c r="T2273" s="1" t="s">
        <v>170</v>
      </c>
      <c r="U2273" s="1">
        <v>740</v>
      </c>
      <c r="V2273" s="5">
        <v>43638</v>
      </c>
      <c r="W2273" s="5">
        <v>41893</v>
      </c>
      <c r="X2273" s="1">
        <v>5750000</v>
      </c>
      <c r="Y2273" s="1">
        <v>4995000</v>
      </c>
      <c r="Z2273" s="5">
        <v>42633</v>
      </c>
      <c r="AA2273" s="1">
        <v>4636037</v>
      </c>
      <c r="AB2273" s="1" t="s">
        <v>1742</v>
      </c>
      <c r="AC2273" s="5">
        <v>42854</v>
      </c>
      <c r="AF2273" s="1">
        <v>10022</v>
      </c>
      <c r="AI2273" s="1" t="s">
        <v>138</v>
      </c>
      <c r="AJ2273" s="1">
        <v>2016</v>
      </c>
      <c r="AK2273" s="1" t="s">
        <v>73</v>
      </c>
      <c r="AL2273" s="1">
        <v>95</v>
      </c>
    </row>
    <row r="2274" spans="1:38" x14ac:dyDescent="0.2">
      <c r="A2274" s="2" t="str">
        <f>HYPERLINK("https://www.compass.com/listing/252-east-57th-street-unit-47c-manhattan-ny-10022/29405828565991345/","252 E 57th St, Unit 47C")</f>
        <v>252 E 57th St, Unit 47C</v>
      </c>
      <c r="B2274" s="2" t="str">
        <f t="shared" si="327"/>
        <v>252 E 57th St</v>
      </c>
      <c r="C2274" s="1" t="s">
        <v>64</v>
      </c>
      <c r="D2274" s="1" t="s">
        <v>41</v>
      </c>
      <c r="E2274" s="3">
        <v>5895612</v>
      </c>
      <c r="F2274" s="1">
        <v>2693.29008679762</v>
      </c>
      <c r="G2274" s="1">
        <v>5</v>
      </c>
      <c r="H2274" s="1">
        <v>3</v>
      </c>
      <c r="I2274" s="1">
        <v>4</v>
      </c>
      <c r="J2274" s="1">
        <v>0.5</v>
      </c>
      <c r="L2274" s="1">
        <v>1</v>
      </c>
      <c r="M2274" s="4">
        <v>2189</v>
      </c>
      <c r="N2274" s="1">
        <v>3940</v>
      </c>
      <c r="O2274" s="1">
        <v>5728</v>
      </c>
      <c r="P2274" s="1">
        <v>1788</v>
      </c>
      <c r="Q2274" s="1" t="s">
        <v>42</v>
      </c>
      <c r="S2274" s="1" t="s">
        <v>42</v>
      </c>
      <c r="T2274" s="1" t="s">
        <v>170</v>
      </c>
      <c r="U2274" s="1">
        <v>17</v>
      </c>
      <c r="V2274" s="5">
        <v>43650</v>
      </c>
      <c r="W2274" s="5">
        <v>42448</v>
      </c>
      <c r="X2274" s="1">
        <v>6550000</v>
      </c>
      <c r="Y2274" s="1">
        <v>6550000</v>
      </c>
      <c r="Z2274" s="5">
        <v>42465</v>
      </c>
      <c r="AA2274" s="1">
        <v>5895612</v>
      </c>
      <c r="AB2274" s="1" t="s">
        <v>1743</v>
      </c>
      <c r="AC2274" s="5">
        <v>42837</v>
      </c>
      <c r="AF2274" s="1">
        <v>10022</v>
      </c>
      <c r="AI2274" s="1" t="s">
        <v>138</v>
      </c>
      <c r="AJ2274" s="1">
        <v>2016</v>
      </c>
      <c r="AK2274" s="1" t="s">
        <v>73</v>
      </c>
      <c r="AL2274" s="1">
        <v>95</v>
      </c>
    </row>
    <row r="2275" spans="1:38" x14ac:dyDescent="0.2">
      <c r="A2275" s="2" t="str">
        <f>HYPERLINK("https://www.compass.com/listing/252-east-57th-street-unit-63a-manhattan-ny-10022/29405850032529521/","252 E 57th St, Unit 63A")</f>
        <v>252 E 57th St, Unit 63A</v>
      </c>
      <c r="B2275" s="2" t="str">
        <f t="shared" si="327"/>
        <v>252 E 57th St</v>
      </c>
      <c r="C2275" s="1" t="s">
        <v>64</v>
      </c>
      <c r="D2275" s="1" t="s">
        <v>41</v>
      </c>
      <c r="E2275" s="3">
        <v>12782037</v>
      </c>
      <c r="F2275" s="1">
        <v>2773.8795572916601</v>
      </c>
      <c r="G2275" s="1">
        <v>8</v>
      </c>
      <c r="H2275" s="1">
        <v>5</v>
      </c>
      <c r="I2275" s="1">
        <v>7</v>
      </c>
      <c r="J2275" s="1">
        <v>0.5</v>
      </c>
      <c r="L2275" s="1">
        <v>1</v>
      </c>
      <c r="M2275" s="4">
        <v>4608</v>
      </c>
      <c r="N2275" s="1">
        <v>8326</v>
      </c>
      <c r="O2275" s="1">
        <v>12109</v>
      </c>
      <c r="P2275" s="1">
        <v>3783</v>
      </c>
      <c r="Q2275" s="1" t="s">
        <v>42</v>
      </c>
      <c r="S2275" s="1" t="s">
        <v>42</v>
      </c>
      <c r="T2275" s="1" t="s">
        <v>170</v>
      </c>
      <c r="U2275" s="1">
        <v>24</v>
      </c>
      <c r="V2275" s="5">
        <v>43650</v>
      </c>
      <c r="W2275" s="5">
        <v>42843</v>
      </c>
      <c r="X2275" s="1">
        <v>13450000</v>
      </c>
      <c r="Y2275" s="1">
        <v>13450000</v>
      </c>
      <c r="Z2275" s="5">
        <v>42867</v>
      </c>
      <c r="AA2275" s="1">
        <v>12782037</v>
      </c>
      <c r="AB2275" s="1" t="s">
        <v>1744</v>
      </c>
      <c r="AC2275" s="5">
        <v>42957</v>
      </c>
      <c r="AF2275" s="1">
        <v>10022</v>
      </c>
      <c r="AI2275" s="1" t="s">
        <v>65</v>
      </c>
      <c r="AJ2275" s="1">
        <v>2016</v>
      </c>
      <c r="AK2275" s="1" t="s">
        <v>73</v>
      </c>
      <c r="AL2275" s="1">
        <v>95</v>
      </c>
    </row>
    <row r="2276" spans="1:38" x14ac:dyDescent="0.2">
      <c r="A2276" s="2" t="str">
        <f>HYPERLINK("https://www.compass.com/listing/252-east-57th-street-unit-59a-manhattan-ny-10022/29405845561311505/","252 E 57th St, Unit 59A")</f>
        <v>252 E 57th St, Unit 59A</v>
      </c>
      <c r="B2276" s="2" t="str">
        <f t="shared" si="327"/>
        <v>252 E 57th St</v>
      </c>
      <c r="C2276" s="1" t="s">
        <v>64</v>
      </c>
      <c r="D2276" s="1" t="s">
        <v>41</v>
      </c>
      <c r="E2276" s="3">
        <v>6112500</v>
      </c>
      <c r="F2276" s="1">
        <v>2723.9304812834198</v>
      </c>
      <c r="G2276" s="1">
        <v>5</v>
      </c>
      <c r="H2276" s="1">
        <v>3</v>
      </c>
      <c r="I2276" s="1">
        <v>3</v>
      </c>
      <c r="M2276" s="4">
        <v>2244</v>
      </c>
      <c r="N2276" s="1">
        <v>4061</v>
      </c>
      <c r="O2276" s="1">
        <v>5906</v>
      </c>
      <c r="P2276" s="1">
        <v>1845</v>
      </c>
      <c r="Q2276" s="1" t="s">
        <v>42</v>
      </c>
      <c r="S2276" s="1" t="s">
        <v>42</v>
      </c>
      <c r="T2276" s="1" t="s">
        <v>170</v>
      </c>
      <c r="U2276" s="1">
        <v>69</v>
      </c>
      <c r="V2276" s="5">
        <v>43665</v>
      </c>
      <c r="W2276" s="5">
        <v>42768</v>
      </c>
      <c r="X2276" s="1">
        <v>6970000</v>
      </c>
      <c r="Y2276" s="1">
        <v>6550000</v>
      </c>
      <c r="Z2276" s="5">
        <v>42837</v>
      </c>
      <c r="AA2276" s="1">
        <v>6112500</v>
      </c>
      <c r="AB2276" s="1" t="s">
        <v>1745</v>
      </c>
      <c r="AC2276" s="5">
        <v>43027</v>
      </c>
      <c r="AF2276" s="1">
        <v>10022</v>
      </c>
      <c r="AI2276" s="1" t="s">
        <v>138</v>
      </c>
      <c r="AJ2276" s="1">
        <v>2016</v>
      </c>
      <c r="AK2276" s="1" t="s">
        <v>73</v>
      </c>
      <c r="AL2276" s="1">
        <v>95</v>
      </c>
    </row>
    <row r="2277" spans="1:38" x14ac:dyDescent="0.2">
      <c r="A2277" s="2" t="str">
        <f>HYPERLINK("https://www.compass.com/listing/252-east-57th-street-unit-49d-manhattan-ny-10022/29405832105984433/","252 E 57th St, Unit 49D")</f>
        <v>252 E 57th St, Unit 49D</v>
      </c>
      <c r="B2277" s="2" t="str">
        <f t="shared" si="327"/>
        <v>252 E 57th St</v>
      </c>
      <c r="C2277" s="1" t="s">
        <v>64</v>
      </c>
      <c r="D2277" s="1" t="s">
        <v>41</v>
      </c>
      <c r="E2277" s="3">
        <v>4427296</v>
      </c>
      <c r="F2277" s="1">
        <v>2556.1755196304798</v>
      </c>
      <c r="G2277" s="1">
        <v>4.5</v>
      </c>
      <c r="H2277" s="1">
        <v>2</v>
      </c>
      <c r="I2277" s="1">
        <v>3</v>
      </c>
      <c r="J2277" s="1">
        <v>2.5</v>
      </c>
      <c r="M2277" s="4">
        <v>1732</v>
      </c>
      <c r="N2277" s="1">
        <v>3094</v>
      </c>
      <c r="O2277" s="1">
        <v>4499</v>
      </c>
      <c r="P2277" s="1">
        <v>1405</v>
      </c>
      <c r="Q2277" s="1" t="s">
        <v>42</v>
      </c>
      <c r="S2277" s="1" t="s">
        <v>42</v>
      </c>
      <c r="T2277" s="1" t="s">
        <v>170</v>
      </c>
      <c r="V2277" s="5">
        <v>43664</v>
      </c>
      <c r="W2277" s="5">
        <v>42139</v>
      </c>
      <c r="X2277" s="1">
        <v>4510000</v>
      </c>
      <c r="Y2277" s="1">
        <v>4510000</v>
      </c>
      <c r="Z2277" s="5">
        <v>42139</v>
      </c>
      <c r="AA2277" s="1">
        <v>4427296</v>
      </c>
      <c r="AB2277" s="1" t="s">
        <v>1679</v>
      </c>
      <c r="AC2277" s="5">
        <v>42872</v>
      </c>
      <c r="AF2277" s="1">
        <v>10022</v>
      </c>
      <c r="AI2277" s="1" t="s">
        <v>84</v>
      </c>
      <c r="AJ2277" s="1">
        <v>2016</v>
      </c>
      <c r="AK2277" s="1" t="s">
        <v>73</v>
      </c>
      <c r="AL2277" s="1">
        <v>95</v>
      </c>
    </row>
    <row r="2278" spans="1:38" x14ac:dyDescent="0.2">
      <c r="A2278" s="2" t="str">
        <f>HYPERLINK("https://www.compass.com/listing/252-east-57th-street-unit-44b-manhattan-ny-10022/29405823381831953/","252 E 57th St, Unit 44B")</f>
        <v>252 E 57th St, Unit 44B</v>
      </c>
      <c r="B2278" s="2" t="str">
        <f t="shared" si="327"/>
        <v>252 E 57th St</v>
      </c>
      <c r="C2278" s="1" t="s">
        <v>64</v>
      </c>
      <c r="D2278" s="1" t="s">
        <v>41</v>
      </c>
      <c r="E2278" s="3">
        <v>4300754</v>
      </c>
      <c r="F2278" s="1">
        <v>2461.7939324556301</v>
      </c>
      <c r="G2278" s="1">
        <v>4</v>
      </c>
      <c r="H2278" s="1">
        <v>2</v>
      </c>
      <c r="I2278" s="1">
        <v>3</v>
      </c>
      <c r="J2278" s="1">
        <v>2.5</v>
      </c>
      <c r="M2278" s="4">
        <v>1747</v>
      </c>
      <c r="N2278" s="1">
        <v>3113</v>
      </c>
      <c r="O2278" s="1">
        <v>4526</v>
      </c>
      <c r="P2278" s="1">
        <v>1413</v>
      </c>
      <c r="Q2278" s="1" t="s">
        <v>42</v>
      </c>
      <c r="S2278" s="1" t="s">
        <v>42</v>
      </c>
      <c r="T2278" s="1" t="s">
        <v>170</v>
      </c>
      <c r="U2278" s="1">
        <v>115</v>
      </c>
      <c r="V2278" s="5">
        <v>43650</v>
      </c>
      <c r="W2278" s="5">
        <v>42084</v>
      </c>
      <c r="X2278" s="1">
        <v>4285000</v>
      </c>
      <c r="Y2278" s="1">
        <v>4285000</v>
      </c>
      <c r="Z2278" s="5">
        <v>42199</v>
      </c>
      <c r="AA2278" s="1">
        <v>4300754</v>
      </c>
      <c r="AB2278" s="1" t="s">
        <v>1696</v>
      </c>
      <c r="AC2278" s="5">
        <v>42850</v>
      </c>
      <c r="AF2278" s="1">
        <v>10022</v>
      </c>
      <c r="AI2278" s="1" t="s">
        <v>84</v>
      </c>
      <c r="AJ2278" s="1">
        <v>2016</v>
      </c>
      <c r="AK2278" s="1" t="s">
        <v>73</v>
      </c>
      <c r="AL2278" s="1">
        <v>95</v>
      </c>
    </row>
    <row r="2279" spans="1:38" x14ac:dyDescent="0.2">
      <c r="A2279" s="2" t="str">
        <f>HYPERLINK("https://www.compass.com/listing/252-east-57th-street-unit-51a-manhattan-ny-10022/29405834622566449/","252 E 57th St, Unit 51A")</f>
        <v>252 E 57th St, Unit 51A</v>
      </c>
      <c r="B2279" s="2" t="str">
        <f t="shared" si="327"/>
        <v>252 E 57th St</v>
      </c>
      <c r="C2279" s="1" t="s">
        <v>64</v>
      </c>
      <c r="D2279" s="1" t="s">
        <v>41</v>
      </c>
      <c r="E2279" s="3">
        <v>6132865</v>
      </c>
      <c r="F2279" s="1">
        <v>2335.4398324447802</v>
      </c>
      <c r="G2279" s="1">
        <v>5</v>
      </c>
      <c r="H2279" s="1">
        <v>3</v>
      </c>
      <c r="I2279" s="1">
        <v>4</v>
      </c>
      <c r="J2279" s="1">
        <v>0.5</v>
      </c>
      <c r="L2279" s="1">
        <v>1</v>
      </c>
      <c r="M2279" s="4">
        <v>2626</v>
      </c>
      <c r="N2279" s="1">
        <v>4732</v>
      </c>
      <c r="O2279" s="1">
        <v>6880</v>
      </c>
      <c r="P2279" s="1">
        <v>2148</v>
      </c>
      <c r="Q2279" s="1" t="s">
        <v>42</v>
      </c>
      <c r="S2279" s="1" t="s">
        <v>42</v>
      </c>
      <c r="T2279" s="1" t="s">
        <v>170</v>
      </c>
      <c r="U2279" s="1">
        <v>671</v>
      </c>
      <c r="V2279" s="5">
        <v>43670</v>
      </c>
      <c r="W2279" s="5">
        <v>41893</v>
      </c>
      <c r="X2279" s="1">
        <v>8350000</v>
      </c>
      <c r="Y2279" s="1">
        <v>6725000</v>
      </c>
      <c r="Z2279" s="5">
        <v>42564</v>
      </c>
      <c r="AA2279" s="1">
        <v>6132865</v>
      </c>
      <c r="AB2279" s="1" t="s">
        <v>1746</v>
      </c>
      <c r="AC2279" s="5">
        <v>42879</v>
      </c>
      <c r="AF2279" s="1">
        <v>10022</v>
      </c>
      <c r="AI2279" s="1" t="s">
        <v>138</v>
      </c>
      <c r="AJ2279" s="1">
        <v>2016</v>
      </c>
      <c r="AK2279" s="1" t="s">
        <v>73</v>
      </c>
      <c r="AL2279" s="1">
        <v>95</v>
      </c>
    </row>
    <row r="2280" spans="1:38" x14ac:dyDescent="0.2">
      <c r="A2280" s="2" t="str">
        <f>HYPERLINK("https://www.compass.com/listing/252-east-57th-street-unit-45c-manhattan-ny-10022/29405825328078449/","252 E 57th St, Unit 45C")</f>
        <v>252 E 57th St, Unit 45C</v>
      </c>
      <c r="B2280" s="2" t="str">
        <f t="shared" si="327"/>
        <v>252 E 57th St</v>
      </c>
      <c r="C2280" s="1" t="s">
        <v>64</v>
      </c>
      <c r="D2280" s="1" t="s">
        <v>41</v>
      </c>
      <c r="E2280" s="3">
        <v>5959762</v>
      </c>
      <c r="F2280" s="1">
        <v>2718.8695255474399</v>
      </c>
      <c r="G2280" s="1">
        <v>5</v>
      </c>
      <c r="H2280" s="1">
        <v>3</v>
      </c>
      <c r="I2280" s="1">
        <v>4</v>
      </c>
      <c r="J2280" s="1">
        <v>0.5</v>
      </c>
      <c r="L2280" s="1">
        <v>1</v>
      </c>
      <c r="M2280" s="4">
        <v>2192</v>
      </c>
      <c r="N2280" s="1">
        <v>3940</v>
      </c>
      <c r="O2280" s="1">
        <v>5728</v>
      </c>
      <c r="P2280" s="1">
        <v>1788</v>
      </c>
      <c r="Q2280" s="1" t="s">
        <v>42</v>
      </c>
      <c r="S2280" s="1" t="s">
        <v>42</v>
      </c>
      <c r="T2280" s="1" t="s">
        <v>170</v>
      </c>
      <c r="U2280" s="1">
        <v>9</v>
      </c>
      <c r="V2280" s="5">
        <v>43662</v>
      </c>
      <c r="W2280" s="5">
        <v>42199</v>
      </c>
      <c r="X2280" s="1">
        <v>5930000</v>
      </c>
      <c r="Y2280" s="1">
        <v>6430000</v>
      </c>
      <c r="Z2280" s="5">
        <v>42208</v>
      </c>
      <c r="AA2280" s="1">
        <v>5959762</v>
      </c>
      <c r="AB2280" s="1" t="s">
        <v>1747</v>
      </c>
      <c r="AC2280" s="5">
        <v>42844</v>
      </c>
      <c r="AF2280" s="1">
        <v>10022</v>
      </c>
      <c r="AI2280" s="1" t="s">
        <v>138</v>
      </c>
      <c r="AJ2280" s="1">
        <v>2016</v>
      </c>
      <c r="AK2280" s="1" t="s">
        <v>73</v>
      </c>
      <c r="AL2280" s="1">
        <v>95</v>
      </c>
    </row>
    <row r="2281" spans="1:38" x14ac:dyDescent="0.2">
      <c r="A2281" s="2" t="str">
        <f>HYPERLINK("https://www.compass.com/listing/252-east-57th-street-unit-54b-manhattan-ny-10022/29405839982887489/","252 E 57th St, Unit 54B")</f>
        <v>252 E 57th St, Unit 54B</v>
      </c>
      <c r="B2281" s="2" t="str">
        <f t="shared" si="327"/>
        <v>252 E 57th St</v>
      </c>
      <c r="C2281" s="1" t="s">
        <v>64</v>
      </c>
      <c r="D2281" s="1" t="s">
        <v>41</v>
      </c>
      <c r="E2281" s="3">
        <v>5348812</v>
      </c>
      <c r="F2281" s="1">
        <v>2360.4642541923999</v>
      </c>
      <c r="G2281" s="1">
        <v>5</v>
      </c>
      <c r="H2281" s="1">
        <v>3</v>
      </c>
      <c r="I2281" s="1">
        <v>3</v>
      </c>
      <c r="M2281" s="4">
        <v>2266</v>
      </c>
      <c r="N2281" s="1">
        <v>4055</v>
      </c>
      <c r="O2281" s="1">
        <v>5897</v>
      </c>
      <c r="P2281" s="1">
        <v>1842</v>
      </c>
      <c r="Q2281" s="1" t="s">
        <v>42</v>
      </c>
      <c r="S2281" s="1" t="s">
        <v>42</v>
      </c>
      <c r="T2281" s="1" t="s">
        <v>170</v>
      </c>
      <c r="U2281" s="1">
        <v>69</v>
      </c>
      <c r="V2281" s="5">
        <v>43670</v>
      </c>
      <c r="W2281" s="5">
        <v>42739</v>
      </c>
      <c r="X2281" s="1">
        <v>6575000</v>
      </c>
      <c r="Y2281" s="1">
        <v>5950000</v>
      </c>
      <c r="Z2281" s="5">
        <v>42808</v>
      </c>
      <c r="AA2281" s="1">
        <v>5348812</v>
      </c>
      <c r="AB2281" s="1" t="s">
        <v>1748</v>
      </c>
      <c r="AC2281" s="5">
        <v>42894</v>
      </c>
      <c r="AF2281" s="1">
        <v>10022</v>
      </c>
      <c r="AI2281" s="1" t="s">
        <v>110</v>
      </c>
      <c r="AJ2281" s="1">
        <v>2016</v>
      </c>
      <c r="AK2281" s="1" t="s">
        <v>73</v>
      </c>
      <c r="AL2281" s="1">
        <v>95</v>
      </c>
    </row>
    <row r="2282" spans="1:38" x14ac:dyDescent="0.2">
      <c r="A2282" s="2" t="str">
        <f>HYPERLINK("https://www.compass.com/listing/252-east-57th-street-unit-55c-manhattan-ny-10022/29405842113683409/","252 E 57th St, Unit 55C")</f>
        <v>252 E 57th St, Unit 55C</v>
      </c>
      <c r="B2282" s="2" t="str">
        <f t="shared" si="327"/>
        <v>252 E 57th St</v>
      </c>
      <c r="C2282" s="1" t="s">
        <v>64</v>
      </c>
      <c r="D2282" s="1" t="s">
        <v>41</v>
      </c>
      <c r="E2282" s="3">
        <v>8149000</v>
      </c>
      <c r="F2282" s="1">
        <v>2681.4741691345798</v>
      </c>
      <c r="G2282" s="1">
        <v>5</v>
      </c>
      <c r="H2282" s="1">
        <v>3</v>
      </c>
      <c r="I2282" s="1">
        <v>4</v>
      </c>
      <c r="J2282" s="1">
        <v>0.5</v>
      </c>
      <c r="L2282" s="1">
        <v>1</v>
      </c>
      <c r="M2282" s="4">
        <v>3039</v>
      </c>
      <c r="N2282" s="1">
        <v>5479</v>
      </c>
      <c r="O2282" s="1">
        <v>7968</v>
      </c>
      <c r="P2282" s="1">
        <v>2489</v>
      </c>
      <c r="Q2282" s="1" t="s">
        <v>42</v>
      </c>
      <c r="S2282" s="1" t="s">
        <v>42</v>
      </c>
      <c r="T2282" s="1" t="s">
        <v>170</v>
      </c>
      <c r="U2282" s="1">
        <v>4</v>
      </c>
      <c r="V2282" s="5">
        <v>43661</v>
      </c>
      <c r="W2282" s="5">
        <v>43049</v>
      </c>
      <c r="X2282" s="1">
        <v>8425000</v>
      </c>
      <c r="Y2282" s="1">
        <v>8425000</v>
      </c>
      <c r="Z2282" s="5">
        <v>43053</v>
      </c>
      <c r="AA2282" s="1">
        <v>8149000</v>
      </c>
      <c r="AB2282" s="1" t="s">
        <v>1678</v>
      </c>
      <c r="AC2282" s="5">
        <v>43081</v>
      </c>
      <c r="AF2282" s="1">
        <v>10022</v>
      </c>
      <c r="AI2282" s="1" t="s">
        <v>138</v>
      </c>
      <c r="AJ2282" s="1">
        <v>2016</v>
      </c>
      <c r="AK2282" s="1" t="s">
        <v>73</v>
      </c>
      <c r="AL2282" s="1">
        <v>95</v>
      </c>
    </row>
    <row r="2283" spans="1:38" x14ac:dyDescent="0.2">
      <c r="A2283" s="2" t="str">
        <f>HYPERLINK("https://www.compass.com/listing/101-wall-street-unit-7a-manhattan-ny-10005/803335422050140689/","101 Wall St, Unit 7A")</f>
        <v>101 Wall St, Unit 7A</v>
      </c>
      <c r="B2283" s="2" t="str">
        <f>HYPERLINK("https://www.compass.com/building/101-wall-st-manhattan-ny-10005/292788767809355381/","101 Wall St")</f>
        <v>101 Wall St</v>
      </c>
      <c r="C2283" s="1" t="s">
        <v>117</v>
      </c>
      <c r="D2283" s="1" t="s">
        <v>41</v>
      </c>
      <c r="E2283" s="3">
        <v>985000</v>
      </c>
      <c r="F2283" s="1">
        <v>1395.18413597733</v>
      </c>
      <c r="G2283" s="1">
        <v>3</v>
      </c>
      <c r="H2283" s="1">
        <v>1</v>
      </c>
      <c r="I2283" s="1">
        <v>1</v>
      </c>
      <c r="J2283" s="1">
        <v>1</v>
      </c>
      <c r="K2283" s="1">
        <v>1</v>
      </c>
      <c r="M2283" s="1">
        <v>706</v>
      </c>
      <c r="N2283" s="1">
        <v>914</v>
      </c>
      <c r="O2283" s="1">
        <v>1970</v>
      </c>
      <c r="P2283" s="1">
        <v>1056</v>
      </c>
      <c r="Q2283" s="1" t="s">
        <v>42</v>
      </c>
      <c r="S2283" s="1" t="s">
        <v>42</v>
      </c>
      <c r="T2283" s="1" t="s">
        <v>170</v>
      </c>
      <c r="U2283" s="1">
        <v>199</v>
      </c>
      <c r="V2283" s="5">
        <v>43235</v>
      </c>
      <c r="W2283" s="5">
        <v>43026</v>
      </c>
      <c r="X2283" s="1">
        <v>1145000</v>
      </c>
      <c r="Y2283" s="1">
        <v>1120000</v>
      </c>
      <c r="Z2283" s="5">
        <v>42907</v>
      </c>
      <c r="AA2283" s="1">
        <v>985000</v>
      </c>
      <c r="AB2283" s="1" t="s">
        <v>1749</v>
      </c>
      <c r="AC2283" s="5">
        <v>43353</v>
      </c>
      <c r="AF2283" s="1">
        <v>10005</v>
      </c>
      <c r="AI2283" s="1" t="s">
        <v>1641</v>
      </c>
      <c r="AJ2283" s="1">
        <v>2016</v>
      </c>
      <c r="AK2283" s="1" t="s">
        <v>77</v>
      </c>
      <c r="AL2283" s="1">
        <v>51</v>
      </c>
    </row>
    <row r="2284" spans="1:38" x14ac:dyDescent="0.2">
      <c r="A2284" s="2" t="str">
        <f>HYPERLINK("https://www.compass.com/listing/252-east-57th-street-unit-ph65-manhattan-ny-10022/716009747445614537/","252 E 57th St, Unit PH65")</f>
        <v>252 E 57th St, Unit PH65</v>
      </c>
      <c r="B2284" s="2" t="str">
        <f t="shared" ref="B2284:B2285" si="328">HYPERLINK("https://www.compass.com/building/252-e-57th-st-manhattan-ny-10022/281924023602945813/","252 E 57th St")</f>
        <v>252 E 57th St</v>
      </c>
      <c r="C2284" s="1" t="s">
        <v>64</v>
      </c>
      <c r="D2284" s="1" t="s">
        <v>41</v>
      </c>
      <c r="E2284" s="3">
        <v>19907625</v>
      </c>
      <c r="F2284" s="1">
        <v>2445.95466273497</v>
      </c>
      <c r="H2284" s="1">
        <v>6</v>
      </c>
      <c r="J2284" s="1">
        <v>7.5</v>
      </c>
      <c r="K2284" s="1">
        <v>7</v>
      </c>
      <c r="L2284" s="1">
        <v>1</v>
      </c>
      <c r="M2284" s="4">
        <v>8139</v>
      </c>
      <c r="N2284" s="1">
        <v>24375</v>
      </c>
      <c r="O2284" s="1">
        <v>24375</v>
      </c>
      <c r="Q2284" s="1" t="s">
        <v>42</v>
      </c>
      <c r="S2284" s="1" t="s">
        <v>42</v>
      </c>
      <c r="T2284" s="1" t="s">
        <v>170</v>
      </c>
      <c r="AA2284" s="1">
        <v>19907625</v>
      </c>
      <c r="AB2284" s="1" t="s">
        <v>1750</v>
      </c>
      <c r="AC2284" s="5">
        <v>43906</v>
      </c>
      <c r="AF2284" s="1">
        <v>10022</v>
      </c>
      <c r="AI2284" s="1" t="s">
        <v>84</v>
      </c>
      <c r="AJ2284" s="1">
        <v>2016</v>
      </c>
      <c r="AK2284" s="1" t="s">
        <v>46</v>
      </c>
      <c r="AL2284" s="1">
        <v>95</v>
      </c>
    </row>
    <row r="2285" spans="1:38" x14ac:dyDescent="0.2">
      <c r="A2285" s="2" t="str">
        <f>HYPERLINK("https://www.compass.com/listing/252-east-57th-street-unit-60b-manhattan-ny-10022/825822763097770817/","252 E 57th St, Unit 60B")</f>
        <v>252 E 57th St, Unit 60B</v>
      </c>
      <c r="B2285" s="2" t="str">
        <f t="shared" si="328"/>
        <v>252 E 57th St</v>
      </c>
      <c r="C2285" s="1" t="s">
        <v>64</v>
      </c>
      <c r="D2285" s="1" t="s">
        <v>41</v>
      </c>
      <c r="E2285" s="3">
        <v>8275000</v>
      </c>
      <c r="F2285" s="1">
        <v>2479.0293588975401</v>
      </c>
      <c r="H2285" s="1">
        <v>4</v>
      </c>
      <c r="J2285" s="1">
        <v>4.5</v>
      </c>
      <c r="K2285" s="1">
        <v>4</v>
      </c>
      <c r="L2285" s="1">
        <v>1</v>
      </c>
      <c r="M2285" s="4">
        <v>3338</v>
      </c>
      <c r="N2285" s="1">
        <v>6369</v>
      </c>
      <c r="O2285" s="1">
        <v>10163</v>
      </c>
      <c r="P2285" s="1">
        <v>3794</v>
      </c>
      <c r="Q2285" s="1" t="s">
        <v>42</v>
      </c>
      <c r="S2285" s="1" t="s">
        <v>42</v>
      </c>
      <c r="T2285" s="1" t="s">
        <v>170</v>
      </c>
      <c r="AA2285" s="1">
        <v>8275000</v>
      </c>
      <c r="AB2285" s="1" t="s">
        <v>1751</v>
      </c>
      <c r="AC2285" s="5">
        <v>44372</v>
      </c>
      <c r="AF2285" s="1">
        <v>10022</v>
      </c>
      <c r="AI2285" s="1" t="s">
        <v>84</v>
      </c>
      <c r="AJ2285" s="1">
        <v>2016</v>
      </c>
      <c r="AK2285" s="1" t="s">
        <v>46</v>
      </c>
      <c r="AL2285" s="1">
        <v>95</v>
      </c>
    </row>
    <row r="2286" spans="1:38" x14ac:dyDescent="0.2">
      <c r="A2286" s="2" t="str">
        <f>HYPERLINK("https://www.compass.com/listing/101-wall-street-unit-9a-manhattan-ny-10005/78974989327446513/","101 Wall St, Unit 9A")</f>
        <v>101 Wall St, Unit 9A</v>
      </c>
      <c r="B2286" s="2" t="str">
        <f t="shared" ref="B2286:B2287" si="329">HYPERLINK("https://www.compass.com/building/101-wall-st-manhattan-ny-10005/292788767809355381/","101 Wall St")</f>
        <v>101 Wall St</v>
      </c>
      <c r="C2286" s="1" t="s">
        <v>117</v>
      </c>
      <c r="D2286" s="1" t="s">
        <v>41</v>
      </c>
      <c r="E2286" s="3">
        <v>1160805</v>
      </c>
      <c r="F2286" s="1">
        <v>1644.19971671388</v>
      </c>
      <c r="H2286" s="1">
        <v>1</v>
      </c>
      <c r="J2286" s="1">
        <v>1</v>
      </c>
      <c r="K2286" s="1">
        <v>1</v>
      </c>
      <c r="M2286" s="1">
        <v>706</v>
      </c>
      <c r="N2286" s="1">
        <v>913</v>
      </c>
      <c r="O2286" s="1">
        <v>1754</v>
      </c>
      <c r="P2286" s="1">
        <v>841</v>
      </c>
      <c r="Q2286" s="1" t="s">
        <v>42</v>
      </c>
      <c r="S2286" s="1" t="s">
        <v>42</v>
      </c>
      <c r="T2286" s="1" t="s">
        <v>170</v>
      </c>
      <c r="AA2286" s="1">
        <v>1160805</v>
      </c>
      <c r="AB2286" s="1" t="s">
        <v>1752</v>
      </c>
      <c r="AC2286" s="5">
        <v>42866</v>
      </c>
      <c r="AF2286" s="1">
        <v>10005</v>
      </c>
      <c r="AI2286" s="1" t="s">
        <v>45</v>
      </c>
      <c r="AJ2286" s="1">
        <v>2016</v>
      </c>
      <c r="AK2286" s="1" t="s">
        <v>49</v>
      </c>
      <c r="AL2286" s="1">
        <v>51</v>
      </c>
    </row>
    <row r="2287" spans="1:38" x14ac:dyDescent="0.2">
      <c r="A2287" s="2" t="str">
        <f>HYPERLINK("https://www.compass.com/listing/101-wall-street-unit-14a-manhattan-ny-10005/29356244569521073/","101 Wall St, Unit 14A")</f>
        <v>101 Wall St, Unit 14A</v>
      </c>
      <c r="B2287" s="2" t="str">
        <f t="shared" si="329"/>
        <v>101 Wall St</v>
      </c>
      <c r="C2287" s="1" t="s">
        <v>117</v>
      </c>
      <c r="D2287" s="1" t="s">
        <v>41</v>
      </c>
      <c r="E2287" s="3">
        <v>1205904</v>
      </c>
      <c r="F2287" s="1">
        <v>1715.3684210526301</v>
      </c>
      <c r="G2287" s="1">
        <v>3</v>
      </c>
      <c r="H2287" s="1">
        <v>1</v>
      </c>
      <c r="I2287" s="1">
        <v>1</v>
      </c>
      <c r="J2287" s="1">
        <v>1</v>
      </c>
      <c r="K2287" s="1">
        <v>1</v>
      </c>
      <c r="M2287" s="1">
        <v>703</v>
      </c>
      <c r="N2287" s="1">
        <v>905</v>
      </c>
      <c r="O2287" s="1">
        <v>1951</v>
      </c>
      <c r="P2287" s="1">
        <v>1046</v>
      </c>
      <c r="Q2287" s="1" t="s">
        <v>42</v>
      </c>
      <c r="S2287" s="1" t="s">
        <v>42</v>
      </c>
      <c r="T2287" s="1" t="s">
        <v>170</v>
      </c>
      <c r="U2287" s="1">
        <v>165</v>
      </c>
      <c r="V2287" s="5">
        <v>43626</v>
      </c>
      <c r="W2287" s="5">
        <v>42860</v>
      </c>
      <c r="X2287" s="1">
        <v>1250000</v>
      </c>
      <c r="Y2287" s="1">
        <v>1250000</v>
      </c>
      <c r="Z2287" s="5">
        <v>43025</v>
      </c>
      <c r="AA2287" s="1">
        <v>1205904</v>
      </c>
      <c r="AB2287" s="1" t="s">
        <v>1753</v>
      </c>
      <c r="AC2287" s="5">
        <v>43118</v>
      </c>
      <c r="AF2287" s="1">
        <v>10005</v>
      </c>
      <c r="AI2287" s="1" t="s">
        <v>45</v>
      </c>
      <c r="AJ2287" s="1">
        <v>2016</v>
      </c>
      <c r="AK2287" s="1" t="s">
        <v>77</v>
      </c>
      <c r="AL2287" s="1">
        <v>51</v>
      </c>
    </row>
    <row r="2288" spans="1:38" x14ac:dyDescent="0.2">
      <c r="A2288" s="2" t="str">
        <f>HYPERLINK("https://www.compass.com/listing/252-east-57th-street-unit-48d-manhattan-ny-10022/29405830637978001/","252 E 57th St, Unit 48D")</f>
        <v>252 E 57th St, Unit 48D</v>
      </c>
      <c r="B2288" s="2" t="str">
        <f>HYPERLINK("https://www.compass.com/building/252-e-57th-st-manhattan-ny-10022/281924023602945813/","252 E 57th St")</f>
        <v>252 E 57th St</v>
      </c>
      <c r="C2288" s="1" t="s">
        <v>64</v>
      </c>
      <c r="D2288" s="1" t="s">
        <v>41</v>
      </c>
      <c r="E2288" s="3">
        <v>3821438</v>
      </c>
      <c r="F2288" s="1">
        <v>2205.0998268897802</v>
      </c>
      <c r="G2288" s="1">
        <v>4</v>
      </c>
      <c r="H2288" s="1">
        <v>2</v>
      </c>
      <c r="I2288" s="1">
        <v>3</v>
      </c>
      <c r="J2288" s="1">
        <v>2.5</v>
      </c>
      <c r="M2288" s="4">
        <v>1733</v>
      </c>
      <c r="N2288" s="1">
        <v>3092</v>
      </c>
      <c r="O2288" s="1">
        <v>4497</v>
      </c>
      <c r="P2288" s="1">
        <v>1405</v>
      </c>
      <c r="Q2288" s="1" t="s">
        <v>42</v>
      </c>
      <c r="S2288" s="1" t="s">
        <v>42</v>
      </c>
      <c r="T2288" s="1" t="s">
        <v>170</v>
      </c>
      <c r="U2288" s="1">
        <v>8</v>
      </c>
      <c r="V2288" s="5">
        <v>43662</v>
      </c>
      <c r="W2288" s="5">
        <v>42796</v>
      </c>
      <c r="X2288" s="1">
        <v>4050000</v>
      </c>
      <c r="Y2288" s="1">
        <v>4050000</v>
      </c>
      <c r="Z2288" s="5">
        <v>42804</v>
      </c>
      <c r="AA2288" s="1">
        <v>3821438</v>
      </c>
      <c r="AB2288" s="1" t="s">
        <v>1681</v>
      </c>
      <c r="AC2288" s="5">
        <v>42907</v>
      </c>
      <c r="AF2288" s="1">
        <v>10022</v>
      </c>
      <c r="AI2288" s="1" t="s">
        <v>85</v>
      </c>
      <c r="AJ2288" s="1">
        <v>2016</v>
      </c>
      <c r="AK2288" s="1" t="s">
        <v>46</v>
      </c>
      <c r="AL2288" s="1">
        <v>95</v>
      </c>
    </row>
    <row r="2289" spans="1:38" x14ac:dyDescent="0.2">
      <c r="A2289" s="2" t="str">
        <f>HYPERLINK("https://www.compass.com/listing/101-wall-street-unit-12a-manhattan-ny-10005/122402169763665361/","101 Wall St, Unit 12A")</f>
        <v>101 Wall St, Unit 12A</v>
      </c>
      <c r="B2289" s="2" t="str">
        <f t="shared" ref="B2289:B2292" si="330">HYPERLINK("https://www.compass.com/building/101-wall-st-manhattan-ny-10005/292788767809355381/","101 Wall St")</f>
        <v>101 Wall St</v>
      </c>
      <c r="C2289" s="1" t="s">
        <v>117</v>
      </c>
      <c r="D2289" s="1" t="s">
        <v>41</v>
      </c>
      <c r="E2289" s="3">
        <v>975000</v>
      </c>
      <c r="F2289" s="1">
        <v>1386.91322901849</v>
      </c>
      <c r="G2289" s="1">
        <v>3</v>
      </c>
      <c r="H2289" s="1">
        <v>1</v>
      </c>
      <c r="I2289" s="1">
        <v>1</v>
      </c>
      <c r="J2289" s="1">
        <v>1</v>
      </c>
      <c r="K2289" s="1">
        <v>1</v>
      </c>
      <c r="M2289" s="1">
        <v>703</v>
      </c>
      <c r="N2289" s="1">
        <v>554</v>
      </c>
      <c r="O2289" s="1">
        <v>1801</v>
      </c>
      <c r="P2289" s="1">
        <v>1247</v>
      </c>
      <c r="Q2289" s="1" t="s">
        <v>42</v>
      </c>
      <c r="S2289" s="1" t="s">
        <v>42</v>
      </c>
      <c r="T2289" s="1" t="s">
        <v>170</v>
      </c>
      <c r="U2289" s="1">
        <v>179</v>
      </c>
      <c r="V2289" s="5">
        <v>43683</v>
      </c>
      <c r="W2289" s="5">
        <v>43421</v>
      </c>
      <c r="X2289" s="1">
        <v>995000</v>
      </c>
      <c r="Y2289" s="1">
        <v>995000</v>
      </c>
      <c r="Z2289" s="5">
        <v>43600</v>
      </c>
      <c r="AA2289" s="1">
        <v>975000</v>
      </c>
      <c r="AB2289" s="1" t="s">
        <v>1754</v>
      </c>
      <c r="AC2289" s="5">
        <v>43672</v>
      </c>
      <c r="AF2289" s="1">
        <v>10005</v>
      </c>
      <c r="AI2289" s="1" t="s">
        <v>45</v>
      </c>
      <c r="AJ2289" s="1">
        <v>2016</v>
      </c>
      <c r="AK2289" s="1" t="s">
        <v>77</v>
      </c>
      <c r="AL2289" s="1">
        <v>51</v>
      </c>
    </row>
    <row r="2290" spans="1:38" x14ac:dyDescent="0.2">
      <c r="A2290" s="2" t="str">
        <f>HYPERLINK("https://www.compass.com/listing/101-wall-street-unit-11a-manhattan-ny-10005/228195764445160545/","101 Wall St, Unit 11A")</f>
        <v>101 Wall St, Unit 11A</v>
      </c>
      <c r="B2290" s="2" t="str">
        <f t="shared" si="330"/>
        <v>101 Wall St</v>
      </c>
      <c r="C2290" s="1" t="s">
        <v>117</v>
      </c>
      <c r="D2290" s="1" t="s">
        <v>41</v>
      </c>
      <c r="E2290" s="3">
        <v>973806</v>
      </c>
      <c r="F2290" s="1">
        <v>1385.21426742532</v>
      </c>
      <c r="G2290" s="1">
        <v>3</v>
      </c>
      <c r="H2290" s="1">
        <v>1</v>
      </c>
      <c r="I2290" s="1">
        <v>1</v>
      </c>
      <c r="J2290" s="1">
        <v>1</v>
      </c>
      <c r="K2290" s="1">
        <v>1</v>
      </c>
      <c r="M2290" s="1">
        <v>703</v>
      </c>
      <c r="N2290" s="1">
        <v>554</v>
      </c>
      <c r="O2290" s="1">
        <v>1801</v>
      </c>
      <c r="P2290" s="1">
        <v>1247</v>
      </c>
      <c r="Q2290" s="1" t="s">
        <v>42</v>
      </c>
      <c r="S2290" s="1" t="s">
        <v>42</v>
      </c>
      <c r="T2290" s="1" t="s">
        <v>170</v>
      </c>
      <c r="V2290" s="5">
        <v>43620</v>
      </c>
      <c r="W2290" s="5">
        <v>43566</v>
      </c>
      <c r="X2290" s="1">
        <v>995000</v>
      </c>
      <c r="Y2290" s="1">
        <v>995000</v>
      </c>
      <c r="Z2290" s="5">
        <v>43566</v>
      </c>
      <c r="AA2290" s="1">
        <v>973805.63</v>
      </c>
      <c r="AB2290" s="1" t="s">
        <v>1755</v>
      </c>
      <c r="AC2290" s="5">
        <v>43609</v>
      </c>
      <c r="AF2290" s="1">
        <v>10005</v>
      </c>
      <c r="AI2290" s="1" t="s">
        <v>45</v>
      </c>
      <c r="AJ2290" s="1">
        <v>2016</v>
      </c>
      <c r="AK2290" s="1" t="s">
        <v>77</v>
      </c>
      <c r="AL2290" s="1">
        <v>51</v>
      </c>
    </row>
    <row r="2291" spans="1:38" x14ac:dyDescent="0.2">
      <c r="A2291" s="2" t="str">
        <f>HYPERLINK("https://www.compass.com/listing/101-wall-street-unit-9a-manhattan-ny-10005/251543798918702337/","101 Wall St, Unit 9A")</f>
        <v>101 Wall St, Unit 9A</v>
      </c>
      <c r="B2291" s="2" t="str">
        <f t="shared" si="330"/>
        <v>101 Wall St</v>
      </c>
      <c r="C2291" s="1" t="s">
        <v>117</v>
      </c>
      <c r="D2291" s="1" t="s">
        <v>41</v>
      </c>
      <c r="E2291" s="3">
        <v>977000</v>
      </c>
      <c r="F2291" s="1">
        <v>1383.8526912181301</v>
      </c>
      <c r="G2291" s="1">
        <v>3</v>
      </c>
      <c r="H2291" s="1">
        <v>1</v>
      </c>
      <c r="I2291" s="1">
        <v>1</v>
      </c>
      <c r="J2291" s="1">
        <v>1</v>
      </c>
      <c r="K2291" s="1">
        <v>1</v>
      </c>
      <c r="M2291" s="1">
        <v>706</v>
      </c>
      <c r="N2291" s="1">
        <v>559</v>
      </c>
      <c r="O2291" s="1">
        <v>1816</v>
      </c>
      <c r="P2291" s="1">
        <v>1257</v>
      </c>
      <c r="Q2291" s="1" t="s">
        <v>42</v>
      </c>
      <c r="S2291" s="1" t="s">
        <v>42</v>
      </c>
      <c r="T2291" s="1" t="s">
        <v>170</v>
      </c>
      <c r="V2291" s="5">
        <v>43704</v>
      </c>
      <c r="W2291" s="5">
        <v>43599</v>
      </c>
      <c r="X2291" s="1">
        <v>1049000</v>
      </c>
      <c r="Y2291" s="1">
        <v>1049000</v>
      </c>
      <c r="Z2291" s="5">
        <v>43599</v>
      </c>
      <c r="AA2291" s="1">
        <v>977000</v>
      </c>
      <c r="AB2291" s="1" t="s">
        <v>1756</v>
      </c>
      <c r="AC2291" s="5">
        <v>43689</v>
      </c>
      <c r="AF2291" s="1">
        <v>10005</v>
      </c>
      <c r="AI2291" s="1" t="s">
        <v>45</v>
      </c>
      <c r="AJ2291" s="1">
        <v>2016</v>
      </c>
      <c r="AK2291" s="1" t="s">
        <v>77</v>
      </c>
      <c r="AL2291" s="1">
        <v>51</v>
      </c>
    </row>
    <row r="2292" spans="1:38" x14ac:dyDescent="0.2">
      <c r="A2292" s="2" t="str">
        <f>HYPERLINK("https://www.compass.com/listing/101-wall-street-unit-8a-manhattan-ny-10005/81301823159318609/","101 Wall St, Unit 8A")</f>
        <v>101 Wall St, Unit 8A</v>
      </c>
      <c r="B2292" s="2" t="str">
        <f t="shared" si="330"/>
        <v>101 Wall St</v>
      </c>
      <c r="C2292" s="1" t="s">
        <v>117</v>
      </c>
      <c r="D2292" s="1" t="s">
        <v>41</v>
      </c>
      <c r="E2292" s="3">
        <v>938486</v>
      </c>
      <c r="F2292" s="1">
        <v>1329.30028328611</v>
      </c>
      <c r="G2292" s="1">
        <v>3</v>
      </c>
      <c r="H2292" s="1">
        <v>1</v>
      </c>
      <c r="I2292" s="1">
        <v>1</v>
      </c>
      <c r="J2292" s="1">
        <v>1</v>
      </c>
      <c r="K2292" s="1">
        <v>1</v>
      </c>
      <c r="M2292" s="1">
        <v>706</v>
      </c>
      <c r="N2292" s="1">
        <v>909</v>
      </c>
      <c r="O2292" s="1">
        <v>2172</v>
      </c>
      <c r="P2292" s="1">
        <v>1263</v>
      </c>
      <c r="Q2292" s="1" t="s">
        <v>42</v>
      </c>
      <c r="S2292" s="1" t="s">
        <v>42</v>
      </c>
      <c r="T2292" s="1" t="s">
        <v>170</v>
      </c>
      <c r="U2292" s="1">
        <v>57</v>
      </c>
      <c r="V2292" s="5">
        <v>43648</v>
      </c>
      <c r="W2292" s="5">
        <v>43364</v>
      </c>
      <c r="X2292" s="1">
        <v>999000</v>
      </c>
      <c r="Y2292" s="1">
        <v>999000</v>
      </c>
      <c r="Z2292" s="5">
        <v>43468</v>
      </c>
      <c r="AA2292" s="1">
        <v>938486</v>
      </c>
      <c r="AB2292" s="1" t="s">
        <v>1757</v>
      </c>
      <c r="AC2292" s="5">
        <v>43505</v>
      </c>
      <c r="AF2292" s="1">
        <v>10005</v>
      </c>
      <c r="AI2292" s="1" t="s">
        <v>45</v>
      </c>
      <c r="AJ2292" s="1">
        <v>2016</v>
      </c>
      <c r="AK2292" s="1" t="s">
        <v>77</v>
      </c>
      <c r="AL2292" s="1">
        <v>51</v>
      </c>
    </row>
    <row r="2293" spans="1:38" x14ac:dyDescent="0.2">
      <c r="A2293" s="2" t="str">
        <f>HYPERLINK("https://www.compass.com/listing/200-east-59th-street-unit-23d-manhattan-ny-10022/385466950255238577/","200 E 59th St, Unit 23D")</f>
        <v>200 E 59th St, Unit 23D</v>
      </c>
      <c r="B2293" s="2" t="str">
        <f>HYPERLINK("https://www.compass.com/building/200-east-59th-street-manhattan-ny/292859303948266645/","200 East 59th Street")</f>
        <v>200 East 59th Street</v>
      </c>
      <c r="C2293" s="1" t="s">
        <v>64</v>
      </c>
      <c r="D2293" s="1" t="s">
        <v>41</v>
      </c>
      <c r="E2293" s="3">
        <v>4239363</v>
      </c>
      <c r="F2293" s="1">
        <v>2220.7242011524299</v>
      </c>
      <c r="G2293" s="1">
        <v>4.5</v>
      </c>
      <c r="H2293" s="1">
        <v>2</v>
      </c>
      <c r="I2293" s="1">
        <v>3</v>
      </c>
      <c r="J2293" s="1">
        <v>2.5</v>
      </c>
      <c r="K2293" s="1">
        <v>2</v>
      </c>
      <c r="L2293" s="1">
        <v>1</v>
      </c>
      <c r="M2293" s="4">
        <v>1909</v>
      </c>
      <c r="N2293" s="1">
        <v>2583</v>
      </c>
      <c r="O2293" s="1">
        <v>4689</v>
      </c>
      <c r="P2293" s="1">
        <v>2106</v>
      </c>
      <c r="Q2293" s="1" t="s">
        <v>42</v>
      </c>
      <c r="S2293" s="1" t="s">
        <v>42</v>
      </c>
      <c r="T2293" s="1" t="s">
        <v>170</v>
      </c>
      <c r="V2293" s="5">
        <v>43878</v>
      </c>
      <c r="W2293" s="5">
        <v>43791</v>
      </c>
      <c r="X2293" s="1">
        <v>5320000</v>
      </c>
      <c r="Y2293" s="1">
        <v>5320000</v>
      </c>
      <c r="Z2293" s="5">
        <v>43791</v>
      </c>
      <c r="AA2293" s="1">
        <v>4239362.5</v>
      </c>
      <c r="AB2293" s="1" t="s">
        <v>1758</v>
      </c>
      <c r="AC2293" s="5">
        <v>43868</v>
      </c>
      <c r="AF2293" s="1">
        <v>10022</v>
      </c>
      <c r="AI2293" s="1" t="s">
        <v>85</v>
      </c>
      <c r="AJ2293" s="1">
        <v>2018</v>
      </c>
      <c r="AK2293" s="1" t="s">
        <v>46</v>
      </c>
      <c r="AL2293" s="1">
        <v>67</v>
      </c>
    </row>
    <row r="2294" spans="1:38" x14ac:dyDescent="0.2">
      <c r="A2294" s="2" t="str">
        <f>HYPERLINK("https://www.compass.com/listing/252-east-57th-street-unit-47b-manhattan-ny-10022/29405828087930561/","252 E 57th St, Unit 47B")</f>
        <v>252 E 57th St, Unit 47B</v>
      </c>
      <c r="B2294" s="2" t="str">
        <f>HYPERLINK("https://www.compass.com/building/252-e-57th-st-manhattan-ny-10022/281924023602945813/","252 E 57th St")</f>
        <v>252 E 57th St</v>
      </c>
      <c r="C2294" s="1" t="s">
        <v>64</v>
      </c>
      <c r="D2294" s="1" t="s">
        <v>41</v>
      </c>
      <c r="E2294" s="3">
        <v>4381475</v>
      </c>
      <c r="F2294" s="1">
        <v>2513.7550200803198</v>
      </c>
      <c r="G2294" s="1">
        <v>4</v>
      </c>
      <c r="H2294" s="1">
        <v>2</v>
      </c>
      <c r="I2294" s="1">
        <v>3</v>
      </c>
      <c r="J2294" s="1">
        <v>2.5</v>
      </c>
      <c r="M2294" s="4">
        <v>1743</v>
      </c>
      <c r="N2294" s="1">
        <v>3108</v>
      </c>
      <c r="O2294" s="1">
        <v>4520</v>
      </c>
      <c r="P2294" s="1">
        <v>1412</v>
      </c>
      <c r="Q2294" s="1" t="s">
        <v>42</v>
      </c>
      <c r="S2294" s="1" t="s">
        <v>42</v>
      </c>
      <c r="T2294" s="1" t="s">
        <v>170</v>
      </c>
      <c r="U2294" s="1">
        <v>28</v>
      </c>
      <c r="V2294" s="5">
        <v>43638</v>
      </c>
      <c r="W2294" s="5">
        <v>43005</v>
      </c>
      <c r="X2294" s="1">
        <v>4420000</v>
      </c>
      <c r="Y2294" s="1">
        <v>4420000</v>
      </c>
      <c r="Z2294" s="5">
        <v>43033</v>
      </c>
      <c r="AA2294" s="1">
        <v>4381475</v>
      </c>
      <c r="AB2294" s="1" t="s">
        <v>1699</v>
      </c>
      <c r="AC2294" s="5">
        <v>43060</v>
      </c>
      <c r="AF2294" s="1">
        <v>10022</v>
      </c>
      <c r="AI2294" s="1" t="s">
        <v>85</v>
      </c>
      <c r="AJ2294" s="1">
        <v>2016</v>
      </c>
      <c r="AK2294" s="1" t="s">
        <v>73</v>
      </c>
      <c r="AL2294" s="1">
        <v>95</v>
      </c>
    </row>
    <row r="2295" spans="1:38" x14ac:dyDescent="0.2">
      <c r="A2295" s="2" t="str">
        <f>HYPERLINK("https://www.compass.com/listing/101-wall-street-unit-7a-manhattan-ny-10005/29514330252845409/","101 Wall St, Unit 7A")</f>
        <v>101 Wall St, Unit 7A</v>
      </c>
      <c r="B2295" s="2" t="str">
        <f>HYPERLINK("https://www.compass.com/building/101-wall-st-manhattan-ny-10005/292788767809355381/","101 Wall St")</f>
        <v>101 Wall St</v>
      </c>
      <c r="C2295" s="1" t="s">
        <v>117</v>
      </c>
      <c r="D2295" s="1" t="s">
        <v>41</v>
      </c>
      <c r="E2295" s="3">
        <v>985000</v>
      </c>
      <c r="F2295" s="1">
        <v>1395.18413597733</v>
      </c>
      <c r="G2295" s="1">
        <v>3</v>
      </c>
      <c r="H2295" s="1">
        <v>1</v>
      </c>
      <c r="I2295" s="1">
        <v>1</v>
      </c>
      <c r="J2295" s="1">
        <v>1</v>
      </c>
      <c r="K2295" s="1">
        <v>1</v>
      </c>
      <c r="M2295" s="1">
        <v>706</v>
      </c>
      <c r="N2295" s="1">
        <v>913</v>
      </c>
      <c r="O2295" s="1">
        <v>1969</v>
      </c>
      <c r="P2295" s="1">
        <v>1056</v>
      </c>
      <c r="Q2295" s="1" t="s">
        <v>42</v>
      </c>
      <c r="S2295" s="1" t="s">
        <v>42</v>
      </c>
      <c r="T2295" s="1" t="s">
        <v>170</v>
      </c>
      <c r="U2295" s="1">
        <v>73</v>
      </c>
      <c r="V2295" s="5">
        <v>43647</v>
      </c>
      <c r="W2295" s="5">
        <v>43234</v>
      </c>
      <c r="X2295" s="1">
        <v>995000</v>
      </c>
      <c r="Y2295" s="1">
        <v>995000</v>
      </c>
      <c r="Z2295" s="5">
        <v>43307</v>
      </c>
      <c r="AA2295" s="1">
        <v>985000</v>
      </c>
      <c r="AB2295" s="1" t="s">
        <v>1749</v>
      </c>
      <c r="AC2295" s="5">
        <v>43353</v>
      </c>
      <c r="AF2295" s="1">
        <v>10005</v>
      </c>
      <c r="AI2295" s="1" t="s">
        <v>45</v>
      </c>
      <c r="AJ2295" s="1">
        <v>2016</v>
      </c>
      <c r="AK2295" s="1" t="s">
        <v>77</v>
      </c>
      <c r="AL2295" s="1">
        <v>51</v>
      </c>
    </row>
    <row r="2296" spans="1:38" x14ac:dyDescent="0.2">
      <c r="A2296" s="2" t="str">
        <f>HYPERLINK("https://www.compass.com/listing/252-east-57th-street-unit-38a-manhattan-ny-10022/29405812627725697/","252 E 57th St, Unit 38A")</f>
        <v>252 E 57th St, Unit 38A</v>
      </c>
      <c r="B2296" s="2" t="str">
        <f>HYPERLINK("https://www.compass.com/building/252-e-57th-st-manhattan-ny-10022/281924023602945813/","252 E 57th St")</f>
        <v>252 E 57th St</v>
      </c>
      <c r="C2296" s="1" t="s">
        <v>64</v>
      </c>
      <c r="D2296" s="1" t="s">
        <v>41</v>
      </c>
      <c r="E2296" s="3">
        <v>4916056</v>
      </c>
      <c r="F2296" s="1">
        <v>2439.7300248138899</v>
      </c>
      <c r="G2296" s="1">
        <v>5</v>
      </c>
      <c r="H2296" s="1">
        <v>3</v>
      </c>
      <c r="I2296" s="1">
        <v>3</v>
      </c>
      <c r="J2296" s="1">
        <v>3</v>
      </c>
      <c r="M2296" s="4">
        <v>2015</v>
      </c>
      <c r="N2296" s="1">
        <v>3609</v>
      </c>
      <c r="O2296" s="1">
        <v>5247</v>
      </c>
      <c r="P2296" s="1">
        <v>1638</v>
      </c>
      <c r="Q2296" s="1" t="s">
        <v>42</v>
      </c>
      <c r="S2296" s="1" t="s">
        <v>42</v>
      </c>
      <c r="T2296" s="1" t="s">
        <v>170</v>
      </c>
      <c r="U2296" s="1">
        <v>14</v>
      </c>
      <c r="V2296" s="5">
        <v>43659</v>
      </c>
      <c r="W2296" s="5">
        <v>42199</v>
      </c>
      <c r="X2296" s="1">
        <v>4975000</v>
      </c>
      <c r="Y2296" s="1">
        <v>4975000</v>
      </c>
      <c r="Z2296" s="5">
        <v>42213</v>
      </c>
      <c r="AA2296" s="1">
        <v>4916056</v>
      </c>
      <c r="AB2296" s="1" t="s">
        <v>1684</v>
      </c>
      <c r="AC2296" s="5">
        <v>42833</v>
      </c>
      <c r="AF2296" s="1">
        <v>10022</v>
      </c>
      <c r="AI2296" s="1" t="s">
        <v>65</v>
      </c>
      <c r="AJ2296" s="1">
        <v>2016</v>
      </c>
      <c r="AK2296" s="1" t="s">
        <v>73</v>
      </c>
      <c r="AL2296" s="1">
        <v>95</v>
      </c>
    </row>
    <row r="2297" spans="1:38" x14ac:dyDescent="0.2">
      <c r="A2297" s="2" t="str">
        <f>HYPERLINK("https://www.compass.com/listing/101-wall-street-unit-15a-manhattan-ny-10005/29356245668428737/","101 Wall St, Unit 15A")</f>
        <v>101 Wall St, Unit 15A</v>
      </c>
      <c r="B2297" s="2" t="str">
        <f>HYPERLINK("https://www.compass.com/building/101-wall-st-manhattan-ny-10005/292788767809355381/","101 Wall St")</f>
        <v>101 Wall St</v>
      </c>
      <c r="C2297" s="1" t="s">
        <v>117</v>
      </c>
      <c r="D2297" s="1" t="s">
        <v>41</v>
      </c>
      <c r="E2297" s="3">
        <v>1245000</v>
      </c>
      <c r="F2297" s="1">
        <v>1770.9815078236099</v>
      </c>
      <c r="G2297" s="1">
        <v>3</v>
      </c>
      <c r="H2297" s="1">
        <v>1</v>
      </c>
      <c r="I2297" s="1">
        <v>1</v>
      </c>
      <c r="J2297" s="1">
        <v>1</v>
      </c>
      <c r="K2297" s="1">
        <v>1</v>
      </c>
      <c r="M2297" s="1">
        <v>703</v>
      </c>
      <c r="N2297" s="1">
        <v>905</v>
      </c>
      <c r="O2297" s="1">
        <v>1951</v>
      </c>
      <c r="P2297" s="1">
        <v>1046</v>
      </c>
      <c r="Q2297" s="1" t="s">
        <v>42</v>
      </c>
      <c r="S2297" s="1" t="s">
        <v>42</v>
      </c>
      <c r="T2297" s="1" t="s">
        <v>170</v>
      </c>
      <c r="U2297" s="1">
        <v>168</v>
      </c>
      <c r="V2297" s="5">
        <v>43624</v>
      </c>
      <c r="W2297" s="5">
        <v>42711</v>
      </c>
      <c r="X2297" s="1">
        <v>1265000</v>
      </c>
      <c r="Y2297" s="1">
        <v>1265000</v>
      </c>
      <c r="Z2297" s="5">
        <v>42879</v>
      </c>
      <c r="AA2297" s="1">
        <v>1245000</v>
      </c>
      <c r="AB2297" s="1" t="s">
        <v>1759</v>
      </c>
      <c r="AC2297" s="5">
        <v>42955</v>
      </c>
      <c r="AF2297" s="1">
        <v>10005</v>
      </c>
      <c r="AI2297" s="1" t="s">
        <v>45</v>
      </c>
      <c r="AJ2297" s="1">
        <v>2016</v>
      </c>
      <c r="AK2297" s="1" t="s">
        <v>77</v>
      </c>
      <c r="AL2297" s="1">
        <v>51</v>
      </c>
    </row>
    <row r="2298" spans="1:38" x14ac:dyDescent="0.2">
      <c r="A2298" s="2" t="str">
        <f>HYPERLINK("https://www.compass.com/listing/252-east-57th-street-unit-38d-manhattan-ny-10022/29405814053789089/","252 E 57th St, Unit 38D")</f>
        <v>252 E 57th St, Unit 38D</v>
      </c>
      <c r="B2298" s="2" t="str">
        <f t="shared" ref="B2298:B2302" si="331">HYPERLINK("https://www.compass.com/building/252-e-57th-st-manhattan-ny-10022/281924023602945813/","252 E 57th St")</f>
        <v>252 E 57th St</v>
      </c>
      <c r="C2298" s="1" t="s">
        <v>64</v>
      </c>
      <c r="D2298" s="1" t="s">
        <v>41</v>
      </c>
      <c r="E2298" s="3">
        <v>3933445</v>
      </c>
      <c r="F2298" s="1">
        <v>2038.0544041450701</v>
      </c>
      <c r="G2298" s="1">
        <v>5</v>
      </c>
      <c r="H2298" s="1">
        <v>3</v>
      </c>
      <c r="I2298" s="1">
        <v>3</v>
      </c>
      <c r="J2298" s="1">
        <v>3</v>
      </c>
      <c r="M2298" s="4">
        <v>1930</v>
      </c>
      <c r="N2298" s="1">
        <v>3426</v>
      </c>
      <c r="O2298" s="1">
        <v>4983</v>
      </c>
      <c r="P2298" s="1">
        <v>1557</v>
      </c>
      <c r="Q2298" s="1" t="s">
        <v>42</v>
      </c>
      <c r="S2298" s="1" t="s">
        <v>42</v>
      </c>
      <c r="T2298" s="1" t="s">
        <v>170</v>
      </c>
      <c r="U2298" s="1">
        <v>142</v>
      </c>
      <c r="V2298" s="5">
        <v>43638</v>
      </c>
      <c r="W2298" s="5">
        <v>42878</v>
      </c>
      <c r="X2298" s="1">
        <v>4045000</v>
      </c>
      <c r="Y2298" s="1">
        <v>4045000</v>
      </c>
      <c r="Z2298" s="5">
        <v>43020</v>
      </c>
      <c r="AA2298" s="1">
        <v>3933445</v>
      </c>
      <c r="AB2298" s="1" t="s">
        <v>1694</v>
      </c>
      <c r="AC2298" s="5">
        <v>43074</v>
      </c>
      <c r="AF2298" s="1">
        <v>10022</v>
      </c>
      <c r="AI2298" s="1" t="s">
        <v>84</v>
      </c>
      <c r="AJ2298" s="1">
        <v>2016</v>
      </c>
      <c r="AK2298" s="1" t="s">
        <v>73</v>
      </c>
      <c r="AL2298" s="1">
        <v>95</v>
      </c>
    </row>
    <row r="2299" spans="1:38" x14ac:dyDescent="0.2">
      <c r="A2299" s="2" t="str">
        <f>HYPERLINK("https://www.compass.com/listing/252-east-57th-street-unit-40d-manhattan-ny-10022/29405817920848017/","252 E 57th St, Unit 40D")</f>
        <v>252 E 57th St, Unit 40D</v>
      </c>
      <c r="B2299" s="2" t="str">
        <f t="shared" si="331"/>
        <v>252 E 57th St</v>
      </c>
      <c r="C2299" s="1" t="s">
        <v>64</v>
      </c>
      <c r="D2299" s="1" t="s">
        <v>41</v>
      </c>
      <c r="E2299" s="3">
        <v>4686950</v>
      </c>
      <c r="F2299" s="1">
        <v>2432.2522055007698</v>
      </c>
      <c r="G2299" s="1">
        <v>5</v>
      </c>
      <c r="H2299" s="1">
        <v>3</v>
      </c>
      <c r="I2299" s="1">
        <v>3</v>
      </c>
      <c r="J2299" s="1">
        <v>3</v>
      </c>
      <c r="M2299" s="4">
        <v>1927</v>
      </c>
      <c r="N2299" s="1">
        <v>3427</v>
      </c>
      <c r="O2299" s="1">
        <v>4983</v>
      </c>
      <c r="P2299" s="1">
        <v>1556</v>
      </c>
      <c r="Q2299" s="1" t="s">
        <v>42</v>
      </c>
      <c r="S2299" s="1" t="s">
        <v>42</v>
      </c>
      <c r="T2299" s="1" t="s">
        <v>170</v>
      </c>
      <c r="V2299" s="5">
        <v>43650</v>
      </c>
      <c r="W2299" s="5">
        <v>42171</v>
      </c>
      <c r="X2299" s="1">
        <v>4985000</v>
      </c>
      <c r="Y2299" s="1">
        <v>4985000</v>
      </c>
      <c r="Z2299" s="5">
        <v>42171</v>
      </c>
      <c r="AA2299" s="1">
        <v>4686950</v>
      </c>
      <c r="AB2299" s="1" t="s">
        <v>1712</v>
      </c>
      <c r="AC2299" s="5">
        <v>42837</v>
      </c>
      <c r="AF2299" s="1">
        <v>10022</v>
      </c>
      <c r="AI2299" s="1" t="s">
        <v>84</v>
      </c>
      <c r="AJ2299" s="1">
        <v>2016</v>
      </c>
      <c r="AK2299" s="1" t="s">
        <v>73</v>
      </c>
      <c r="AL2299" s="1">
        <v>95</v>
      </c>
    </row>
    <row r="2300" spans="1:38" x14ac:dyDescent="0.2">
      <c r="A2300" s="2" t="str">
        <f>HYPERLINK("https://www.compass.com/listing/252-east-57th-street-unit-41d-manhattan-ny-10022/29405819766431233/","252 E 57th St, Unit 41D")</f>
        <v>252 E 57th St, Unit 41D</v>
      </c>
      <c r="B2300" s="2" t="str">
        <f t="shared" si="331"/>
        <v>252 E 57th St</v>
      </c>
      <c r="C2300" s="1" t="s">
        <v>64</v>
      </c>
      <c r="D2300" s="1" t="s">
        <v>41</v>
      </c>
      <c r="E2300" s="3">
        <v>4047998</v>
      </c>
      <c r="F2300" s="1">
        <v>2101.7642782969801</v>
      </c>
      <c r="G2300" s="1">
        <v>5</v>
      </c>
      <c r="H2300" s="1">
        <v>3</v>
      </c>
      <c r="I2300" s="1">
        <v>3</v>
      </c>
      <c r="J2300" s="1">
        <v>3</v>
      </c>
      <c r="K2300" s="1">
        <v>3</v>
      </c>
      <c r="M2300" s="4">
        <v>1926</v>
      </c>
      <c r="N2300" s="1">
        <v>3427</v>
      </c>
      <c r="O2300" s="1">
        <v>4983</v>
      </c>
      <c r="P2300" s="1">
        <v>1556</v>
      </c>
      <c r="Q2300" s="1" t="s">
        <v>42</v>
      </c>
      <c r="S2300" s="1" t="s">
        <v>42</v>
      </c>
      <c r="T2300" s="1" t="s">
        <v>170</v>
      </c>
      <c r="V2300" s="5">
        <v>43678</v>
      </c>
      <c r="W2300" s="5">
        <v>42139</v>
      </c>
      <c r="X2300" s="1">
        <v>4985000</v>
      </c>
      <c r="Y2300" s="1">
        <v>4985000</v>
      </c>
      <c r="Z2300" s="5">
        <v>42139</v>
      </c>
      <c r="AA2300" s="1">
        <v>4047998</v>
      </c>
      <c r="AB2300" s="1" t="s">
        <v>1760</v>
      </c>
      <c r="AC2300" s="5">
        <v>43238</v>
      </c>
      <c r="AF2300" s="1">
        <v>10022</v>
      </c>
      <c r="AI2300" s="1" t="s">
        <v>84</v>
      </c>
      <c r="AJ2300" s="1">
        <v>2016</v>
      </c>
      <c r="AK2300" s="1" t="s">
        <v>73</v>
      </c>
      <c r="AL2300" s="1">
        <v>95</v>
      </c>
    </row>
    <row r="2301" spans="1:38" x14ac:dyDescent="0.2">
      <c r="A2301" s="2" t="str">
        <f>HYPERLINK("https://www.compass.com/listing/252-east-57th-street-unit-49a-manhattan-ny-10022/29405831191715585/","252 E 57th St, Unit 49A")</f>
        <v>252 E 57th St, Unit 49A</v>
      </c>
      <c r="B2301" s="2" t="str">
        <f t="shared" si="331"/>
        <v>252 E 57th St</v>
      </c>
      <c r="C2301" s="1" t="s">
        <v>64</v>
      </c>
      <c r="D2301" s="1" t="s">
        <v>41</v>
      </c>
      <c r="E2301" s="3">
        <v>4979697</v>
      </c>
      <c r="F2301" s="1">
        <v>2275.9127056672701</v>
      </c>
      <c r="G2301" s="1">
        <v>5</v>
      </c>
      <c r="H2301" s="1">
        <v>3</v>
      </c>
      <c r="I2301" s="1">
        <v>4</v>
      </c>
      <c r="J2301" s="1">
        <v>3.5</v>
      </c>
      <c r="M2301" s="4">
        <v>2188</v>
      </c>
      <c r="N2301" s="1">
        <v>3944</v>
      </c>
      <c r="O2301" s="1">
        <v>5734</v>
      </c>
      <c r="P2301" s="1">
        <v>1790</v>
      </c>
      <c r="Q2301" s="1" t="s">
        <v>42</v>
      </c>
      <c r="S2301" s="1" t="s">
        <v>42</v>
      </c>
      <c r="T2301" s="1" t="s">
        <v>170</v>
      </c>
      <c r="V2301" s="5">
        <v>43649</v>
      </c>
      <c r="W2301" s="5">
        <v>42139</v>
      </c>
      <c r="X2301" s="1">
        <v>6170000</v>
      </c>
      <c r="Y2301" s="1">
        <v>6170000</v>
      </c>
      <c r="Z2301" s="5">
        <v>42139</v>
      </c>
      <c r="AA2301" s="1">
        <v>4979697</v>
      </c>
      <c r="AB2301" s="1" t="s">
        <v>1701</v>
      </c>
      <c r="AC2301" s="5">
        <v>43049</v>
      </c>
      <c r="AF2301" s="1">
        <v>10022</v>
      </c>
      <c r="AI2301" s="1" t="s">
        <v>65</v>
      </c>
      <c r="AJ2301" s="1">
        <v>2016</v>
      </c>
      <c r="AK2301" s="1" t="s">
        <v>73</v>
      </c>
      <c r="AL2301" s="1">
        <v>95</v>
      </c>
    </row>
    <row r="2302" spans="1:38" x14ac:dyDescent="0.2">
      <c r="A2302" s="2" t="str">
        <f>HYPERLINK("https://www.compass.com/listing/252-east-57th-street-unit-41d-manhattan-ny-10022/803323110249864425/","252 E 57th St, Unit 41D")</f>
        <v>252 E 57th St, Unit 41D</v>
      </c>
      <c r="B2302" s="2" t="str">
        <f t="shared" si="331"/>
        <v>252 E 57th St</v>
      </c>
      <c r="C2302" s="1" t="s">
        <v>64</v>
      </c>
      <c r="D2302" s="1" t="s">
        <v>41</v>
      </c>
      <c r="E2302" s="3">
        <v>4047998</v>
      </c>
      <c r="F2302" s="1">
        <v>2101.76434579439</v>
      </c>
      <c r="G2302" s="1">
        <v>5</v>
      </c>
      <c r="H2302" s="1">
        <v>3</v>
      </c>
      <c r="I2302" s="1">
        <v>3</v>
      </c>
      <c r="J2302" s="1">
        <v>3</v>
      </c>
      <c r="M2302" s="4">
        <v>1926</v>
      </c>
      <c r="N2302" s="1">
        <v>3427</v>
      </c>
      <c r="O2302" s="1">
        <v>4983</v>
      </c>
      <c r="P2302" s="1">
        <v>1556</v>
      </c>
      <c r="Q2302" s="1" t="s">
        <v>42</v>
      </c>
      <c r="S2302" s="1" t="s">
        <v>42</v>
      </c>
      <c r="T2302" s="1" t="s">
        <v>170</v>
      </c>
      <c r="U2302" s="1">
        <v>364</v>
      </c>
      <c r="V2302" s="5">
        <v>43173</v>
      </c>
      <c r="W2302" s="5">
        <v>42137</v>
      </c>
      <c r="X2302" s="1">
        <v>4985000</v>
      </c>
      <c r="Y2302" s="1">
        <v>4985000</v>
      </c>
      <c r="Z2302" s="5">
        <v>42502</v>
      </c>
      <c r="AA2302" s="1">
        <v>4047998.13</v>
      </c>
      <c r="AB2302" s="1" t="s">
        <v>1760</v>
      </c>
      <c r="AC2302" s="5">
        <v>43237</v>
      </c>
      <c r="AF2302" s="1">
        <v>10022</v>
      </c>
      <c r="AI2302" s="1" t="s">
        <v>84</v>
      </c>
      <c r="AJ2302" s="1">
        <v>2016</v>
      </c>
      <c r="AK2302" s="1" t="s">
        <v>73</v>
      </c>
      <c r="AL2302" s="1">
        <v>95</v>
      </c>
    </row>
    <row r="2303" spans="1:38" x14ac:dyDescent="0.2">
      <c r="A2303" s="2" t="str">
        <f>HYPERLINK("https://www.compass.com/listing/101-wall-street-unit-15a-manhattan-ny-10005/369507339186349665/","101 Wall St, Unit 15A")</f>
        <v>101 Wall St, Unit 15A</v>
      </c>
      <c r="B2303" s="2" t="str">
        <f>HYPERLINK("https://www.compass.com/building/101-wall-st-manhattan-ny-10005/292788767809355381/","101 Wall St")</f>
        <v>101 Wall St</v>
      </c>
      <c r="C2303" s="1" t="s">
        <v>117</v>
      </c>
      <c r="D2303" s="1" t="s">
        <v>41</v>
      </c>
      <c r="E2303" s="3">
        <v>970000</v>
      </c>
      <c r="F2303" s="1">
        <v>1379.8008534850601</v>
      </c>
      <c r="G2303" s="1">
        <v>3</v>
      </c>
      <c r="H2303" s="1">
        <v>1</v>
      </c>
      <c r="I2303" s="1">
        <v>1</v>
      </c>
      <c r="J2303" s="1">
        <v>1</v>
      </c>
      <c r="K2303" s="1">
        <v>1</v>
      </c>
      <c r="M2303" s="1">
        <v>703</v>
      </c>
      <c r="N2303" s="1">
        <v>905</v>
      </c>
      <c r="O2303" s="1">
        <v>2116</v>
      </c>
      <c r="P2303" s="1">
        <v>1211</v>
      </c>
      <c r="Q2303" s="1" t="s">
        <v>42</v>
      </c>
      <c r="S2303" s="1" t="s">
        <v>42</v>
      </c>
      <c r="T2303" s="1" t="s">
        <v>170</v>
      </c>
      <c r="U2303" s="1">
        <v>68</v>
      </c>
      <c r="V2303" s="5">
        <v>43906</v>
      </c>
      <c r="W2303" s="5">
        <v>43762</v>
      </c>
      <c r="X2303" s="1">
        <v>995000</v>
      </c>
      <c r="Y2303" s="1">
        <v>995000</v>
      </c>
      <c r="Z2303" s="5">
        <v>43830</v>
      </c>
      <c r="AA2303" s="1">
        <v>970000</v>
      </c>
      <c r="AB2303" s="1" t="s">
        <v>1761</v>
      </c>
      <c r="AC2303" s="5">
        <v>43894</v>
      </c>
      <c r="AF2303" s="1">
        <v>10005</v>
      </c>
      <c r="AI2303" s="1" t="s">
        <v>45</v>
      </c>
      <c r="AJ2303" s="1">
        <v>2016</v>
      </c>
      <c r="AK2303" s="1" t="s">
        <v>49</v>
      </c>
      <c r="AL2303" s="1">
        <v>51</v>
      </c>
    </row>
    <row r="2304" spans="1:38" x14ac:dyDescent="0.2">
      <c r="A2304" s="2" t="str">
        <f>HYPERLINK("https://www.compass.com/listing/252-east-57th-street-unit-42b-manhattan-ny-10022/29405820596814033/","252 E 57th St, Unit 42B")</f>
        <v>252 E 57th St, Unit 42B</v>
      </c>
      <c r="B2304" s="2" t="str">
        <f>HYPERLINK("https://www.compass.com/building/252-e-57th-st-manhattan-ny-10022/281924023602945813/","252 E 57th St")</f>
        <v>252 E 57th St</v>
      </c>
      <c r="C2304" s="1" t="s">
        <v>64</v>
      </c>
      <c r="D2304" s="1" t="s">
        <v>41</v>
      </c>
      <c r="E2304" s="3">
        <v>4274559</v>
      </c>
      <c r="F2304" s="1">
        <v>2442.60514285714</v>
      </c>
      <c r="G2304" s="1">
        <v>4</v>
      </c>
      <c r="H2304" s="1">
        <v>2</v>
      </c>
      <c r="I2304" s="1">
        <v>3</v>
      </c>
      <c r="J2304" s="1">
        <v>2.5</v>
      </c>
      <c r="M2304" s="4">
        <v>1750</v>
      </c>
      <c r="N2304" s="1">
        <v>3115</v>
      </c>
      <c r="O2304" s="1">
        <v>4529</v>
      </c>
      <c r="P2304" s="1">
        <v>1414</v>
      </c>
      <c r="Q2304" s="1" t="s">
        <v>42</v>
      </c>
      <c r="S2304" s="1" t="s">
        <v>42</v>
      </c>
      <c r="T2304" s="1" t="s">
        <v>170</v>
      </c>
      <c r="U2304" s="1">
        <v>191</v>
      </c>
      <c r="V2304" s="5">
        <v>43638</v>
      </c>
      <c r="W2304" s="5">
        <v>41893</v>
      </c>
      <c r="X2304" s="1">
        <v>4195000</v>
      </c>
      <c r="Y2304" s="1">
        <v>4195000</v>
      </c>
      <c r="Z2304" s="5">
        <v>42084</v>
      </c>
      <c r="AA2304" s="1">
        <v>4274559</v>
      </c>
      <c r="AB2304" s="1" t="s">
        <v>1702</v>
      </c>
      <c r="AC2304" s="5">
        <v>42852</v>
      </c>
      <c r="AF2304" s="1">
        <v>10022</v>
      </c>
      <c r="AI2304" s="1" t="s">
        <v>84</v>
      </c>
      <c r="AJ2304" s="1">
        <v>2016</v>
      </c>
      <c r="AK2304" s="1" t="s">
        <v>46</v>
      </c>
      <c r="AL2304" s="1">
        <v>95</v>
      </c>
    </row>
    <row r="2305" spans="1:38" x14ac:dyDescent="0.2">
      <c r="A2305" s="2" t="str">
        <f>HYPERLINK("https://www.compass.com/listing/101-wall-street-unit-6a-manhattan-ny-10005/29356240425550609/","101 Wall St, Unit 6A")</f>
        <v>101 Wall St, Unit 6A</v>
      </c>
      <c r="B2305" s="2" t="str">
        <f t="shared" ref="B2305:B2312" si="332">HYPERLINK("https://www.compass.com/building/101-wall-st-manhattan-ny-10005/292788767809355381/","101 Wall St")</f>
        <v>101 Wall St</v>
      </c>
      <c r="C2305" s="1" t="s">
        <v>117</v>
      </c>
      <c r="D2305" s="1" t="s">
        <v>41</v>
      </c>
      <c r="E2305" s="3">
        <v>1216809</v>
      </c>
      <c r="F2305" s="1">
        <v>1723.5254957507</v>
      </c>
      <c r="G2305" s="1">
        <v>3</v>
      </c>
      <c r="H2305" s="1">
        <v>1</v>
      </c>
      <c r="I2305" s="1">
        <v>1</v>
      </c>
      <c r="J2305" s="1">
        <v>1</v>
      </c>
      <c r="K2305" s="1">
        <v>1</v>
      </c>
      <c r="M2305" s="1">
        <v>706</v>
      </c>
      <c r="N2305" s="1">
        <v>909</v>
      </c>
      <c r="O2305" s="1">
        <v>1747</v>
      </c>
      <c r="P2305" s="1">
        <v>838</v>
      </c>
      <c r="Q2305" s="1" t="s">
        <v>42</v>
      </c>
      <c r="S2305" s="1" t="s">
        <v>42</v>
      </c>
      <c r="T2305" s="1" t="s">
        <v>170</v>
      </c>
      <c r="V2305" s="5">
        <v>43662</v>
      </c>
      <c r="W2305" s="5">
        <v>42319</v>
      </c>
      <c r="X2305" s="1">
        <v>1195000</v>
      </c>
      <c r="Y2305" s="1">
        <v>1195000</v>
      </c>
      <c r="Z2305" s="5">
        <v>42319</v>
      </c>
      <c r="AA2305" s="1">
        <v>1216809</v>
      </c>
      <c r="AB2305" s="1" t="s">
        <v>1762</v>
      </c>
      <c r="AC2305" s="5">
        <v>42858</v>
      </c>
      <c r="AF2305" s="1">
        <v>10005</v>
      </c>
      <c r="AI2305" s="1" t="s">
        <v>45</v>
      </c>
      <c r="AJ2305" s="1">
        <v>2016</v>
      </c>
      <c r="AK2305" s="1" t="s">
        <v>77</v>
      </c>
      <c r="AL2305" s="1">
        <v>51</v>
      </c>
    </row>
    <row r="2306" spans="1:38" x14ac:dyDescent="0.2">
      <c r="A2306" s="2" t="str">
        <f>HYPERLINK("https://www.compass.com/listing/101-wall-street-unit-9a-manhattan-ny-10005/29356242891767249/","101 Wall St, Unit 9A")</f>
        <v>101 Wall St, Unit 9A</v>
      </c>
      <c r="B2306" s="2" t="str">
        <f t="shared" si="332"/>
        <v>101 Wall St</v>
      </c>
      <c r="C2306" s="1" t="s">
        <v>117</v>
      </c>
      <c r="D2306" s="1" t="s">
        <v>41</v>
      </c>
      <c r="E2306" s="3">
        <v>1140000</v>
      </c>
      <c r="F2306" s="1">
        <v>1614.7308781869599</v>
      </c>
      <c r="G2306" s="1">
        <v>3</v>
      </c>
      <c r="H2306" s="1">
        <v>1</v>
      </c>
      <c r="I2306" s="1">
        <v>1</v>
      </c>
      <c r="J2306" s="1">
        <v>1</v>
      </c>
      <c r="K2306" s="1">
        <v>1</v>
      </c>
      <c r="M2306" s="1">
        <v>706</v>
      </c>
      <c r="N2306" s="1">
        <v>913</v>
      </c>
      <c r="O2306" s="1">
        <v>1754</v>
      </c>
      <c r="P2306" s="1">
        <v>841</v>
      </c>
      <c r="Q2306" s="1" t="s">
        <v>42</v>
      </c>
      <c r="S2306" s="1" t="s">
        <v>42</v>
      </c>
      <c r="T2306" s="1" t="s">
        <v>170</v>
      </c>
      <c r="U2306" s="1">
        <v>30</v>
      </c>
      <c r="V2306" s="5">
        <v>43649</v>
      </c>
      <c r="W2306" s="5">
        <v>42178</v>
      </c>
      <c r="X2306" s="1">
        <v>1140000</v>
      </c>
      <c r="Y2306" s="1">
        <v>1240000</v>
      </c>
      <c r="Z2306" s="5">
        <v>42208</v>
      </c>
      <c r="AA2306" s="1">
        <v>1140000</v>
      </c>
      <c r="AB2306" s="1" t="s">
        <v>1763</v>
      </c>
      <c r="AC2306" s="5">
        <v>43097</v>
      </c>
      <c r="AF2306" s="1">
        <v>10005</v>
      </c>
      <c r="AI2306" s="1" t="s">
        <v>45</v>
      </c>
      <c r="AJ2306" s="1">
        <v>2016</v>
      </c>
      <c r="AK2306" s="1" t="s">
        <v>77</v>
      </c>
      <c r="AL2306" s="1">
        <v>51</v>
      </c>
    </row>
    <row r="2307" spans="1:38" x14ac:dyDescent="0.2">
      <c r="A2307" s="2" t="str">
        <f>HYPERLINK("https://www.compass.com/listing/101-wall-street-unit-5a-manhattan-ny-10005/29356239351808769/","101 Wall St, Unit 5A")</f>
        <v>101 Wall St, Unit 5A</v>
      </c>
      <c r="B2307" s="2" t="str">
        <f t="shared" si="332"/>
        <v>101 Wall St</v>
      </c>
      <c r="C2307" s="1" t="s">
        <v>117</v>
      </c>
      <c r="D2307" s="1" t="s">
        <v>41</v>
      </c>
      <c r="E2307" s="3">
        <v>1155714</v>
      </c>
      <c r="F2307" s="1">
        <v>1636.9886685552401</v>
      </c>
      <c r="G2307" s="1">
        <v>3</v>
      </c>
      <c r="H2307" s="1">
        <v>1</v>
      </c>
      <c r="I2307" s="1">
        <v>1</v>
      </c>
      <c r="J2307" s="1">
        <v>1</v>
      </c>
      <c r="K2307" s="1">
        <v>1</v>
      </c>
      <c r="M2307" s="1">
        <v>706</v>
      </c>
      <c r="N2307" s="1">
        <v>909</v>
      </c>
      <c r="O2307" s="1">
        <v>1747</v>
      </c>
      <c r="P2307" s="1">
        <v>838</v>
      </c>
      <c r="Q2307" s="1" t="s">
        <v>42</v>
      </c>
      <c r="S2307" s="1" t="s">
        <v>42</v>
      </c>
      <c r="T2307" s="1" t="s">
        <v>170</v>
      </c>
      <c r="U2307" s="1">
        <v>285</v>
      </c>
      <c r="V2307" s="5">
        <v>43626</v>
      </c>
      <c r="W2307" s="5">
        <v>42426</v>
      </c>
      <c r="X2307" s="1">
        <v>1180000</v>
      </c>
      <c r="Y2307" s="1">
        <v>1135000</v>
      </c>
      <c r="Z2307" s="5">
        <v>42711</v>
      </c>
      <c r="AA2307" s="1">
        <v>1155714</v>
      </c>
      <c r="AB2307" s="1" t="s">
        <v>1764</v>
      </c>
      <c r="AC2307" s="5">
        <v>42873</v>
      </c>
      <c r="AF2307" s="1">
        <v>10005</v>
      </c>
      <c r="AI2307" s="1" t="s">
        <v>45</v>
      </c>
      <c r="AJ2307" s="1">
        <v>2016</v>
      </c>
      <c r="AK2307" s="1" t="s">
        <v>77</v>
      </c>
      <c r="AL2307" s="1">
        <v>51</v>
      </c>
    </row>
    <row r="2308" spans="1:38" x14ac:dyDescent="0.2">
      <c r="A2308" s="2" t="str">
        <f>HYPERLINK("https://www.compass.com/listing/101-wall-street-unit-10a-manhattan-ny-10005/29356243579665313/","101 Wall St, Unit 10A")</f>
        <v>101 Wall St, Unit 10A</v>
      </c>
      <c r="B2308" s="2" t="str">
        <f t="shared" si="332"/>
        <v>101 Wall St</v>
      </c>
      <c r="C2308" s="1" t="s">
        <v>117</v>
      </c>
      <c r="D2308" s="1" t="s">
        <v>41</v>
      </c>
      <c r="E2308" s="3">
        <v>1186115</v>
      </c>
      <c r="F2308" s="1">
        <v>1687.21906116642</v>
      </c>
      <c r="G2308" s="1">
        <v>3</v>
      </c>
      <c r="H2308" s="1">
        <v>1</v>
      </c>
      <c r="I2308" s="1">
        <v>1</v>
      </c>
      <c r="J2308" s="1">
        <v>1</v>
      </c>
      <c r="K2308" s="1">
        <v>1</v>
      </c>
      <c r="M2308" s="1">
        <v>703</v>
      </c>
      <c r="N2308" s="1">
        <v>909</v>
      </c>
      <c r="O2308" s="1">
        <v>1960</v>
      </c>
      <c r="P2308" s="1">
        <v>1051</v>
      </c>
      <c r="Q2308" s="1" t="s">
        <v>42</v>
      </c>
      <c r="S2308" s="1" t="s">
        <v>42</v>
      </c>
      <c r="T2308" s="1" t="s">
        <v>170</v>
      </c>
      <c r="U2308" s="1">
        <v>491</v>
      </c>
      <c r="V2308" s="5">
        <v>43238</v>
      </c>
      <c r="W2308" s="5">
        <v>42285</v>
      </c>
      <c r="X2308" s="1">
        <v>1200000</v>
      </c>
      <c r="Y2308" s="1">
        <v>1200000</v>
      </c>
      <c r="Z2308" s="5">
        <v>42777</v>
      </c>
      <c r="AA2308" s="1">
        <v>1186115</v>
      </c>
      <c r="AB2308" s="1" t="s">
        <v>1765</v>
      </c>
      <c r="AC2308" s="5">
        <v>43144</v>
      </c>
      <c r="AF2308" s="1">
        <v>10005</v>
      </c>
      <c r="AI2308" s="1" t="s">
        <v>45</v>
      </c>
      <c r="AJ2308" s="1">
        <v>2016</v>
      </c>
      <c r="AK2308" s="1" t="s">
        <v>77</v>
      </c>
      <c r="AL2308" s="1">
        <v>51</v>
      </c>
    </row>
    <row r="2309" spans="1:38" x14ac:dyDescent="0.2">
      <c r="A2309" s="2" t="str">
        <f>HYPERLINK("https://www.compass.com/listing/101-wall-street-unit-16a-manhattan-ny-10005/29356246289187697/","101 Wall St, Unit 16A")</f>
        <v>101 Wall St, Unit 16A</v>
      </c>
      <c r="B2309" s="2" t="str">
        <f t="shared" si="332"/>
        <v>101 Wall St</v>
      </c>
      <c r="C2309" s="1" t="s">
        <v>117</v>
      </c>
      <c r="D2309" s="1" t="s">
        <v>41</v>
      </c>
      <c r="E2309" s="3">
        <v>1200000</v>
      </c>
      <c r="F2309" s="1">
        <v>1706.97012802275</v>
      </c>
      <c r="G2309" s="1">
        <v>3</v>
      </c>
      <c r="H2309" s="1">
        <v>1</v>
      </c>
      <c r="I2309" s="1">
        <v>1</v>
      </c>
      <c r="J2309" s="1">
        <v>1</v>
      </c>
      <c r="K2309" s="1">
        <v>1</v>
      </c>
      <c r="M2309" s="1">
        <v>703</v>
      </c>
      <c r="N2309" s="1">
        <v>905</v>
      </c>
      <c r="O2309" s="1">
        <v>1740</v>
      </c>
      <c r="P2309" s="1">
        <v>835</v>
      </c>
      <c r="Q2309" s="1" t="s">
        <v>42</v>
      </c>
      <c r="S2309" s="1" t="s">
        <v>42</v>
      </c>
      <c r="T2309" s="1" t="s">
        <v>170</v>
      </c>
      <c r="V2309" s="5">
        <v>43626</v>
      </c>
      <c r="W2309" s="5">
        <v>42272</v>
      </c>
      <c r="X2309" s="1">
        <v>1250000</v>
      </c>
      <c r="Y2309" s="1">
        <v>1330000</v>
      </c>
      <c r="Z2309" s="5">
        <v>42272</v>
      </c>
      <c r="AA2309" s="1">
        <v>1200000</v>
      </c>
      <c r="AB2309" s="1" t="s">
        <v>1766</v>
      </c>
      <c r="AC2309" s="5">
        <v>42894</v>
      </c>
      <c r="AF2309" s="1">
        <v>10005</v>
      </c>
      <c r="AI2309" s="1" t="s">
        <v>45</v>
      </c>
      <c r="AJ2309" s="1">
        <v>2016</v>
      </c>
      <c r="AK2309" s="1" t="s">
        <v>77</v>
      </c>
      <c r="AL2309" s="1">
        <v>51</v>
      </c>
    </row>
    <row r="2310" spans="1:38" x14ac:dyDescent="0.2">
      <c r="A2310" s="2" t="str">
        <f>HYPERLINK("https://www.compass.com/listing/101-wall-street-unit-4a-manhattan-ny-10005/50873411248925985/","101 Wall St, Unit 4A")</f>
        <v>101 Wall St, Unit 4A</v>
      </c>
      <c r="B2310" s="2" t="str">
        <f t="shared" si="332"/>
        <v>101 Wall St</v>
      </c>
      <c r="C2310" s="1" t="s">
        <v>117</v>
      </c>
      <c r="D2310" s="1" t="s">
        <v>41</v>
      </c>
      <c r="E2310" s="3">
        <v>977520</v>
      </c>
      <c r="F2310" s="1">
        <v>1384.5892351274699</v>
      </c>
      <c r="G2310" s="1">
        <v>3</v>
      </c>
      <c r="H2310" s="1">
        <v>1</v>
      </c>
      <c r="I2310" s="1">
        <v>1</v>
      </c>
      <c r="J2310" s="1">
        <v>1</v>
      </c>
      <c r="K2310" s="1">
        <v>1</v>
      </c>
      <c r="M2310" s="1">
        <v>706</v>
      </c>
      <c r="N2310" s="1">
        <v>884</v>
      </c>
      <c r="O2310" s="1">
        <v>1906</v>
      </c>
      <c r="P2310" s="1">
        <v>1022</v>
      </c>
      <c r="Q2310" s="1" t="s">
        <v>42</v>
      </c>
      <c r="S2310" s="1" t="s">
        <v>42</v>
      </c>
      <c r="T2310" s="1" t="s">
        <v>170</v>
      </c>
      <c r="V2310" s="5">
        <v>43626</v>
      </c>
      <c r="W2310" s="5">
        <v>42208</v>
      </c>
      <c r="X2310" s="1">
        <v>960000</v>
      </c>
      <c r="Y2310" s="1">
        <v>960000</v>
      </c>
      <c r="Z2310" s="5">
        <v>42208</v>
      </c>
      <c r="AA2310" s="1">
        <v>977520</v>
      </c>
      <c r="AB2310" s="1" t="s">
        <v>1767</v>
      </c>
      <c r="AC2310" s="5">
        <v>43068</v>
      </c>
      <c r="AF2310" s="1">
        <v>10005</v>
      </c>
      <c r="AI2310" s="1" t="s">
        <v>45</v>
      </c>
      <c r="AJ2310" s="1">
        <v>2016</v>
      </c>
      <c r="AK2310" s="1" t="s">
        <v>77</v>
      </c>
      <c r="AL2310" s="1">
        <v>51</v>
      </c>
    </row>
    <row r="2311" spans="1:38" x14ac:dyDescent="0.2">
      <c r="A2311" s="2" t="str">
        <f>HYPERLINK("https://www.compass.com/listing/101-wall-street-unit-5b-manhattan-ny-10005/29356239653796689/","101 Wall St, Unit 5B")</f>
        <v>101 Wall St, Unit 5B</v>
      </c>
      <c r="B2311" s="2" t="str">
        <f t="shared" si="332"/>
        <v>101 Wall St</v>
      </c>
      <c r="C2311" s="1" t="s">
        <v>117</v>
      </c>
      <c r="D2311" s="1" t="s">
        <v>41</v>
      </c>
      <c r="E2311" s="3">
        <v>2372500</v>
      </c>
      <c r="F2311" s="1">
        <v>1569.11375661375</v>
      </c>
      <c r="G2311" s="1">
        <v>4</v>
      </c>
      <c r="H2311" s="1">
        <v>2</v>
      </c>
      <c r="I2311" s="1">
        <v>2</v>
      </c>
      <c r="J2311" s="1">
        <v>2.5</v>
      </c>
      <c r="K2311" s="1">
        <v>2</v>
      </c>
      <c r="L2311" s="1">
        <v>1</v>
      </c>
      <c r="M2311" s="4">
        <v>1512</v>
      </c>
      <c r="N2311" s="1">
        <v>1928</v>
      </c>
      <c r="O2311" s="1">
        <v>4157</v>
      </c>
      <c r="P2311" s="1">
        <v>2229</v>
      </c>
      <c r="Q2311" s="1" t="s">
        <v>42</v>
      </c>
      <c r="S2311" s="1" t="s">
        <v>42</v>
      </c>
      <c r="T2311" s="1" t="s">
        <v>170</v>
      </c>
      <c r="U2311" s="1">
        <v>89</v>
      </c>
      <c r="V2311" s="5">
        <v>43626</v>
      </c>
      <c r="W2311" s="5">
        <v>42853</v>
      </c>
      <c r="X2311" s="1">
        <v>2525000</v>
      </c>
      <c r="Y2311" s="1">
        <v>2425000</v>
      </c>
      <c r="Z2311" s="5">
        <v>42942</v>
      </c>
      <c r="AA2311" s="1">
        <v>2372500</v>
      </c>
      <c r="AB2311" s="1" t="s">
        <v>1768</v>
      </c>
      <c r="AC2311" s="5">
        <v>43006</v>
      </c>
      <c r="AF2311" s="1">
        <v>10005</v>
      </c>
      <c r="AI2311" s="1" t="s">
        <v>45</v>
      </c>
      <c r="AJ2311" s="1">
        <v>2016</v>
      </c>
      <c r="AK2311" s="1" t="s">
        <v>77</v>
      </c>
      <c r="AL2311" s="1">
        <v>51</v>
      </c>
    </row>
    <row r="2312" spans="1:38" x14ac:dyDescent="0.2">
      <c r="A2312" s="2" t="str">
        <f>HYPERLINK("https://www.compass.com/listing/101-wall-street-unit-8b-manhattan-ny-10005/50950885764777473/","101 Wall St, Unit 8B")</f>
        <v>101 Wall St, Unit 8B</v>
      </c>
      <c r="B2312" s="2" t="str">
        <f t="shared" si="332"/>
        <v>101 Wall St</v>
      </c>
      <c r="C2312" s="1" t="s">
        <v>117</v>
      </c>
      <c r="D2312" s="1" t="s">
        <v>41</v>
      </c>
      <c r="E2312" s="3">
        <v>2571081</v>
      </c>
      <c r="F2312" s="1">
        <v>1700.45039682539</v>
      </c>
      <c r="G2312" s="1">
        <v>4.5</v>
      </c>
      <c r="H2312" s="1">
        <v>2</v>
      </c>
      <c r="I2312" s="1">
        <v>2</v>
      </c>
      <c r="J2312" s="1">
        <v>2.5</v>
      </c>
      <c r="K2312" s="1">
        <v>2</v>
      </c>
      <c r="L2312" s="1">
        <v>1</v>
      </c>
      <c r="M2312" s="4">
        <v>1512</v>
      </c>
      <c r="N2312" s="1">
        <v>1928</v>
      </c>
      <c r="O2312" s="1">
        <v>4157</v>
      </c>
      <c r="P2312" s="1">
        <v>2229</v>
      </c>
      <c r="Q2312" s="1" t="s">
        <v>42</v>
      </c>
      <c r="S2312" s="1" t="s">
        <v>42</v>
      </c>
      <c r="T2312" s="1" t="s">
        <v>170</v>
      </c>
      <c r="U2312" s="1">
        <v>33</v>
      </c>
      <c r="V2312" s="5">
        <v>43649</v>
      </c>
      <c r="W2312" s="5">
        <v>42973</v>
      </c>
      <c r="X2312" s="1">
        <v>2625000</v>
      </c>
      <c r="Y2312" s="1">
        <v>2625000</v>
      </c>
      <c r="Z2312" s="5">
        <v>43006</v>
      </c>
      <c r="AA2312" s="1">
        <v>2571081</v>
      </c>
      <c r="AB2312" s="1" t="s">
        <v>1769</v>
      </c>
      <c r="AC2312" s="5">
        <v>43055</v>
      </c>
      <c r="AF2312" s="1">
        <v>10005</v>
      </c>
      <c r="AI2312" s="1" t="s">
        <v>45</v>
      </c>
      <c r="AJ2312" s="1">
        <v>2016</v>
      </c>
      <c r="AK2312" s="1" t="s">
        <v>77</v>
      </c>
      <c r="AL2312" s="1">
        <v>51</v>
      </c>
    </row>
    <row r="2313" spans="1:38" x14ac:dyDescent="0.2">
      <c r="A2313" s="2" t="str">
        <f>HYPERLINK("https://www.compass.com/listing/252-east-57th-street-unit-51a-manhattan-ny-10022/29405834622566465/","252 E 57th St, Unit 51A")</f>
        <v>252 E 57th St, Unit 51A</v>
      </c>
      <c r="B2313" s="2" t="str">
        <f t="shared" ref="B2313:B2321" si="333">HYPERLINK("https://www.compass.com/building/252-e-57th-st-manhattan-ny-10022/281924023602945813/","252 E 57th St")</f>
        <v>252 E 57th St</v>
      </c>
      <c r="C2313" s="1" t="s">
        <v>64</v>
      </c>
      <c r="D2313" s="1" t="s">
        <v>41</v>
      </c>
      <c r="E2313" s="3">
        <v>6132865</v>
      </c>
      <c r="F2313" s="1">
        <v>2335.4398324447802</v>
      </c>
      <c r="G2313" s="1">
        <v>5</v>
      </c>
      <c r="H2313" s="1">
        <v>3</v>
      </c>
      <c r="I2313" s="1">
        <v>4</v>
      </c>
      <c r="J2313" s="1">
        <v>3.5</v>
      </c>
      <c r="M2313" s="4">
        <v>2626</v>
      </c>
      <c r="N2313" s="1">
        <v>4732</v>
      </c>
      <c r="O2313" s="1">
        <v>6880</v>
      </c>
      <c r="P2313" s="1">
        <v>2148</v>
      </c>
      <c r="Q2313" s="1" t="s">
        <v>42</v>
      </c>
      <c r="S2313" s="1" t="s">
        <v>42</v>
      </c>
      <c r="T2313" s="1" t="s">
        <v>170</v>
      </c>
      <c r="U2313" s="1">
        <v>671</v>
      </c>
      <c r="V2313" s="5">
        <v>43664</v>
      </c>
      <c r="W2313" s="5">
        <v>41893</v>
      </c>
      <c r="X2313" s="1">
        <v>8350000</v>
      </c>
      <c r="Y2313" s="1">
        <v>6725000</v>
      </c>
      <c r="Z2313" s="5">
        <v>42564</v>
      </c>
      <c r="AA2313" s="1">
        <v>6132865</v>
      </c>
      <c r="AB2313" s="1" t="s">
        <v>1746</v>
      </c>
      <c r="AC2313" s="5">
        <v>42879</v>
      </c>
      <c r="AF2313" s="1">
        <v>10022</v>
      </c>
      <c r="AI2313" s="1" t="s">
        <v>65</v>
      </c>
      <c r="AJ2313" s="1">
        <v>2016</v>
      </c>
      <c r="AK2313" s="1" t="s">
        <v>73</v>
      </c>
      <c r="AL2313" s="1">
        <v>95</v>
      </c>
    </row>
    <row r="2314" spans="1:38" x14ac:dyDescent="0.2">
      <c r="A2314" s="2" t="str">
        <f>HYPERLINK("https://www.compass.com/listing/252-east-57th-street-unit-45b-manhattan-ny-10022/212939812951304193/","252 E 57th St, Unit 45B")</f>
        <v>252 E 57th St, Unit 45B</v>
      </c>
      <c r="B2314" s="2" t="str">
        <f t="shared" si="333"/>
        <v>252 E 57th St</v>
      </c>
      <c r="C2314" s="1" t="s">
        <v>64</v>
      </c>
      <c r="D2314" s="1" t="s">
        <v>41</v>
      </c>
      <c r="E2314" s="3">
        <v>4530000</v>
      </c>
      <c r="F2314" s="1">
        <v>2594.50171821305</v>
      </c>
      <c r="G2314" s="1">
        <v>4</v>
      </c>
      <c r="H2314" s="1">
        <v>2</v>
      </c>
      <c r="I2314" s="1">
        <v>3</v>
      </c>
      <c r="J2314" s="1">
        <v>2.5</v>
      </c>
      <c r="M2314" s="4">
        <v>1746</v>
      </c>
      <c r="N2314" s="1">
        <v>3113</v>
      </c>
      <c r="O2314" s="1">
        <v>4526</v>
      </c>
      <c r="P2314" s="1">
        <v>1413</v>
      </c>
      <c r="Q2314" s="1" t="s">
        <v>42</v>
      </c>
      <c r="S2314" s="1" t="s">
        <v>42</v>
      </c>
      <c r="T2314" s="1" t="s">
        <v>170</v>
      </c>
      <c r="U2314" s="1">
        <v>123</v>
      </c>
      <c r="V2314" s="5">
        <v>43689</v>
      </c>
      <c r="W2314" s="5">
        <v>42203</v>
      </c>
      <c r="X2314" s="1">
        <v>4530000</v>
      </c>
      <c r="Y2314" s="1">
        <v>4530000</v>
      </c>
      <c r="Z2314" s="5">
        <v>42326</v>
      </c>
      <c r="AA2314" s="1">
        <v>4530000</v>
      </c>
      <c r="AB2314" s="1" t="s">
        <v>181</v>
      </c>
      <c r="AC2314" s="5">
        <v>42847</v>
      </c>
      <c r="AF2314" s="1">
        <v>10022</v>
      </c>
      <c r="AI2314" s="1" t="s">
        <v>84</v>
      </c>
      <c r="AJ2314" s="1">
        <v>2016</v>
      </c>
      <c r="AK2314" s="1" t="s">
        <v>73</v>
      </c>
      <c r="AL2314" s="1">
        <v>95</v>
      </c>
    </row>
    <row r="2315" spans="1:38" x14ac:dyDescent="0.2">
      <c r="A2315" s="2" t="str">
        <f>HYPERLINK("https://www.compass.com/listing/252-east-57th-street-unit-43b-manhattan-ny-10022/29405821460840241/","252 E 57th St, Unit 43B")</f>
        <v>252 E 57th St, Unit 43B</v>
      </c>
      <c r="B2315" s="2" t="str">
        <f t="shared" si="333"/>
        <v>252 E 57th St</v>
      </c>
      <c r="C2315" s="1" t="s">
        <v>64</v>
      </c>
      <c r="D2315" s="1" t="s">
        <v>41</v>
      </c>
      <c r="E2315" s="3">
        <v>4320380</v>
      </c>
      <c r="F2315" s="1">
        <v>2470.2001143510502</v>
      </c>
      <c r="G2315" s="1">
        <v>4</v>
      </c>
      <c r="H2315" s="1">
        <v>2</v>
      </c>
      <c r="I2315" s="1">
        <v>3</v>
      </c>
      <c r="J2315" s="1">
        <v>2.5</v>
      </c>
      <c r="M2315" s="4">
        <v>1749</v>
      </c>
      <c r="N2315" s="1">
        <v>3115</v>
      </c>
      <c r="O2315" s="1">
        <v>4529</v>
      </c>
      <c r="P2315" s="1">
        <v>1414</v>
      </c>
      <c r="Q2315" s="1" t="s">
        <v>42</v>
      </c>
      <c r="S2315" s="1" t="s">
        <v>42</v>
      </c>
      <c r="T2315" s="1" t="s">
        <v>170</v>
      </c>
      <c r="U2315" s="1">
        <v>9</v>
      </c>
      <c r="V2315" s="5">
        <v>43664</v>
      </c>
      <c r="W2315" s="5">
        <v>42256</v>
      </c>
      <c r="X2315" s="1">
        <v>4440000</v>
      </c>
      <c r="Y2315" s="1">
        <v>4440000</v>
      </c>
      <c r="Z2315" s="5">
        <v>42265</v>
      </c>
      <c r="AA2315" s="1">
        <v>4320380</v>
      </c>
      <c r="AB2315" s="1" t="s">
        <v>1706</v>
      </c>
      <c r="AC2315" s="5">
        <v>42829</v>
      </c>
      <c r="AF2315" s="1">
        <v>10022</v>
      </c>
      <c r="AI2315" s="1" t="s">
        <v>84</v>
      </c>
      <c r="AJ2315" s="1">
        <v>2016</v>
      </c>
      <c r="AK2315" s="1" t="s">
        <v>73</v>
      </c>
      <c r="AL2315" s="1">
        <v>95</v>
      </c>
    </row>
    <row r="2316" spans="1:38" x14ac:dyDescent="0.2">
      <c r="A2316" s="2" t="str">
        <f>HYPERLINK("https://www.compass.com/listing/252-east-57th-street-unit-45d-manhattan-ny-10022/29405825789362065/","252 E 57th St, Unit 45D")</f>
        <v>252 E 57th St, Unit 45D</v>
      </c>
      <c r="B2316" s="2" t="str">
        <f t="shared" si="333"/>
        <v>252 E 57th St</v>
      </c>
      <c r="C2316" s="1" t="s">
        <v>64</v>
      </c>
      <c r="D2316" s="1" t="s">
        <v>41</v>
      </c>
      <c r="E2316" s="3">
        <v>3790890</v>
      </c>
      <c r="F2316" s="1">
        <v>2181.1795166858401</v>
      </c>
      <c r="G2316" s="1">
        <v>4</v>
      </c>
      <c r="H2316" s="1">
        <v>2</v>
      </c>
      <c r="I2316" s="1">
        <v>3</v>
      </c>
      <c r="J2316" s="1">
        <v>2.5</v>
      </c>
      <c r="M2316" s="4">
        <v>1738</v>
      </c>
      <c r="N2316" s="1">
        <v>3096</v>
      </c>
      <c r="O2316" s="1">
        <v>4502</v>
      </c>
      <c r="P2316" s="1">
        <v>1406</v>
      </c>
      <c r="Q2316" s="1" t="s">
        <v>42</v>
      </c>
      <c r="S2316" s="1" t="s">
        <v>42</v>
      </c>
      <c r="T2316" s="1" t="s">
        <v>170</v>
      </c>
      <c r="U2316" s="1">
        <v>266</v>
      </c>
      <c r="V2316" s="5">
        <v>43650</v>
      </c>
      <c r="W2316" s="5">
        <v>42675</v>
      </c>
      <c r="X2316" s="1">
        <v>4065000</v>
      </c>
      <c r="Y2316" s="1">
        <v>3975000</v>
      </c>
      <c r="Z2316" s="5">
        <v>42941</v>
      </c>
      <c r="AA2316" s="1">
        <v>3790890</v>
      </c>
      <c r="AB2316" s="1" t="s">
        <v>1680</v>
      </c>
      <c r="AC2316" s="5">
        <v>42972</v>
      </c>
      <c r="AF2316" s="1">
        <v>10022</v>
      </c>
      <c r="AI2316" s="1" t="s">
        <v>85</v>
      </c>
      <c r="AJ2316" s="1">
        <v>2016</v>
      </c>
      <c r="AK2316" s="1" t="s">
        <v>46</v>
      </c>
      <c r="AL2316" s="1">
        <v>95</v>
      </c>
    </row>
    <row r="2317" spans="1:38" x14ac:dyDescent="0.2">
      <c r="A2317" s="2" t="str">
        <f>HYPERLINK("https://www.compass.com/listing/252-east-57th-street-unit-46d-manhattan-ny-10022/29405827198648225/","252 E 57th St, Unit 46D")</f>
        <v>252 E 57th St, Unit 46D</v>
      </c>
      <c r="B2317" s="2" t="str">
        <f t="shared" si="333"/>
        <v>252 E 57th St</v>
      </c>
      <c r="C2317" s="1" t="s">
        <v>64</v>
      </c>
      <c r="D2317" s="1" t="s">
        <v>41</v>
      </c>
      <c r="E2317" s="3">
        <v>4076000</v>
      </c>
      <c r="F2317" s="1">
        <v>2347.9262672811001</v>
      </c>
      <c r="G2317" s="1">
        <v>4</v>
      </c>
      <c r="H2317" s="1">
        <v>2</v>
      </c>
      <c r="I2317" s="1">
        <v>3</v>
      </c>
      <c r="J2317" s="1">
        <v>2.5</v>
      </c>
      <c r="K2317" s="1">
        <v>2</v>
      </c>
      <c r="L2317" s="1">
        <v>1</v>
      </c>
      <c r="M2317" s="4">
        <v>1736</v>
      </c>
      <c r="N2317" s="1">
        <v>3267</v>
      </c>
      <c r="O2317" s="1">
        <v>4958</v>
      </c>
      <c r="P2317" s="1">
        <v>1691</v>
      </c>
      <c r="Q2317" s="1" t="s">
        <v>42</v>
      </c>
      <c r="S2317" s="1" t="s">
        <v>42</v>
      </c>
      <c r="T2317" s="1" t="s">
        <v>170</v>
      </c>
      <c r="U2317" s="1">
        <v>7</v>
      </c>
      <c r="V2317" s="5">
        <v>43678</v>
      </c>
      <c r="W2317" s="5">
        <v>43215</v>
      </c>
      <c r="X2317" s="1">
        <v>4000000</v>
      </c>
      <c r="Y2317" s="1">
        <v>4000000</v>
      </c>
      <c r="Z2317" s="5">
        <v>43222</v>
      </c>
      <c r="AA2317" s="1">
        <v>4076000</v>
      </c>
      <c r="AB2317" s="1" t="s">
        <v>1770</v>
      </c>
      <c r="AC2317" s="5">
        <v>43249</v>
      </c>
      <c r="AF2317" s="1">
        <v>10022</v>
      </c>
      <c r="AI2317" s="1" t="s">
        <v>85</v>
      </c>
      <c r="AJ2317" s="1">
        <v>2016</v>
      </c>
      <c r="AK2317" s="1" t="s">
        <v>73</v>
      </c>
      <c r="AL2317" s="1">
        <v>95</v>
      </c>
    </row>
    <row r="2318" spans="1:38" x14ac:dyDescent="0.2">
      <c r="A2318" s="2" t="str">
        <f>HYPERLINK("https://www.compass.com/listing/252-east-57th-street-unit-47d-manhattan-ny-10022/29405829060919665/","252 E 57th St, Unit 47D")</f>
        <v>252 E 57th St, Unit 47D</v>
      </c>
      <c r="B2318" s="2" t="str">
        <f t="shared" si="333"/>
        <v>252 E 57th St</v>
      </c>
      <c r="C2318" s="1" t="s">
        <v>64</v>
      </c>
      <c r="D2318" s="1" t="s">
        <v>41</v>
      </c>
      <c r="E2318" s="3">
        <v>3818891</v>
      </c>
      <c r="F2318" s="1">
        <v>2201.0899135446598</v>
      </c>
      <c r="G2318" s="1">
        <v>4</v>
      </c>
      <c r="H2318" s="1">
        <v>2</v>
      </c>
      <c r="I2318" s="1">
        <v>3</v>
      </c>
      <c r="J2318" s="1">
        <v>2.5</v>
      </c>
      <c r="K2318" s="1">
        <v>2</v>
      </c>
      <c r="L2318" s="1">
        <v>1</v>
      </c>
      <c r="M2318" s="4">
        <v>1735</v>
      </c>
      <c r="N2318" s="1">
        <v>3267</v>
      </c>
      <c r="O2318" s="1">
        <v>4958</v>
      </c>
      <c r="P2318" s="1">
        <v>1691</v>
      </c>
      <c r="Q2318" s="1" t="s">
        <v>42</v>
      </c>
      <c r="S2318" s="1" t="s">
        <v>42</v>
      </c>
      <c r="T2318" s="1" t="s">
        <v>170</v>
      </c>
      <c r="U2318" s="1">
        <v>2</v>
      </c>
      <c r="V2318" s="5">
        <v>43678</v>
      </c>
      <c r="W2318" s="5">
        <v>43139</v>
      </c>
      <c r="X2318" s="1">
        <v>4025000</v>
      </c>
      <c r="Y2318" s="1">
        <v>4025000</v>
      </c>
      <c r="Z2318" s="5">
        <v>43141</v>
      </c>
      <c r="AA2318" s="1">
        <v>3818891</v>
      </c>
      <c r="AB2318" s="1" t="s">
        <v>1771</v>
      </c>
      <c r="AC2318" s="5">
        <v>43160</v>
      </c>
      <c r="AF2318" s="1">
        <v>10022</v>
      </c>
      <c r="AI2318" s="1" t="s">
        <v>110</v>
      </c>
      <c r="AJ2318" s="1">
        <v>2016</v>
      </c>
      <c r="AK2318" s="1" t="s">
        <v>73</v>
      </c>
      <c r="AL2318" s="1">
        <v>95</v>
      </c>
    </row>
    <row r="2319" spans="1:38" x14ac:dyDescent="0.2">
      <c r="A2319" s="2" t="str">
        <f>HYPERLINK("https://www.compass.com/listing/252-east-57th-street-unit-42d-manhattan-ny-10022/29514258253376993/","252 E 57th St, Unit 42D")</f>
        <v>252 E 57th St, Unit 42D</v>
      </c>
      <c r="B2319" s="2" t="str">
        <f t="shared" si="333"/>
        <v>252 E 57th St</v>
      </c>
      <c r="C2319" s="1" t="s">
        <v>64</v>
      </c>
      <c r="D2319" s="1" t="s">
        <v>41</v>
      </c>
      <c r="E2319" s="3">
        <v>3999631</v>
      </c>
      <c r="F2319" s="1">
        <v>2295.99942594718</v>
      </c>
      <c r="G2319" s="1">
        <v>4</v>
      </c>
      <c r="H2319" s="1">
        <v>2</v>
      </c>
      <c r="I2319" s="1">
        <v>3</v>
      </c>
      <c r="J2319" s="1">
        <v>2.5</v>
      </c>
      <c r="K2319" s="1">
        <v>2</v>
      </c>
      <c r="L2319" s="1">
        <v>1</v>
      </c>
      <c r="M2319" s="4">
        <v>1742</v>
      </c>
      <c r="N2319" s="1">
        <v>3272</v>
      </c>
      <c r="O2319" s="1">
        <v>4965</v>
      </c>
      <c r="P2319" s="1">
        <v>1693</v>
      </c>
      <c r="Q2319" s="1" t="s">
        <v>42</v>
      </c>
      <c r="S2319" s="1" t="s">
        <v>42</v>
      </c>
      <c r="T2319" s="1" t="s">
        <v>170</v>
      </c>
      <c r="U2319" s="1">
        <v>22</v>
      </c>
      <c r="V2319" s="5">
        <v>43678</v>
      </c>
      <c r="W2319" s="5">
        <v>43292</v>
      </c>
      <c r="X2319" s="1">
        <v>3925000</v>
      </c>
      <c r="Y2319" s="1">
        <v>3925000</v>
      </c>
      <c r="Z2319" s="5">
        <v>43314</v>
      </c>
      <c r="AA2319" s="1">
        <v>3999631</v>
      </c>
      <c r="AB2319" s="1" t="s">
        <v>1772</v>
      </c>
      <c r="AC2319" s="5">
        <v>43406</v>
      </c>
      <c r="AF2319" s="1">
        <v>10022</v>
      </c>
      <c r="AI2319" s="1" t="s">
        <v>85</v>
      </c>
      <c r="AJ2319" s="1">
        <v>2016</v>
      </c>
      <c r="AK2319" s="1" t="s">
        <v>73</v>
      </c>
      <c r="AL2319" s="1">
        <v>95</v>
      </c>
    </row>
    <row r="2320" spans="1:38" x14ac:dyDescent="0.2">
      <c r="A2320" s="2" t="str">
        <f>HYPERLINK("https://www.compass.com/listing/252-east-57th-street-unit-47d-manhattan-ny-10022/803328794328629441/","252 E 57th St, Unit 47D")</f>
        <v>252 E 57th St, Unit 47D</v>
      </c>
      <c r="B2320" s="2" t="str">
        <f t="shared" si="333"/>
        <v>252 E 57th St</v>
      </c>
      <c r="C2320" s="1" t="s">
        <v>64</v>
      </c>
      <c r="D2320" s="1" t="s">
        <v>41</v>
      </c>
      <c r="E2320" s="3">
        <v>3818892</v>
      </c>
      <c r="F2320" s="1">
        <v>2201.0904207492699</v>
      </c>
      <c r="G2320" s="1">
        <v>4</v>
      </c>
      <c r="H2320" s="1">
        <v>2</v>
      </c>
      <c r="I2320" s="1">
        <v>3</v>
      </c>
      <c r="J2320" s="1">
        <v>2.5</v>
      </c>
      <c r="M2320" s="4">
        <v>1735</v>
      </c>
      <c r="N2320" s="1">
        <v>3267</v>
      </c>
      <c r="O2320" s="1">
        <v>4958</v>
      </c>
      <c r="P2320" s="1">
        <v>1691</v>
      </c>
      <c r="Q2320" s="1" t="s">
        <v>42</v>
      </c>
      <c r="S2320" s="1" t="s">
        <v>42</v>
      </c>
      <c r="T2320" s="1" t="s">
        <v>170</v>
      </c>
      <c r="U2320" s="1">
        <v>2</v>
      </c>
      <c r="V2320" s="5">
        <v>43160</v>
      </c>
      <c r="W2320" s="5">
        <v>43138</v>
      </c>
      <c r="X2320" s="1">
        <v>4025000</v>
      </c>
      <c r="Y2320" s="1">
        <v>4025000</v>
      </c>
      <c r="Z2320" s="5">
        <v>43141</v>
      </c>
      <c r="AA2320" s="1">
        <v>3818891.88</v>
      </c>
      <c r="AB2320" s="1" t="s">
        <v>1771</v>
      </c>
      <c r="AC2320" s="5">
        <v>43159</v>
      </c>
      <c r="AF2320" s="1">
        <v>10022</v>
      </c>
      <c r="AI2320" s="1" t="s">
        <v>84</v>
      </c>
      <c r="AJ2320" s="1">
        <v>2016</v>
      </c>
      <c r="AK2320" s="1" t="s">
        <v>73</v>
      </c>
      <c r="AL2320" s="1">
        <v>95</v>
      </c>
    </row>
    <row r="2321" spans="1:38" x14ac:dyDescent="0.2">
      <c r="A2321" s="2" t="str">
        <f>HYPERLINK("https://www.compass.com/listing/252-east-57th-street-unit-46d-manhattan-ny-10022/803346310102998593/","252 E 57th St, Unit 46D")</f>
        <v>252 E 57th St, Unit 46D</v>
      </c>
      <c r="B2321" s="2" t="str">
        <f t="shared" si="333"/>
        <v>252 E 57th St</v>
      </c>
      <c r="C2321" s="1" t="s">
        <v>64</v>
      </c>
      <c r="D2321" s="1" t="s">
        <v>41</v>
      </c>
      <c r="E2321" s="3">
        <v>4076000</v>
      </c>
      <c r="F2321" s="1">
        <v>2347.9262672811001</v>
      </c>
      <c r="G2321" s="1">
        <v>4</v>
      </c>
      <c r="H2321" s="1">
        <v>2</v>
      </c>
      <c r="I2321" s="1">
        <v>3</v>
      </c>
      <c r="J2321" s="1">
        <v>2.5</v>
      </c>
      <c r="M2321" s="4">
        <v>1736</v>
      </c>
      <c r="N2321" s="1">
        <v>3094</v>
      </c>
      <c r="O2321" s="1">
        <v>4785</v>
      </c>
      <c r="P2321" s="1">
        <v>1691</v>
      </c>
      <c r="Q2321" s="1" t="s">
        <v>42</v>
      </c>
      <c r="S2321" s="1" t="s">
        <v>42</v>
      </c>
      <c r="T2321" s="1" t="s">
        <v>170</v>
      </c>
      <c r="U2321" s="1">
        <v>128</v>
      </c>
      <c r="V2321" s="5">
        <v>43173</v>
      </c>
      <c r="W2321" s="5">
        <v>42940</v>
      </c>
      <c r="X2321" s="1">
        <v>4000000</v>
      </c>
      <c r="Y2321" s="1">
        <v>4000000</v>
      </c>
      <c r="AA2321" s="1">
        <v>4076000</v>
      </c>
      <c r="AB2321" s="1" t="s">
        <v>1770</v>
      </c>
      <c r="AC2321" s="5">
        <v>43249</v>
      </c>
      <c r="AF2321" s="1">
        <v>10022</v>
      </c>
      <c r="AI2321" s="1" t="s">
        <v>84</v>
      </c>
      <c r="AJ2321" s="1">
        <v>2016</v>
      </c>
      <c r="AK2321" s="1" t="s">
        <v>73</v>
      </c>
      <c r="AL2321" s="1">
        <v>95</v>
      </c>
    </row>
    <row r="2322" spans="1:38" x14ac:dyDescent="0.2">
      <c r="A2322" s="2" t="str">
        <f>HYPERLINK("https://www.compass.com/listing/101-wall-street-unit-2b-manhattan-ny-10005/218529170899105713/","101 Wall St, Unit 2B")</f>
        <v>101 Wall St, Unit 2B</v>
      </c>
      <c r="B2322" s="2" t="str">
        <f t="shared" ref="B2322:B2324" si="334">HYPERLINK("https://www.compass.com/building/101-wall-st-manhattan-ny-10005/292788767809355381/","101 Wall St")</f>
        <v>101 Wall St</v>
      </c>
      <c r="C2322" s="1" t="s">
        <v>117</v>
      </c>
      <c r="D2322" s="1" t="s">
        <v>41</v>
      </c>
      <c r="E2322" s="3">
        <v>2125000</v>
      </c>
      <c r="F2322" s="1">
        <v>1011.90476190476</v>
      </c>
      <c r="H2322" s="1">
        <v>4</v>
      </c>
      <c r="J2322" s="1">
        <v>4</v>
      </c>
      <c r="K2322" s="1">
        <v>4</v>
      </c>
      <c r="M2322" s="4">
        <v>2100</v>
      </c>
      <c r="N2322" s="1">
        <v>2682</v>
      </c>
      <c r="O2322" s="1">
        <v>5156</v>
      </c>
      <c r="P2322" s="1">
        <v>2474</v>
      </c>
      <c r="Q2322" s="1" t="s">
        <v>42</v>
      </c>
      <c r="S2322" s="1" t="s">
        <v>42</v>
      </c>
      <c r="T2322" s="1" t="s">
        <v>170</v>
      </c>
      <c r="AA2322" s="1">
        <v>2125000</v>
      </c>
      <c r="AB2322" s="1" t="s">
        <v>1773</v>
      </c>
      <c r="AC2322" s="5">
        <v>43546</v>
      </c>
      <c r="AF2322" s="1">
        <v>10005</v>
      </c>
      <c r="AI2322" s="1" t="s">
        <v>45</v>
      </c>
      <c r="AJ2322" s="1">
        <v>2016</v>
      </c>
      <c r="AK2322" s="1" t="s">
        <v>49</v>
      </c>
      <c r="AL2322" s="1">
        <v>51</v>
      </c>
    </row>
    <row r="2323" spans="1:38" x14ac:dyDescent="0.2">
      <c r="A2323" s="2" t="str">
        <f>HYPERLINK("https://www.compass.com/listing/101-wall-street-unit-2a-manhattan-ny-10005/437118174954450217/","101 Wall St, Unit 2A")</f>
        <v>101 Wall St, Unit 2A</v>
      </c>
      <c r="B2323" s="2" t="str">
        <f t="shared" si="334"/>
        <v>101 Wall St</v>
      </c>
      <c r="C2323" s="1" t="s">
        <v>117</v>
      </c>
      <c r="D2323" s="1" t="s">
        <v>41</v>
      </c>
      <c r="E2323" s="3">
        <v>1975000</v>
      </c>
      <c r="F2323" s="1">
        <v>1091.1602209944699</v>
      </c>
      <c r="H2323" s="1">
        <v>3</v>
      </c>
      <c r="J2323" s="1">
        <v>3</v>
      </c>
      <c r="K2323" s="1">
        <v>3</v>
      </c>
      <c r="M2323" s="4">
        <v>1810</v>
      </c>
      <c r="N2323" s="1">
        <v>2297</v>
      </c>
      <c r="O2323" s="1">
        <v>4414</v>
      </c>
      <c r="P2323" s="1">
        <v>2117</v>
      </c>
      <c r="Q2323" s="1" t="s">
        <v>42</v>
      </c>
      <c r="S2323" s="1" t="s">
        <v>42</v>
      </c>
      <c r="T2323" s="1" t="s">
        <v>170</v>
      </c>
      <c r="AA2323" s="1">
        <v>1975000</v>
      </c>
      <c r="AB2323" s="1" t="s">
        <v>1774</v>
      </c>
      <c r="AC2323" s="5">
        <v>43837</v>
      </c>
      <c r="AF2323" s="1">
        <v>10005</v>
      </c>
      <c r="AI2323" s="1" t="s">
        <v>45</v>
      </c>
      <c r="AJ2323" s="1">
        <v>2016</v>
      </c>
      <c r="AK2323" s="1" t="s">
        <v>49</v>
      </c>
      <c r="AL2323" s="1">
        <v>51</v>
      </c>
    </row>
    <row r="2324" spans="1:38" x14ac:dyDescent="0.2">
      <c r="A2324" s="2" t="str">
        <f>HYPERLINK("https://www.compass.com/listing/101-wall-street-unit-19a-manhattan-ny-10005/29356248252122001/","101 Wall St, Unit 19A")</f>
        <v>101 Wall St, Unit 19A</v>
      </c>
      <c r="B2324" s="2" t="str">
        <f t="shared" si="334"/>
        <v>101 Wall St</v>
      </c>
      <c r="C2324" s="1" t="s">
        <v>117</v>
      </c>
      <c r="D2324" s="1" t="s">
        <v>41</v>
      </c>
      <c r="E2324" s="3">
        <v>1598652</v>
      </c>
      <c r="F2324" s="1">
        <v>1928.4101326899799</v>
      </c>
      <c r="G2324" s="1">
        <v>3</v>
      </c>
      <c r="H2324" s="1">
        <v>1</v>
      </c>
      <c r="I2324" s="1">
        <v>1</v>
      </c>
      <c r="J2324" s="1">
        <v>1</v>
      </c>
      <c r="K2324" s="1">
        <v>1</v>
      </c>
      <c r="M2324" s="1">
        <v>829</v>
      </c>
      <c r="N2324" s="1">
        <v>1096</v>
      </c>
      <c r="O2324" s="1">
        <v>2106</v>
      </c>
      <c r="P2324" s="1">
        <v>1010</v>
      </c>
      <c r="Q2324" s="1" t="s">
        <v>42</v>
      </c>
      <c r="S2324" s="1" t="s">
        <v>42</v>
      </c>
      <c r="T2324" s="1" t="s">
        <v>170</v>
      </c>
      <c r="V2324" s="5">
        <v>43626</v>
      </c>
      <c r="W2324" s="5">
        <v>42494</v>
      </c>
      <c r="X2324" s="1">
        <v>1570000</v>
      </c>
      <c r="Y2324" s="1">
        <v>1570000</v>
      </c>
      <c r="Z2324" s="5">
        <v>42494</v>
      </c>
      <c r="AA2324" s="1">
        <v>1598652</v>
      </c>
      <c r="AB2324" s="1" t="s">
        <v>1775</v>
      </c>
      <c r="AC2324" s="5">
        <v>42888</v>
      </c>
      <c r="AF2324" s="1">
        <v>10005</v>
      </c>
      <c r="AI2324" s="1" t="s">
        <v>74</v>
      </c>
      <c r="AJ2324" s="1">
        <v>2016</v>
      </c>
      <c r="AK2324" s="1" t="s">
        <v>77</v>
      </c>
      <c r="AL2324" s="1">
        <v>51</v>
      </c>
    </row>
    <row r="2325" spans="1:38" x14ac:dyDescent="0.2">
      <c r="A2325" s="2" t="str">
        <f>HYPERLINK("https://www.compass.com/listing/252-east-57th-street-unit-36a-manhattan-ny-10022/29405808844373537/","252 E 57th St, Unit 36A")</f>
        <v>252 E 57th St, Unit 36A</v>
      </c>
      <c r="B2325" s="2" t="str">
        <f t="shared" ref="B2325:B2327" si="335">HYPERLINK("https://www.compass.com/building/252-e-57th-st-manhattan-ny-10022/281924023602945813/","252 E 57th St")</f>
        <v>252 E 57th St</v>
      </c>
      <c r="C2325" s="1" t="s">
        <v>64</v>
      </c>
      <c r="D2325" s="1" t="s">
        <v>41</v>
      </c>
      <c r="E2325" s="3">
        <v>4376384</v>
      </c>
      <c r="F2325" s="1">
        <v>2169.74913237481</v>
      </c>
      <c r="G2325" s="1">
        <v>5</v>
      </c>
      <c r="H2325" s="1">
        <v>3</v>
      </c>
      <c r="I2325" s="1">
        <v>3</v>
      </c>
      <c r="J2325" s="1">
        <v>3</v>
      </c>
      <c r="M2325" s="4">
        <v>2017</v>
      </c>
      <c r="N2325" s="1">
        <v>3602</v>
      </c>
      <c r="O2325" s="1">
        <v>5239</v>
      </c>
      <c r="P2325" s="1">
        <v>1637</v>
      </c>
      <c r="Q2325" s="1" t="s">
        <v>42</v>
      </c>
      <c r="S2325" s="1" t="s">
        <v>42</v>
      </c>
      <c r="T2325" s="1" t="s">
        <v>170</v>
      </c>
      <c r="U2325" s="1">
        <v>42</v>
      </c>
      <c r="V2325" s="5">
        <v>43648</v>
      </c>
      <c r="W2325" s="5">
        <v>43013</v>
      </c>
      <c r="X2325" s="1">
        <v>4375000</v>
      </c>
      <c r="Y2325" s="1">
        <v>4375000</v>
      </c>
      <c r="Z2325" s="5">
        <v>43055</v>
      </c>
      <c r="AA2325" s="1">
        <v>4376384</v>
      </c>
      <c r="AB2325" s="1" t="s">
        <v>1776</v>
      </c>
      <c r="AC2325" s="5">
        <v>43124</v>
      </c>
      <c r="AF2325" s="1">
        <v>10022</v>
      </c>
      <c r="AI2325" s="1" t="s">
        <v>65</v>
      </c>
      <c r="AJ2325" s="1">
        <v>2016</v>
      </c>
      <c r="AK2325" s="1" t="s">
        <v>73</v>
      </c>
      <c r="AL2325" s="1">
        <v>95</v>
      </c>
    </row>
    <row r="2326" spans="1:38" x14ac:dyDescent="0.2">
      <c r="A2326" s="2" t="str">
        <f>HYPERLINK("https://www.compass.com/listing/252-east-57th-street-unit-45b-manhattan-ny-10022/29514257859208289/","252 E 57th St, Unit 45B")</f>
        <v>252 E 57th St, Unit 45B</v>
      </c>
      <c r="B2326" s="2" t="str">
        <f t="shared" si="335"/>
        <v>252 E 57th St</v>
      </c>
      <c r="C2326" s="1" t="s">
        <v>64</v>
      </c>
      <c r="D2326" s="1" t="s">
        <v>41</v>
      </c>
      <c r="E2326" s="3">
        <v>4412023</v>
      </c>
      <c r="F2326" s="1">
        <v>2526.9318442153399</v>
      </c>
      <c r="G2326" s="1">
        <v>4</v>
      </c>
      <c r="H2326" s="1">
        <v>2</v>
      </c>
      <c r="I2326" s="1">
        <v>3</v>
      </c>
      <c r="J2326" s="1">
        <v>2.5</v>
      </c>
      <c r="K2326" s="1">
        <v>2</v>
      </c>
      <c r="L2326" s="1">
        <v>1</v>
      </c>
      <c r="M2326" s="4">
        <v>1746</v>
      </c>
      <c r="N2326" s="1">
        <v>3284</v>
      </c>
      <c r="O2326" s="1">
        <v>4984</v>
      </c>
      <c r="P2326" s="1">
        <v>1700</v>
      </c>
      <c r="Q2326" s="1" t="s">
        <v>42</v>
      </c>
      <c r="S2326" s="1" t="s">
        <v>42</v>
      </c>
      <c r="T2326" s="1" t="s">
        <v>170</v>
      </c>
      <c r="U2326" s="1">
        <v>12</v>
      </c>
      <c r="V2326" s="5">
        <v>43678</v>
      </c>
      <c r="W2326" s="5">
        <v>43190</v>
      </c>
      <c r="X2326" s="1">
        <v>4530000</v>
      </c>
      <c r="Y2326" s="1">
        <v>4530000</v>
      </c>
      <c r="Z2326" s="5">
        <v>43202</v>
      </c>
      <c r="AA2326" s="1">
        <v>4412023</v>
      </c>
      <c r="AB2326" s="1" t="s">
        <v>1777</v>
      </c>
      <c r="AC2326" s="5">
        <v>43312</v>
      </c>
      <c r="AF2326" s="1">
        <v>10022</v>
      </c>
      <c r="AI2326" s="1" t="s">
        <v>84</v>
      </c>
      <c r="AJ2326" s="1">
        <v>2016</v>
      </c>
      <c r="AK2326" s="1" t="s">
        <v>73</v>
      </c>
      <c r="AL2326" s="1">
        <v>95</v>
      </c>
    </row>
    <row r="2327" spans="1:38" x14ac:dyDescent="0.2">
      <c r="A2327" s="2" t="str">
        <f>HYPERLINK("https://www.compass.com/listing/252-east-57th-street-unit-49b-manhattan-ny-10022/29514259377450497/","252 E 57th St, Unit 49B")</f>
        <v>252 E 57th St, Unit 49B</v>
      </c>
      <c r="B2327" s="2" t="str">
        <f t="shared" si="335"/>
        <v>252 E 57th St</v>
      </c>
      <c r="C2327" s="1" t="s">
        <v>64</v>
      </c>
      <c r="D2327" s="1" t="s">
        <v>41</v>
      </c>
      <c r="E2327" s="3">
        <v>4534213</v>
      </c>
      <c r="F2327" s="1">
        <v>2605.8695402298799</v>
      </c>
      <c r="G2327" s="1">
        <v>4</v>
      </c>
      <c r="H2327" s="1">
        <v>2</v>
      </c>
      <c r="I2327" s="1">
        <v>3</v>
      </c>
      <c r="J2327" s="1">
        <v>2.5</v>
      </c>
      <c r="K2327" s="1">
        <v>2</v>
      </c>
      <c r="L2327" s="1">
        <v>1</v>
      </c>
      <c r="M2327" s="4">
        <v>1740</v>
      </c>
      <c r="N2327" s="1">
        <v>3279</v>
      </c>
      <c r="O2327" s="1">
        <v>4976</v>
      </c>
      <c r="P2327" s="1">
        <v>1697</v>
      </c>
      <c r="Q2327" s="1" t="s">
        <v>42</v>
      </c>
      <c r="S2327" s="1" t="s">
        <v>42</v>
      </c>
      <c r="T2327" s="1" t="s">
        <v>170</v>
      </c>
      <c r="U2327" s="1">
        <v>174</v>
      </c>
      <c r="V2327" s="5">
        <v>43678</v>
      </c>
      <c r="W2327" s="5">
        <v>43033</v>
      </c>
      <c r="X2327" s="1">
        <v>4510000</v>
      </c>
      <c r="Y2327" s="1">
        <v>4510000</v>
      </c>
      <c r="Z2327" s="5">
        <v>43207</v>
      </c>
      <c r="AA2327" s="1">
        <v>4534213</v>
      </c>
      <c r="AB2327" s="1" t="s">
        <v>1778</v>
      </c>
      <c r="AC2327" s="5">
        <v>43312</v>
      </c>
      <c r="AF2327" s="1">
        <v>10022</v>
      </c>
      <c r="AI2327" s="1" t="s">
        <v>84</v>
      </c>
      <c r="AJ2327" s="1">
        <v>2016</v>
      </c>
      <c r="AK2327" s="1" t="s">
        <v>73</v>
      </c>
      <c r="AL2327" s="1">
        <v>95</v>
      </c>
    </row>
    <row r="2328" spans="1:38" x14ac:dyDescent="0.2">
      <c r="A2328" s="2" t="str">
        <f>HYPERLINK("https://www.compass.com/listing/101-wall-street-unit-4b-manhattan-ny-10005/4875011500470703025/","101 Wall St, Unit 4B")</f>
        <v>101 Wall St, Unit 4B</v>
      </c>
      <c r="B2328" s="2" t="str">
        <f t="shared" ref="B2328:B2329" si="336">HYPERLINK("https://www.compass.com/building/101-wall-st-manhattan-ny-10005/292788767809355381/","101 Wall St")</f>
        <v>101 Wall St</v>
      </c>
      <c r="C2328" s="1" t="s">
        <v>117</v>
      </c>
      <c r="D2328" s="1" t="s">
        <v>41</v>
      </c>
      <c r="E2328" s="3">
        <v>2225000</v>
      </c>
      <c r="F2328" s="1">
        <v>1471.56084656084</v>
      </c>
      <c r="G2328" s="1">
        <v>4</v>
      </c>
      <c r="H2328" s="1">
        <v>2</v>
      </c>
      <c r="I2328" s="1">
        <v>2</v>
      </c>
      <c r="J2328" s="1">
        <v>2.5</v>
      </c>
      <c r="K2328" s="1">
        <v>2</v>
      </c>
      <c r="L2328" s="1">
        <v>1</v>
      </c>
      <c r="M2328" s="4">
        <v>1512</v>
      </c>
      <c r="N2328" s="1">
        <v>1928</v>
      </c>
      <c r="O2328" s="1">
        <v>4157</v>
      </c>
      <c r="P2328" s="1">
        <v>2229</v>
      </c>
      <c r="Q2328" s="1" t="s">
        <v>42</v>
      </c>
      <c r="S2328" s="1" t="s">
        <v>42</v>
      </c>
      <c r="T2328" s="1" t="s">
        <v>170</v>
      </c>
      <c r="U2328" s="1">
        <v>667</v>
      </c>
      <c r="V2328" s="5">
        <v>43626</v>
      </c>
      <c r="W2328" s="5">
        <v>42500</v>
      </c>
      <c r="X2328" s="1">
        <v>2595000</v>
      </c>
      <c r="Y2328" s="1">
        <v>2295000</v>
      </c>
      <c r="Z2328" s="5">
        <v>43167</v>
      </c>
      <c r="AA2328" s="1">
        <v>2225000</v>
      </c>
      <c r="AB2328" s="1" t="s">
        <v>1779</v>
      </c>
      <c r="AC2328" s="5">
        <v>43243</v>
      </c>
      <c r="AF2328" s="1">
        <v>10005</v>
      </c>
      <c r="AI2328" s="1" t="s">
        <v>45</v>
      </c>
      <c r="AJ2328" s="1">
        <v>2016</v>
      </c>
      <c r="AK2328" s="1" t="s">
        <v>77</v>
      </c>
      <c r="AL2328" s="1">
        <v>51</v>
      </c>
    </row>
    <row r="2329" spans="1:38" x14ac:dyDescent="0.2">
      <c r="A2329" s="2" t="str">
        <f>HYPERLINK("https://www.compass.com/listing/101-wall-street-unit-19b-manhattan-ny-10005/50874596659885537/","101 Wall St, Unit 19B")</f>
        <v>101 Wall St, Unit 19B</v>
      </c>
      <c r="B2329" s="2" t="str">
        <f t="shared" si="336"/>
        <v>101 Wall St</v>
      </c>
      <c r="C2329" s="1" t="s">
        <v>117</v>
      </c>
      <c r="D2329" s="1" t="s">
        <v>41</v>
      </c>
      <c r="E2329" s="3">
        <v>3207487</v>
      </c>
      <c r="F2329" s="1">
        <v>1739.4181127982599</v>
      </c>
      <c r="G2329" s="1">
        <v>5</v>
      </c>
      <c r="H2329" s="1">
        <v>3</v>
      </c>
      <c r="I2329" s="1">
        <v>3</v>
      </c>
      <c r="J2329" s="1">
        <v>3</v>
      </c>
      <c r="K2329" s="1">
        <v>3</v>
      </c>
      <c r="M2329" s="4">
        <v>1844</v>
      </c>
      <c r="N2329" s="1">
        <v>2377</v>
      </c>
      <c r="O2329" s="1">
        <v>4569</v>
      </c>
      <c r="P2329" s="1">
        <v>2192</v>
      </c>
      <c r="Q2329" s="1" t="s">
        <v>42</v>
      </c>
      <c r="S2329" s="1" t="s">
        <v>42</v>
      </c>
      <c r="T2329" s="1" t="s">
        <v>170</v>
      </c>
      <c r="V2329" s="5">
        <v>43626</v>
      </c>
      <c r="W2329" s="5">
        <v>42179</v>
      </c>
      <c r="X2329" s="1">
        <v>3150000</v>
      </c>
      <c r="Y2329" s="1">
        <v>3150000</v>
      </c>
      <c r="Z2329" s="5">
        <v>42179</v>
      </c>
      <c r="AA2329" s="1">
        <v>3207487</v>
      </c>
      <c r="AB2329" s="1" t="s">
        <v>1780</v>
      </c>
      <c r="AC2329" s="5">
        <v>42887</v>
      </c>
      <c r="AF2329" s="1">
        <v>10005</v>
      </c>
      <c r="AI2329" s="1" t="s">
        <v>88</v>
      </c>
      <c r="AJ2329" s="1">
        <v>2016</v>
      </c>
      <c r="AK2329" s="1" t="s">
        <v>77</v>
      </c>
      <c r="AL2329" s="1">
        <v>51</v>
      </c>
    </row>
    <row r="2330" spans="1:38" x14ac:dyDescent="0.2">
      <c r="A2330" s="2" t="str">
        <f>HYPERLINK("https://www.compass.com/listing/252-east-57th-street-unit-46b-manhattan-ny-10022/29405826217181521/","252 E 57th St, Unit 46B")</f>
        <v>252 E 57th St, Unit 46B</v>
      </c>
      <c r="B2330" s="2" t="str">
        <f t="shared" ref="B2330:B2331" si="337">HYPERLINK("https://www.compass.com/building/252-e-57th-st-manhattan-ny-10022/281924023602945813/","252 E 57th St")</f>
        <v>252 E 57th St</v>
      </c>
      <c r="C2330" s="1" t="s">
        <v>64</v>
      </c>
      <c r="D2330" s="1" t="s">
        <v>41</v>
      </c>
      <c r="E2330" s="3">
        <v>4330563</v>
      </c>
      <c r="F2330" s="1">
        <v>2481.6979942693401</v>
      </c>
      <c r="G2330" s="1">
        <v>4</v>
      </c>
      <c r="H2330" s="1">
        <v>2</v>
      </c>
      <c r="I2330" s="1">
        <v>3</v>
      </c>
      <c r="J2330" s="1">
        <v>2.5</v>
      </c>
      <c r="M2330" s="4">
        <v>1745</v>
      </c>
      <c r="N2330" s="1">
        <v>3110</v>
      </c>
      <c r="O2330" s="1">
        <v>4523</v>
      </c>
      <c r="P2330" s="1">
        <v>1413</v>
      </c>
      <c r="Q2330" s="1" t="s">
        <v>42</v>
      </c>
      <c r="S2330" s="1" t="s">
        <v>42</v>
      </c>
      <c r="T2330" s="1" t="s">
        <v>170</v>
      </c>
      <c r="U2330" s="1">
        <v>679</v>
      </c>
      <c r="V2330" s="5">
        <v>43650</v>
      </c>
      <c r="W2330" s="5">
        <v>42326</v>
      </c>
      <c r="X2330" s="1">
        <v>4575000</v>
      </c>
      <c r="Y2330" s="1">
        <v>4375000</v>
      </c>
      <c r="Z2330" s="5">
        <v>43005</v>
      </c>
      <c r="AA2330" s="1">
        <v>4330563</v>
      </c>
      <c r="AB2330" s="1" t="s">
        <v>1698</v>
      </c>
      <c r="AC2330" s="5">
        <v>43013</v>
      </c>
      <c r="AF2330" s="1">
        <v>10022</v>
      </c>
      <c r="AI2330" s="1" t="s">
        <v>84</v>
      </c>
      <c r="AJ2330" s="1">
        <v>2016</v>
      </c>
      <c r="AK2330" s="1" t="s">
        <v>46</v>
      </c>
      <c r="AL2330" s="1">
        <v>95</v>
      </c>
    </row>
    <row r="2331" spans="1:38" x14ac:dyDescent="0.2">
      <c r="A2331" s="2" t="str">
        <f>HYPERLINK("https://www.compass.com/listing/252-east-57th-street-unit-50b-manhattan-ny-10022/29405833137782817/","252 E 57th St, Unit 50B")</f>
        <v>252 E 57th St, Unit 50B</v>
      </c>
      <c r="B2331" s="2" t="str">
        <f t="shared" si="337"/>
        <v>252 E 57th St</v>
      </c>
      <c r="C2331" s="1" t="s">
        <v>64</v>
      </c>
      <c r="D2331" s="1" t="s">
        <v>41</v>
      </c>
      <c r="E2331" s="3">
        <v>4330563</v>
      </c>
      <c r="F2331" s="1">
        <v>2490.2604945370899</v>
      </c>
      <c r="G2331" s="1">
        <v>5</v>
      </c>
      <c r="H2331" s="1">
        <v>2</v>
      </c>
      <c r="I2331" s="1">
        <v>3</v>
      </c>
      <c r="J2331" s="1">
        <v>2.5</v>
      </c>
      <c r="M2331" s="4">
        <v>1739</v>
      </c>
      <c r="N2331" s="1">
        <v>3106</v>
      </c>
      <c r="O2331" s="1">
        <v>4517</v>
      </c>
      <c r="P2331" s="1">
        <v>1411</v>
      </c>
      <c r="Q2331" s="1" t="s">
        <v>42</v>
      </c>
      <c r="S2331" s="1" t="s">
        <v>42</v>
      </c>
      <c r="T2331" s="1" t="s">
        <v>170</v>
      </c>
      <c r="U2331" s="1">
        <v>4</v>
      </c>
      <c r="V2331" s="5">
        <v>43662</v>
      </c>
      <c r="W2331" s="5">
        <v>42850</v>
      </c>
      <c r="X2331" s="1">
        <v>4640000</v>
      </c>
      <c r="Y2331" s="1">
        <v>4640000</v>
      </c>
      <c r="Z2331" s="5">
        <v>42854</v>
      </c>
      <c r="AA2331" s="1">
        <v>4330563</v>
      </c>
      <c r="AB2331" s="1" t="s">
        <v>1700</v>
      </c>
      <c r="AC2331" s="5">
        <v>42894</v>
      </c>
      <c r="AF2331" s="1">
        <v>10022</v>
      </c>
      <c r="AI2331" s="1" t="s">
        <v>85</v>
      </c>
      <c r="AJ2331" s="1">
        <v>2016</v>
      </c>
      <c r="AK2331" s="1" t="s">
        <v>73</v>
      </c>
      <c r="AL2331" s="1">
        <v>95</v>
      </c>
    </row>
    <row r="2332" spans="1:38" x14ac:dyDescent="0.2">
      <c r="A2332" s="2" t="str">
        <f>HYPERLINK("https://www.compass.com/listing/101-wall-street-unit-6b-manhattan-ny-10005/29356240727538529/","101 Wall St, Unit 6B")</f>
        <v>101 Wall St, Unit 6B</v>
      </c>
      <c r="B2332" s="2" t="str">
        <f t="shared" ref="B2332:B2335" si="338">HYPERLINK("https://www.compass.com/building/101-wall-st-manhattan-ny-10005/292788767809355381/","101 Wall St")</f>
        <v>101 Wall St</v>
      </c>
      <c r="C2332" s="1" t="s">
        <v>117</v>
      </c>
      <c r="D2332" s="1" t="s">
        <v>41</v>
      </c>
      <c r="E2332" s="3">
        <v>2394160</v>
      </c>
      <c r="F2332" s="1">
        <v>1583.43915343915</v>
      </c>
      <c r="G2332" s="1">
        <v>4</v>
      </c>
      <c r="H2332" s="1">
        <v>2</v>
      </c>
      <c r="I2332" s="1">
        <v>2</v>
      </c>
      <c r="J2332" s="1">
        <v>2.5</v>
      </c>
      <c r="K2332" s="1">
        <v>2</v>
      </c>
      <c r="L2332" s="1">
        <v>1</v>
      </c>
      <c r="M2332" s="4">
        <v>1512</v>
      </c>
      <c r="N2332" s="1">
        <v>1928</v>
      </c>
      <c r="O2332" s="1">
        <v>4157</v>
      </c>
      <c r="P2332" s="1">
        <v>2229</v>
      </c>
      <c r="Q2332" s="1" t="s">
        <v>42</v>
      </c>
      <c r="S2332" s="1" t="s">
        <v>42</v>
      </c>
      <c r="T2332" s="1" t="s">
        <v>170</v>
      </c>
      <c r="U2332" s="1">
        <v>265</v>
      </c>
      <c r="V2332" s="5">
        <v>43630</v>
      </c>
      <c r="W2332" s="5">
        <v>42230</v>
      </c>
      <c r="X2332" s="1">
        <v>2490000</v>
      </c>
      <c r="Y2332" s="1">
        <v>2475000</v>
      </c>
      <c r="Z2332" s="5">
        <v>42495</v>
      </c>
      <c r="AA2332" s="1">
        <v>2394160</v>
      </c>
      <c r="AB2332" s="1" t="s">
        <v>1781</v>
      </c>
      <c r="AC2332" s="5">
        <v>43089</v>
      </c>
      <c r="AF2332" s="1">
        <v>10005</v>
      </c>
      <c r="AI2332" s="1" t="s">
        <v>45</v>
      </c>
      <c r="AJ2332" s="1">
        <v>2016</v>
      </c>
      <c r="AK2332" s="1" t="s">
        <v>77</v>
      </c>
      <c r="AL2332" s="1">
        <v>51</v>
      </c>
    </row>
    <row r="2333" spans="1:38" x14ac:dyDescent="0.2">
      <c r="A2333" s="2" t="str">
        <f>HYPERLINK("https://www.compass.com/listing/101-wall-street-unit-7b-manhattan-ny-10005/29356241365074721/","101 Wall St, Unit 7B")</f>
        <v>101 Wall St, Unit 7B</v>
      </c>
      <c r="B2333" s="2" t="str">
        <f t="shared" si="338"/>
        <v>101 Wall St</v>
      </c>
      <c r="C2333" s="1" t="s">
        <v>117</v>
      </c>
      <c r="D2333" s="1" t="s">
        <v>41</v>
      </c>
      <c r="E2333" s="3">
        <v>2443800</v>
      </c>
      <c r="F2333" s="1">
        <v>1616.2698412698401</v>
      </c>
      <c r="G2333" s="1">
        <v>4</v>
      </c>
      <c r="H2333" s="1">
        <v>2</v>
      </c>
      <c r="I2333" s="1">
        <v>2</v>
      </c>
      <c r="J2333" s="1">
        <v>2.5</v>
      </c>
      <c r="K2333" s="1">
        <v>2</v>
      </c>
      <c r="L2333" s="1">
        <v>1</v>
      </c>
      <c r="M2333" s="4">
        <v>1512</v>
      </c>
      <c r="N2333" s="1">
        <v>1928</v>
      </c>
      <c r="O2333" s="1">
        <v>3706</v>
      </c>
      <c r="P2333" s="1">
        <v>1778</v>
      </c>
      <c r="Q2333" s="1" t="s">
        <v>42</v>
      </c>
      <c r="S2333" s="1" t="s">
        <v>42</v>
      </c>
      <c r="T2333" s="1" t="s">
        <v>170</v>
      </c>
      <c r="U2333" s="1">
        <v>69</v>
      </c>
      <c r="V2333" s="5">
        <v>43626</v>
      </c>
      <c r="W2333" s="5">
        <v>42159</v>
      </c>
      <c r="X2333" s="1">
        <v>2400000</v>
      </c>
      <c r="Y2333" s="1">
        <v>2685000</v>
      </c>
      <c r="Z2333" s="5">
        <v>42228</v>
      </c>
      <c r="AA2333" s="1">
        <v>2443800</v>
      </c>
      <c r="AB2333" s="1" t="s">
        <v>1782</v>
      </c>
      <c r="AC2333" s="5">
        <v>42823</v>
      </c>
      <c r="AF2333" s="1">
        <v>10005</v>
      </c>
      <c r="AI2333" s="1" t="s">
        <v>88</v>
      </c>
      <c r="AJ2333" s="1">
        <v>2016</v>
      </c>
      <c r="AK2333" s="1" t="s">
        <v>77</v>
      </c>
      <c r="AL2333" s="1">
        <v>51</v>
      </c>
    </row>
    <row r="2334" spans="1:38" x14ac:dyDescent="0.2">
      <c r="A2334" s="2" t="str">
        <f>HYPERLINK("https://www.compass.com/listing/101-wall-street-unit-14b-manhattan-ny-10005/29356244980530689/","101 Wall St, Unit 14B")</f>
        <v>101 Wall St, Unit 14B</v>
      </c>
      <c r="B2334" s="2" t="str">
        <f t="shared" si="338"/>
        <v>101 Wall St</v>
      </c>
      <c r="C2334" s="1" t="s">
        <v>117</v>
      </c>
      <c r="D2334" s="1" t="s">
        <v>41</v>
      </c>
      <c r="E2334" s="3">
        <v>2418344</v>
      </c>
      <c r="F2334" s="1">
        <v>1706.66478475652</v>
      </c>
      <c r="G2334" s="1">
        <v>4</v>
      </c>
      <c r="H2334" s="1">
        <v>2</v>
      </c>
      <c r="I2334" s="1">
        <v>2</v>
      </c>
      <c r="J2334" s="1">
        <v>2.5</v>
      </c>
      <c r="K2334" s="1">
        <v>2</v>
      </c>
      <c r="L2334" s="1">
        <v>1</v>
      </c>
      <c r="M2334" s="4">
        <v>1417</v>
      </c>
      <c r="N2334" s="1">
        <v>1809</v>
      </c>
      <c r="O2334" s="1">
        <v>3900</v>
      </c>
      <c r="P2334" s="1">
        <v>2091</v>
      </c>
      <c r="Q2334" s="1" t="s">
        <v>42</v>
      </c>
      <c r="S2334" s="1" t="s">
        <v>42</v>
      </c>
      <c r="T2334" s="1" t="s">
        <v>170</v>
      </c>
      <c r="V2334" s="5">
        <v>43624</v>
      </c>
      <c r="W2334" s="5">
        <v>42249</v>
      </c>
      <c r="X2334" s="1">
        <v>2375000</v>
      </c>
      <c r="Y2334" s="1">
        <v>2490000</v>
      </c>
      <c r="Z2334" s="5">
        <v>42249</v>
      </c>
      <c r="AA2334" s="1">
        <v>2418344</v>
      </c>
      <c r="AB2334" s="1" t="s">
        <v>1783</v>
      </c>
      <c r="AC2334" s="5">
        <v>43124</v>
      </c>
      <c r="AF2334" s="1">
        <v>10005</v>
      </c>
      <c r="AI2334" s="1" t="s">
        <v>45</v>
      </c>
      <c r="AJ2334" s="1">
        <v>2016</v>
      </c>
      <c r="AK2334" s="1" t="s">
        <v>77</v>
      </c>
      <c r="AL2334" s="1">
        <v>51</v>
      </c>
    </row>
    <row r="2335" spans="1:38" x14ac:dyDescent="0.2">
      <c r="A2335" s="2" t="str">
        <f>HYPERLINK("https://www.compass.com/listing/101-wall-street-unit-16b-manhattan-ny-10005/29356246574398417/","101 Wall St, Unit 16B")</f>
        <v>101 Wall St, Unit 16B</v>
      </c>
      <c r="B2335" s="2" t="str">
        <f t="shared" si="338"/>
        <v>101 Wall St</v>
      </c>
      <c r="C2335" s="1" t="s">
        <v>117</v>
      </c>
      <c r="D2335" s="1" t="s">
        <v>41</v>
      </c>
      <c r="E2335" s="3">
        <v>2550000</v>
      </c>
      <c r="F2335" s="1">
        <v>1799.57657021877</v>
      </c>
      <c r="G2335" s="1">
        <v>4</v>
      </c>
      <c r="H2335" s="1">
        <v>2</v>
      </c>
      <c r="I2335" s="1">
        <v>2</v>
      </c>
      <c r="J2335" s="1">
        <v>2.5</v>
      </c>
      <c r="K2335" s="1">
        <v>2</v>
      </c>
      <c r="L2335" s="1">
        <v>1</v>
      </c>
      <c r="M2335" s="4">
        <v>1417</v>
      </c>
      <c r="N2335" s="1">
        <v>1809</v>
      </c>
      <c r="O2335" s="1">
        <v>3477</v>
      </c>
      <c r="P2335" s="1">
        <v>1668</v>
      </c>
      <c r="Q2335" s="1" t="s">
        <v>42</v>
      </c>
      <c r="S2335" s="1" t="s">
        <v>42</v>
      </c>
      <c r="T2335" s="1" t="s">
        <v>170</v>
      </c>
      <c r="V2335" s="5">
        <v>43670</v>
      </c>
      <c r="W2335" s="5">
        <v>42272</v>
      </c>
      <c r="X2335" s="1">
        <v>2670000</v>
      </c>
      <c r="Y2335" s="1">
        <v>2670000</v>
      </c>
      <c r="Z2335" s="5">
        <v>42272</v>
      </c>
      <c r="AA2335" s="1">
        <v>2550000</v>
      </c>
      <c r="AB2335" s="1" t="s">
        <v>1784</v>
      </c>
      <c r="AC2335" s="5">
        <v>42894</v>
      </c>
      <c r="AF2335" s="1">
        <v>10005</v>
      </c>
      <c r="AI2335" s="1" t="s">
        <v>45</v>
      </c>
      <c r="AJ2335" s="1">
        <v>2016</v>
      </c>
      <c r="AK2335" s="1" t="s">
        <v>77</v>
      </c>
      <c r="AL2335" s="1">
        <v>51</v>
      </c>
    </row>
    <row r="2336" spans="1:38" x14ac:dyDescent="0.2">
      <c r="A2336" s="2" t="str">
        <f>HYPERLINK("https://www.compass.com/listing/252-east-57th-street-unit-40a-manhattan-ny-10022/29405816352178289/","252 E 57th St, Unit 40A")</f>
        <v>252 E 57th St, Unit 40A</v>
      </c>
      <c r="B2336" s="2" t="str">
        <f t="shared" ref="B2336:B2343" si="339">HYPERLINK("https://www.compass.com/building/252-e-57th-st-manhattan-ny-10022/281924023602945813/","252 E 57th St")</f>
        <v>252 E 57th St</v>
      </c>
      <c r="C2336" s="1" t="s">
        <v>64</v>
      </c>
      <c r="D2336" s="1" t="s">
        <v>41</v>
      </c>
      <c r="E2336" s="3">
        <v>4406931</v>
      </c>
      <c r="F2336" s="1">
        <v>2189.2354694485798</v>
      </c>
      <c r="G2336" s="1">
        <v>5</v>
      </c>
      <c r="H2336" s="1">
        <v>3</v>
      </c>
      <c r="I2336" s="1">
        <v>3</v>
      </c>
      <c r="J2336" s="1">
        <v>3</v>
      </c>
      <c r="M2336" s="4">
        <v>2013</v>
      </c>
      <c r="N2336" s="1">
        <v>3607</v>
      </c>
      <c r="O2336" s="1">
        <v>5246</v>
      </c>
      <c r="P2336" s="1">
        <v>1639</v>
      </c>
      <c r="Q2336" s="1" t="s">
        <v>42</v>
      </c>
      <c r="S2336" s="1" t="s">
        <v>42</v>
      </c>
      <c r="T2336" s="1" t="s">
        <v>170</v>
      </c>
      <c r="U2336" s="1">
        <v>7</v>
      </c>
      <c r="V2336" s="5">
        <v>43637</v>
      </c>
      <c r="W2336" s="5">
        <v>42930</v>
      </c>
      <c r="X2336" s="1">
        <v>4575000</v>
      </c>
      <c r="Y2336" s="1">
        <v>4575000</v>
      </c>
      <c r="Z2336" s="5">
        <v>42937</v>
      </c>
      <c r="AA2336" s="1">
        <v>4406931</v>
      </c>
      <c r="AB2336" s="1" t="s">
        <v>1688</v>
      </c>
      <c r="AC2336" s="5">
        <v>42987</v>
      </c>
      <c r="AF2336" s="1">
        <v>10022</v>
      </c>
      <c r="AI2336" s="1" t="s">
        <v>65</v>
      </c>
      <c r="AJ2336" s="1">
        <v>2016</v>
      </c>
      <c r="AK2336" s="1" t="s">
        <v>46</v>
      </c>
      <c r="AL2336" s="1">
        <v>95</v>
      </c>
    </row>
    <row r="2337" spans="1:38" x14ac:dyDescent="0.2">
      <c r="A2337" s="2" t="str">
        <f>HYPERLINK("https://www.compass.com/listing/252-east-57th-street-unit-37d-manhattan-ny-10022/29405812107542545/","252 E 57th St, Unit 37D")</f>
        <v>252 E 57th St, Unit 37D</v>
      </c>
      <c r="B2337" s="2" t="str">
        <f t="shared" si="339"/>
        <v>252 E 57th St</v>
      </c>
      <c r="C2337" s="1" t="s">
        <v>64</v>
      </c>
      <c r="D2337" s="1" t="s">
        <v>41</v>
      </c>
      <c r="E2337" s="3">
        <v>3974175</v>
      </c>
      <c r="F2337" s="1">
        <v>2058.0916623511098</v>
      </c>
      <c r="G2337" s="1">
        <v>5</v>
      </c>
      <c r="H2337" s="1">
        <v>3</v>
      </c>
      <c r="I2337" s="1">
        <v>3</v>
      </c>
      <c r="J2337" s="1">
        <v>3</v>
      </c>
      <c r="K2337" s="1">
        <v>3</v>
      </c>
      <c r="M2337" s="4">
        <v>1931</v>
      </c>
      <c r="N2337" s="1">
        <v>3618</v>
      </c>
      <c r="O2337" s="1">
        <v>5490</v>
      </c>
      <c r="P2337" s="1">
        <v>1872</v>
      </c>
      <c r="Q2337" s="1" t="s">
        <v>42</v>
      </c>
      <c r="S2337" s="1" t="s">
        <v>42</v>
      </c>
      <c r="T2337" s="1" t="s">
        <v>170</v>
      </c>
      <c r="U2337" s="1">
        <v>99</v>
      </c>
      <c r="V2337" s="5">
        <v>43678</v>
      </c>
      <c r="W2337" s="5">
        <v>43049</v>
      </c>
      <c r="X2337" s="1">
        <v>4020000</v>
      </c>
      <c r="Y2337" s="1">
        <v>4020000</v>
      </c>
      <c r="Z2337" s="5">
        <v>43148</v>
      </c>
      <c r="AA2337" s="1">
        <v>3974175</v>
      </c>
      <c r="AB2337" s="1" t="s">
        <v>1785</v>
      </c>
      <c r="AC2337" s="5">
        <v>43186</v>
      </c>
      <c r="AF2337" s="1">
        <v>10022</v>
      </c>
      <c r="AI2337" s="1" t="s">
        <v>110</v>
      </c>
      <c r="AJ2337" s="1">
        <v>2016</v>
      </c>
      <c r="AK2337" s="1" t="s">
        <v>73</v>
      </c>
      <c r="AL2337" s="1">
        <v>95</v>
      </c>
    </row>
    <row r="2338" spans="1:38" x14ac:dyDescent="0.2">
      <c r="A2338" s="2" t="str">
        <f>HYPERLINK("https://www.compass.com/listing/252-east-57th-street-unit-38c-manhattan-ny-10022/29405813541994545/","252 E 57th St, Unit 38C")</f>
        <v>252 E 57th St, Unit 38C</v>
      </c>
      <c r="B2338" s="2" t="str">
        <f t="shared" si="339"/>
        <v>252 E 57th St</v>
      </c>
      <c r="C2338" s="1" t="s">
        <v>64</v>
      </c>
      <c r="D2338" s="1" t="s">
        <v>41</v>
      </c>
      <c r="E2338" s="3">
        <v>4228738</v>
      </c>
      <c r="F2338" s="1">
        <v>2101.75844930417</v>
      </c>
      <c r="G2338" s="1">
        <v>5</v>
      </c>
      <c r="H2338" s="1">
        <v>3</v>
      </c>
      <c r="I2338" s="1">
        <v>3</v>
      </c>
      <c r="J2338" s="1">
        <v>3</v>
      </c>
      <c r="M2338" s="4">
        <v>2012</v>
      </c>
      <c r="N2338" s="1">
        <v>3603</v>
      </c>
      <c r="O2338" s="1">
        <v>5239</v>
      </c>
      <c r="P2338" s="1">
        <v>1636</v>
      </c>
      <c r="Q2338" s="1" t="s">
        <v>42</v>
      </c>
      <c r="S2338" s="1" t="s">
        <v>42</v>
      </c>
      <c r="T2338" s="1" t="s">
        <v>170</v>
      </c>
      <c r="U2338" s="1">
        <v>155</v>
      </c>
      <c r="V2338" s="5">
        <v>43637</v>
      </c>
      <c r="W2338" s="5">
        <v>42516</v>
      </c>
      <c r="X2338" s="1">
        <v>4975000</v>
      </c>
      <c r="Y2338" s="1">
        <v>4395000</v>
      </c>
      <c r="Z2338" s="5">
        <v>42671</v>
      </c>
      <c r="AA2338" s="1">
        <v>4228738</v>
      </c>
      <c r="AB2338" s="1" t="s">
        <v>1685</v>
      </c>
      <c r="AC2338" s="5">
        <v>42990</v>
      </c>
      <c r="AF2338" s="1">
        <v>10022</v>
      </c>
      <c r="AI2338" s="1" t="s">
        <v>65</v>
      </c>
      <c r="AJ2338" s="1">
        <v>2016</v>
      </c>
      <c r="AK2338" s="1" t="s">
        <v>46</v>
      </c>
      <c r="AL2338" s="1">
        <v>95</v>
      </c>
    </row>
    <row r="2339" spans="1:38" x14ac:dyDescent="0.2">
      <c r="A2339" s="2" t="str">
        <f>HYPERLINK("https://www.compass.com/listing/252-east-57th-street-unit-39b-manhattan-ny-10022/29405814917726289/","252 E 57th St, Unit 39B")</f>
        <v>252 E 57th St, Unit 39B</v>
      </c>
      <c r="B2339" s="2" t="str">
        <f t="shared" si="339"/>
        <v>252 E 57th St</v>
      </c>
      <c r="C2339" s="1" t="s">
        <v>64</v>
      </c>
      <c r="D2339" s="1" t="s">
        <v>41</v>
      </c>
      <c r="E2339" s="3">
        <v>3948719</v>
      </c>
      <c r="F2339" s="1">
        <v>2050.2175493250202</v>
      </c>
      <c r="G2339" s="1">
        <v>5</v>
      </c>
      <c r="H2339" s="1">
        <v>3</v>
      </c>
      <c r="I2339" s="1">
        <v>3</v>
      </c>
      <c r="J2339" s="1">
        <v>3</v>
      </c>
      <c r="M2339" s="4">
        <v>1926</v>
      </c>
      <c r="N2339" s="1">
        <v>3421</v>
      </c>
      <c r="O2339" s="1">
        <v>4975</v>
      </c>
      <c r="P2339" s="1">
        <v>1554</v>
      </c>
      <c r="Q2339" s="1" t="s">
        <v>42</v>
      </c>
      <c r="S2339" s="1" t="s">
        <v>42</v>
      </c>
      <c r="T2339" s="1" t="s">
        <v>170</v>
      </c>
      <c r="U2339" s="1">
        <v>11</v>
      </c>
      <c r="V2339" s="5">
        <v>43650</v>
      </c>
      <c r="W2339" s="5">
        <v>42707</v>
      </c>
      <c r="X2339" s="1">
        <v>4245000</v>
      </c>
      <c r="Y2339" s="1">
        <v>4245000</v>
      </c>
      <c r="Z2339" s="5">
        <v>42718</v>
      </c>
      <c r="AA2339" s="1">
        <v>3948719</v>
      </c>
      <c r="AB2339" s="1" t="s">
        <v>1686</v>
      </c>
      <c r="AC2339" s="5">
        <v>42838</v>
      </c>
      <c r="AF2339" s="1">
        <v>10022</v>
      </c>
      <c r="AI2339" s="1" t="s">
        <v>84</v>
      </c>
      <c r="AJ2339" s="1">
        <v>2016</v>
      </c>
      <c r="AK2339" s="1" t="s">
        <v>73</v>
      </c>
      <c r="AL2339" s="1">
        <v>95</v>
      </c>
    </row>
    <row r="2340" spans="1:38" x14ac:dyDescent="0.2">
      <c r="A2340" s="2" t="str">
        <f>HYPERLINK("https://www.compass.com/listing/252-east-57th-street-unit-39c-manhattan-ny-10022/29405815412743617/","252 E 57th St, Unit 39C")</f>
        <v>252 E 57th St, Unit 39C</v>
      </c>
      <c r="B2340" s="2" t="str">
        <f t="shared" si="339"/>
        <v>252 E 57th St</v>
      </c>
      <c r="C2340" s="1" t="s">
        <v>64</v>
      </c>
      <c r="D2340" s="1" t="s">
        <v>41</v>
      </c>
      <c r="E2340" s="3">
        <v>4480300</v>
      </c>
      <c r="F2340" s="1">
        <v>2226.78926441351</v>
      </c>
      <c r="G2340" s="1">
        <v>5</v>
      </c>
      <c r="H2340" s="1">
        <v>3</v>
      </c>
      <c r="I2340" s="1">
        <v>3</v>
      </c>
      <c r="J2340" s="1">
        <v>3</v>
      </c>
      <c r="M2340" s="4">
        <v>2012</v>
      </c>
      <c r="N2340" s="1">
        <v>3603</v>
      </c>
      <c r="O2340" s="1">
        <v>5240</v>
      </c>
      <c r="P2340" s="1">
        <v>1637</v>
      </c>
      <c r="Q2340" s="1" t="s">
        <v>42</v>
      </c>
      <c r="S2340" s="1" t="s">
        <v>42</v>
      </c>
      <c r="T2340" s="1" t="s">
        <v>170</v>
      </c>
      <c r="U2340" s="1">
        <v>18</v>
      </c>
      <c r="V2340" s="5">
        <v>43664</v>
      </c>
      <c r="W2340" s="5">
        <v>42671</v>
      </c>
      <c r="X2340" s="1">
        <v>4445000</v>
      </c>
      <c r="Y2340" s="1">
        <v>4445000</v>
      </c>
      <c r="Z2340" s="5">
        <v>42689</v>
      </c>
      <c r="AA2340" s="1">
        <v>4480300</v>
      </c>
      <c r="AB2340" s="1" t="s">
        <v>1687</v>
      </c>
      <c r="AC2340" s="5">
        <v>42825</v>
      </c>
      <c r="AF2340" s="1">
        <v>10022</v>
      </c>
      <c r="AI2340" s="1" t="s">
        <v>65</v>
      </c>
      <c r="AJ2340" s="1">
        <v>2016</v>
      </c>
      <c r="AK2340" s="1" t="s">
        <v>73</v>
      </c>
      <c r="AL2340" s="1">
        <v>95</v>
      </c>
    </row>
    <row r="2341" spans="1:38" x14ac:dyDescent="0.2">
      <c r="A2341" s="2" t="str">
        <f>HYPERLINK("https://www.compass.com/listing/252-east-57th-street-unit-40b-manhattan-ny-10022/29405816905915873/","252 E 57th St, Unit 40B")</f>
        <v>252 E 57th St, Unit 40B</v>
      </c>
      <c r="B2341" s="2" t="str">
        <f t="shared" si="339"/>
        <v>252 E 57th St</v>
      </c>
      <c r="C2341" s="1" t="s">
        <v>64</v>
      </c>
      <c r="D2341" s="1" t="s">
        <v>41</v>
      </c>
      <c r="E2341" s="3">
        <v>4104511</v>
      </c>
      <c r="F2341" s="1">
        <v>2132.2135064935001</v>
      </c>
      <c r="G2341" s="1">
        <v>5</v>
      </c>
      <c r="H2341" s="1">
        <v>3</v>
      </c>
      <c r="I2341" s="1">
        <v>3</v>
      </c>
      <c r="J2341" s="1">
        <v>3</v>
      </c>
      <c r="M2341" s="4">
        <v>1925</v>
      </c>
      <c r="N2341" s="1">
        <v>3421</v>
      </c>
      <c r="O2341" s="1">
        <v>4975</v>
      </c>
      <c r="P2341" s="1">
        <v>1554</v>
      </c>
      <c r="Q2341" s="1" t="s">
        <v>42</v>
      </c>
      <c r="S2341" s="1" t="s">
        <v>42</v>
      </c>
      <c r="T2341" s="1" t="s">
        <v>170</v>
      </c>
      <c r="U2341" s="1">
        <v>6</v>
      </c>
      <c r="V2341" s="5">
        <v>43662</v>
      </c>
      <c r="W2341" s="5">
        <v>42861</v>
      </c>
      <c r="X2341" s="1">
        <v>4295000</v>
      </c>
      <c r="Y2341" s="1">
        <v>4295000</v>
      </c>
      <c r="Z2341" s="5">
        <v>42867</v>
      </c>
      <c r="AA2341" s="1">
        <v>4104511</v>
      </c>
      <c r="AB2341" s="1" t="s">
        <v>1689</v>
      </c>
      <c r="AC2341" s="5">
        <v>42888</v>
      </c>
      <c r="AF2341" s="1">
        <v>10022</v>
      </c>
      <c r="AI2341" s="1" t="s">
        <v>85</v>
      </c>
      <c r="AJ2341" s="1">
        <v>2016</v>
      </c>
      <c r="AK2341" s="1" t="s">
        <v>73</v>
      </c>
      <c r="AL2341" s="1">
        <v>95</v>
      </c>
    </row>
    <row r="2342" spans="1:38" x14ac:dyDescent="0.2">
      <c r="A2342" s="2" t="str">
        <f>HYPERLINK("https://www.compass.com/listing/252-east-57th-street-unit-41b-manhattan-ny-10022/29405818835205873/","252 E 57th St, Unit 41B")</f>
        <v>252 E 57th St, Unit 41B</v>
      </c>
      <c r="B2342" s="2" t="str">
        <f t="shared" si="339"/>
        <v>252 E 57th St</v>
      </c>
      <c r="C2342" s="1" t="s">
        <v>64</v>
      </c>
      <c r="D2342" s="1" t="s">
        <v>41</v>
      </c>
      <c r="E2342" s="3">
        <v>4076000</v>
      </c>
      <c r="F2342" s="1">
        <v>2118.5031185031098</v>
      </c>
      <c r="G2342" s="1">
        <v>5</v>
      </c>
      <c r="H2342" s="1">
        <v>3</v>
      </c>
      <c r="I2342" s="1">
        <v>3</v>
      </c>
      <c r="J2342" s="1">
        <v>3</v>
      </c>
      <c r="M2342" s="4">
        <v>1924</v>
      </c>
      <c r="N2342" s="1">
        <v>3421</v>
      </c>
      <c r="O2342" s="1">
        <v>4975</v>
      </c>
      <c r="P2342" s="1">
        <v>1554</v>
      </c>
      <c r="Q2342" s="1" t="s">
        <v>42</v>
      </c>
      <c r="S2342" s="1" t="s">
        <v>42</v>
      </c>
      <c r="T2342" s="1" t="s">
        <v>170</v>
      </c>
      <c r="U2342" s="1">
        <v>9</v>
      </c>
      <c r="V2342" s="5">
        <v>43650</v>
      </c>
      <c r="W2342" s="5">
        <v>42780</v>
      </c>
      <c r="X2342" s="1">
        <v>4345000</v>
      </c>
      <c r="Y2342" s="1">
        <v>4345000</v>
      </c>
      <c r="Z2342" s="5">
        <v>42789</v>
      </c>
      <c r="AA2342" s="1">
        <v>4076000</v>
      </c>
      <c r="AB2342" s="1" t="s">
        <v>1690</v>
      </c>
      <c r="AC2342" s="5">
        <v>42864</v>
      </c>
      <c r="AF2342" s="1">
        <v>10022</v>
      </c>
      <c r="AI2342" s="1" t="s">
        <v>84</v>
      </c>
      <c r="AJ2342" s="1">
        <v>2016</v>
      </c>
      <c r="AK2342" s="1" t="s">
        <v>73</v>
      </c>
      <c r="AL2342" s="1">
        <v>95</v>
      </c>
    </row>
    <row r="2343" spans="1:38" x14ac:dyDescent="0.2">
      <c r="A2343" s="2" t="str">
        <f>HYPERLINK("https://www.compass.com/listing/252-east-57th-street-unit-37d-manhattan-ny-10022/803411226277084417/","252 E 57th St, Unit 37D")</f>
        <v>252 E 57th St, Unit 37D</v>
      </c>
      <c r="B2343" s="2" t="str">
        <f t="shared" si="339"/>
        <v>252 E 57th St</v>
      </c>
      <c r="C2343" s="1" t="s">
        <v>64</v>
      </c>
      <c r="D2343" s="1" t="s">
        <v>41</v>
      </c>
      <c r="E2343" s="3">
        <v>3974175</v>
      </c>
      <c r="F2343" s="1">
        <v>2058.0916623511098</v>
      </c>
      <c r="G2343" s="1">
        <v>5</v>
      </c>
      <c r="H2343" s="1">
        <v>3</v>
      </c>
      <c r="I2343" s="1">
        <v>3</v>
      </c>
      <c r="J2343" s="1">
        <v>3</v>
      </c>
      <c r="M2343" s="4">
        <v>1931</v>
      </c>
      <c r="N2343" s="1">
        <v>3618</v>
      </c>
      <c r="O2343" s="1">
        <v>5490</v>
      </c>
      <c r="P2343" s="1">
        <v>1872</v>
      </c>
      <c r="Q2343" s="1" t="s">
        <v>42</v>
      </c>
      <c r="S2343" s="1" t="s">
        <v>42</v>
      </c>
      <c r="T2343" s="1" t="s">
        <v>170</v>
      </c>
      <c r="U2343" s="1">
        <v>98</v>
      </c>
      <c r="V2343" s="5">
        <v>43173</v>
      </c>
      <c r="W2343" s="5">
        <v>43049</v>
      </c>
      <c r="X2343" s="1">
        <v>4020000</v>
      </c>
      <c r="Y2343" s="1">
        <v>4020000</v>
      </c>
      <c r="Z2343" s="5">
        <v>43148</v>
      </c>
      <c r="AA2343" s="1">
        <v>3974175</v>
      </c>
      <c r="AB2343" s="1" t="s">
        <v>1785</v>
      </c>
      <c r="AC2343" s="5">
        <v>43186</v>
      </c>
      <c r="AF2343" s="1">
        <v>10022</v>
      </c>
      <c r="AI2343" s="1" t="s">
        <v>84</v>
      </c>
      <c r="AJ2343" s="1">
        <v>2016</v>
      </c>
      <c r="AK2343" s="1" t="s">
        <v>73</v>
      </c>
      <c r="AL2343" s="1">
        <v>95</v>
      </c>
    </row>
    <row r="2344" spans="1:38" x14ac:dyDescent="0.2">
      <c r="A2344" s="2" t="str">
        <f>HYPERLINK("https://www.compass.com/listing/101-wall-street-unit-21a-manhattan-ny-10005/29356249283920801/","101 Wall St, Unit 21A")</f>
        <v>101 Wall St, Unit 21A</v>
      </c>
      <c r="B2344" s="2" t="str">
        <f>HYPERLINK("https://www.compass.com/building/101-wall-st-manhattan-ny-10005/292788767809355381/","101 Wall St")</f>
        <v>101 Wall St</v>
      </c>
      <c r="C2344" s="1" t="s">
        <v>117</v>
      </c>
      <c r="D2344" s="1" t="s">
        <v>41</v>
      </c>
      <c r="E2344" s="3">
        <v>4100000</v>
      </c>
      <c r="F2344" s="1">
        <v>1778.7418655097599</v>
      </c>
      <c r="G2344" s="1">
        <v>5</v>
      </c>
      <c r="H2344" s="1">
        <v>3</v>
      </c>
      <c r="I2344" s="1">
        <v>3</v>
      </c>
      <c r="J2344" s="1">
        <v>3.5</v>
      </c>
      <c r="K2344" s="1">
        <v>3</v>
      </c>
      <c r="L2344" s="1">
        <v>1</v>
      </c>
      <c r="M2344" s="4">
        <v>2305</v>
      </c>
      <c r="N2344" s="1">
        <v>2988</v>
      </c>
      <c r="O2344" s="1">
        <v>6442</v>
      </c>
      <c r="P2344" s="1">
        <v>3454</v>
      </c>
      <c r="Q2344" s="1" t="s">
        <v>42</v>
      </c>
      <c r="S2344" s="1" t="s">
        <v>42</v>
      </c>
      <c r="T2344" s="1" t="s">
        <v>170</v>
      </c>
      <c r="V2344" s="5">
        <v>43626</v>
      </c>
      <c r="W2344" s="5">
        <v>42272</v>
      </c>
      <c r="X2344" s="1">
        <v>4100000</v>
      </c>
      <c r="Y2344" s="1">
        <v>4100000</v>
      </c>
      <c r="Z2344" s="5">
        <v>42272</v>
      </c>
      <c r="AA2344" s="1">
        <v>4100000</v>
      </c>
      <c r="AB2344" s="1" t="s">
        <v>1786</v>
      </c>
      <c r="AC2344" s="5">
        <v>42963</v>
      </c>
      <c r="AF2344" s="1">
        <v>10005</v>
      </c>
      <c r="AI2344" s="1" t="s">
        <v>45</v>
      </c>
      <c r="AJ2344" s="1">
        <v>2016</v>
      </c>
      <c r="AK2344" s="1" t="s">
        <v>77</v>
      </c>
      <c r="AL2344" s="1">
        <v>51</v>
      </c>
    </row>
    <row r="2345" spans="1:38" x14ac:dyDescent="0.2">
      <c r="A2345" s="2" t="str">
        <f>HYPERLINK("https://www.compass.com/listing/252-east-57th-street-unit-36c-manhattan-ny-10022/29405809825930577/","252 E 57th St, Unit 36C")</f>
        <v>252 E 57th St, Unit 36C</v>
      </c>
      <c r="B2345" s="2" t="str">
        <f t="shared" ref="B2345:B2359" si="340">HYPERLINK("https://www.compass.com/building/252-e-57th-st-manhattan-ny-10022/281924023602945813/","252 E 57th St")</f>
        <v>252 E 57th St</v>
      </c>
      <c r="C2345" s="1" t="s">
        <v>64</v>
      </c>
      <c r="D2345" s="1" t="s">
        <v>41</v>
      </c>
      <c r="E2345" s="3">
        <v>4381475</v>
      </c>
      <c r="F2345" s="1">
        <v>2175.5089374379299</v>
      </c>
      <c r="G2345" s="1">
        <v>5</v>
      </c>
      <c r="H2345" s="1">
        <v>3</v>
      </c>
      <c r="I2345" s="1">
        <v>3</v>
      </c>
      <c r="J2345" s="1">
        <v>3</v>
      </c>
      <c r="M2345" s="4">
        <v>2014</v>
      </c>
      <c r="N2345" s="1">
        <v>3600</v>
      </c>
      <c r="O2345" s="1">
        <v>5234</v>
      </c>
      <c r="P2345" s="1">
        <v>1634</v>
      </c>
      <c r="Q2345" s="1" t="s">
        <v>42</v>
      </c>
      <c r="S2345" s="1" t="s">
        <v>42</v>
      </c>
      <c r="T2345" s="1" t="s">
        <v>170</v>
      </c>
      <c r="U2345" s="1">
        <v>164</v>
      </c>
      <c r="V2345" s="5">
        <v>43662</v>
      </c>
      <c r="W2345" s="5">
        <v>42350</v>
      </c>
      <c r="X2345" s="1">
        <v>4875000</v>
      </c>
      <c r="Y2345" s="1">
        <v>4875000</v>
      </c>
      <c r="Z2345" s="5">
        <v>42514</v>
      </c>
      <c r="AA2345" s="1">
        <v>4381475</v>
      </c>
      <c r="AB2345" s="1" t="s">
        <v>1682</v>
      </c>
      <c r="AC2345" s="5">
        <v>42908</v>
      </c>
      <c r="AF2345" s="1">
        <v>10022</v>
      </c>
      <c r="AI2345" s="1" t="s">
        <v>65</v>
      </c>
      <c r="AJ2345" s="1">
        <v>2016</v>
      </c>
      <c r="AK2345" s="1" t="s">
        <v>46</v>
      </c>
      <c r="AL2345" s="1">
        <v>95</v>
      </c>
    </row>
    <row r="2346" spans="1:38" x14ac:dyDescent="0.2">
      <c r="A2346" s="2" t="str">
        <f>HYPERLINK("https://www.compass.com/listing/252-east-57th-street-unit-36d-manhattan-ny-10022/29405810262048321/","252 E 57th St, Unit 36D")</f>
        <v>252 E 57th St, Unit 36D</v>
      </c>
      <c r="B2346" s="2" t="str">
        <f t="shared" si="340"/>
        <v>252 E 57th St</v>
      </c>
      <c r="C2346" s="1" t="s">
        <v>64</v>
      </c>
      <c r="D2346" s="1" t="s">
        <v>41</v>
      </c>
      <c r="E2346" s="3">
        <v>4004723</v>
      </c>
      <c r="F2346" s="1">
        <v>2072.8379917184202</v>
      </c>
      <c r="G2346" s="1">
        <v>5</v>
      </c>
      <c r="H2346" s="1">
        <v>3</v>
      </c>
      <c r="I2346" s="1">
        <v>3</v>
      </c>
      <c r="J2346" s="1">
        <v>3</v>
      </c>
      <c r="M2346" s="4">
        <v>1932</v>
      </c>
      <c r="N2346" s="1">
        <v>3424</v>
      </c>
      <c r="O2346" s="1">
        <v>4980</v>
      </c>
      <c r="P2346" s="1">
        <v>1556</v>
      </c>
      <c r="Q2346" s="1" t="s">
        <v>42</v>
      </c>
      <c r="S2346" s="1" t="s">
        <v>42</v>
      </c>
      <c r="T2346" s="1" t="s">
        <v>170</v>
      </c>
      <c r="U2346" s="1">
        <v>321</v>
      </c>
      <c r="V2346" s="5">
        <v>43664</v>
      </c>
      <c r="W2346" s="5">
        <v>42557</v>
      </c>
      <c r="X2346" s="1">
        <v>4685000</v>
      </c>
      <c r="Y2346" s="1">
        <v>3995000</v>
      </c>
      <c r="Z2346" s="5">
        <v>42878</v>
      </c>
      <c r="AA2346" s="1">
        <v>4004723</v>
      </c>
      <c r="AB2346" s="1" t="s">
        <v>1683</v>
      </c>
      <c r="AC2346" s="5">
        <v>42938</v>
      </c>
      <c r="AF2346" s="1">
        <v>10022</v>
      </c>
      <c r="AI2346" s="1" t="s">
        <v>84</v>
      </c>
      <c r="AJ2346" s="1">
        <v>2016</v>
      </c>
      <c r="AK2346" s="1" t="s">
        <v>73</v>
      </c>
      <c r="AL2346" s="1">
        <v>95</v>
      </c>
    </row>
    <row r="2347" spans="1:38" x14ac:dyDescent="0.2">
      <c r="A2347" s="2" t="str">
        <f>HYPERLINK("https://www.compass.com/listing/252-east-57th-street-unit-36b-manhattan-ny-10022/29405809347690465/","252 E 57th St, Unit 36B")</f>
        <v>252 E 57th St, Unit 36B</v>
      </c>
      <c r="B2347" s="2" t="str">
        <f t="shared" si="340"/>
        <v>252 E 57th St</v>
      </c>
      <c r="C2347" s="1" t="s">
        <v>64</v>
      </c>
      <c r="D2347" s="1" t="s">
        <v>41</v>
      </c>
      <c r="E2347" s="3">
        <v>3821438</v>
      </c>
      <c r="F2347" s="1">
        <v>1980.0196891191699</v>
      </c>
      <c r="G2347" s="1">
        <v>5</v>
      </c>
      <c r="H2347" s="1">
        <v>3</v>
      </c>
      <c r="I2347" s="1">
        <v>3</v>
      </c>
      <c r="J2347" s="1">
        <v>3</v>
      </c>
      <c r="M2347" s="4">
        <v>1930</v>
      </c>
      <c r="N2347" s="1">
        <v>3424</v>
      </c>
      <c r="O2347" s="1">
        <v>4978</v>
      </c>
      <c r="P2347" s="1">
        <v>1554</v>
      </c>
      <c r="Q2347" s="1" t="s">
        <v>42</v>
      </c>
      <c r="S2347" s="1" t="s">
        <v>42</v>
      </c>
      <c r="T2347" s="1" t="s">
        <v>170</v>
      </c>
      <c r="U2347" s="1">
        <v>201</v>
      </c>
      <c r="V2347" s="5">
        <v>43650</v>
      </c>
      <c r="W2347" s="5">
        <v>42348</v>
      </c>
      <c r="X2347" s="1">
        <v>4685000</v>
      </c>
      <c r="Y2347" s="1">
        <v>3950000</v>
      </c>
      <c r="Z2347" s="5">
        <v>42549</v>
      </c>
      <c r="AA2347" s="1">
        <v>3821438</v>
      </c>
      <c r="AB2347" s="1" t="s">
        <v>1692</v>
      </c>
      <c r="AC2347" s="5">
        <v>42843</v>
      </c>
      <c r="AF2347" s="1">
        <v>10022</v>
      </c>
      <c r="AI2347" s="1" t="s">
        <v>84</v>
      </c>
      <c r="AJ2347" s="1">
        <v>2016</v>
      </c>
      <c r="AK2347" s="1" t="s">
        <v>73</v>
      </c>
      <c r="AL2347" s="1">
        <v>95</v>
      </c>
    </row>
    <row r="2348" spans="1:38" x14ac:dyDescent="0.2">
      <c r="A2348" s="2" t="str">
        <f>HYPERLINK("https://www.compass.com/listing/252-east-57th-street-unit-37a-manhattan-ny-10022/29405810740199409/","252 E 57th St, Unit 37A")</f>
        <v>252 E 57th St, Unit 37A</v>
      </c>
      <c r="B2348" s="2" t="str">
        <f t="shared" si="340"/>
        <v>252 E 57th St</v>
      </c>
      <c r="C2348" s="1" t="s">
        <v>64</v>
      </c>
      <c r="D2348" s="1" t="s">
        <v>41</v>
      </c>
      <c r="E2348" s="3">
        <v>4406931</v>
      </c>
      <c r="F2348" s="1">
        <v>2185.9776785714198</v>
      </c>
      <c r="G2348" s="1">
        <v>5</v>
      </c>
      <c r="H2348" s="1">
        <v>3</v>
      </c>
      <c r="I2348" s="1">
        <v>3</v>
      </c>
      <c r="J2348" s="1">
        <v>3</v>
      </c>
      <c r="K2348" s="1">
        <v>3</v>
      </c>
      <c r="M2348" s="4">
        <v>2016</v>
      </c>
      <c r="N2348" s="1">
        <v>3806</v>
      </c>
      <c r="O2348" s="1">
        <v>5776</v>
      </c>
      <c r="P2348" s="1">
        <v>1970</v>
      </c>
      <c r="Q2348" s="1" t="s">
        <v>42</v>
      </c>
      <c r="S2348" s="1" t="s">
        <v>42</v>
      </c>
      <c r="T2348" s="1" t="s">
        <v>170</v>
      </c>
      <c r="U2348" s="1">
        <v>110</v>
      </c>
      <c r="V2348" s="5">
        <v>43678</v>
      </c>
      <c r="W2348" s="5">
        <v>43055</v>
      </c>
      <c r="X2348" s="1">
        <v>4400000</v>
      </c>
      <c r="Y2348" s="1">
        <v>4400000</v>
      </c>
      <c r="Z2348" s="5">
        <v>43165</v>
      </c>
      <c r="AA2348" s="1">
        <v>4406931</v>
      </c>
      <c r="AB2348" s="1" t="s">
        <v>1787</v>
      </c>
      <c r="AC2348" s="5">
        <v>43235</v>
      </c>
      <c r="AF2348" s="1">
        <v>10022</v>
      </c>
      <c r="AI2348" s="1" t="s">
        <v>138</v>
      </c>
      <c r="AJ2348" s="1">
        <v>2016</v>
      </c>
      <c r="AK2348" s="1" t="s">
        <v>73</v>
      </c>
      <c r="AL2348" s="1">
        <v>95</v>
      </c>
    </row>
    <row r="2349" spans="1:38" x14ac:dyDescent="0.2">
      <c r="A2349" s="2" t="str">
        <f>HYPERLINK("https://www.compass.com/listing/252-east-57th-street-unit-37b-manhattan-ny-10022/29405811210050913/","252 E 57th St, Unit 37B")</f>
        <v>252 E 57th St, Unit 37B</v>
      </c>
      <c r="B2349" s="2" t="str">
        <f t="shared" si="340"/>
        <v>252 E 57th St</v>
      </c>
      <c r="C2349" s="1" t="s">
        <v>64</v>
      </c>
      <c r="D2349" s="1" t="s">
        <v>41</v>
      </c>
      <c r="E2349" s="3">
        <v>4025088</v>
      </c>
      <c r="F2349" s="1">
        <v>2086.6189735614298</v>
      </c>
      <c r="G2349" s="1">
        <v>5</v>
      </c>
      <c r="H2349" s="1">
        <v>3</v>
      </c>
      <c r="I2349" s="1">
        <v>3</v>
      </c>
      <c r="J2349" s="1">
        <v>3</v>
      </c>
      <c r="K2349" s="1">
        <v>3</v>
      </c>
      <c r="M2349" s="4">
        <v>1929</v>
      </c>
      <c r="N2349" s="1">
        <v>3614</v>
      </c>
      <c r="O2349" s="1">
        <v>5484</v>
      </c>
      <c r="P2349" s="1">
        <v>1870</v>
      </c>
      <c r="Q2349" s="1" t="s">
        <v>42</v>
      </c>
      <c r="S2349" s="1" t="s">
        <v>42</v>
      </c>
      <c r="T2349" s="1" t="s">
        <v>170</v>
      </c>
      <c r="U2349" s="1">
        <v>153</v>
      </c>
      <c r="V2349" s="5">
        <v>43678</v>
      </c>
      <c r="W2349" s="5">
        <v>42999</v>
      </c>
      <c r="X2349" s="1">
        <v>3950000</v>
      </c>
      <c r="Y2349" s="1">
        <v>3950000</v>
      </c>
      <c r="Z2349" s="5">
        <v>43152</v>
      </c>
      <c r="AA2349" s="1">
        <v>4025088</v>
      </c>
      <c r="AB2349" s="1" t="s">
        <v>1788</v>
      </c>
      <c r="AC2349" s="5">
        <v>43215</v>
      </c>
      <c r="AF2349" s="1">
        <v>10022</v>
      </c>
      <c r="AI2349" s="1" t="s">
        <v>110</v>
      </c>
      <c r="AJ2349" s="1">
        <v>2016</v>
      </c>
      <c r="AK2349" s="1" t="s">
        <v>73</v>
      </c>
      <c r="AL2349" s="1">
        <v>95</v>
      </c>
    </row>
    <row r="2350" spans="1:38" x14ac:dyDescent="0.2">
      <c r="A2350" s="2" t="str">
        <f>HYPERLINK("https://www.compass.com/listing/252-east-57th-street-unit-37c-manhattan-ny-10022/29405811612614225/","252 E 57th St, Unit 37C")</f>
        <v>252 E 57th St, Unit 37C</v>
      </c>
      <c r="B2350" s="2" t="str">
        <f t="shared" si="340"/>
        <v>252 E 57th St</v>
      </c>
      <c r="C2350" s="1" t="s">
        <v>64</v>
      </c>
      <c r="D2350" s="1" t="s">
        <v>41</v>
      </c>
      <c r="E2350" s="3">
        <v>4228738</v>
      </c>
      <c r="F2350" s="1">
        <v>2100.7143566815698</v>
      </c>
      <c r="G2350" s="1">
        <v>5</v>
      </c>
      <c r="H2350" s="1">
        <v>3</v>
      </c>
      <c r="I2350" s="1">
        <v>3</v>
      </c>
      <c r="J2350" s="1">
        <v>3</v>
      </c>
      <c r="M2350" s="4">
        <v>2013</v>
      </c>
      <c r="N2350" s="1">
        <v>3599</v>
      </c>
      <c r="O2350" s="1">
        <v>5234</v>
      </c>
      <c r="P2350" s="1">
        <v>1635</v>
      </c>
      <c r="Q2350" s="1" t="s">
        <v>42</v>
      </c>
      <c r="S2350" s="1" t="s">
        <v>42</v>
      </c>
      <c r="T2350" s="1" t="s">
        <v>170</v>
      </c>
      <c r="U2350" s="1">
        <v>166</v>
      </c>
      <c r="V2350" s="5">
        <v>43636</v>
      </c>
      <c r="W2350" s="5">
        <v>42705</v>
      </c>
      <c r="X2350" s="1">
        <v>4350000</v>
      </c>
      <c r="Y2350" s="1">
        <v>4350000</v>
      </c>
      <c r="Z2350" s="5">
        <v>42871</v>
      </c>
      <c r="AA2350" s="1">
        <v>4228738</v>
      </c>
      <c r="AB2350" s="1" t="s">
        <v>1789</v>
      </c>
      <c r="AC2350" s="5">
        <v>42917</v>
      </c>
      <c r="AF2350" s="1">
        <v>10022</v>
      </c>
      <c r="AI2350" s="1" t="s">
        <v>65</v>
      </c>
      <c r="AJ2350" s="1">
        <v>2016</v>
      </c>
      <c r="AK2350" s="1" t="s">
        <v>46</v>
      </c>
      <c r="AL2350" s="1">
        <v>95</v>
      </c>
    </row>
    <row r="2351" spans="1:38" x14ac:dyDescent="0.2">
      <c r="A2351" s="2" t="str">
        <f>HYPERLINK("https://www.compass.com/listing/252-east-57th-street-unit-38b-manhattan-ny-10022/29405813089009281/","252 E 57th St, Unit 38B")</f>
        <v>252 E 57th St, Unit 38B</v>
      </c>
      <c r="B2351" s="2" t="str">
        <f t="shared" si="340"/>
        <v>252 E 57th St</v>
      </c>
      <c r="C2351" s="1" t="s">
        <v>64</v>
      </c>
      <c r="D2351" s="1" t="s">
        <v>41</v>
      </c>
      <c r="E2351" s="3">
        <v>3872350</v>
      </c>
      <c r="F2351" s="1">
        <v>2008.4802904564301</v>
      </c>
      <c r="G2351" s="1">
        <v>5</v>
      </c>
      <c r="H2351" s="1">
        <v>3</v>
      </c>
      <c r="I2351" s="1">
        <v>3</v>
      </c>
      <c r="J2351" s="1">
        <v>3</v>
      </c>
      <c r="M2351" s="4">
        <v>1928</v>
      </c>
      <c r="N2351" s="1">
        <v>3422</v>
      </c>
      <c r="O2351" s="1">
        <v>4977</v>
      </c>
      <c r="P2351" s="1">
        <v>1555</v>
      </c>
      <c r="Q2351" s="1" t="s">
        <v>42</v>
      </c>
      <c r="S2351" s="1" t="s">
        <v>42</v>
      </c>
      <c r="T2351" s="1" t="s">
        <v>170</v>
      </c>
      <c r="U2351" s="1">
        <v>441</v>
      </c>
      <c r="V2351" s="5">
        <v>43650</v>
      </c>
      <c r="W2351" s="5">
        <v>42557</v>
      </c>
      <c r="X2351" s="1">
        <v>3995000</v>
      </c>
      <c r="Y2351" s="1">
        <v>3995000</v>
      </c>
      <c r="Z2351" s="5">
        <v>42998</v>
      </c>
      <c r="AA2351" s="1">
        <v>3872350</v>
      </c>
      <c r="AB2351" s="1" t="s">
        <v>1693</v>
      </c>
      <c r="AC2351" s="5">
        <v>43042</v>
      </c>
      <c r="AF2351" s="1">
        <v>10022</v>
      </c>
      <c r="AI2351" s="1" t="s">
        <v>84</v>
      </c>
      <c r="AJ2351" s="1">
        <v>2016</v>
      </c>
      <c r="AK2351" s="1" t="s">
        <v>73</v>
      </c>
      <c r="AL2351" s="1">
        <v>95</v>
      </c>
    </row>
    <row r="2352" spans="1:38" x14ac:dyDescent="0.2">
      <c r="A2352" s="2" t="str">
        <f>HYPERLINK("https://www.compass.com/listing/252-east-57th-street-unit-39a-manhattan-ny-10022/29405814498295441/","252 E 57th St, Unit 39A")</f>
        <v>252 E 57th St, Unit 39A</v>
      </c>
      <c r="B2352" s="2" t="str">
        <f t="shared" si="340"/>
        <v>252 E 57th St</v>
      </c>
      <c r="C2352" s="1" t="s">
        <v>64</v>
      </c>
      <c r="D2352" s="1" t="s">
        <v>41</v>
      </c>
      <c r="E2352" s="3">
        <v>4534213</v>
      </c>
      <c r="F2352" s="1">
        <v>2251.3470705064501</v>
      </c>
      <c r="G2352" s="1">
        <v>5</v>
      </c>
      <c r="H2352" s="1">
        <v>3</v>
      </c>
      <c r="I2352" s="1">
        <v>3</v>
      </c>
      <c r="J2352" s="1">
        <v>3</v>
      </c>
      <c r="K2352" s="1">
        <v>3</v>
      </c>
      <c r="M2352" s="4">
        <v>2014</v>
      </c>
      <c r="N2352" s="1">
        <v>3808</v>
      </c>
      <c r="O2352" s="1">
        <v>5779</v>
      </c>
      <c r="P2352" s="1">
        <v>1971</v>
      </c>
      <c r="Q2352" s="1" t="s">
        <v>42</v>
      </c>
      <c r="S2352" s="1" t="s">
        <v>42</v>
      </c>
      <c r="T2352" s="1" t="s">
        <v>170</v>
      </c>
      <c r="U2352" s="1">
        <v>7</v>
      </c>
      <c r="V2352" s="5">
        <v>43678</v>
      </c>
      <c r="W2352" s="5">
        <v>43176</v>
      </c>
      <c r="X2352" s="1">
        <v>4475000</v>
      </c>
      <c r="Y2352" s="1">
        <v>4475000</v>
      </c>
      <c r="Z2352" s="5">
        <v>43183</v>
      </c>
      <c r="AA2352" s="1">
        <v>4534213</v>
      </c>
      <c r="AB2352" s="1" t="s">
        <v>1790</v>
      </c>
      <c r="AC2352" s="5">
        <v>43251</v>
      </c>
      <c r="AF2352" s="1">
        <v>10022</v>
      </c>
      <c r="AI2352" s="1" t="s">
        <v>138</v>
      </c>
      <c r="AJ2352" s="1">
        <v>2016</v>
      </c>
      <c r="AK2352" s="1" t="s">
        <v>73</v>
      </c>
      <c r="AL2352" s="1">
        <v>95</v>
      </c>
    </row>
    <row r="2353" spans="1:38" x14ac:dyDescent="0.2">
      <c r="A2353" s="2" t="str">
        <f>HYPERLINK("https://www.compass.com/listing/252-east-57th-street-unit-39d-manhattan-ny-10022/29405815899193009/","252 E 57th St, Unit 39D")</f>
        <v>252 E 57th St, Unit 39D</v>
      </c>
      <c r="B2353" s="2" t="str">
        <f t="shared" si="340"/>
        <v>252 E 57th St</v>
      </c>
      <c r="C2353" s="1" t="s">
        <v>64</v>
      </c>
      <c r="D2353" s="1" t="s">
        <v>41</v>
      </c>
      <c r="E2353" s="3">
        <v>3999631</v>
      </c>
      <c r="F2353" s="1">
        <v>2074.497406639</v>
      </c>
      <c r="G2353" s="1">
        <v>5</v>
      </c>
      <c r="H2353" s="1">
        <v>3</v>
      </c>
      <c r="I2353" s="1">
        <v>3</v>
      </c>
      <c r="J2353" s="1">
        <v>3</v>
      </c>
      <c r="M2353" s="4">
        <v>1928</v>
      </c>
      <c r="N2353" s="1">
        <v>3424</v>
      </c>
      <c r="O2353" s="1">
        <v>4980</v>
      </c>
      <c r="P2353" s="1">
        <v>1556</v>
      </c>
      <c r="Q2353" s="1" t="s">
        <v>42</v>
      </c>
      <c r="S2353" s="1" t="s">
        <v>42</v>
      </c>
      <c r="T2353" s="1" t="s">
        <v>170</v>
      </c>
      <c r="U2353" s="1">
        <v>27</v>
      </c>
      <c r="V2353" s="5">
        <v>43649</v>
      </c>
      <c r="W2353" s="5">
        <v>43022</v>
      </c>
      <c r="X2353" s="1">
        <v>4085000</v>
      </c>
      <c r="Y2353" s="1">
        <v>4085000</v>
      </c>
      <c r="Z2353" s="5">
        <v>43049</v>
      </c>
      <c r="AA2353" s="1">
        <v>3999631</v>
      </c>
      <c r="AB2353" s="1" t="s">
        <v>1711</v>
      </c>
      <c r="AC2353" s="5">
        <v>43098</v>
      </c>
      <c r="AF2353" s="1">
        <v>10022</v>
      </c>
      <c r="AI2353" s="1" t="s">
        <v>85</v>
      </c>
      <c r="AJ2353" s="1">
        <v>2016</v>
      </c>
      <c r="AK2353" s="1" t="s">
        <v>73</v>
      </c>
      <c r="AL2353" s="1">
        <v>95</v>
      </c>
    </row>
    <row r="2354" spans="1:38" x14ac:dyDescent="0.2">
      <c r="A2354" s="2" t="str">
        <f>HYPERLINK("https://www.compass.com/listing/252-east-57th-street-unit-40c-manhattan-ny-10022/29405817459474129/","252 E 57th St, Unit 40C")</f>
        <v>252 E 57th St, Unit 40C</v>
      </c>
      <c r="B2354" s="2" t="str">
        <f t="shared" si="340"/>
        <v>252 E 57th St</v>
      </c>
      <c r="C2354" s="1" t="s">
        <v>64</v>
      </c>
      <c r="D2354" s="1" t="s">
        <v>41</v>
      </c>
      <c r="E2354" s="3">
        <v>4381475</v>
      </c>
      <c r="F2354" s="1">
        <v>2178.7543510691198</v>
      </c>
      <c r="G2354" s="1">
        <v>5</v>
      </c>
      <c r="H2354" s="1">
        <v>3</v>
      </c>
      <c r="I2354" s="1">
        <v>3</v>
      </c>
      <c r="J2354" s="1">
        <v>3</v>
      </c>
      <c r="M2354" s="4">
        <v>2011</v>
      </c>
      <c r="N2354" s="1">
        <v>3603</v>
      </c>
      <c r="O2354" s="1">
        <v>5240</v>
      </c>
      <c r="P2354" s="1">
        <v>1637</v>
      </c>
      <c r="Q2354" s="1" t="s">
        <v>42</v>
      </c>
      <c r="S2354" s="1" t="s">
        <v>42</v>
      </c>
      <c r="T2354" s="1" t="s">
        <v>170</v>
      </c>
      <c r="U2354" s="1">
        <v>14</v>
      </c>
      <c r="V2354" s="5">
        <v>43650</v>
      </c>
      <c r="W2354" s="5">
        <v>42689</v>
      </c>
      <c r="X2354" s="1">
        <v>4495000</v>
      </c>
      <c r="Y2354" s="1">
        <v>4495000</v>
      </c>
      <c r="Z2354" s="5">
        <v>42703</v>
      </c>
      <c r="AA2354" s="1">
        <v>4381475</v>
      </c>
      <c r="AB2354" s="1" t="s">
        <v>1695</v>
      </c>
      <c r="AC2354" s="5">
        <v>42844</v>
      </c>
      <c r="AF2354" s="1">
        <v>10022</v>
      </c>
      <c r="AI2354" s="1" t="s">
        <v>65</v>
      </c>
      <c r="AJ2354" s="1">
        <v>2016</v>
      </c>
      <c r="AK2354" s="1" t="s">
        <v>73</v>
      </c>
      <c r="AL2354" s="1">
        <v>95</v>
      </c>
    </row>
    <row r="2355" spans="1:38" x14ac:dyDescent="0.2">
      <c r="A2355" s="2" t="str">
        <f>HYPERLINK("https://www.compass.com/listing/252-east-57th-street-unit-41a-manhattan-ny-10022/29405818466196977/","252 E 57th St, Unit 41A")</f>
        <v>252 E 57th St, Unit 41A</v>
      </c>
      <c r="B2355" s="2" t="str">
        <f t="shared" si="340"/>
        <v>252 E 57th St</v>
      </c>
      <c r="C2355" s="1" t="s">
        <v>64</v>
      </c>
      <c r="D2355" s="1" t="s">
        <v>41</v>
      </c>
      <c r="E2355" s="3">
        <v>4518939</v>
      </c>
      <c r="F2355" s="1">
        <v>2245.99353876739</v>
      </c>
      <c r="G2355" s="1">
        <v>5</v>
      </c>
      <c r="H2355" s="1">
        <v>3</v>
      </c>
      <c r="I2355" s="1">
        <v>4</v>
      </c>
      <c r="J2355" s="1">
        <v>3.5</v>
      </c>
      <c r="K2355" s="1">
        <v>3</v>
      </c>
      <c r="L2355" s="1">
        <v>1</v>
      </c>
      <c r="M2355" s="4">
        <v>2012</v>
      </c>
      <c r="N2355" s="1">
        <v>3809</v>
      </c>
      <c r="O2355" s="1">
        <v>5780</v>
      </c>
      <c r="P2355" s="1">
        <v>1971</v>
      </c>
      <c r="Q2355" s="1" t="s">
        <v>42</v>
      </c>
      <c r="S2355" s="1" t="s">
        <v>42</v>
      </c>
      <c r="T2355" s="1" t="s">
        <v>170</v>
      </c>
      <c r="U2355" s="1">
        <v>11</v>
      </c>
      <c r="V2355" s="5">
        <v>43678</v>
      </c>
      <c r="W2355" s="5">
        <v>43165</v>
      </c>
      <c r="X2355" s="1">
        <v>4595000</v>
      </c>
      <c r="Y2355" s="1">
        <v>4595000</v>
      </c>
      <c r="Z2355" s="5">
        <v>43176</v>
      </c>
      <c r="AA2355" s="1">
        <v>4518939</v>
      </c>
      <c r="AB2355" s="1" t="s">
        <v>1791</v>
      </c>
      <c r="AC2355" s="5">
        <v>43264</v>
      </c>
      <c r="AF2355" s="1">
        <v>10022</v>
      </c>
      <c r="AI2355" s="1" t="s">
        <v>138</v>
      </c>
      <c r="AJ2355" s="1">
        <v>2016</v>
      </c>
      <c r="AK2355" s="1" t="s">
        <v>73</v>
      </c>
      <c r="AL2355" s="1">
        <v>95</v>
      </c>
    </row>
    <row r="2356" spans="1:38" x14ac:dyDescent="0.2">
      <c r="A2356" s="2" t="str">
        <f>HYPERLINK("https://www.compass.com/listing/252-east-57th-street-unit-41c-manhattan-ny-10022/29405819304968369/","252 E 57th St, Unit 41C")</f>
        <v>252 E 57th St, Unit 41C</v>
      </c>
      <c r="B2356" s="2" t="str">
        <f t="shared" si="340"/>
        <v>252 E 57th St</v>
      </c>
      <c r="C2356" s="1" t="s">
        <v>64</v>
      </c>
      <c r="D2356" s="1" t="s">
        <v>41</v>
      </c>
      <c r="E2356" s="3">
        <v>4381475</v>
      </c>
      <c r="F2356" s="1">
        <v>2179.8383084577099</v>
      </c>
      <c r="G2356" s="1">
        <v>5</v>
      </c>
      <c r="H2356" s="1">
        <v>3</v>
      </c>
      <c r="I2356" s="1">
        <v>3</v>
      </c>
      <c r="J2356" s="1">
        <v>3</v>
      </c>
      <c r="M2356" s="4">
        <v>2010</v>
      </c>
      <c r="N2356" s="1">
        <v>3607</v>
      </c>
      <c r="O2356" s="1">
        <v>5244</v>
      </c>
      <c r="P2356" s="1">
        <v>1637</v>
      </c>
      <c r="Q2356" s="1" t="s">
        <v>42</v>
      </c>
      <c r="S2356" s="1" t="s">
        <v>42</v>
      </c>
      <c r="T2356" s="1" t="s">
        <v>170</v>
      </c>
      <c r="U2356" s="1">
        <v>7</v>
      </c>
      <c r="V2356" s="5">
        <v>43650</v>
      </c>
      <c r="W2356" s="5">
        <v>42629</v>
      </c>
      <c r="X2356" s="1">
        <v>4545000</v>
      </c>
      <c r="Y2356" s="1">
        <v>4545000</v>
      </c>
      <c r="Z2356" s="5">
        <v>42636</v>
      </c>
      <c r="AA2356" s="1">
        <v>4381475</v>
      </c>
      <c r="AB2356" s="1" t="s">
        <v>1691</v>
      </c>
      <c r="AC2356" s="5">
        <v>42835</v>
      </c>
      <c r="AF2356" s="1">
        <v>10022</v>
      </c>
      <c r="AI2356" s="1" t="s">
        <v>65</v>
      </c>
      <c r="AJ2356" s="1">
        <v>2016</v>
      </c>
      <c r="AK2356" s="1" t="s">
        <v>73</v>
      </c>
      <c r="AL2356" s="1">
        <v>95</v>
      </c>
    </row>
    <row r="2357" spans="1:38" x14ac:dyDescent="0.2">
      <c r="A2357" s="2" t="str">
        <f>HYPERLINK("https://www.compass.com/listing/252-east-57th-street-unit-39a-manhattan-ny-10022/803328092554617649/","252 E 57th St, Unit 39A")</f>
        <v>252 E 57th St, Unit 39A</v>
      </c>
      <c r="B2357" s="2" t="str">
        <f t="shared" si="340"/>
        <v>252 E 57th St</v>
      </c>
      <c r="C2357" s="1" t="s">
        <v>64</v>
      </c>
      <c r="D2357" s="1" t="s">
        <v>41</v>
      </c>
      <c r="E2357" s="3">
        <v>4534213</v>
      </c>
      <c r="F2357" s="1">
        <v>2251.3468222442898</v>
      </c>
      <c r="G2357" s="1">
        <v>5</v>
      </c>
      <c r="H2357" s="1">
        <v>3</v>
      </c>
      <c r="I2357" s="1">
        <v>3</v>
      </c>
      <c r="J2357" s="1">
        <v>3</v>
      </c>
      <c r="M2357" s="4">
        <v>2014</v>
      </c>
      <c r="N2357" s="1">
        <v>3606</v>
      </c>
      <c r="O2357" s="1">
        <v>5244</v>
      </c>
      <c r="P2357" s="1">
        <v>1638</v>
      </c>
      <c r="Q2357" s="1" t="s">
        <v>42</v>
      </c>
      <c r="S2357" s="1" t="s">
        <v>42</v>
      </c>
      <c r="T2357" s="1" t="s">
        <v>170</v>
      </c>
      <c r="U2357" s="1">
        <v>666</v>
      </c>
      <c r="V2357" s="5">
        <v>43173</v>
      </c>
      <c r="W2357" s="5">
        <v>42345</v>
      </c>
      <c r="X2357" s="1">
        <v>5025000</v>
      </c>
      <c r="Y2357" s="1">
        <v>4475000</v>
      </c>
      <c r="AA2357" s="1">
        <v>4534212.5</v>
      </c>
      <c r="AB2357" s="1" t="s">
        <v>1790</v>
      </c>
      <c r="AC2357" s="5">
        <v>43250</v>
      </c>
      <c r="AF2357" s="1">
        <v>10022</v>
      </c>
      <c r="AI2357" s="1" t="s">
        <v>65</v>
      </c>
      <c r="AJ2357" s="1">
        <v>2016</v>
      </c>
      <c r="AK2357" s="1" t="s">
        <v>73</v>
      </c>
      <c r="AL2357" s="1">
        <v>95</v>
      </c>
    </row>
    <row r="2358" spans="1:38" x14ac:dyDescent="0.2">
      <c r="A2358" s="2" t="str">
        <f>HYPERLINK("https://www.compass.com/listing/252-east-57th-street-unit-41a-manhattan-ny-10022/803348856993696185/","252 E 57th St, Unit 41A")</f>
        <v>252 E 57th St, Unit 41A</v>
      </c>
      <c r="B2358" s="2" t="str">
        <f t="shared" si="340"/>
        <v>252 E 57th St</v>
      </c>
      <c r="C2358" s="1" t="s">
        <v>64</v>
      </c>
      <c r="D2358" s="1" t="s">
        <v>41</v>
      </c>
      <c r="E2358" s="3">
        <v>4518939</v>
      </c>
      <c r="F2358" s="1">
        <v>2245.99341451292</v>
      </c>
      <c r="G2358" s="1">
        <v>5</v>
      </c>
      <c r="H2358" s="1">
        <v>3</v>
      </c>
      <c r="I2358" s="1">
        <v>4</v>
      </c>
      <c r="J2358" s="1">
        <v>3.5</v>
      </c>
      <c r="M2358" s="4">
        <v>2012</v>
      </c>
      <c r="N2358" s="1">
        <v>3809</v>
      </c>
      <c r="O2358" s="1">
        <v>5780</v>
      </c>
      <c r="P2358" s="1">
        <v>1971</v>
      </c>
      <c r="Q2358" s="1" t="s">
        <v>42</v>
      </c>
      <c r="S2358" s="1" t="s">
        <v>42</v>
      </c>
      <c r="T2358" s="1" t="s">
        <v>170</v>
      </c>
      <c r="U2358" s="1">
        <v>8</v>
      </c>
      <c r="V2358" s="5">
        <v>43173</v>
      </c>
      <c r="W2358" s="5">
        <v>43164</v>
      </c>
      <c r="X2358" s="1">
        <v>4595000</v>
      </c>
      <c r="Y2358" s="1">
        <v>4595000</v>
      </c>
      <c r="AA2358" s="1">
        <v>4518938.75</v>
      </c>
      <c r="AB2358" s="1" t="s">
        <v>1791</v>
      </c>
      <c r="AC2358" s="5">
        <v>43263</v>
      </c>
      <c r="AF2358" s="1">
        <v>10022</v>
      </c>
      <c r="AI2358" s="1" t="s">
        <v>65</v>
      </c>
      <c r="AJ2358" s="1">
        <v>2016</v>
      </c>
      <c r="AK2358" s="1" t="s">
        <v>73</v>
      </c>
      <c r="AL2358" s="1">
        <v>95</v>
      </c>
    </row>
    <row r="2359" spans="1:38" x14ac:dyDescent="0.2">
      <c r="A2359" s="2" t="str">
        <f>HYPERLINK("https://www.compass.com/listing/252-east-57th-street-unit-36a-manhattan-ny-10022/803358137117434673/","252 E 57th St, Unit 36A")</f>
        <v>252 E 57th St, Unit 36A</v>
      </c>
      <c r="B2359" s="2" t="str">
        <f t="shared" si="340"/>
        <v>252 E 57th St</v>
      </c>
      <c r="C2359" s="1" t="s">
        <v>64</v>
      </c>
      <c r="D2359" s="1" t="s">
        <v>41</v>
      </c>
      <c r="E2359" s="3">
        <v>4376384</v>
      </c>
      <c r="F2359" s="1">
        <v>2169.74900842835</v>
      </c>
      <c r="G2359" s="1">
        <v>5</v>
      </c>
      <c r="H2359" s="1">
        <v>3</v>
      </c>
      <c r="I2359" s="1">
        <v>3</v>
      </c>
      <c r="J2359" s="1">
        <v>3</v>
      </c>
      <c r="K2359" s="1">
        <v>3</v>
      </c>
      <c r="M2359" s="4">
        <v>2017</v>
      </c>
      <c r="N2359" s="1">
        <v>3602</v>
      </c>
      <c r="O2359" s="1">
        <v>5239</v>
      </c>
      <c r="P2359" s="1">
        <v>1637</v>
      </c>
      <c r="Q2359" s="1" t="s">
        <v>42</v>
      </c>
      <c r="S2359" s="1" t="s">
        <v>42</v>
      </c>
      <c r="T2359" s="1" t="s">
        <v>170</v>
      </c>
      <c r="U2359" s="1">
        <v>1040</v>
      </c>
      <c r="V2359" s="5">
        <v>43678</v>
      </c>
      <c r="W2359" s="5">
        <v>42083</v>
      </c>
      <c r="X2359" s="1">
        <v>4875000</v>
      </c>
      <c r="Y2359" s="1">
        <v>4875000</v>
      </c>
      <c r="AA2359" s="1">
        <v>4376383.75</v>
      </c>
      <c r="AB2359" s="1" t="s">
        <v>1776</v>
      </c>
      <c r="AC2359" s="5">
        <v>43123</v>
      </c>
      <c r="AF2359" s="1">
        <v>10022</v>
      </c>
      <c r="AI2359" s="1" t="s">
        <v>138</v>
      </c>
      <c r="AJ2359" s="1">
        <v>2016</v>
      </c>
      <c r="AK2359" s="1" t="s">
        <v>73</v>
      </c>
      <c r="AL2359" s="1">
        <v>95</v>
      </c>
    </row>
    <row r="2360" spans="1:38" x14ac:dyDescent="0.2">
      <c r="A2360" s="2" t="str">
        <f>HYPERLINK("https://www.compass.com/listing/101-wall-street-unit-18ab-manhattan-ny-10005/783063951519326529/","101 Wall St, Unit 18AB")</f>
        <v>101 Wall St, Unit 18AB</v>
      </c>
      <c r="B2360" s="2" t="str">
        <f t="shared" ref="B2360:B2380" si="341">HYPERLINK("https://www.compass.com/building/101-wall-st-manhattan-ny-10005/292788767809355381/","101 Wall St")</f>
        <v>101 Wall St</v>
      </c>
      <c r="C2360" s="1" t="s">
        <v>117</v>
      </c>
      <c r="D2360" s="1" t="s">
        <v>41</v>
      </c>
      <c r="E2360" s="3">
        <v>5225000</v>
      </c>
      <c r="F2360" s="1">
        <v>1699.7397527651201</v>
      </c>
      <c r="G2360" s="1">
        <v>7</v>
      </c>
      <c r="H2360" s="1">
        <v>6</v>
      </c>
      <c r="I2360" s="1">
        <v>5</v>
      </c>
      <c r="J2360" s="1">
        <v>5</v>
      </c>
      <c r="K2360" s="1">
        <v>5</v>
      </c>
      <c r="M2360" s="4">
        <v>3074</v>
      </c>
      <c r="N2360" s="1">
        <v>3913</v>
      </c>
      <c r="O2360" s="1">
        <v>8437</v>
      </c>
      <c r="P2360" s="1">
        <v>4524</v>
      </c>
      <c r="Q2360" s="1" t="s">
        <v>42</v>
      </c>
      <c r="S2360" s="1" t="s">
        <v>42</v>
      </c>
      <c r="T2360" s="1" t="s">
        <v>170</v>
      </c>
      <c r="U2360" s="1">
        <v>302</v>
      </c>
      <c r="V2360" s="5">
        <v>42934</v>
      </c>
      <c r="W2360" s="5">
        <v>42474</v>
      </c>
      <c r="X2360" s="1">
        <v>5335000</v>
      </c>
      <c r="Y2360" s="1">
        <v>5225000</v>
      </c>
      <c r="Z2360" s="5">
        <v>42777</v>
      </c>
      <c r="AA2360" s="1">
        <v>5225000</v>
      </c>
      <c r="AB2360" s="1" t="s">
        <v>1792</v>
      </c>
      <c r="AC2360" s="5">
        <v>42914</v>
      </c>
      <c r="AF2360" s="1">
        <v>10005</v>
      </c>
      <c r="AI2360" s="1" t="s">
        <v>45</v>
      </c>
      <c r="AJ2360" s="1">
        <v>2016</v>
      </c>
      <c r="AK2360" s="1" t="s">
        <v>77</v>
      </c>
      <c r="AL2360" s="1">
        <v>51</v>
      </c>
    </row>
    <row r="2361" spans="1:38" x14ac:dyDescent="0.2">
      <c r="A2361" s="2" t="str">
        <f>HYPERLINK("https://www.compass.com/listing/101-wall-street-unit-5c-manhattan-ny-10005/29356240022863249/","101 Wall St, Unit 5C")</f>
        <v>101 Wall St, Unit 5C</v>
      </c>
      <c r="B2361" s="2" t="str">
        <f t="shared" si="341"/>
        <v>101 Wall St</v>
      </c>
      <c r="C2361" s="1" t="s">
        <v>117</v>
      </c>
      <c r="D2361" s="1" t="s">
        <v>41</v>
      </c>
      <c r="E2361" s="3">
        <v>1625000</v>
      </c>
      <c r="F2361" s="1">
        <v>1391.2671232876701</v>
      </c>
      <c r="G2361" s="1">
        <v>3</v>
      </c>
      <c r="H2361" s="1">
        <v>1</v>
      </c>
      <c r="I2361" s="1">
        <v>2</v>
      </c>
      <c r="J2361" s="1">
        <v>2</v>
      </c>
      <c r="K2361" s="1">
        <v>2</v>
      </c>
      <c r="M2361" s="4">
        <v>1168</v>
      </c>
      <c r="N2361" s="1">
        <v>1487</v>
      </c>
      <c r="O2361" s="1">
        <v>3206</v>
      </c>
      <c r="P2361" s="1">
        <v>1719</v>
      </c>
      <c r="Q2361" s="1" t="s">
        <v>42</v>
      </c>
      <c r="S2361" s="1" t="s">
        <v>42</v>
      </c>
      <c r="T2361" s="1" t="s">
        <v>170</v>
      </c>
      <c r="U2361" s="1">
        <v>175</v>
      </c>
      <c r="V2361" s="5">
        <v>43630</v>
      </c>
      <c r="W2361" s="5">
        <v>42923</v>
      </c>
      <c r="X2361" s="1">
        <v>1710000</v>
      </c>
      <c r="Y2361" s="1">
        <v>1710000</v>
      </c>
      <c r="Z2361" s="5">
        <v>43098</v>
      </c>
      <c r="AA2361" s="1">
        <v>1625000</v>
      </c>
      <c r="AB2361" s="1" t="s">
        <v>1793</v>
      </c>
      <c r="AC2361" s="5">
        <v>43152</v>
      </c>
      <c r="AF2361" s="1">
        <v>10005</v>
      </c>
      <c r="AI2361" s="1" t="s">
        <v>45</v>
      </c>
      <c r="AJ2361" s="1">
        <v>2016</v>
      </c>
      <c r="AK2361" s="1" t="s">
        <v>77</v>
      </c>
      <c r="AL2361" s="1">
        <v>51</v>
      </c>
    </row>
    <row r="2362" spans="1:38" x14ac:dyDescent="0.2">
      <c r="A2362" s="2" t="str">
        <f>HYPERLINK("https://www.compass.com/listing/101-wall-street-unit-7c-manhattan-ny-10005/29356241667062641/","101 Wall St, Unit 7C")</f>
        <v>101 Wall St, Unit 7C</v>
      </c>
      <c r="B2362" s="2" t="str">
        <f t="shared" si="341"/>
        <v>101 Wall St</v>
      </c>
      <c r="C2362" s="1" t="s">
        <v>117</v>
      </c>
      <c r="D2362" s="1" t="s">
        <v>41</v>
      </c>
      <c r="E2362" s="3">
        <v>1710467</v>
      </c>
      <c r="F2362" s="1">
        <v>1464.4409246575301</v>
      </c>
      <c r="G2362" s="1">
        <v>3.5</v>
      </c>
      <c r="H2362" s="1">
        <v>1</v>
      </c>
      <c r="I2362" s="1">
        <v>2</v>
      </c>
      <c r="J2362" s="1">
        <v>2</v>
      </c>
      <c r="K2362" s="1">
        <v>2</v>
      </c>
      <c r="M2362" s="4">
        <v>1168</v>
      </c>
      <c r="N2362" s="1">
        <v>1497</v>
      </c>
      <c r="O2362" s="1">
        <v>2878</v>
      </c>
      <c r="P2362" s="1">
        <v>1381</v>
      </c>
      <c r="Q2362" s="1" t="s">
        <v>42</v>
      </c>
      <c r="S2362" s="1" t="s">
        <v>42</v>
      </c>
      <c r="T2362" s="1" t="s">
        <v>170</v>
      </c>
      <c r="U2362" s="1">
        <v>51</v>
      </c>
      <c r="V2362" s="5">
        <v>43626</v>
      </c>
      <c r="W2362" s="5">
        <v>42159</v>
      </c>
      <c r="X2362" s="1">
        <v>1695000</v>
      </c>
      <c r="Y2362" s="1">
        <v>1740000</v>
      </c>
      <c r="Z2362" s="5">
        <v>42210</v>
      </c>
      <c r="AA2362" s="1">
        <v>1710467</v>
      </c>
      <c r="AB2362" s="1" t="s">
        <v>1794</v>
      </c>
      <c r="AC2362" s="5">
        <v>42872</v>
      </c>
      <c r="AF2362" s="1">
        <v>10005</v>
      </c>
      <c r="AI2362" s="1" t="s">
        <v>45</v>
      </c>
      <c r="AJ2362" s="1">
        <v>2016</v>
      </c>
      <c r="AK2362" s="1" t="s">
        <v>77</v>
      </c>
      <c r="AL2362" s="1">
        <v>51</v>
      </c>
    </row>
    <row r="2363" spans="1:38" x14ac:dyDescent="0.2">
      <c r="A2363" s="2" t="str">
        <f>HYPERLINK("https://www.compass.com/listing/101-wall-street-unit-8c-manhattan-ny-10005/29356242287821617/","101 Wall St, Unit 8C")</f>
        <v>101 Wall St, Unit 8C</v>
      </c>
      <c r="B2363" s="2" t="str">
        <f t="shared" si="341"/>
        <v>101 Wall St</v>
      </c>
      <c r="C2363" s="1" t="s">
        <v>117</v>
      </c>
      <c r="D2363" s="1" t="s">
        <v>41</v>
      </c>
      <c r="E2363" s="3">
        <v>1718806</v>
      </c>
      <c r="F2363" s="1">
        <v>1471.58047945205</v>
      </c>
      <c r="G2363" s="1">
        <v>3</v>
      </c>
      <c r="H2363" s="1">
        <v>1</v>
      </c>
      <c r="I2363" s="1">
        <v>2</v>
      </c>
      <c r="J2363" s="1">
        <v>2</v>
      </c>
      <c r="K2363" s="1">
        <v>2</v>
      </c>
      <c r="M2363" s="4">
        <v>1168</v>
      </c>
      <c r="N2363" s="1">
        <v>1492</v>
      </c>
      <c r="O2363" s="1">
        <v>3217</v>
      </c>
      <c r="P2363" s="1">
        <v>1725</v>
      </c>
      <c r="Q2363" s="1" t="s">
        <v>42</v>
      </c>
      <c r="S2363" s="1" t="s">
        <v>42</v>
      </c>
      <c r="T2363" s="1" t="s">
        <v>170</v>
      </c>
      <c r="V2363" s="5">
        <v>43626</v>
      </c>
      <c r="W2363" s="5">
        <v>42543</v>
      </c>
      <c r="X2363" s="1">
        <v>1755000</v>
      </c>
      <c r="Y2363" s="1">
        <v>1755000</v>
      </c>
      <c r="Z2363" s="5">
        <v>42543</v>
      </c>
      <c r="AA2363" s="1">
        <v>1718806</v>
      </c>
      <c r="AB2363" s="1" t="s">
        <v>1795</v>
      </c>
      <c r="AC2363" s="5">
        <v>42915</v>
      </c>
      <c r="AF2363" s="1">
        <v>10005</v>
      </c>
      <c r="AI2363" s="1" t="s">
        <v>45</v>
      </c>
      <c r="AJ2363" s="1">
        <v>2016</v>
      </c>
      <c r="AK2363" s="1" t="s">
        <v>77</v>
      </c>
      <c r="AL2363" s="1">
        <v>51</v>
      </c>
    </row>
    <row r="2364" spans="1:38" x14ac:dyDescent="0.2">
      <c r="A2364" s="2" t="str">
        <f>HYPERLINK("https://www.compass.com/listing/101-wall-street-unit-9c-manhattan-ny-10005/29356243218957121/","101 Wall St, Unit 9C")</f>
        <v>101 Wall St, Unit 9C</v>
      </c>
      <c r="B2364" s="2" t="str">
        <f t="shared" si="341"/>
        <v>101 Wall St</v>
      </c>
      <c r="C2364" s="1" t="s">
        <v>117</v>
      </c>
      <c r="D2364" s="1" t="s">
        <v>41</v>
      </c>
      <c r="E2364" s="3">
        <v>1802303</v>
      </c>
      <c r="F2364" s="1">
        <v>1543.0676369862999</v>
      </c>
      <c r="G2364" s="1">
        <v>3</v>
      </c>
      <c r="H2364" s="1">
        <v>1</v>
      </c>
      <c r="I2364" s="1">
        <v>2</v>
      </c>
      <c r="J2364" s="1">
        <v>2</v>
      </c>
      <c r="K2364" s="1">
        <v>2</v>
      </c>
      <c r="M2364" s="4">
        <v>1168</v>
      </c>
      <c r="N2364" s="1">
        <v>1492</v>
      </c>
      <c r="O2364" s="1">
        <v>3217</v>
      </c>
      <c r="P2364" s="1">
        <v>1725</v>
      </c>
      <c r="Q2364" s="1" t="s">
        <v>42</v>
      </c>
      <c r="S2364" s="1" t="s">
        <v>42</v>
      </c>
      <c r="T2364" s="1" t="s">
        <v>170</v>
      </c>
      <c r="U2364" s="1">
        <v>127</v>
      </c>
      <c r="V2364" s="5">
        <v>43624</v>
      </c>
      <c r="W2364" s="5">
        <v>42537</v>
      </c>
      <c r="X2364" s="1">
        <v>1770000</v>
      </c>
      <c r="Y2364" s="1">
        <v>1770000</v>
      </c>
      <c r="Z2364" s="5">
        <v>42664</v>
      </c>
      <c r="AA2364" s="1">
        <v>1802303</v>
      </c>
      <c r="AB2364" s="1" t="s">
        <v>1796</v>
      </c>
      <c r="AC2364" s="5">
        <v>42900</v>
      </c>
      <c r="AF2364" s="1">
        <v>10005</v>
      </c>
      <c r="AI2364" s="1" t="s">
        <v>45</v>
      </c>
      <c r="AJ2364" s="1">
        <v>2016</v>
      </c>
      <c r="AK2364" s="1" t="s">
        <v>77</v>
      </c>
      <c r="AL2364" s="1">
        <v>51</v>
      </c>
    </row>
    <row r="2365" spans="1:38" x14ac:dyDescent="0.2">
      <c r="A2365" s="2" t="str">
        <f>HYPERLINK("https://www.compass.com/listing/101-wall-street-unit-10c-manhattan-ny-10005/29356243915177457/","101 Wall St, Unit 10C")</f>
        <v>101 Wall St, Unit 10C</v>
      </c>
      <c r="B2365" s="2" t="str">
        <f t="shared" si="341"/>
        <v>101 Wall St</v>
      </c>
      <c r="C2365" s="1" t="s">
        <v>117</v>
      </c>
      <c r="D2365" s="1" t="s">
        <v>41</v>
      </c>
      <c r="E2365" s="3">
        <v>2031409</v>
      </c>
      <c r="F2365" s="1">
        <v>1608.3998416468701</v>
      </c>
      <c r="G2365" s="1">
        <v>4</v>
      </c>
      <c r="H2365" s="1">
        <v>2</v>
      </c>
      <c r="I2365" s="1">
        <v>2</v>
      </c>
      <c r="J2365" s="1">
        <v>2</v>
      </c>
      <c r="K2365" s="1">
        <v>2</v>
      </c>
      <c r="M2365" s="4">
        <v>1263</v>
      </c>
      <c r="N2365" s="1">
        <v>1616</v>
      </c>
      <c r="O2365" s="1">
        <v>3106</v>
      </c>
      <c r="P2365" s="1">
        <v>1490</v>
      </c>
      <c r="Q2365" s="1" t="s">
        <v>42</v>
      </c>
      <c r="S2365" s="1" t="s">
        <v>42</v>
      </c>
      <c r="T2365" s="1" t="s">
        <v>170</v>
      </c>
      <c r="U2365" s="1">
        <v>20</v>
      </c>
      <c r="V2365" s="5">
        <v>43662</v>
      </c>
      <c r="W2365" s="5">
        <v>42292</v>
      </c>
      <c r="X2365" s="1">
        <v>1995000</v>
      </c>
      <c r="Y2365" s="1">
        <v>1995000</v>
      </c>
      <c r="Z2365" s="5">
        <v>42312</v>
      </c>
      <c r="AA2365" s="1">
        <v>2031409</v>
      </c>
      <c r="AB2365" s="1" t="s">
        <v>1797</v>
      </c>
      <c r="AC2365" s="5">
        <v>42844</v>
      </c>
      <c r="AF2365" s="1">
        <v>10005</v>
      </c>
      <c r="AI2365" s="1" t="s">
        <v>45</v>
      </c>
      <c r="AJ2365" s="1">
        <v>2016</v>
      </c>
      <c r="AK2365" s="1" t="s">
        <v>77</v>
      </c>
      <c r="AL2365" s="1">
        <v>51</v>
      </c>
    </row>
    <row r="2366" spans="1:38" x14ac:dyDescent="0.2">
      <c r="A2366" s="2" t="str">
        <f>HYPERLINK("https://www.compass.com/listing/101-wall-street-unit-12c-manhattan-ny-10005/29356244233978705/","101 Wall St, Unit 12C")</f>
        <v>101 Wall St, Unit 12C</v>
      </c>
      <c r="B2366" s="2" t="str">
        <f t="shared" si="341"/>
        <v>101 Wall St</v>
      </c>
      <c r="C2366" s="1" t="s">
        <v>117</v>
      </c>
      <c r="D2366" s="1" t="s">
        <v>41</v>
      </c>
      <c r="E2366" s="3">
        <v>2000861</v>
      </c>
      <c r="F2366" s="1">
        <v>1584.2129849564501</v>
      </c>
      <c r="G2366" s="1">
        <v>4</v>
      </c>
      <c r="H2366" s="1">
        <v>2</v>
      </c>
      <c r="I2366" s="1">
        <v>2</v>
      </c>
      <c r="J2366" s="1">
        <v>2</v>
      </c>
      <c r="K2366" s="1">
        <v>2</v>
      </c>
      <c r="M2366" s="4">
        <v>1263</v>
      </c>
      <c r="N2366" s="1">
        <v>1616</v>
      </c>
      <c r="O2366" s="1">
        <v>3106</v>
      </c>
      <c r="P2366" s="1">
        <v>1490</v>
      </c>
      <c r="Q2366" s="1" t="s">
        <v>42</v>
      </c>
      <c r="S2366" s="1" t="s">
        <v>42</v>
      </c>
      <c r="T2366" s="1" t="s">
        <v>170</v>
      </c>
      <c r="U2366" s="1">
        <v>124</v>
      </c>
      <c r="V2366" s="5">
        <v>43635</v>
      </c>
      <c r="W2366" s="5">
        <v>42159</v>
      </c>
      <c r="X2366" s="1">
        <v>1965000</v>
      </c>
      <c r="Y2366" s="1">
        <v>1965000</v>
      </c>
      <c r="Z2366" s="5">
        <v>42283</v>
      </c>
      <c r="AA2366" s="1">
        <v>2000861</v>
      </c>
      <c r="AB2366" s="1" t="s">
        <v>1798</v>
      </c>
      <c r="AC2366" s="5">
        <v>42843</v>
      </c>
      <c r="AF2366" s="1">
        <v>10005</v>
      </c>
      <c r="AI2366" s="1" t="s">
        <v>45</v>
      </c>
      <c r="AJ2366" s="1">
        <v>2016</v>
      </c>
      <c r="AK2366" s="1" t="s">
        <v>77</v>
      </c>
      <c r="AL2366" s="1">
        <v>51</v>
      </c>
    </row>
    <row r="2367" spans="1:38" x14ac:dyDescent="0.2">
      <c r="A2367" s="2" t="str">
        <f>HYPERLINK("https://www.compass.com/listing/101-wall-street-unit-14c-manhattan-ny-10005/29356245366440801/","101 Wall St, Unit 14C")</f>
        <v>101 Wall St, Unit 14C</v>
      </c>
      <c r="B2367" s="2" t="str">
        <f t="shared" si="341"/>
        <v>101 Wall St</v>
      </c>
      <c r="C2367" s="1" t="s">
        <v>117</v>
      </c>
      <c r="D2367" s="1" t="s">
        <v>41</v>
      </c>
      <c r="E2367" s="3">
        <v>2107778</v>
      </c>
      <c r="F2367" s="1">
        <v>1668.8661916072799</v>
      </c>
      <c r="G2367" s="1">
        <v>4</v>
      </c>
      <c r="H2367" s="1">
        <v>2</v>
      </c>
      <c r="I2367" s="1">
        <v>2</v>
      </c>
      <c r="J2367" s="1">
        <v>2</v>
      </c>
      <c r="K2367" s="1">
        <v>2</v>
      </c>
      <c r="M2367" s="4">
        <v>1263</v>
      </c>
      <c r="N2367" s="1">
        <v>1611</v>
      </c>
      <c r="O2367" s="1">
        <v>3097</v>
      </c>
      <c r="P2367" s="1">
        <v>1486</v>
      </c>
      <c r="Q2367" s="1" t="s">
        <v>42</v>
      </c>
      <c r="S2367" s="1" t="s">
        <v>42</v>
      </c>
      <c r="T2367" s="1" t="s">
        <v>170</v>
      </c>
      <c r="V2367" s="5">
        <v>43670</v>
      </c>
      <c r="W2367" s="5">
        <v>42353</v>
      </c>
      <c r="X2367" s="1">
        <v>2070000</v>
      </c>
      <c r="Y2367" s="1">
        <v>2070000</v>
      </c>
      <c r="Z2367" s="5">
        <v>42353</v>
      </c>
      <c r="AA2367" s="1">
        <v>2107778</v>
      </c>
      <c r="AB2367" s="1" t="s">
        <v>1799</v>
      </c>
      <c r="AC2367" s="5">
        <v>42880</v>
      </c>
      <c r="AF2367" s="1">
        <v>10005</v>
      </c>
      <c r="AI2367" s="1" t="s">
        <v>45</v>
      </c>
      <c r="AJ2367" s="1">
        <v>2016</v>
      </c>
      <c r="AK2367" s="1" t="s">
        <v>77</v>
      </c>
      <c r="AL2367" s="1">
        <v>51</v>
      </c>
    </row>
    <row r="2368" spans="1:38" x14ac:dyDescent="0.2">
      <c r="A2368" s="2" t="str">
        <f>HYPERLINK("https://www.compass.com/listing/101-wall-street-unit-15c-manhattan-ny-10005/29356245995552289/","101 Wall St, Unit 15C")</f>
        <v>101 Wall St, Unit 15C</v>
      </c>
      <c r="B2368" s="2" t="str">
        <f t="shared" si="341"/>
        <v>101 Wall St</v>
      </c>
      <c r="C2368" s="1" t="s">
        <v>117</v>
      </c>
      <c r="D2368" s="1" t="s">
        <v>41</v>
      </c>
      <c r="E2368" s="3">
        <v>2095000</v>
      </c>
      <c r="F2368" s="1">
        <v>1658.7490102929501</v>
      </c>
      <c r="G2368" s="1">
        <v>4</v>
      </c>
      <c r="H2368" s="1">
        <v>2</v>
      </c>
      <c r="I2368" s="1">
        <v>2</v>
      </c>
      <c r="J2368" s="1">
        <v>2</v>
      </c>
      <c r="K2368" s="1">
        <v>2</v>
      </c>
      <c r="M2368" s="4">
        <v>1263</v>
      </c>
      <c r="N2368" s="1">
        <v>1616</v>
      </c>
      <c r="O2368" s="1">
        <v>3106</v>
      </c>
      <c r="P2368" s="1">
        <v>1490</v>
      </c>
      <c r="Q2368" s="1" t="s">
        <v>42</v>
      </c>
      <c r="S2368" s="1" t="s">
        <v>42</v>
      </c>
      <c r="T2368" s="1" t="s">
        <v>170</v>
      </c>
      <c r="U2368" s="1">
        <v>98</v>
      </c>
      <c r="V2368" s="5">
        <v>43626</v>
      </c>
      <c r="W2368" s="5">
        <v>42426</v>
      </c>
      <c r="X2368" s="1">
        <v>2095000</v>
      </c>
      <c r="Y2368" s="1">
        <v>2095000</v>
      </c>
      <c r="Z2368" s="5">
        <v>42524</v>
      </c>
      <c r="AA2368" s="1">
        <v>2095000</v>
      </c>
      <c r="AB2368" s="1" t="s">
        <v>1800</v>
      </c>
      <c r="AC2368" s="5">
        <v>42842</v>
      </c>
      <c r="AF2368" s="1">
        <v>10005</v>
      </c>
      <c r="AI2368" s="1" t="s">
        <v>45</v>
      </c>
      <c r="AJ2368" s="1">
        <v>2016</v>
      </c>
      <c r="AK2368" s="1" t="s">
        <v>77</v>
      </c>
      <c r="AL2368" s="1">
        <v>51</v>
      </c>
    </row>
    <row r="2369" spans="1:38" x14ac:dyDescent="0.2">
      <c r="A2369" s="2" t="str">
        <f>HYPERLINK("https://www.compass.com/listing/101-wall-street-unit-16c-manhattan-ny-10005/29356246893133425/","101 Wall St, Unit 16C")</f>
        <v>101 Wall St, Unit 16C</v>
      </c>
      <c r="B2369" s="2" t="str">
        <f t="shared" si="341"/>
        <v>101 Wall St</v>
      </c>
      <c r="C2369" s="1" t="s">
        <v>117</v>
      </c>
      <c r="D2369" s="1" t="s">
        <v>41</v>
      </c>
      <c r="E2369" s="3">
        <v>2025000</v>
      </c>
      <c r="F2369" s="1">
        <v>1603.3254156769499</v>
      </c>
      <c r="G2369" s="1">
        <v>4</v>
      </c>
      <c r="H2369" s="1">
        <v>2</v>
      </c>
      <c r="I2369" s="1">
        <v>2</v>
      </c>
      <c r="J2369" s="1">
        <v>2</v>
      </c>
      <c r="K2369" s="1">
        <v>2</v>
      </c>
      <c r="M2369" s="4">
        <v>1263</v>
      </c>
      <c r="N2369" s="1">
        <v>1616</v>
      </c>
      <c r="O2369" s="1">
        <v>3106</v>
      </c>
      <c r="P2369" s="1">
        <v>1490</v>
      </c>
      <c r="Q2369" s="1" t="s">
        <v>42</v>
      </c>
      <c r="S2369" s="1" t="s">
        <v>42</v>
      </c>
      <c r="T2369" s="1" t="s">
        <v>170</v>
      </c>
      <c r="V2369" s="5">
        <v>43626</v>
      </c>
      <c r="W2369" s="5">
        <v>42272</v>
      </c>
      <c r="X2369" s="1">
        <v>2025000</v>
      </c>
      <c r="Y2369" s="1">
        <v>2045000</v>
      </c>
      <c r="Z2369" s="5">
        <v>42272</v>
      </c>
      <c r="AA2369" s="1">
        <v>2025000</v>
      </c>
      <c r="AB2369" s="1" t="s">
        <v>1801</v>
      </c>
      <c r="AC2369" s="5">
        <v>42894</v>
      </c>
      <c r="AF2369" s="1">
        <v>10005</v>
      </c>
      <c r="AI2369" s="1" t="s">
        <v>45</v>
      </c>
      <c r="AJ2369" s="1">
        <v>2016</v>
      </c>
      <c r="AK2369" s="1" t="s">
        <v>77</v>
      </c>
      <c r="AL2369" s="1">
        <v>51</v>
      </c>
    </row>
    <row r="2370" spans="1:38" x14ac:dyDescent="0.2">
      <c r="A2370" s="2" t="str">
        <f>HYPERLINK("https://www.compass.com/listing/101-wall-street-unit-17a-manhattan-ny-10005/29356247211934593/","101 Wall St, Unit 17A")</f>
        <v>101 Wall St, Unit 17A</v>
      </c>
      <c r="B2370" s="2" t="str">
        <f t="shared" si="341"/>
        <v>101 Wall St</v>
      </c>
      <c r="C2370" s="1" t="s">
        <v>117</v>
      </c>
      <c r="D2370" s="1" t="s">
        <v>41</v>
      </c>
      <c r="E2370" s="3">
        <v>2021226</v>
      </c>
      <c r="F2370" s="1">
        <v>1832.48073436083</v>
      </c>
      <c r="G2370" s="1">
        <v>4</v>
      </c>
      <c r="H2370" s="1">
        <v>2</v>
      </c>
      <c r="I2370" s="1">
        <v>2</v>
      </c>
      <c r="J2370" s="1">
        <v>2</v>
      </c>
      <c r="K2370" s="1">
        <v>2</v>
      </c>
      <c r="M2370" s="4">
        <v>1103</v>
      </c>
      <c r="N2370" s="1">
        <v>1411</v>
      </c>
      <c r="O2370" s="1">
        <v>2711</v>
      </c>
      <c r="P2370" s="1">
        <v>1300</v>
      </c>
      <c r="Q2370" s="1" t="s">
        <v>42</v>
      </c>
      <c r="S2370" s="1" t="s">
        <v>42</v>
      </c>
      <c r="T2370" s="1" t="s">
        <v>170</v>
      </c>
      <c r="U2370" s="1">
        <v>119</v>
      </c>
      <c r="V2370" s="5">
        <v>43601</v>
      </c>
      <c r="W2370" s="5">
        <v>42473</v>
      </c>
      <c r="X2370" s="1">
        <v>1985000</v>
      </c>
      <c r="Y2370" s="1">
        <v>1985000</v>
      </c>
      <c r="Z2370" s="5">
        <v>42592</v>
      </c>
      <c r="AA2370" s="1">
        <v>2021226.25</v>
      </c>
      <c r="AB2370" s="1" t="s">
        <v>1802</v>
      </c>
      <c r="AC2370" s="5">
        <v>42858</v>
      </c>
      <c r="AF2370" s="1">
        <v>10005</v>
      </c>
      <c r="AI2370" s="1" t="s">
        <v>45</v>
      </c>
      <c r="AJ2370" s="1">
        <v>2016</v>
      </c>
      <c r="AK2370" s="1" t="s">
        <v>77</v>
      </c>
      <c r="AL2370" s="1">
        <v>51</v>
      </c>
    </row>
    <row r="2371" spans="1:38" x14ac:dyDescent="0.2">
      <c r="A2371" s="2" t="str">
        <f>HYPERLINK("https://www.compass.com/listing/101-wall-street-unit-4c-manhattan-ny-10005/50867146804209841/","101 Wall St, Unit 4C")</f>
        <v>101 Wall St, Unit 4C</v>
      </c>
      <c r="B2371" s="2" t="str">
        <f t="shared" si="341"/>
        <v>101 Wall St</v>
      </c>
      <c r="C2371" s="1" t="s">
        <v>117</v>
      </c>
      <c r="D2371" s="1" t="s">
        <v>41</v>
      </c>
      <c r="E2371" s="3">
        <v>1695000</v>
      </c>
      <c r="F2371" s="1">
        <v>1451.19863013698</v>
      </c>
      <c r="G2371" s="1">
        <v>3</v>
      </c>
      <c r="H2371" s="1">
        <v>1</v>
      </c>
      <c r="I2371" s="1">
        <v>2</v>
      </c>
      <c r="J2371" s="1">
        <v>2</v>
      </c>
      <c r="K2371" s="1">
        <v>2</v>
      </c>
      <c r="M2371" s="4">
        <v>1168</v>
      </c>
      <c r="N2371" s="1">
        <v>1487</v>
      </c>
      <c r="O2371" s="1">
        <v>2858</v>
      </c>
      <c r="P2371" s="1">
        <v>1371</v>
      </c>
      <c r="Q2371" s="1" t="s">
        <v>42</v>
      </c>
      <c r="S2371" s="1" t="s">
        <v>42</v>
      </c>
      <c r="T2371" s="1" t="s">
        <v>170</v>
      </c>
      <c r="U2371" s="1">
        <v>177</v>
      </c>
      <c r="V2371" s="5">
        <v>43624</v>
      </c>
      <c r="W2371" s="5">
        <v>42355</v>
      </c>
      <c r="X2371" s="1">
        <v>1695000</v>
      </c>
      <c r="Y2371" s="1">
        <v>1695000</v>
      </c>
      <c r="Z2371" s="5">
        <v>42532</v>
      </c>
      <c r="AA2371" s="1">
        <v>1695000</v>
      </c>
      <c r="AB2371" s="1" t="s">
        <v>1803</v>
      </c>
      <c r="AC2371" s="5">
        <v>42887</v>
      </c>
      <c r="AF2371" s="1">
        <v>10005</v>
      </c>
      <c r="AI2371" s="1" t="s">
        <v>45</v>
      </c>
      <c r="AJ2371" s="1">
        <v>2016</v>
      </c>
      <c r="AK2371" s="1" t="s">
        <v>77</v>
      </c>
      <c r="AL2371" s="1">
        <v>51</v>
      </c>
    </row>
    <row r="2372" spans="1:38" x14ac:dyDescent="0.2">
      <c r="A2372" s="2" t="str">
        <f>HYPERLINK("https://www.compass.com/listing/101-wall-street-unit-6c-manhattan-ny-10005/70922970935171313/","101 Wall St, Unit 6C")</f>
        <v>101 Wall St, Unit 6C</v>
      </c>
      <c r="B2372" s="2" t="str">
        <f t="shared" si="341"/>
        <v>101 Wall St</v>
      </c>
      <c r="C2372" s="1" t="s">
        <v>117</v>
      </c>
      <c r="D2372" s="1" t="s">
        <v>41</v>
      </c>
      <c r="E2372" s="3">
        <v>1756481</v>
      </c>
      <c r="F2372" s="1">
        <v>1503.8364726027301</v>
      </c>
      <c r="G2372" s="1">
        <v>3.5</v>
      </c>
      <c r="H2372" s="1">
        <v>1</v>
      </c>
      <c r="I2372" s="1">
        <v>2</v>
      </c>
      <c r="J2372" s="1">
        <v>2</v>
      </c>
      <c r="K2372" s="1">
        <v>2</v>
      </c>
      <c r="M2372" s="4">
        <v>1168</v>
      </c>
      <c r="N2372" s="1">
        <v>1497</v>
      </c>
      <c r="O2372" s="1">
        <v>2878</v>
      </c>
      <c r="P2372" s="1">
        <v>1381</v>
      </c>
      <c r="Q2372" s="1" t="s">
        <v>42</v>
      </c>
      <c r="S2372" s="1" t="s">
        <v>42</v>
      </c>
      <c r="T2372" s="1" t="s">
        <v>170</v>
      </c>
      <c r="U2372" s="1">
        <v>143</v>
      </c>
      <c r="V2372" s="5">
        <v>43626</v>
      </c>
      <c r="W2372" s="5">
        <v>42210</v>
      </c>
      <c r="X2372" s="1">
        <v>1680000</v>
      </c>
      <c r="Y2372" s="1">
        <v>1725000</v>
      </c>
      <c r="Z2372" s="5">
        <v>42353</v>
      </c>
      <c r="AA2372" s="1">
        <v>1756481</v>
      </c>
      <c r="AB2372" s="1" t="s">
        <v>1804</v>
      </c>
      <c r="AC2372" s="5">
        <v>42844</v>
      </c>
      <c r="AF2372" s="1">
        <v>10005</v>
      </c>
      <c r="AI2372" s="1" t="s">
        <v>88</v>
      </c>
      <c r="AJ2372" s="1">
        <v>2016</v>
      </c>
      <c r="AK2372" s="1" t="s">
        <v>77</v>
      </c>
      <c r="AL2372" s="1">
        <v>51</v>
      </c>
    </row>
    <row r="2373" spans="1:38" x14ac:dyDescent="0.2">
      <c r="A2373" s="2" t="str">
        <f>HYPERLINK("https://www.compass.com/listing/101-wall-street-unit-20a-manhattan-ny-10005/70924681288430913/","101 Wall St, Unit 20A")</f>
        <v>101 Wall St, Unit 20A</v>
      </c>
      <c r="B2373" s="2" t="str">
        <f t="shared" si="341"/>
        <v>101 Wall St</v>
      </c>
      <c r="C2373" s="1" t="s">
        <v>117</v>
      </c>
      <c r="D2373" s="1" t="s">
        <v>41</v>
      </c>
      <c r="E2373" s="3">
        <v>1649565</v>
      </c>
      <c r="F2373" s="1">
        <v>1712.9439252336399</v>
      </c>
      <c r="G2373" s="1">
        <v>4</v>
      </c>
      <c r="H2373" s="1">
        <v>2</v>
      </c>
      <c r="I2373" s="1">
        <v>2</v>
      </c>
      <c r="J2373" s="1">
        <v>2</v>
      </c>
      <c r="K2373" s="1">
        <v>2</v>
      </c>
      <c r="M2373" s="1">
        <v>963</v>
      </c>
      <c r="N2373" s="1">
        <v>1139</v>
      </c>
      <c r="O2373" s="1">
        <v>2375</v>
      </c>
      <c r="P2373" s="1">
        <v>1236</v>
      </c>
      <c r="Q2373" s="1" t="s">
        <v>42</v>
      </c>
      <c r="S2373" s="1" t="s">
        <v>42</v>
      </c>
      <c r="T2373" s="1" t="s">
        <v>170</v>
      </c>
      <c r="U2373" s="1">
        <v>325</v>
      </c>
      <c r="V2373" s="5">
        <v>43662</v>
      </c>
      <c r="W2373" s="5">
        <v>42528</v>
      </c>
      <c r="X2373" s="1">
        <v>1785000</v>
      </c>
      <c r="Y2373" s="1">
        <v>1730000</v>
      </c>
      <c r="Z2373" s="5">
        <v>42853</v>
      </c>
      <c r="AA2373" s="1">
        <v>1649565</v>
      </c>
      <c r="AB2373" s="1" t="s">
        <v>1805</v>
      </c>
      <c r="AC2373" s="5">
        <v>42898</v>
      </c>
      <c r="AF2373" s="1">
        <v>10005</v>
      </c>
      <c r="AI2373" s="1" t="s">
        <v>45</v>
      </c>
      <c r="AJ2373" s="1">
        <v>2016</v>
      </c>
      <c r="AK2373" s="1" t="s">
        <v>77</v>
      </c>
      <c r="AL2373" s="1">
        <v>51</v>
      </c>
    </row>
    <row r="2374" spans="1:38" x14ac:dyDescent="0.2">
      <c r="A2374" s="2" t="str">
        <f>HYPERLINK("https://www.compass.com/listing/101-wall-street-unit-15b-manhattan-ny-10005/122402170678090913/","101 Wall St, Unit 15B")</f>
        <v>101 Wall St, Unit 15B</v>
      </c>
      <c r="B2374" s="2" t="str">
        <f t="shared" si="341"/>
        <v>101 Wall St</v>
      </c>
      <c r="C2374" s="1" t="s">
        <v>117</v>
      </c>
      <c r="D2374" s="1" t="s">
        <v>41</v>
      </c>
      <c r="E2374" s="3">
        <v>1937520</v>
      </c>
      <c r="F2374" s="1">
        <v>1367.3394495412799</v>
      </c>
      <c r="G2374" s="1">
        <v>4</v>
      </c>
      <c r="H2374" s="1">
        <v>2</v>
      </c>
      <c r="I2374" s="1">
        <v>3</v>
      </c>
      <c r="J2374" s="1">
        <v>2.5</v>
      </c>
      <c r="K2374" s="1">
        <v>2</v>
      </c>
      <c r="L2374" s="1">
        <v>1</v>
      </c>
      <c r="M2374" s="4">
        <v>1417</v>
      </c>
      <c r="N2374" s="1">
        <v>1101</v>
      </c>
      <c r="O2374" s="1">
        <v>3593</v>
      </c>
      <c r="P2374" s="1">
        <v>2492</v>
      </c>
      <c r="Q2374" s="1" t="s">
        <v>42</v>
      </c>
      <c r="S2374" s="1" t="s">
        <v>42</v>
      </c>
      <c r="T2374" s="1" t="s">
        <v>170</v>
      </c>
      <c r="U2374" s="1">
        <v>102</v>
      </c>
      <c r="V2374" s="5">
        <v>43626</v>
      </c>
      <c r="W2374" s="5">
        <v>43421</v>
      </c>
      <c r="X2374" s="1">
        <v>1950000</v>
      </c>
      <c r="Y2374" s="1">
        <v>1950000</v>
      </c>
      <c r="Z2374" s="5">
        <v>43523</v>
      </c>
      <c r="AA2374" s="1">
        <v>1937520</v>
      </c>
      <c r="AB2374" s="1" t="s">
        <v>1806</v>
      </c>
      <c r="AC2374" s="5">
        <v>43594</v>
      </c>
      <c r="AF2374" s="1">
        <v>10005</v>
      </c>
      <c r="AI2374" s="1" t="s">
        <v>45</v>
      </c>
      <c r="AJ2374" s="1">
        <v>2016</v>
      </c>
      <c r="AK2374" s="1" t="s">
        <v>77</v>
      </c>
      <c r="AL2374" s="1">
        <v>51</v>
      </c>
    </row>
    <row r="2375" spans="1:38" x14ac:dyDescent="0.2">
      <c r="A2375" s="2" t="str">
        <f>HYPERLINK("https://www.compass.com/listing/101-wall-street-unit-11c-manhattan-ny-10005/29514331116830225/","101 Wall St, Unit 11C")</f>
        <v>101 Wall St, Unit 11C</v>
      </c>
      <c r="B2375" s="2" t="str">
        <f t="shared" si="341"/>
        <v>101 Wall St</v>
      </c>
      <c r="C2375" s="1" t="s">
        <v>117</v>
      </c>
      <c r="D2375" s="1" t="s">
        <v>41</v>
      </c>
      <c r="E2375" s="3">
        <v>1525000</v>
      </c>
      <c r="F2375" s="1">
        <v>1207.44259699129</v>
      </c>
      <c r="G2375" s="1">
        <v>4</v>
      </c>
      <c r="H2375" s="1">
        <v>2</v>
      </c>
      <c r="I2375" s="1">
        <v>2</v>
      </c>
      <c r="J2375" s="1">
        <v>2</v>
      </c>
      <c r="K2375" s="1">
        <v>2</v>
      </c>
      <c r="M2375" s="4">
        <v>1263</v>
      </c>
      <c r="N2375" s="1">
        <v>985</v>
      </c>
      <c r="O2375" s="1">
        <v>3211</v>
      </c>
      <c r="P2375" s="1">
        <v>2226</v>
      </c>
      <c r="Q2375" s="1" t="s">
        <v>42</v>
      </c>
      <c r="S2375" s="1" t="s">
        <v>42</v>
      </c>
      <c r="T2375" s="1" t="s">
        <v>170</v>
      </c>
      <c r="U2375" s="1">
        <v>1237</v>
      </c>
      <c r="V2375" s="5">
        <v>43753</v>
      </c>
      <c r="W2375" s="5">
        <v>42320</v>
      </c>
      <c r="X2375" s="1">
        <v>1750000</v>
      </c>
      <c r="Y2375" s="1">
        <v>1600000</v>
      </c>
      <c r="Z2375" s="5">
        <v>43570</v>
      </c>
      <c r="AA2375" s="1">
        <v>1525000</v>
      </c>
      <c r="AB2375" s="1" t="s">
        <v>1807</v>
      </c>
      <c r="AC2375" s="5">
        <v>43605</v>
      </c>
      <c r="AF2375" s="1">
        <v>10005</v>
      </c>
      <c r="AI2375" s="1" t="s">
        <v>45</v>
      </c>
      <c r="AJ2375" s="1">
        <v>2016</v>
      </c>
      <c r="AK2375" s="1" t="s">
        <v>77</v>
      </c>
      <c r="AL2375" s="1">
        <v>51</v>
      </c>
    </row>
    <row r="2376" spans="1:38" x14ac:dyDescent="0.2">
      <c r="A2376" s="2" t="str">
        <f>HYPERLINK("https://www.compass.com/listing/101-wall-street-unit-17b-manhattan-ny-10005/29356247547476961/","101 Wall St, Unit 17B")</f>
        <v>101 Wall St, Unit 17B</v>
      </c>
      <c r="B2376" s="2" t="str">
        <f t="shared" si="341"/>
        <v>101 Wall St</v>
      </c>
      <c r="C2376" s="1" t="s">
        <v>117</v>
      </c>
      <c r="D2376" s="1" t="s">
        <v>41</v>
      </c>
      <c r="E2376" s="3">
        <v>3818438</v>
      </c>
      <c r="F2376" s="1">
        <v>1762.08491001384</v>
      </c>
      <c r="G2376" s="1">
        <v>5</v>
      </c>
      <c r="H2376" s="1">
        <v>3</v>
      </c>
      <c r="I2376" s="1">
        <v>3</v>
      </c>
      <c r="J2376" s="1">
        <v>3</v>
      </c>
      <c r="K2376" s="1">
        <v>3</v>
      </c>
      <c r="M2376" s="4">
        <v>2167</v>
      </c>
      <c r="N2376" s="1">
        <v>2748</v>
      </c>
      <c r="O2376" s="1">
        <v>5282</v>
      </c>
      <c r="P2376" s="1">
        <v>2534</v>
      </c>
      <c r="Q2376" s="1" t="s">
        <v>42</v>
      </c>
      <c r="S2376" s="1" t="s">
        <v>42</v>
      </c>
      <c r="T2376" s="1" t="s">
        <v>170</v>
      </c>
      <c r="U2376" s="1">
        <v>330</v>
      </c>
      <c r="V2376" s="5">
        <v>43626</v>
      </c>
      <c r="W2376" s="5">
        <v>42474</v>
      </c>
      <c r="X2376" s="1">
        <v>3850000</v>
      </c>
      <c r="Y2376" s="1">
        <v>3850000</v>
      </c>
      <c r="Z2376" s="5">
        <v>42804</v>
      </c>
      <c r="AA2376" s="1">
        <v>3818438</v>
      </c>
      <c r="AB2376" s="1" t="s">
        <v>1808</v>
      </c>
      <c r="AC2376" s="5">
        <v>42853</v>
      </c>
      <c r="AF2376" s="1">
        <v>10005</v>
      </c>
      <c r="AI2376" s="1" t="s">
        <v>45</v>
      </c>
      <c r="AJ2376" s="1">
        <v>2016</v>
      </c>
      <c r="AK2376" s="1" t="s">
        <v>77</v>
      </c>
      <c r="AL2376" s="1">
        <v>51</v>
      </c>
    </row>
    <row r="2377" spans="1:38" x14ac:dyDescent="0.2">
      <c r="A2377" s="2" t="str">
        <f>HYPERLINK("https://www.compass.com/listing/101-wall-street-unit-23a-manhattan-ny-10005/29514329799818721/","101 Wall St, Unit 23A")</f>
        <v>101 Wall St, Unit 23A</v>
      </c>
      <c r="B2377" s="2" t="str">
        <f t="shared" si="341"/>
        <v>101 Wall St</v>
      </c>
      <c r="C2377" s="1" t="s">
        <v>117</v>
      </c>
      <c r="D2377" s="1" t="s">
        <v>41</v>
      </c>
      <c r="E2377" s="3">
        <v>2775000</v>
      </c>
      <c r="F2377" s="1">
        <v>1545.9610027855099</v>
      </c>
      <c r="G2377" s="1">
        <v>5</v>
      </c>
      <c r="H2377" s="1">
        <v>3</v>
      </c>
      <c r="I2377" s="1">
        <v>3</v>
      </c>
      <c r="J2377" s="1">
        <v>3</v>
      </c>
      <c r="K2377" s="1">
        <v>3</v>
      </c>
      <c r="M2377" s="4">
        <v>1795</v>
      </c>
      <c r="N2377" s="1">
        <v>2351</v>
      </c>
      <c r="O2377" s="1">
        <v>5617</v>
      </c>
      <c r="P2377" s="1">
        <v>3266</v>
      </c>
      <c r="Q2377" s="1" t="s">
        <v>42</v>
      </c>
      <c r="S2377" s="1" t="s">
        <v>42</v>
      </c>
      <c r="T2377" s="1" t="s">
        <v>170</v>
      </c>
      <c r="U2377" s="1">
        <v>16</v>
      </c>
      <c r="V2377" s="5">
        <v>43626</v>
      </c>
      <c r="W2377" s="5">
        <v>43339</v>
      </c>
      <c r="X2377" s="1">
        <v>2995000</v>
      </c>
      <c r="Y2377" s="1">
        <v>2995000</v>
      </c>
      <c r="Z2377" s="5">
        <v>43355</v>
      </c>
      <c r="AA2377" s="1">
        <v>2775000</v>
      </c>
      <c r="AB2377" s="1" t="s">
        <v>1809</v>
      </c>
      <c r="AC2377" s="5">
        <v>43376</v>
      </c>
      <c r="AF2377" s="1">
        <v>10005</v>
      </c>
      <c r="AI2377" s="1" t="s">
        <v>74</v>
      </c>
      <c r="AJ2377" s="1">
        <v>2016</v>
      </c>
      <c r="AK2377" s="1" t="s">
        <v>77</v>
      </c>
      <c r="AL2377" s="1">
        <v>51</v>
      </c>
    </row>
    <row r="2378" spans="1:38" x14ac:dyDescent="0.2">
      <c r="A2378" s="2" t="str">
        <f>HYPERLINK("https://www.compass.com/listing/101-wall-street-unit-duplexb-manhattan-ny-10005/29514333247633169/","101 Wall St, Unit DUPLEXB")</f>
        <v>101 Wall St, Unit DUPLEXB</v>
      </c>
      <c r="B2378" s="2" t="str">
        <f t="shared" si="341"/>
        <v>101 Wall St</v>
      </c>
      <c r="C2378" s="1" t="s">
        <v>117</v>
      </c>
      <c r="D2378" s="1" t="s">
        <v>41</v>
      </c>
      <c r="E2378" s="3">
        <v>2500000</v>
      </c>
      <c r="F2378" s="1">
        <v>1190.4761904761899</v>
      </c>
      <c r="G2378" s="1">
        <v>6</v>
      </c>
      <c r="H2378" s="1">
        <v>4</v>
      </c>
      <c r="I2378" s="1">
        <v>4</v>
      </c>
      <c r="J2378" s="1">
        <v>4</v>
      </c>
      <c r="K2378" s="1">
        <v>4</v>
      </c>
      <c r="M2378" s="4">
        <v>2100</v>
      </c>
      <c r="N2378" s="1">
        <v>1633</v>
      </c>
      <c r="O2378" s="1">
        <v>5328</v>
      </c>
      <c r="P2378" s="1">
        <v>3695</v>
      </c>
      <c r="Q2378" s="1" t="s">
        <v>42</v>
      </c>
      <c r="S2378" s="1" t="s">
        <v>42</v>
      </c>
      <c r="T2378" s="1" t="s">
        <v>170</v>
      </c>
      <c r="U2378" s="1">
        <v>366</v>
      </c>
      <c r="V2378" s="5">
        <v>43547</v>
      </c>
      <c r="W2378" s="5">
        <v>43122</v>
      </c>
      <c r="Y2378" s="1">
        <v>2500000</v>
      </c>
      <c r="Z2378" s="5">
        <v>43502</v>
      </c>
      <c r="AA2378" s="1">
        <v>2500000</v>
      </c>
      <c r="AB2378" s="1" t="s">
        <v>181</v>
      </c>
      <c r="AC2378" s="5">
        <v>43546</v>
      </c>
      <c r="AF2378" s="1">
        <v>10005</v>
      </c>
      <c r="AI2378" s="1" t="s">
        <v>45</v>
      </c>
      <c r="AJ2378" s="1">
        <v>2016</v>
      </c>
      <c r="AK2378" s="1" t="s">
        <v>77</v>
      </c>
      <c r="AL2378" s="1">
        <v>51</v>
      </c>
    </row>
    <row r="2379" spans="1:38" x14ac:dyDescent="0.2">
      <c r="A2379" s="2" t="str">
        <f>HYPERLINK("https://www.compass.com/listing/101-wall-street-unit-22a-manhattan-ny-10005/74559868970735121/","101 Wall St, Unit 22A")</f>
        <v>101 Wall St, Unit 22A</v>
      </c>
      <c r="B2379" s="2" t="str">
        <f t="shared" si="341"/>
        <v>101 Wall St</v>
      </c>
      <c r="C2379" s="1" t="s">
        <v>117</v>
      </c>
      <c r="D2379" s="1" t="s">
        <v>41</v>
      </c>
      <c r="E2379" s="3">
        <v>3175000</v>
      </c>
      <c r="F2379" s="1">
        <v>1469.9074074073999</v>
      </c>
      <c r="G2379" s="1">
        <v>5</v>
      </c>
      <c r="H2379" s="1">
        <v>3</v>
      </c>
      <c r="I2379" s="1">
        <v>4</v>
      </c>
      <c r="J2379" s="1">
        <v>3.5</v>
      </c>
      <c r="K2379" s="1">
        <v>3</v>
      </c>
      <c r="L2379" s="1">
        <v>1</v>
      </c>
      <c r="M2379" s="4">
        <v>2160</v>
      </c>
      <c r="N2379" s="1">
        <v>1654</v>
      </c>
      <c r="O2379" s="1">
        <v>6090</v>
      </c>
      <c r="P2379" s="1">
        <v>4436</v>
      </c>
      <c r="Q2379" s="1" t="s">
        <v>42</v>
      </c>
      <c r="S2379" s="1" t="s">
        <v>42</v>
      </c>
      <c r="T2379" s="1" t="s">
        <v>170</v>
      </c>
      <c r="U2379" s="1">
        <v>887</v>
      </c>
      <c r="V2379" s="5">
        <v>43759</v>
      </c>
      <c r="W2379" s="5">
        <v>42859</v>
      </c>
      <c r="X2379" s="1">
        <v>3995000</v>
      </c>
      <c r="Y2379" s="1">
        <v>3495000</v>
      </c>
      <c r="AA2379" s="1">
        <v>3175000</v>
      </c>
      <c r="AB2379" s="1" t="s">
        <v>1810</v>
      </c>
      <c r="AC2379" s="5">
        <v>43746</v>
      </c>
      <c r="AF2379" s="1">
        <v>10005</v>
      </c>
      <c r="AI2379" s="1" t="s">
        <v>45</v>
      </c>
      <c r="AJ2379" s="1">
        <v>2016</v>
      </c>
      <c r="AK2379" s="1" t="s">
        <v>77</v>
      </c>
      <c r="AL2379" s="1">
        <v>51</v>
      </c>
    </row>
    <row r="2380" spans="1:38" x14ac:dyDescent="0.2">
      <c r="A2380" s="2" t="str">
        <f>HYPERLINK("https://www.compass.com/listing/101-wall-street-unit-10b-manhattan-ny-10005/803319451407458129/","101 Wall St, Unit 10B")</f>
        <v>101 Wall St, Unit 10B</v>
      </c>
      <c r="B2380" s="2" t="str">
        <f t="shared" si="341"/>
        <v>101 Wall St</v>
      </c>
      <c r="C2380" s="1" t="s">
        <v>117</v>
      </c>
      <c r="D2380" s="1" t="s">
        <v>41</v>
      </c>
      <c r="E2380" s="3">
        <v>2000000</v>
      </c>
      <c r="F2380" s="1">
        <v>1411.4326040931501</v>
      </c>
      <c r="G2380" s="1">
        <v>4</v>
      </c>
      <c r="H2380" s="1">
        <v>2</v>
      </c>
      <c r="I2380" s="1">
        <v>2</v>
      </c>
      <c r="J2380" s="1">
        <v>2.5</v>
      </c>
      <c r="K2380" s="1">
        <v>2</v>
      </c>
      <c r="L2380" s="1">
        <v>1</v>
      </c>
      <c r="M2380" s="4">
        <v>1417</v>
      </c>
      <c r="N2380" s="1">
        <v>1809</v>
      </c>
      <c r="O2380" s="1">
        <v>3900</v>
      </c>
      <c r="P2380" s="1">
        <v>2091</v>
      </c>
      <c r="Q2380" s="1" t="s">
        <v>42</v>
      </c>
      <c r="S2380" s="1" t="s">
        <v>42</v>
      </c>
      <c r="T2380" s="1" t="s">
        <v>170</v>
      </c>
      <c r="U2380" s="1">
        <v>528</v>
      </c>
      <c r="V2380" s="5">
        <v>43235</v>
      </c>
      <c r="W2380" s="5">
        <v>42248</v>
      </c>
      <c r="X2380" s="1">
        <v>2300000</v>
      </c>
      <c r="Y2380" s="1">
        <v>2300000</v>
      </c>
      <c r="Z2380" s="5">
        <v>42777</v>
      </c>
      <c r="AA2380" s="1">
        <v>2000000</v>
      </c>
      <c r="AB2380" s="1" t="s">
        <v>1811</v>
      </c>
      <c r="AC2380" s="5">
        <v>43349</v>
      </c>
      <c r="AF2380" s="1">
        <v>10005</v>
      </c>
      <c r="AI2380" s="1" t="s">
        <v>45</v>
      </c>
      <c r="AJ2380" s="1">
        <v>2016</v>
      </c>
      <c r="AK2380" s="1" t="s">
        <v>77</v>
      </c>
      <c r="AL2380" s="1">
        <v>51</v>
      </c>
    </row>
    <row r="2381" spans="1:38" x14ac:dyDescent="0.2">
      <c r="A2381" s="2" t="str">
        <f>HYPERLINK("https://www.compass.com/listing/252-east-57th-street-unit-50d-manhattan-ny-10022/29405834119339841/","252 E 57th St, Unit 50D")</f>
        <v>252 E 57th St, Unit 50D</v>
      </c>
      <c r="B2381" s="2" t="str">
        <f t="shared" ref="B2381:B2386" si="342">HYPERLINK("https://www.compass.com/building/252-e-57th-st-manhattan-ny-10022/281924023602945813/","252 E 57th St")</f>
        <v>252 E 57th St</v>
      </c>
      <c r="C2381" s="1" t="s">
        <v>64</v>
      </c>
      <c r="D2381" s="1" t="s">
        <v>41</v>
      </c>
      <c r="E2381" s="3">
        <v>4475298</v>
      </c>
      <c r="F2381" s="1">
        <v>2586.8774566473899</v>
      </c>
      <c r="G2381" s="1">
        <v>4</v>
      </c>
      <c r="H2381" s="1">
        <v>2</v>
      </c>
      <c r="I2381" s="1">
        <v>3</v>
      </c>
      <c r="J2381" s="1">
        <v>2.5</v>
      </c>
      <c r="M2381" s="4">
        <v>1730</v>
      </c>
      <c r="N2381" s="1">
        <v>3092</v>
      </c>
      <c r="O2381" s="1">
        <v>4496</v>
      </c>
      <c r="P2381" s="1">
        <v>1404</v>
      </c>
      <c r="Q2381" s="1" t="s">
        <v>42</v>
      </c>
      <c r="S2381" s="1" t="s">
        <v>42</v>
      </c>
      <c r="T2381" s="1" t="s">
        <v>170</v>
      </c>
      <c r="U2381" s="1">
        <v>13</v>
      </c>
      <c r="V2381" s="5">
        <v>43638</v>
      </c>
      <c r="W2381" s="5">
        <v>42438</v>
      </c>
      <c r="X2381" s="1">
        <v>4640000</v>
      </c>
      <c r="Y2381" s="1">
        <v>4640000</v>
      </c>
      <c r="Z2381" s="5">
        <v>42451</v>
      </c>
      <c r="AA2381" s="1">
        <v>4475298</v>
      </c>
      <c r="AB2381" s="1" t="s">
        <v>1707</v>
      </c>
      <c r="AC2381" s="5">
        <v>42871</v>
      </c>
      <c r="AF2381" s="1">
        <v>10022</v>
      </c>
      <c r="AI2381" s="1" t="s">
        <v>84</v>
      </c>
      <c r="AJ2381" s="1">
        <v>2016</v>
      </c>
      <c r="AK2381" s="1" t="s">
        <v>73</v>
      </c>
      <c r="AL2381" s="1">
        <v>95</v>
      </c>
    </row>
    <row r="2382" spans="1:38" x14ac:dyDescent="0.2">
      <c r="A2382" s="2" t="str">
        <f>HYPERLINK("https://www.compass.com/listing/252-east-57th-street-unit-43d-manhattan-ny-10022/29405822459174465/","252 E 57th St, Unit 43D")</f>
        <v>252 E 57th St, Unit 43D</v>
      </c>
      <c r="B2382" s="2" t="str">
        <f t="shared" si="342"/>
        <v>252 E 57th St</v>
      </c>
      <c r="C2382" s="1" t="s">
        <v>64</v>
      </c>
      <c r="D2382" s="1" t="s">
        <v>41</v>
      </c>
      <c r="E2382" s="3">
        <v>3643244</v>
      </c>
      <c r="F2382" s="1">
        <v>2092.6157380815598</v>
      </c>
      <c r="G2382" s="1">
        <v>4</v>
      </c>
      <c r="H2382" s="1">
        <v>2</v>
      </c>
      <c r="I2382" s="1">
        <v>3</v>
      </c>
      <c r="J2382" s="1">
        <v>2.5</v>
      </c>
      <c r="M2382" s="4">
        <v>1741</v>
      </c>
      <c r="N2382" s="1">
        <v>3101</v>
      </c>
      <c r="O2382" s="1">
        <v>4509</v>
      </c>
      <c r="P2382" s="1">
        <v>1408</v>
      </c>
      <c r="Q2382" s="1" t="s">
        <v>42</v>
      </c>
      <c r="S2382" s="1" t="s">
        <v>42</v>
      </c>
      <c r="T2382" s="1" t="s">
        <v>170</v>
      </c>
      <c r="U2382" s="1">
        <v>573</v>
      </c>
      <c r="V2382" s="5">
        <v>43650</v>
      </c>
      <c r="W2382" s="5">
        <v>42084</v>
      </c>
      <c r="X2382" s="1">
        <v>4240000</v>
      </c>
      <c r="Y2382" s="1">
        <v>3975000</v>
      </c>
      <c r="Z2382" s="5">
        <v>42657</v>
      </c>
      <c r="AA2382" s="1">
        <v>3643244</v>
      </c>
      <c r="AB2382" s="1" t="s">
        <v>1718</v>
      </c>
      <c r="AC2382" s="5">
        <v>42833</v>
      </c>
      <c r="AF2382" s="1">
        <v>10022</v>
      </c>
      <c r="AI2382" s="1" t="s">
        <v>84</v>
      </c>
      <c r="AJ2382" s="1">
        <v>2016</v>
      </c>
      <c r="AK2382" s="1" t="s">
        <v>73</v>
      </c>
      <c r="AL2382" s="1">
        <v>95</v>
      </c>
    </row>
    <row r="2383" spans="1:38" x14ac:dyDescent="0.2">
      <c r="A2383" s="2" t="str">
        <f>HYPERLINK("https://www.compass.com/listing/252-east-57th-street-unit-44d-manhattan-ny-10022/29405824405241713/","252 E 57th St, Unit 44D")</f>
        <v>252 E 57th St, Unit 44D</v>
      </c>
      <c r="B2383" s="2" t="str">
        <f t="shared" si="342"/>
        <v>252 E 57th St</v>
      </c>
      <c r="C2383" s="1" t="s">
        <v>64</v>
      </c>
      <c r="D2383" s="1" t="s">
        <v>41</v>
      </c>
      <c r="E2383" s="3">
        <v>3795981</v>
      </c>
      <c r="F2383" s="1">
        <v>2182.8527889591701</v>
      </c>
      <c r="G2383" s="1">
        <v>4</v>
      </c>
      <c r="H2383" s="1">
        <v>2</v>
      </c>
      <c r="I2383" s="1">
        <v>3</v>
      </c>
      <c r="J2383" s="1">
        <v>2.5</v>
      </c>
      <c r="M2383" s="4">
        <v>1739</v>
      </c>
      <c r="N2383" s="1">
        <v>3098</v>
      </c>
      <c r="O2383" s="1">
        <v>4505</v>
      </c>
      <c r="P2383" s="1">
        <v>1407</v>
      </c>
      <c r="Q2383" s="1" t="s">
        <v>42</v>
      </c>
      <c r="S2383" s="1" t="s">
        <v>42</v>
      </c>
      <c r="T2383" s="1" t="s">
        <v>170</v>
      </c>
      <c r="U2383" s="1">
        <v>55</v>
      </c>
      <c r="V2383" s="5">
        <v>43650</v>
      </c>
      <c r="W2383" s="5">
        <v>42657</v>
      </c>
      <c r="X2383" s="1">
        <v>4020000</v>
      </c>
      <c r="Y2383" s="1">
        <v>4020000</v>
      </c>
      <c r="Z2383" s="5">
        <v>42712</v>
      </c>
      <c r="AA2383" s="1">
        <v>3795981</v>
      </c>
      <c r="AB2383" s="1" t="s">
        <v>1709</v>
      </c>
      <c r="AC2383" s="5">
        <v>42833</v>
      </c>
      <c r="AF2383" s="1">
        <v>10022</v>
      </c>
      <c r="AI2383" s="1" t="s">
        <v>84</v>
      </c>
      <c r="AJ2383" s="1">
        <v>2016</v>
      </c>
      <c r="AK2383" s="1" t="s">
        <v>46</v>
      </c>
      <c r="AL2383" s="1">
        <v>95</v>
      </c>
    </row>
    <row r="2384" spans="1:38" x14ac:dyDescent="0.2">
      <c r="A2384" s="2" t="str">
        <f>HYPERLINK("https://www.compass.com/listing/252-east-57th-street-unit-48b-manhattan-ny-10022/29405829564325601/","252 E 57th St, Unit 48B")</f>
        <v>252 E 57th St, Unit 48B</v>
      </c>
      <c r="B2384" s="2" t="str">
        <f t="shared" si="342"/>
        <v>252 E 57th St</v>
      </c>
      <c r="C2384" s="1" t="s">
        <v>64</v>
      </c>
      <c r="D2384" s="1" t="s">
        <v>41</v>
      </c>
      <c r="E2384" s="3">
        <v>4413041</v>
      </c>
      <c r="F2384" s="1">
        <v>2533.3185993111301</v>
      </c>
      <c r="G2384" s="1">
        <v>4</v>
      </c>
      <c r="H2384" s="1">
        <v>2</v>
      </c>
      <c r="I2384" s="1">
        <v>3</v>
      </c>
      <c r="J2384" s="1">
        <v>2.5</v>
      </c>
      <c r="M2384" s="4">
        <v>1742</v>
      </c>
      <c r="N2384" s="1">
        <v>3110</v>
      </c>
      <c r="O2384" s="1">
        <v>4522</v>
      </c>
      <c r="P2384" s="1">
        <v>1412</v>
      </c>
      <c r="Q2384" s="1" t="s">
        <v>42</v>
      </c>
      <c r="S2384" s="1" t="s">
        <v>42</v>
      </c>
      <c r="T2384" s="1" t="s">
        <v>170</v>
      </c>
      <c r="U2384" s="1">
        <v>14</v>
      </c>
      <c r="V2384" s="5">
        <v>43650</v>
      </c>
      <c r="W2384" s="5">
        <v>42460</v>
      </c>
      <c r="X2384" s="1">
        <v>4665000</v>
      </c>
      <c r="Y2384" s="1">
        <v>4665000</v>
      </c>
      <c r="Z2384" s="5">
        <v>42474</v>
      </c>
      <c r="AA2384" s="1">
        <v>4413041</v>
      </c>
      <c r="AB2384" s="1" t="s">
        <v>1710</v>
      </c>
      <c r="AC2384" s="5">
        <v>42837</v>
      </c>
      <c r="AF2384" s="1">
        <v>10022</v>
      </c>
      <c r="AI2384" s="1" t="s">
        <v>84</v>
      </c>
      <c r="AJ2384" s="1">
        <v>2016</v>
      </c>
      <c r="AK2384" s="1" t="s">
        <v>73</v>
      </c>
      <c r="AL2384" s="1">
        <v>95</v>
      </c>
    </row>
    <row r="2385" spans="1:38" x14ac:dyDescent="0.2">
      <c r="A2385" s="2" t="str">
        <f>HYPERLINK("https://www.compass.com/listing/252-east-57th-street-unit-43a-manhattan-ny-10022/29514258547016945/","252 E 57th St, Unit 43A")</f>
        <v>252 E 57th St, Unit 43A</v>
      </c>
      <c r="B2385" s="2" t="str">
        <f t="shared" si="342"/>
        <v>252 E 57th St</v>
      </c>
      <c r="C2385" s="1" t="s">
        <v>64</v>
      </c>
      <c r="D2385" s="1" t="s">
        <v>41</v>
      </c>
      <c r="E2385" s="3">
        <v>5068794</v>
      </c>
      <c r="F2385" s="1">
        <v>2307.1433773327199</v>
      </c>
      <c r="G2385" s="1">
        <v>5</v>
      </c>
      <c r="H2385" s="1">
        <v>3</v>
      </c>
      <c r="I2385" s="1">
        <v>4</v>
      </c>
      <c r="J2385" s="1">
        <v>3.5</v>
      </c>
      <c r="K2385" s="1">
        <v>3</v>
      </c>
      <c r="L2385" s="1">
        <v>1</v>
      </c>
      <c r="M2385" s="4">
        <v>2197</v>
      </c>
      <c r="N2385" s="1">
        <v>4162</v>
      </c>
      <c r="O2385" s="1">
        <v>6316</v>
      </c>
      <c r="P2385" s="1">
        <v>2154</v>
      </c>
      <c r="Q2385" s="1" t="s">
        <v>42</v>
      </c>
      <c r="S2385" s="1" t="s">
        <v>42</v>
      </c>
      <c r="T2385" s="1" t="s">
        <v>170</v>
      </c>
      <c r="U2385" s="1">
        <v>4</v>
      </c>
      <c r="V2385" s="5">
        <v>43678</v>
      </c>
      <c r="W2385" s="5">
        <v>43225</v>
      </c>
      <c r="X2385" s="1">
        <v>4975000</v>
      </c>
      <c r="Y2385" s="1">
        <v>4975000</v>
      </c>
      <c r="Z2385" s="5">
        <v>43229</v>
      </c>
      <c r="AA2385" s="1">
        <v>5068794</v>
      </c>
      <c r="AB2385" s="1" t="s">
        <v>1812</v>
      </c>
      <c r="AC2385" s="5">
        <v>43313</v>
      </c>
      <c r="AF2385" s="1">
        <v>10022</v>
      </c>
      <c r="AI2385" s="1" t="s">
        <v>138</v>
      </c>
      <c r="AJ2385" s="1">
        <v>2016</v>
      </c>
      <c r="AK2385" s="1" t="s">
        <v>73</v>
      </c>
      <c r="AL2385" s="1">
        <v>95</v>
      </c>
    </row>
    <row r="2386" spans="1:38" x14ac:dyDescent="0.2">
      <c r="A2386" s="2" t="str">
        <f>HYPERLINK("https://www.compass.com/listing/252-east-57th-street-unit-46a-manhattan-ny-10022/803344838799725057/","252 E 57th St, Unit 46A")</f>
        <v>252 E 57th St, Unit 46A</v>
      </c>
      <c r="B2386" s="2" t="str">
        <f t="shared" si="342"/>
        <v>252 E 57th St</v>
      </c>
      <c r="C2386" s="1" t="s">
        <v>64</v>
      </c>
      <c r="D2386" s="1" t="s">
        <v>41</v>
      </c>
      <c r="E2386" s="3">
        <v>5221531</v>
      </c>
      <c r="F2386" s="1">
        <v>2380.9992020063801</v>
      </c>
      <c r="G2386" s="1">
        <v>5</v>
      </c>
      <c r="H2386" s="1">
        <v>3</v>
      </c>
      <c r="I2386" s="1">
        <v>4</v>
      </c>
      <c r="J2386" s="1">
        <v>3.5</v>
      </c>
      <c r="M2386" s="4">
        <v>2193</v>
      </c>
      <c r="N2386" s="1">
        <v>4162</v>
      </c>
      <c r="O2386" s="1">
        <v>6316</v>
      </c>
      <c r="P2386" s="1">
        <v>2154</v>
      </c>
      <c r="Q2386" s="1" t="s">
        <v>42</v>
      </c>
      <c r="S2386" s="1" t="s">
        <v>42</v>
      </c>
      <c r="T2386" s="1" t="s">
        <v>170</v>
      </c>
      <c r="U2386" s="1">
        <v>127</v>
      </c>
      <c r="V2386" s="5">
        <v>43173</v>
      </c>
      <c r="W2386" s="5">
        <v>43045</v>
      </c>
      <c r="X2386" s="1">
        <v>5125000</v>
      </c>
      <c r="Y2386" s="1">
        <v>5125000</v>
      </c>
      <c r="AA2386" s="1">
        <v>5221531.25</v>
      </c>
      <c r="AB2386" s="1" t="s">
        <v>1813</v>
      </c>
      <c r="AC2386" s="5">
        <v>43280</v>
      </c>
      <c r="AF2386" s="1">
        <v>10022</v>
      </c>
      <c r="AI2386" s="1" t="s">
        <v>65</v>
      </c>
      <c r="AJ2386" s="1">
        <v>2016</v>
      </c>
      <c r="AK2386" s="1" t="s">
        <v>73</v>
      </c>
      <c r="AL2386" s="1">
        <v>95</v>
      </c>
    </row>
    <row r="2387" spans="1:38" x14ac:dyDescent="0.2">
      <c r="A2387" s="2" t="str">
        <f>HYPERLINK("https://www.compass.com/listing/101-wall-street-unit-phb-manhattan-ny-10005/29514330714273457/","101 Wall St, Unit PHB")</f>
        <v>101 Wall St, Unit PHB</v>
      </c>
      <c r="B2387" s="2" t="str">
        <f t="shared" ref="B2387:B2391" si="343">HYPERLINK("https://www.compass.com/building/101-wall-st-manhattan-ny-10005/292788767809355381/","101 Wall St")</f>
        <v>101 Wall St</v>
      </c>
      <c r="C2387" s="1" t="s">
        <v>117</v>
      </c>
      <c r="D2387" s="1" t="s">
        <v>41</v>
      </c>
      <c r="E2387" s="3">
        <v>5250000</v>
      </c>
      <c r="F2387" s="1">
        <v>1668.78575969485</v>
      </c>
      <c r="G2387" s="1">
        <v>6</v>
      </c>
      <c r="H2387" s="1">
        <v>4</v>
      </c>
      <c r="I2387" s="1">
        <v>5</v>
      </c>
      <c r="J2387" s="1">
        <v>4.5</v>
      </c>
      <c r="K2387" s="1">
        <v>4</v>
      </c>
      <c r="L2387" s="1">
        <v>1</v>
      </c>
      <c r="M2387" s="4">
        <v>3146</v>
      </c>
      <c r="N2387" s="1">
        <v>4065</v>
      </c>
      <c r="O2387" s="1">
        <v>8765</v>
      </c>
      <c r="P2387" s="1">
        <v>4700</v>
      </c>
      <c r="Q2387" s="1" t="s">
        <v>42</v>
      </c>
      <c r="S2387" s="1" t="s">
        <v>42</v>
      </c>
      <c r="T2387" s="1" t="s">
        <v>170</v>
      </c>
      <c r="U2387" s="1">
        <v>32</v>
      </c>
      <c r="V2387" s="5">
        <v>43671</v>
      </c>
      <c r="W2387" s="5">
        <v>43234</v>
      </c>
      <c r="X2387" s="1">
        <v>5495000</v>
      </c>
      <c r="Y2387" s="1">
        <v>5495000</v>
      </c>
      <c r="Z2387" s="5">
        <v>43266</v>
      </c>
      <c r="AA2387" s="1">
        <v>5250000</v>
      </c>
      <c r="AB2387" s="1" t="s">
        <v>1814</v>
      </c>
      <c r="AC2387" s="5">
        <v>43371</v>
      </c>
      <c r="AF2387" s="1">
        <v>10005</v>
      </c>
      <c r="AI2387" s="1" t="s">
        <v>1815</v>
      </c>
      <c r="AJ2387" s="1">
        <v>2016</v>
      </c>
      <c r="AK2387" s="1" t="s">
        <v>77</v>
      </c>
      <c r="AL2387" s="1">
        <v>51</v>
      </c>
    </row>
    <row r="2388" spans="1:38" x14ac:dyDescent="0.2">
      <c r="A2388" s="2" t="str">
        <f>HYPERLINK("https://www.compass.com/listing/101-wall-street-unit-duplexc-manhattan-ny-10005/122364650649065585/","101 Wall St, Unit DUPLEXC")</f>
        <v>101 Wall St, Unit DUPLEXC</v>
      </c>
      <c r="B2388" s="2" t="str">
        <f t="shared" si="343"/>
        <v>101 Wall St</v>
      </c>
      <c r="C2388" s="1" t="s">
        <v>117</v>
      </c>
      <c r="D2388" s="1" t="s">
        <v>41</v>
      </c>
      <c r="E2388" s="3">
        <v>1985000</v>
      </c>
      <c r="F2388" s="1">
        <v>1049.1543340380499</v>
      </c>
      <c r="G2388" s="1">
        <v>5</v>
      </c>
      <c r="H2388" s="1">
        <v>3</v>
      </c>
      <c r="I2388" s="1">
        <v>3</v>
      </c>
      <c r="J2388" s="1">
        <v>3</v>
      </c>
      <c r="K2388" s="1">
        <v>3</v>
      </c>
      <c r="M2388" s="4">
        <v>1892</v>
      </c>
      <c r="N2388" s="1">
        <v>1452</v>
      </c>
      <c r="O2388" s="1">
        <v>4756</v>
      </c>
      <c r="P2388" s="1">
        <v>3304</v>
      </c>
      <c r="Q2388" s="1" t="s">
        <v>42</v>
      </c>
      <c r="S2388" s="1" t="s">
        <v>42</v>
      </c>
      <c r="T2388" s="1" t="s">
        <v>170</v>
      </c>
      <c r="U2388" s="1">
        <v>118</v>
      </c>
      <c r="V2388" s="5">
        <v>43626</v>
      </c>
      <c r="W2388" s="5">
        <v>43421</v>
      </c>
      <c r="X2388" s="1">
        <v>2000000</v>
      </c>
      <c r="Y2388" s="1">
        <v>2000000</v>
      </c>
      <c r="Z2388" s="5">
        <v>43539</v>
      </c>
      <c r="AA2388" s="1">
        <v>1985000</v>
      </c>
      <c r="AB2388" s="1" t="s">
        <v>1816</v>
      </c>
      <c r="AC2388" s="5">
        <v>43585</v>
      </c>
      <c r="AF2388" s="1">
        <v>10005</v>
      </c>
      <c r="AI2388" s="1" t="s">
        <v>45</v>
      </c>
      <c r="AJ2388" s="1">
        <v>2016</v>
      </c>
      <c r="AK2388" s="1" t="s">
        <v>77</v>
      </c>
      <c r="AL2388" s="1">
        <v>51</v>
      </c>
    </row>
    <row r="2389" spans="1:38" x14ac:dyDescent="0.2">
      <c r="A2389" s="2" t="str">
        <f>HYPERLINK("https://www.compass.com/listing/101-wall-street-unit-duplexa-manhattan-ny-10005/89674419831686049/","101 Wall St, Unit DUPLEXA")</f>
        <v>101 Wall St, Unit DUPLEXA</v>
      </c>
      <c r="B2389" s="2" t="str">
        <f t="shared" si="343"/>
        <v>101 Wall St</v>
      </c>
      <c r="C2389" s="1" t="s">
        <v>117</v>
      </c>
      <c r="D2389" s="1" t="s">
        <v>41</v>
      </c>
      <c r="E2389" s="3">
        <v>2000000</v>
      </c>
      <c r="F2389" s="1">
        <v>1104.9723756906001</v>
      </c>
      <c r="G2389" s="1">
        <v>5</v>
      </c>
      <c r="H2389" s="1">
        <v>3</v>
      </c>
      <c r="I2389" s="1">
        <v>3</v>
      </c>
      <c r="J2389" s="1">
        <v>3</v>
      </c>
      <c r="K2389" s="1">
        <v>3</v>
      </c>
      <c r="M2389" s="4">
        <v>1810</v>
      </c>
      <c r="N2389" s="1">
        <v>1392</v>
      </c>
      <c r="O2389" s="1">
        <v>5117</v>
      </c>
      <c r="P2389" s="1">
        <v>3725</v>
      </c>
      <c r="Q2389" s="1" t="s">
        <v>42</v>
      </c>
      <c r="S2389" s="1" t="s">
        <v>42</v>
      </c>
      <c r="T2389" s="1" t="s">
        <v>170</v>
      </c>
      <c r="U2389" s="1">
        <v>216</v>
      </c>
      <c r="V2389" s="5">
        <v>43851</v>
      </c>
      <c r="W2389" s="5">
        <v>43375</v>
      </c>
      <c r="X2389" s="1">
        <v>2250000</v>
      </c>
      <c r="Y2389" s="1">
        <v>2000000</v>
      </c>
      <c r="Z2389" s="5">
        <v>43777</v>
      </c>
      <c r="AA2389" s="1">
        <v>2000000</v>
      </c>
      <c r="AB2389" s="1" t="s">
        <v>181</v>
      </c>
      <c r="AC2389" s="5">
        <v>43837</v>
      </c>
      <c r="AF2389" s="1">
        <v>10005</v>
      </c>
      <c r="AI2389" s="1" t="s">
        <v>45</v>
      </c>
      <c r="AJ2389" s="1">
        <v>2016</v>
      </c>
      <c r="AK2389" s="1" t="s">
        <v>77</v>
      </c>
      <c r="AL2389" s="1">
        <v>51</v>
      </c>
    </row>
    <row r="2390" spans="1:38" x14ac:dyDescent="0.2">
      <c r="A2390" s="2" t="str">
        <f>HYPERLINK("https://www.compass.com/listing/101-wall-street-unit-10b-manhattan-ny-10005/29514331595022753/","101 Wall St, Unit 10B")</f>
        <v>101 Wall St, Unit 10B</v>
      </c>
      <c r="B2390" s="2" t="str">
        <f t="shared" si="343"/>
        <v>101 Wall St</v>
      </c>
      <c r="C2390" s="1" t="s">
        <v>117</v>
      </c>
      <c r="D2390" s="1" t="s">
        <v>41</v>
      </c>
      <c r="E2390" s="3">
        <v>2000000</v>
      </c>
      <c r="F2390" s="1">
        <v>1411.4326040931501</v>
      </c>
      <c r="G2390" s="1">
        <v>4</v>
      </c>
      <c r="H2390" s="1">
        <v>2</v>
      </c>
      <c r="I2390" s="1">
        <v>3</v>
      </c>
      <c r="J2390" s="1">
        <v>2.5</v>
      </c>
      <c r="K2390" s="1">
        <v>2</v>
      </c>
      <c r="L2390" s="1">
        <v>1</v>
      </c>
      <c r="M2390" s="4">
        <v>1417</v>
      </c>
      <c r="N2390" s="1">
        <v>1809</v>
      </c>
      <c r="O2390" s="1">
        <v>3900</v>
      </c>
      <c r="P2390" s="1">
        <v>2091</v>
      </c>
      <c r="Q2390" s="1" t="s">
        <v>42</v>
      </c>
      <c r="S2390" s="1" t="s">
        <v>42</v>
      </c>
      <c r="T2390" s="1" t="s">
        <v>170</v>
      </c>
      <c r="U2390" s="1">
        <v>1</v>
      </c>
      <c r="V2390" s="5">
        <v>43626</v>
      </c>
      <c r="W2390" s="5">
        <v>43234</v>
      </c>
      <c r="X2390" s="1">
        <v>2000000</v>
      </c>
      <c r="Y2390" s="1">
        <v>2000000</v>
      </c>
      <c r="Z2390" s="5">
        <v>43307</v>
      </c>
      <c r="AA2390" s="1">
        <v>2000000</v>
      </c>
      <c r="AB2390" s="1" t="s">
        <v>1811</v>
      </c>
      <c r="AC2390" s="5">
        <v>43349</v>
      </c>
      <c r="AF2390" s="1">
        <v>10005</v>
      </c>
      <c r="AI2390" s="1" t="s">
        <v>45</v>
      </c>
      <c r="AJ2390" s="1">
        <v>2016</v>
      </c>
      <c r="AK2390" s="1" t="s">
        <v>77</v>
      </c>
      <c r="AL2390" s="1">
        <v>51</v>
      </c>
    </row>
    <row r="2391" spans="1:38" x14ac:dyDescent="0.2">
      <c r="A2391" s="2" t="str">
        <f>HYPERLINK("https://www.compass.com/listing/101-wall-street-unit-9b-manhattan-ny-10005/29514332853314001/","101 Wall St, Unit 9B")</f>
        <v>101 Wall St, Unit 9B</v>
      </c>
      <c r="B2391" s="2" t="str">
        <f t="shared" si="343"/>
        <v>101 Wall St</v>
      </c>
      <c r="C2391" s="1" t="s">
        <v>117</v>
      </c>
      <c r="D2391" s="1" t="s">
        <v>41</v>
      </c>
      <c r="E2391" s="3">
        <v>2000000</v>
      </c>
      <c r="F2391" s="1">
        <v>1322.75132275132</v>
      </c>
      <c r="G2391" s="1">
        <v>4</v>
      </c>
      <c r="H2391" s="1">
        <v>2</v>
      </c>
      <c r="I2391" s="1">
        <v>3</v>
      </c>
      <c r="J2391" s="1">
        <v>2.5</v>
      </c>
      <c r="K2391" s="1">
        <v>2</v>
      </c>
      <c r="L2391" s="1">
        <v>1</v>
      </c>
      <c r="M2391" s="4">
        <v>1512</v>
      </c>
      <c r="N2391" s="1">
        <v>1928</v>
      </c>
      <c r="O2391" s="1">
        <v>4606</v>
      </c>
      <c r="P2391" s="1">
        <v>2678</v>
      </c>
      <c r="Q2391" s="1" t="s">
        <v>42</v>
      </c>
      <c r="S2391" s="1" t="s">
        <v>42</v>
      </c>
      <c r="T2391" s="1" t="s">
        <v>170</v>
      </c>
      <c r="U2391" s="1">
        <v>123</v>
      </c>
      <c r="V2391" s="5">
        <v>43626</v>
      </c>
      <c r="W2391" s="5">
        <v>43339</v>
      </c>
      <c r="X2391" s="1">
        <v>2300000</v>
      </c>
      <c r="Y2391" s="1">
        <v>2300000</v>
      </c>
      <c r="Z2391" s="5">
        <v>43462</v>
      </c>
      <c r="AA2391" s="1">
        <v>2000000</v>
      </c>
      <c r="AB2391" s="1" t="s">
        <v>1817</v>
      </c>
      <c r="AC2391" s="5">
        <v>43523</v>
      </c>
      <c r="AF2391" s="1">
        <v>10005</v>
      </c>
      <c r="AI2391" s="1" t="s">
        <v>45</v>
      </c>
      <c r="AJ2391" s="1">
        <v>2016</v>
      </c>
      <c r="AK2391" s="1" t="s">
        <v>77</v>
      </c>
      <c r="AL2391" s="1">
        <v>51</v>
      </c>
    </row>
    <row r="2392" spans="1:38" x14ac:dyDescent="0.2">
      <c r="A2392" s="2" t="str">
        <f>HYPERLINK("https://www.compass.com/listing/252-east-57th-street-unit-44a-manhattan-ny-10022/29405822920458065/","252 E 57th St, Unit 44A")</f>
        <v>252 E 57th St, Unit 44A</v>
      </c>
      <c r="B2392" s="2" t="str">
        <f t="shared" ref="B2392:B2451" si="344">HYPERLINK("https://www.compass.com/building/252-e-57th-st-manhattan-ny-10022/281924023602945813/","252 E 57th St")</f>
        <v>252 E 57th St</v>
      </c>
      <c r="C2392" s="1" t="s">
        <v>64</v>
      </c>
      <c r="D2392" s="1" t="s">
        <v>41</v>
      </c>
      <c r="E2392" s="3">
        <v>4890600</v>
      </c>
      <c r="F2392" s="1">
        <v>2228.0637813211802</v>
      </c>
      <c r="G2392" s="1">
        <v>5</v>
      </c>
      <c r="H2392" s="1">
        <v>3</v>
      </c>
      <c r="I2392" s="1">
        <v>4</v>
      </c>
      <c r="J2392" s="1">
        <v>3.5</v>
      </c>
      <c r="M2392" s="4">
        <v>2195</v>
      </c>
      <c r="N2392" s="1">
        <v>3940</v>
      </c>
      <c r="O2392" s="1">
        <v>5730</v>
      </c>
      <c r="P2392" s="1">
        <v>1790</v>
      </c>
      <c r="Q2392" s="1" t="s">
        <v>42</v>
      </c>
      <c r="S2392" s="1" t="s">
        <v>42</v>
      </c>
      <c r="T2392" s="1" t="s">
        <v>170</v>
      </c>
      <c r="U2392" s="1">
        <v>7</v>
      </c>
      <c r="V2392" s="5">
        <v>43649</v>
      </c>
      <c r="W2392" s="5">
        <v>43013</v>
      </c>
      <c r="X2392" s="1">
        <v>5025000</v>
      </c>
      <c r="Y2392" s="1">
        <v>5025000</v>
      </c>
      <c r="Z2392" s="5">
        <v>43020</v>
      </c>
      <c r="AA2392" s="1">
        <v>4890600</v>
      </c>
      <c r="AB2392" s="1" t="s">
        <v>1715</v>
      </c>
      <c r="AC2392" s="5">
        <v>43026</v>
      </c>
      <c r="AF2392" s="1">
        <v>10022</v>
      </c>
      <c r="AI2392" s="1" t="s">
        <v>65</v>
      </c>
      <c r="AJ2392" s="1">
        <v>2016</v>
      </c>
      <c r="AK2392" s="1" t="s">
        <v>46</v>
      </c>
      <c r="AL2392" s="1">
        <v>95</v>
      </c>
    </row>
    <row r="2393" spans="1:38" x14ac:dyDescent="0.2">
      <c r="A2393" s="2" t="str">
        <f>HYPERLINK("https://www.compass.com/listing/252-east-57th-street-unit-50a-manhattan-ny-10022/29405832668110625/","252 E 57th St, Unit 50A")</f>
        <v>252 E 57th St, Unit 50A</v>
      </c>
      <c r="B2393" s="2" t="str">
        <f t="shared" si="344"/>
        <v>252 E 57th St</v>
      </c>
      <c r="C2393" s="1" t="s">
        <v>64</v>
      </c>
      <c r="D2393" s="1" t="s">
        <v>41</v>
      </c>
      <c r="E2393" s="3">
        <v>4961878</v>
      </c>
      <c r="F2393" s="1">
        <v>2268.80544124371</v>
      </c>
      <c r="G2393" s="1">
        <v>5</v>
      </c>
      <c r="H2393" s="1">
        <v>3</v>
      </c>
      <c r="I2393" s="1">
        <v>4</v>
      </c>
      <c r="J2393" s="1">
        <v>3.5</v>
      </c>
      <c r="M2393" s="4">
        <v>2187</v>
      </c>
      <c r="N2393" s="1">
        <v>3941</v>
      </c>
      <c r="O2393" s="1">
        <v>5732</v>
      </c>
      <c r="P2393" s="1">
        <v>1791</v>
      </c>
      <c r="Q2393" s="1" t="s">
        <v>42</v>
      </c>
      <c r="S2393" s="1" t="s">
        <v>42</v>
      </c>
      <c r="T2393" s="1" t="s">
        <v>170</v>
      </c>
      <c r="U2393" s="1">
        <v>7</v>
      </c>
      <c r="V2393" s="5">
        <v>43173</v>
      </c>
      <c r="W2393" s="5">
        <v>42789</v>
      </c>
      <c r="X2393" s="1">
        <v>5590000</v>
      </c>
      <c r="Y2393" s="1">
        <v>5590000</v>
      </c>
      <c r="Z2393" s="5">
        <v>42797</v>
      </c>
      <c r="AA2393" s="1">
        <v>4961877.5</v>
      </c>
      <c r="AB2393" s="1" t="s">
        <v>1708</v>
      </c>
      <c r="AC2393" s="5">
        <v>42870</v>
      </c>
      <c r="AF2393" s="1">
        <v>10022</v>
      </c>
      <c r="AI2393" s="1" t="s">
        <v>65</v>
      </c>
      <c r="AJ2393" s="1">
        <v>2016</v>
      </c>
      <c r="AK2393" s="1" t="s">
        <v>73</v>
      </c>
      <c r="AL2393" s="1">
        <v>95</v>
      </c>
    </row>
    <row r="2394" spans="1:38" x14ac:dyDescent="0.2">
      <c r="A2394" s="2" t="str">
        <f>HYPERLINK("https://www.compass.com/listing/252-east-57th-street-unit-51c-manhattan-ny-10022/29405835746729809/","252 E 57th St, Unit 51C")</f>
        <v>252 E 57th St, Unit 51C</v>
      </c>
      <c r="B2394" s="2" t="str">
        <f t="shared" si="344"/>
        <v>252 E 57th St</v>
      </c>
      <c r="C2394" s="1" t="s">
        <v>64</v>
      </c>
      <c r="D2394" s="1" t="s">
        <v>41</v>
      </c>
      <c r="E2394" s="3">
        <v>8979947</v>
      </c>
      <c r="F2394" s="1">
        <v>2940.3886705959399</v>
      </c>
      <c r="G2394" s="1">
        <v>5</v>
      </c>
      <c r="H2394" s="1">
        <v>3</v>
      </c>
      <c r="I2394" s="1">
        <v>4</v>
      </c>
      <c r="J2394" s="1">
        <v>3.5</v>
      </c>
      <c r="M2394" s="4">
        <v>3054</v>
      </c>
      <c r="N2394" s="1">
        <v>5497</v>
      </c>
      <c r="O2394" s="1">
        <v>7992</v>
      </c>
      <c r="P2394" s="1">
        <v>2495</v>
      </c>
      <c r="Q2394" s="1" t="s">
        <v>42</v>
      </c>
      <c r="S2394" s="1" t="s">
        <v>42</v>
      </c>
      <c r="T2394" s="1" t="s">
        <v>170</v>
      </c>
      <c r="U2394" s="1">
        <v>191</v>
      </c>
      <c r="V2394" s="5">
        <v>43664</v>
      </c>
      <c r="W2394" s="5">
        <v>41893</v>
      </c>
      <c r="X2394" s="1">
        <v>9350000</v>
      </c>
      <c r="Y2394" s="1">
        <v>9350000</v>
      </c>
      <c r="Z2394" s="5">
        <v>42084</v>
      </c>
      <c r="AA2394" s="1">
        <v>8979947</v>
      </c>
      <c r="AB2394" s="1" t="s">
        <v>1818</v>
      </c>
      <c r="AC2394" s="5">
        <v>42881</v>
      </c>
      <c r="AF2394" s="1">
        <v>10022</v>
      </c>
      <c r="AI2394" s="1" t="s">
        <v>65</v>
      </c>
      <c r="AJ2394" s="1">
        <v>2016</v>
      </c>
      <c r="AK2394" s="1" t="s">
        <v>46</v>
      </c>
      <c r="AL2394" s="1">
        <v>95</v>
      </c>
    </row>
    <row r="2395" spans="1:38" x14ac:dyDescent="0.2">
      <c r="A2395" s="2" t="str">
        <f>HYPERLINK("https://www.compass.com/listing/252-east-57th-street-unit-42c-manhattan-ny-10022/29405821066665505/","252 E 57th St, Unit 42C")</f>
        <v>252 E 57th St, Unit 42C</v>
      </c>
      <c r="B2395" s="2" t="str">
        <f t="shared" si="344"/>
        <v>252 E 57th St</v>
      </c>
      <c r="C2395" s="1" t="s">
        <v>64</v>
      </c>
      <c r="D2395" s="1" t="s">
        <v>41</v>
      </c>
      <c r="E2395" s="3">
        <v>5857938</v>
      </c>
      <c r="F2395" s="1">
        <v>2667.5491803278601</v>
      </c>
      <c r="G2395" s="1">
        <v>5</v>
      </c>
      <c r="H2395" s="1">
        <v>3</v>
      </c>
      <c r="I2395" s="1">
        <v>4</v>
      </c>
      <c r="J2395" s="1">
        <v>3.5</v>
      </c>
      <c r="M2395" s="4">
        <v>2196</v>
      </c>
      <c r="N2395" s="1">
        <v>3940</v>
      </c>
      <c r="O2395" s="1">
        <v>5729</v>
      </c>
      <c r="P2395" s="1">
        <v>1789</v>
      </c>
      <c r="Q2395" s="1" t="s">
        <v>42</v>
      </c>
      <c r="S2395" s="1" t="s">
        <v>42</v>
      </c>
      <c r="T2395" s="1" t="s">
        <v>170</v>
      </c>
      <c r="U2395" s="1">
        <v>191</v>
      </c>
      <c r="V2395" s="5">
        <v>43638</v>
      </c>
      <c r="W2395" s="5">
        <v>41893</v>
      </c>
      <c r="X2395" s="1">
        <v>5750000</v>
      </c>
      <c r="Y2395" s="1">
        <v>5750000</v>
      </c>
      <c r="Z2395" s="5">
        <v>42084</v>
      </c>
      <c r="AA2395" s="1">
        <v>5857938</v>
      </c>
      <c r="AB2395" s="1" t="s">
        <v>1716</v>
      </c>
      <c r="AC2395" s="5">
        <v>42852</v>
      </c>
      <c r="AF2395" s="1">
        <v>10022</v>
      </c>
      <c r="AI2395" s="1" t="s">
        <v>65</v>
      </c>
      <c r="AJ2395" s="1">
        <v>2016</v>
      </c>
      <c r="AK2395" s="1" t="s">
        <v>46</v>
      </c>
      <c r="AL2395" s="1">
        <v>95</v>
      </c>
    </row>
    <row r="2396" spans="1:38" x14ac:dyDescent="0.2">
      <c r="A2396" s="2" t="str">
        <f>HYPERLINK("https://www.compass.com/listing/252-east-57th-street-unit-60b-manhattan-ny-10022/29405847364862289/","252 E 57th St, Unit 60B")</f>
        <v>252 E 57th St, Unit 60B</v>
      </c>
      <c r="B2396" s="2" t="str">
        <f t="shared" si="344"/>
        <v>252 E 57th St</v>
      </c>
      <c r="C2396" s="1" t="s">
        <v>64</v>
      </c>
      <c r="D2396" s="1" t="s">
        <v>41</v>
      </c>
      <c r="E2396" s="3">
        <v>12636483</v>
      </c>
      <c r="F2396" s="1">
        <v>3785.6449970041899</v>
      </c>
      <c r="G2396" s="1">
        <v>7</v>
      </c>
      <c r="H2396" s="1">
        <v>4</v>
      </c>
      <c r="I2396" s="1">
        <v>5</v>
      </c>
      <c r="J2396" s="1">
        <v>4.5</v>
      </c>
      <c r="M2396" s="4">
        <v>3338</v>
      </c>
      <c r="N2396" s="1">
        <v>6037</v>
      </c>
      <c r="O2396" s="1">
        <v>8778</v>
      </c>
      <c r="P2396" s="1">
        <v>2741</v>
      </c>
      <c r="Q2396" s="1" t="s">
        <v>42</v>
      </c>
      <c r="S2396" s="1" t="s">
        <v>42</v>
      </c>
      <c r="T2396" s="1" t="s">
        <v>170</v>
      </c>
      <c r="U2396" s="1">
        <v>191</v>
      </c>
      <c r="V2396" s="5">
        <v>43637</v>
      </c>
      <c r="W2396" s="5">
        <v>41893</v>
      </c>
      <c r="X2396" s="1">
        <v>13150000</v>
      </c>
      <c r="Y2396" s="1">
        <v>13150000</v>
      </c>
      <c r="Z2396" s="5">
        <v>42084</v>
      </c>
      <c r="AA2396" s="1">
        <v>12636483</v>
      </c>
      <c r="AB2396" s="1" t="s">
        <v>1717</v>
      </c>
      <c r="AC2396" s="5">
        <v>42998</v>
      </c>
      <c r="AF2396" s="1">
        <v>10022</v>
      </c>
      <c r="AI2396" s="1" t="s">
        <v>65</v>
      </c>
      <c r="AJ2396" s="1">
        <v>2016</v>
      </c>
      <c r="AK2396" s="1" t="s">
        <v>46</v>
      </c>
      <c r="AL2396" s="1">
        <v>95</v>
      </c>
    </row>
    <row r="2397" spans="1:38" x14ac:dyDescent="0.2">
      <c r="A2397" s="2" t="str">
        <f>HYPERLINK("https://www.compass.com/listing/252-east-57th-street-unit-49c-manhattan-ny-10022/29405831661387777/","252 E 57th St, Unit 49C")</f>
        <v>252 E 57th St, Unit 49C</v>
      </c>
      <c r="B2397" s="2" t="str">
        <f t="shared" si="344"/>
        <v>252 E 57th St</v>
      </c>
      <c r="C2397" s="1" t="s">
        <v>64</v>
      </c>
      <c r="D2397" s="1" t="s">
        <v>41</v>
      </c>
      <c r="E2397" s="3">
        <v>6386206</v>
      </c>
      <c r="F2397" s="1">
        <v>2921.4117108874598</v>
      </c>
      <c r="G2397" s="1">
        <v>5</v>
      </c>
      <c r="H2397" s="1">
        <v>3</v>
      </c>
      <c r="I2397" s="1">
        <v>4</v>
      </c>
      <c r="J2397" s="1">
        <v>3.5</v>
      </c>
      <c r="M2397" s="4">
        <v>2186</v>
      </c>
      <c r="N2397" s="1">
        <v>3940</v>
      </c>
      <c r="O2397" s="1">
        <v>5729</v>
      </c>
      <c r="P2397" s="1">
        <v>1789</v>
      </c>
      <c r="Q2397" s="1" t="s">
        <v>42</v>
      </c>
      <c r="S2397" s="1" t="s">
        <v>42</v>
      </c>
      <c r="T2397" s="1" t="s">
        <v>170</v>
      </c>
      <c r="U2397" s="1">
        <v>13</v>
      </c>
      <c r="V2397" s="5">
        <v>43638</v>
      </c>
      <c r="W2397" s="5">
        <v>42256</v>
      </c>
      <c r="X2397" s="1">
        <v>6670000</v>
      </c>
      <c r="Y2397" s="1">
        <v>6670000</v>
      </c>
      <c r="Z2397" s="5">
        <v>42269</v>
      </c>
      <c r="AA2397" s="1">
        <v>6386206</v>
      </c>
      <c r="AB2397" s="1" t="s">
        <v>1719</v>
      </c>
      <c r="AC2397" s="5">
        <v>42868</v>
      </c>
      <c r="AF2397" s="1">
        <v>10022</v>
      </c>
      <c r="AI2397" s="1" t="s">
        <v>65</v>
      </c>
      <c r="AJ2397" s="1">
        <v>2016</v>
      </c>
      <c r="AK2397" s="1" t="s">
        <v>73</v>
      </c>
      <c r="AL2397" s="1">
        <v>95</v>
      </c>
    </row>
    <row r="2398" spans="1:38" x14ac:dyDescent="0.2">
      <c r="A2398" s="2" t="str">
        <f>HYPERLINK("https://www.compass.com/listing/252-east-57th-street-unit-48a-manhattan-ny-10022/16651967564695697/","252 E 57th St, Unit 48A")</f>
        <v>252 E 57th St, Unit 48A</v>
      </c>
      <c r="B2398" s="2" t="str">
        <f t="shared" si="344"/>
        <v>252 E 57th St</v>
      </c>
      <c r="C2398" s="1" t="s">
        <v>64</v>
      </c>
      <c r="D2398" s="1" t="s">
        <v>41</v>
      </c>
      <c r="E2398" s="3">
        <v>5196075</v>
      </c>
      <c r="F2398" s="1">
        <v>2372.6369863013601</v>
      </c>
      <c r="G2398" s="1">
        <v>5</v>
      </c>
      <c r="H2398" s="1">
        <v>3</v>
      </c>
      <c r="I2398" s="1">
        <v>4</v>
      </c>
      <c r="J2398" s="1">
        <v>3.5</v>
      </c>
      <c r="K2398" s="1">
        <v>3</v>
      </c>
      <c r="L2398" s="1">
        <v>1</v>
      </c>
      <c r="M2398" s="4">
        <v>2190</v>
      </c>
      <c r="N2398" s="1">
        <v>4162</v>
      </c>
      <c r="O2398" s="1">
        <v>6316</v>
      </c>
      <c r="P2398" s="1">
        <v>2154</v>
      </c>
      <c r="Q2398" s="1" t="s">
        <v>42</v>
      </c>
      <c r="S2398" s="1" t="s">
        <v>42</v>
      </c>
      <c r="T2398" s="1" t="s">
        <v>170</v>
      </c>
      <c r="U2398" s="1">
        <v>5</v>
      </c>
      <c r="V2398" s="5">
        <v>43678</v>
      </c>
      <c r="W2398" s="5">
        <v>43210</v>
      </c>
      <c r="X2398" s="1">
        <v>5225000</v>
      </c>
      <c r="Y2398" s="1">
        <v>5225000</v>
      </c>
      <c r="Z2398" s="5">
        <v>43215</v>
      </c>
      <c r="AA2398" s="1">
        <v>5196075</v>
      </c>
      <c r="AB2398" s="1" t="s">
        <v>1819</v>
      </c>
      <c r="AC2398" s="5">
        <v>43271</v>
      </c>
      <c r="AF2398" s="1">
        <v>10022</v>
      </c>
      <c r="AI2398" s="1" t="s">
        <v>138</v>
      </c>
      <c r="AJ2398" s="1">
        <v>2016</v>
      </c>
      <c r="AK2398" s="1" t="s">
        <v>73</v>
      </c>
      <c r="AL2398" s="1">
        <v>95</v>
      </c>
    </row>
    <row r="2399" spans="1:38" x14ac:dyDescent="0.2">
      <c r="A2399" s="2" t="str">
        <f>HYPERLINK("https://www.compass.com/listing/252-east-57th-street-unit-46a-manhattan-ny-10022/25369606323538737/","252 E 57th St, Unit 46A")</f>
        <v>252 E 57th St, Unit 46A</v>
      </c>
      <c r="B2399" s="2" t="str">
        <f t="shared" si="344"/>
        <v>252 E 57th St</v>
      </c>
      <c r="C2399" s="1" t="s">
        <v>64</v>
      </c>
      <c r="D2399" s="1" t="s">
        <v>41</v>
      </c>
      <c r="E2399" s="3">
        <v>5221531</v>
      </c>
      <c r="F2399" s="1">
        <v>2380.9990880072901</v>
      </c>
      <c r="G2399" s="1">
        <v>5</v>
      </c>
      <c r="H2399" s="1">
        <v>3</v>
      </c>
      <c r="I2399" s="1">
        <v>4</v>
      </c>
      <c r="J2399" s="1">
        <v>3.5</v>
      </c>
      <c r="K2399" s="1">
        <v>3</v>
      </c>
      <c r="L2399" s="1">
        <v>1</v>
      </c>
      <c r="M2399" s="4">
        <v>2193</v>
      </c>
      <c r="N2399" s="1">
        <v>4162</v>
      </c>
      <c r="O2399" s="1">
        <v>6316</v>
      </c>
      <c r="P2399" s="1">
        <v>2154</v>
      </c>
      <c r="Q2399" s="1" t="s">
        <v>42</v>
      </c>
      <c r="S2399" s="1" t="s">
        <v>42</v>
      </c>
      <c r="T2399" s="1" t="s">
        <v>170</v>
      </c>
      <c r="U2399" s="1">
        <v>189</v>
      </c>
      <c r="V2399" s="5">
        <v>43678</v>
      </c>
      <c r="W2399" s="5">
        <v>43046</v>
      </c>
      <c r="X2399" s="1">
        <v>5125000</v>
      </c>
      <c r="Y2399" s="1">
        <v>5125000</v>
      </c>
      <c r="Z2399" s="5">
        <v>43235</v>
      </c>
      <c r="AA2399" s="1">
        <v>5221531</v>
      </c>
      <c r="AB2399" s="1" t="s">
        <v>1813</v>
      </c>
      <c r="AC2399" s="5">
        <v>43281</v>
      </c>
      <c r="AF2399" s="1">
        <v>10022</v>
      </c>
      <c r="AI2399" s="1" t="s">
        <v>138</v>
      </c>
      <c r="AJ2399" s="1">
        <v>2016</v>
      </c>
      <c r="AK2399" s="1" t="s">
        <v>73</v>
      </c>
      <c r="AL2399" s="1">
        <v>95</v>
      </c>
    </row>
    <row r="2400" spans="1:38" x14ac:dyDescent="0.2">
      <c r="A2400" s="2" t="str">
        <f>HYPERLINK("https://www.compass.com/listing/252-east-57th-street-unit-45a-manhattan-ny-10022/29405824833061169/","252 E 57th St, Unit 45A")</f>
        <v>252 E 57th St, Unit 45A</v>
      </c>
      <c r="B2400" s="2" t="str">
        <f t="shared" si="344"/>
        <v>252 E 57th St</v>
      </c>
      <c r="C2400" s="1" t="s">
        <v>64</v>
      </c>
      <c r="D2400" s="1" t="s">
        <v>41</v>
      </c>
      <c r="E2400" s="3">
        <v>4989410</v>
      </c>
      <c r="F2400" s="1">
        <v>2274.1157702825799</v>
      </c>
      <c r="G2400" s="1">
        <v>5</v>
      </c>
      <c r="H2400" s="1">
        <v>3</v>
      </c>
      <c r="I2400" s="1">
        <v>4</v>
      </c>
      <c r="J2400" s="1">
        <v>3.5</v>
      </c>
      <c r="M2400" s="4">
        <v>2194</v>
      </c>
      <c r="N2400" s="1">
        <v>3941</v>
      </c>
      <c r="O2400" s="1">
        <v>5732</v>
      </c>
      <c r="P2400" s="1">
        <v>1791</v>
      </c>
      <c r="Q2400" s="1" t="s">
        <v>42</v>
      </c>
      <c r="S2400" s="1" t="s">
        <v>42</v>
      </c>
      <c r="T2400" s="1" t="s">
        <v>170</v>
      </c>
      <c r="U2400" s="1">
        <v>19</v>
      </c>
      <c r="V2400" s="5">
        <v>43649</v>
      </c>
      <c r="W2400" s="5">
        <v>43025</v>
      </c>
      <c r="X2400" s="1">
        <v>5075000</v>
      </c>
      <c r="Y2400" s="1">
        <v>5075000</v>
      </c>
      <c r="Z2400" s="5">
        <v>43044</v>
      </c>
      <c r="AA2400" s="1">
        <v>4989410</v>
      </c>
      <c r="AB2400" s="1" t="s">
        <v>1723</v>
      </c>
      <c r="AC2400" s="5">
        <v>43067</v>
      </c>
      <c r="AF2400" s="1">
        <v>10022</v>
      </c>
      <c r="AI2400" s="1" t="s">
        <v>1820</v>
      </c>
      <c r="AJ2400" s="1">
        <v>2016</v>
      </c>
      <c r="AK2400" s="1" t="s">
        <v>73</v>
      </c>
      <c r="AL2400" s="1">
        <v>95</v>
      </c>
    </row>
    <row r="2401" spans="1:38" x14ac:dyDescent="0.2">
      <c r="A2401" s="2" t="str">
        <f>HYPERLINK("https://www.compass.com/listing/252-east-57th-street-unit-47a-manhattan-ny-10022/29405827634856289/","252 E 57th St, Unit 47A")</f>
        <v>252 E 57th St, Unit 47A</v>
      </c>
      <c r="B2401" s="2" t="str">
        <f t="shared" si="344"/>
        <v>252 E 57th St</v>
      </c>
      <c r="C2401" s="1" t="s">
        <v>64</v>
      </c>
      <c r="D2401" s="1" t="s">
        <v>41</v>
      </c>
      <c r="E2401" s="3">
        <v>5012790</v>
      </c>
      <c r="F2401" s="1">
        <v>2287.9005020538498</v>
      </c>
      <c r="G2401" s="1">
        <v>5</v>
      </c>
      <c r="H2401" s="1">
        <v>3</v>
      </c>
      <c r="I2401" s="1">
        <v>4</v>
      </c>
      <c r="J2401" s="1">
        <v>3.5</v>
      </c>
      <c r="K2401" s="1">
        <v>3</v>
      </c>
      <c r="L2401" s="1">
        <v>1</v>
      </c>
      <c r="M2401" s="4">
        <v>2191</v>
      </c>
      <c r="N2401" s="1">
        <v>3941</v>
      </c>
      <c r="O2401" s="1">
        <v>5731</v>
      </c>
      <c r="P2401" s="1">
        <v>1790</v>
      </c>
      <c r="Q2401" s="1" t="s">
        <v>42</v>
      </c>
      <c r="S2401" s="1" t="s">
        <v>42</v>
      </c>
      <c r="T2401" s="1" t="s">
        <v>170</v>
      </c>
      <c r="U2401" s="1">
        <v>2</v>
      </c>
      <c r="V2401" s="5">
        <v>43678</v>
      </c>
      <c r="W2401" s="5">
        <v>43153</v>
      </c>
      <c r="X2401" s="1">
        <v>5175000</v>
      </c>
      <c r="Y2401" s="1">
        <v>5175000</v>
      </c>
      <c r="Z2401" s="5">
        <v>43155</v>
      </c>
      <c r="AA2401" s="1">
        <v>5012790</v>
      </c>
      <c r="AB2401" s="1" t="s">
        <v>1821</v>
      </c>
      <c r="AC2401" s="5">
        <v>43209</v>
      </c>
      <c r="AF2401" s="1">
        <v>10022</v>
      </c>
      <c r="AI2401" s="1" t="s">
        <v>138</v>
      </c>
      <c r="AJ2401" s="1">
        <v>2016</v>
      </c>
      <c r="AK2401" s="1" t="s">
        <v>73</v>
      </c>
      <c r="AL2401" s="1">
        <v>95</v>
      </c>
    </row>
    <row r="2402" spans="1:38" x14ac:dyDescent="0.2">
      <c r="A2402" s="2" t="str">
        <f>HYPERLINK("https://www.compass.com/listing/252-east-57th-street-unit-47a-manhattan-ny-10022/803344288146222305/","252 E 57th St, Unit 47A")</f>
        <v>252 E 57th St, Unit 47A</v>
      </c>
      <c r="B2402" s="2" t="str">
        <f t="shared" si="344"/>
        <v>252 E 57th St</v>
      </c>
      <c r="C2402" s="1" t="s">
        <v>64</v>
      </c>
      <c r="D2402" s="1" t="s">
        <v>41</v>
      </c>
      <c r="E2402" s="3">
        <v>5012790</v>
      </c>
      <c r="F2402" s="1">
        <v>2287.9005020538498</v>
      </c>
      <c r="G2402" s="1">
        <v>5</v>
      </c>
      <c r="H2402" s="1">
        <v>3</v>
      </c>
      <c r="I2402" s="1">
        <v>4</v>
      </c>
      <c r="J2402" s="1">
        <v>3.5</v>
      </c>
      <c r="M2402" s="4">
        <v>2191</v>
      </c>
      <c r="N2402" s="1">
        <v>4161</v>
      </c>
      <c r="O2402" s="1">
        <v>6315</v>
      </c>
      <c r="P2402" s="1">
        <v>2154</v>
      </c>
      <c r="Q2402" s="1" t="s">
        <v>42</v>
      </c>
      <c r="S2402" s="1" t="s">
        <v>42</v>
      </c>
      <c r="T2402" s="1" t="s">
        <v>170</v>
      </c>
      <c r="U2402" s="1">
        <v>2</v>
      </c>
      <c r="V2402" s="5">
        <v>43173</v>
      </c>
      <c r="W2402" s="5">
        <v>43152</v>
      </c>
      <c r="X2402" s="1">
        <v>5175000</v>
      </c>
      <c r="Y2402" s="1">
        <v>5175000</v>
      </c>
      <c r="Z2402" s="5">
        <v>43155</v>
      </c>
      <c r="AA2402" s="1">
        <v>5012790</v>
      </c>
      <c r="AB2402" s="1" t="s">
        <v>1821</v>
      </c>
      <c r="AC2402" s="5">
        <v>43209</v>
      </c>
      <c r="AF2402" s="1">
        <v>10022</v>
      </c>
      <c r="AI2402" s="1" t="s">
        <v>65</v>
      </c>
      <c r="AJ2402" s="1">
        <v>2016</v>
      </c>
      <c r="AK2402" s="1" t="s">
        <v>73</v>
      </c>
      <c r="AL2402" s="1">
        <v>95</v>
      </c>
    </row>
    <row r="2403" spans="1:38" x14ac:dyDescent="0.2">
      <c r="A2403" s="2" t="str">
        <f>HYPERLINK("https://www.compass.com/listing/252-east-57th-street-unit-44c-manhattan-ny-10022/803413886958799553/","252 E 57th St, Unit 44C")</f>
        <v>252 E 57th St, Unit 44C</v>
      </c>
      <c r="B2403" s="2" t="str">
        <f t="shared" si="344"/>
        <v>252 E 57th St</v>
      </c>
      <c r="C2403" s="1" t="s">
        <v>64</v>
      </c>
      <c r="D2403" s="1" t="s">
        <v>41</v>
      </c>
      <c r="E2403" s="3">
        <v>5705200</v>
      </c>
      <c r="F2403" s="1">
        <v>2601.5503875968898</v>
      </c>
      <c r="G2403" s="1">
        <v>5</v>
      </c>
      <c r="H2403" s="1">
        <v>3</v>
      </c>
      <c r="I2403" s="1">
        <v>4</v>
      </c>
      <c r="J2403" s="1">
        <v>3.5</v>
      </c>
      <c r="K2403" s="1">
        <v>3</v>
      </c>
      <c r="L2403" s="1">
        <v>1</v>
      </c>
      <c r="M2403" s="4">
        <v>2193</v>
      </c>
      <c r="N2403" s="1">
        <v>3937</v>
      </c>
      <c r="O2403" s="1">
        <v>6088</v>
      </c>
      <c r="P2403" s="1">
        <v>2151</v>
      </c>
      <c r="Q2403" s="1" t="s">
        <v>42</v>
      </c>
      <c r="S2403" s="1" t="s">
        <v>42</v>
      </c>
      <c r="T2403" s="1" t="s">
        <v>170</v>
      </c>
      <c r="U2403" s="1">
        <v>976</v>
      </c>
      <c r="V2403" s="5">
        <v>43678</v>
      </c>
      <c r="W2403" s="5">
        <v>42170</v>
      </c>
      <c r="X2403" s="1">
        <v>5870000</v>
      </c>
      <c r="Y2403" s="1">
        <v>5870000</v>
      </c>
      <c r="AA2403" s="1">
        <v>5705200</v>
      </c>
      <c r="AB2403" s="1" t="s">
        <v>1822</v>
      </c>
      <c r="AC2403" s="5">
        <v>43146</v>
      </c>
      <c r="AF2403" s="1">
        <v>10022</v>
      </c>
      <c r="AI2403" s="1" t="s">
        <v>138</v>
      </c>
      <c r="AJ2403" s="1">
        <v>2016</v>
      </c>
      <c r="AK2403" s="1" t="s">
        <v>73</v>
      </c>
      <c r="AL2403" s="1">
        <v>95</v>
      </c>
    </row>
    <row r="2404" spans="1:38" x14ac:dyDescent="0.2">
      <c r="A2404" s="2" t="str">
        <f>HYPERLINK("https://www.compass.com/listing/252-east-57th-street-unit-43c-manhattan-ny-10022/181062709436045793/","252 E 57th St, Unit 43C")</f>
        <v>252 E 57th St, Unit 43C</v>
      </c>
      <c r="B2404" s="2" t="str">
        <f t="shared" si="344"/>
        <v>252 E 57th St</v>
      </c>
      <c r="C2404" s="1" t="s">
        <v>64</v>
      </c>
      <c r="D2404" s="1" t="s">
        <v>41</v>
      </c>
      <c r="E2404" s="3">
        <v>5735748</v>
      </c>
      <c r="F2404" s="1">
        <v>2613.0970387243701</v>
      </c>
      <c r="G2404" s="1">
        <v>5</v>
      </c>
      <c r="H2404" s="1">
        <v>3</v>
      </c>
      <c r="I2404" s="1">
        <v>4</v>
      </c>
      <c r="J2404" s="1">
        <v>3.5</v>
      </c>
      <c r="M2404" s="4">
        <v>2195</v>
      </c>
      <c r="N2404" s="1">
        <v>3941</v>
      </c>
      <c r="O2404" s="1">
        <v>5730</v>
      </c>
      <c r="P2404" s="1">
        <v>1789</v>
      </c>
      <c r="Q2404" s="1" t="s">
        <v>42</v>
      </c>
      <c r="S2404" s="1" t="s">
        <v>42</v>
      </c>
      <c r="T2404" s="1" t="s">
        <v>170</v>
      </c>
      <c r="U2404" s="1">
        <v>8</v>
      </c>
      <c r="V2404" s="5">
        <v>43638</v>
      </c>
      <c r="W2404" s="5">
        <v>42256</v>
      </c>
      <c r="X2404" s="1">
        <v>6310000</v>
      </c>
      <c r="Y2404" s="1">
        <v>6310000</v>
      </c>
      <c r="Z2404" s="5">
        <v>42264</v>
      </c>
      <c r="AA2404" s="1">
        <v>5735748</v>
      </c>
      <c r="AB2404" s="1" t="s">
        <v>1823</v>
      </c>
      <c r="AC2404" s="5">
        <v>42830</v>
      </c>
      <c r="AF2404" s="1">
        <v>10022</v>
      </c>
      <c r="AI2404" s="1" t="s">
        <v>65</v>
      </c>
      <c r="AJ2404" s="1">
        <v>2016</v>
      </c>
      <c r="AK2404" s="1" t="s">
        <v>73</v>
      </c>
      <c r="AL2404" s="1">
        <v>95</v>
      </c>
    </row>
    <row r="2405" spans="1:38" x14ac:dyDescent="0.2">
      <c r="A2405" s="2" t="str">
        <f>HYPERLINK("https://www.compass.com/listing/252-east-57th-street-unit-45c-manhattan-ny-10022/29405825336467073/","252 E 57th St, Unit 45C")</f>
        <v>252 E 57th St, Unit 45C</v>
      </c>
      <c r="B2405" s="2" t="str">
        <f t="shared" si="344"/>
        <v>252 E 57th St</v>
      </c>
      <c r="C2405" s="1" t="s">
        <v>64</v>
      </c>
      <c r="D2405" s="1" t="s">
        <v>41</v>
      </c>
      <c r="E2405" s="3">
        <v>5959763</v>
      </c>
      <c r="F2405" s="1">
        <v>2718.86998175182</v>
      </c>
      <c r="G2405" s="1">
        <v>5</v>
      </c>
      <c r="H2405" s="1">
        <v>3</v>
      </c>
      <c r="I2405" s="1">
        <v>4</v>
      </c>
      <c r="J2405" s="1">
        <v>3.5</v>
      </c>
      <c r="M2405" s="4">
        <v>2192</v>
      </c>
      <c r="N2405" s="1">
        <v>3941</v>
      </c>
      <c r="O2405" s="1">
        <v>5730</v>
      </c>
      <c r="P2405" s="1">
        <v>1789</v>
      </c>
      <c r="Q2405" s="1" t="s">
        <v>42</v>
      </c>
      <c r="S2405" s="1" t="s">
        <v>42</v>
      </c>
      <c r="T2405" s="1" t="s">
        <v>170</v>
      </c>
      <c r="U2405" s="1">
        <v>9</v>
      </c>
      <c r="V2405" s="5">
        <v>43664</v>
      </c>
      <c r="W2405" s="5">
        <v>42199</v>
      </c>
      <c r="X2405" s="1">
        <v>5930000</v>
      </c>
      <c r="Y2405" s="1">
        <v>6430000</v>
      </c>
      <c r="Z2405" s="5">
        <v>42208</v>
      </c>
      <c r="AA2405" s="1">
        <v>5959763</v>
      </c>
      <c r="AB2405" s="1" t="s">
        <v>1747</v>
      </c>
      <c r="AC2405" s="5">
        <v>42844</v>
      </c>
      <c r="AF2405" s="1">
        <v>10022</v>
      </c>
      <c r="AI2405" s="1" t="s">
        <v>65</v>
      </c>
      <c r="AJ2405" s="1">
        <v>2016</v>
      </c>
      <c r="AK2405" s="1" t="s">
        <v>46</v>
      </c>
      <c r="AL2405" s="1">
        <v>95</v>
      </c>
    </row>
    <row r="2406" spans="1:38" x14ac:dyDescent="0.2">
      <c r="A2406" s="2" t="str">
        <f>HYPERLINK("https://www.compass.com/listing/252-east-57th-street-unit-48c-manhattan-ny-10022/29405830201769937/","252 E 57th St, Unit 48C")</f>
        <v>252 E 57th St, Unit 48C</v>
      </c>
      <c r="B2406" s="2" t="str">
        <f t="shared" si="344"/>
        <v>252 E 57th St</v>
      </c>
      <c r="C2406" s="1" t="s">
        <v>64</v>
      </c>
      <c r="D2406" s="1" t="s">
        <v>41</v>
      </c>
      <c r="E2406" s="3">
        <v>6214325</v>
      </c>
      <c r="F2406" s="1">
        <v>2840.18510054844</v>
      </c>
      <c r="G2406" s="1">
        <v>5</v>
      </c>
      <c r="H2406" s="1">
        <v>3</v>
      </c>
      <c r="I2406" s="1">
        <v>4</v>
      </c>
      <c r="J2406" s="1">
        <v>3.5</v>
      </c>
      <c r="M2406" s="4">
        <v>2188</v>
      </c>
      <c r="N2406" s="1">
        <v>4286</v>
      </c>
      <c r="O2406" s="1">
        <v>6231</v>
      </c>
      <c r="P2406" s="1">
        <v>1945</v>
      </c>
      <c r="Q2406" s="1" t="s">
        <v>42</v>
      </c>
      <c r="S2406" s="1" t="s">
        <v>42</v>
      </c>
      <c r="T2406" s="1" t="s">
        <v>170</v>
      </c>
      <c r="U2406" s="1">
        <v>17</v>
      </c>
      <c r="V2406" s="5">
        <v>42838</v>
      </c>
      <c r="W2406" s="5">
        <v>42298</v>
      </c>
      <c r="X2406" s="1">
        <v>6610000</v>
      </c>
      <c r="Y2406" s="1">
        <v>6610000</v>
      </c>
      <c r="Z2406" s="5">
        <v>42510</v>
      </c>
      <c r="AA2406" s="1">
        <v>6214325</v>
      </c>
      <c r="AB2406" s="1" t="s">
        <v>1824</v>
      </c>
      <c r="AC2406" s="5">
        <v>42837</v>
      </c>
      <c r="AF2406" s="1">
        <v>10022</v>
      </c>
      <c r="AI2406" s="1" t="s">
        <v>65</v>
      </c>
      <c r="AJ2406" s="1">
        <v>2016</v>
      </c>
      <c r="AK2406" s="1" t="s">
        <v>46</v>
      </c>
      <c r="AL2406" s="1">
        <v>95</v>
      </c>
    </row>
    <row r="2407" spans="1:38" x14ac:dyDescent="0.2">
      <c r="A2407" s="2" t="str">
        <f>HYPERLINK("https://www.compass.com/listing/252-east-57th-street-unit-57b-manhattan-ny-10022/29405844286243073/","252 E 57th St, Unit 57B")</f>
        <v>252 E 57th St, Unit 57B</v>
      </c>
      <c r="B2407" s="2" t="str">
        <f t="shared" si="344"/>
        <v>252 E 57th St</v>
      </c>
      <c r="C2407" s="1" t="s">
        <v>64</v>
      </c>
      <c r="D2407" s="1" t="s">
        <v>41</v>
      </c>
      <c r="E2407" s="3">
        <v>9032332</v>
      </c>
      <c r="F2407" s="1">
        <v>3007.7695238095198</v>
      </c>
      <c r="G2407" s="1">
        <v>6</v>
      </c>
      <c r="H2407" s="1">
        <v>3</v>
      </c>
      <c r="I2407" s="1">
        <v>4</v>
      </c>
      <c r="J2407" s="1">
        <v>3.5</v>
      </c>
      <c r="M2407" s="4">
        <v>3003</v>
      </c>
      <c r="N2407" s="1">
        <v>5425</v>
      </c>
      <c r="O2407" s="1">
        <v>7888</v>
      </c>
      <c r="P2407" s="1">
        <v>2463</v>
      </c>
      <c r="Q2407" s="1" t="s">
        <v>42</v>
      </c>
      <c r="S2407" s="1" t="s">
        <v>42</v>
      </c>
      <c r="T2407" s="1" t="s">
        <v>170</v>
      </c>
      <c r="U2407" s="1">
        <v>13</v>
      </c>
      <c r="V2407" s="5">
        <v>43603</v>
      </c>
      <c r="W2407" s="5">
        <v>42326</v>
      </c>
      <c r="X2407" s="1">
        <v>10500000</v>
      </c>
      <c r="Y2407" s="1">
        <v>10500000</v>
      </c>
      <c r="Z2407" s="5">
        <v>42339</v>
      </c>
      <c r="AA2407" s="1">
        <v>9032331.8800000008</v>
      </c>
      <c r="AB2407" s="1" t="s">
        <v>1722</v>
      </c>
      <c r="AC2407" s="5">
        <v>43007</v>
      </c>
      <c r="AF2407" s="1">
        <v>10022</v>
      </c>
      <c r="AI2407" s="1" t="s">
        <v>65</v>
      </c>
      <c r="AJ2407" s="1">
        <v>2016</v>
      </c>
      <c r="AK2407" s="1" t="s">
        <v>46</v>
      </c>
      <c r="AL2407" s="1">
        <v>95</v>
      </c>
    </row>
    <row r="2408" spans="1:38" x14ac:dyDescent="0.2">
      <c r="A2408" s="2" t="str">
        <f>HYPERLINK("https://www.compass.com/listing/252-east-57th-street-unit-37a-manhattan-ny-10022/783436073932666185/","252 E 57th St, Unit 37A")</f>
        <v>252 E 57th St, Unit 37A</v>
      </c>
      <c r="B2408" s="2" t="str">
        <f t="shared" si="344"/>
        <v>252 E 57th St</v>
      </c>
      <c r="C2408" s="1" t="s">
        <v>64</v>
      </c>
      <c r="D2408" s="1" t="s">
        <v>41</v>
      </c>
      <c r="E2408" s="3">
        <v>4406931</v>
      </c>
      <c r="F2408" s="1">
        <v>2185.9778025793598</v>
      </c>
      <c r="G2408" s="1">
        <v>5</v>
      </c>
      <c r="H2408" s="1">
        <v>3</v>
      </c>
      <c r="I2408" s="1">
        <v>3</v>
      </c>
      <c r="J2408" s="1">
        <v>3</v>
      </c>
      <c r="M2408" s="4">
        <v>2016</v>
      </c>
      <c r="N2408" s="1">
        <v>3806</v>
      </c>
      <c r="O2408" s="1">
        <v>5776</v>
      </c>
      <c r="Q2408" s="1" t="s">
        <v>141</v>
      </c>
      <c r="S2408" s="1" t="s">
        <v>141</v>
      </c>
      <c r="T2408" s="1" t="s">
        <v>170</v>
      </c>
      <c r="U2408" s="1">
        <v>110</v>
      </c>
      <c r="V2408" s="5">
        <v>43173</v>
      </c>
      <c r="W2408" s="5">
        <v>43054</v>
      </c>
      <c r="X2408" s="1">
        <v>4400000</v>
      </c>
      <c r="Y2408" s="1">
        <v>4925000</v>
      </c>
      <c r="Z2408" s="5">
        <v>43165</v>
      </c>
      <c r="AA2408" s="1">
        <v>4406931.25</v>
      </c>
      <c r="AB2408" s="1" t="s">
        <v>1787</v>
      </c>
      <c r="AC2408" s="5">
        <v>43234</v>
      </c>
      <c r="AF2408" s="1">
        <v>10022</v>
      </c>
      <c r="AI2408" s="1" t="s">
        <v>65</v>
      </c>
      <c r="AJ2408" s="1">
        <v>2016</v>
      </c>
      <c r="AK2408" s="1" t="s">
        <v>73</v>
      </c>
      <c r="AL2408" s="1">
        <v>95</v>
      </c>
    </row>
    <row r="2409" spans="1:38" x14ac:dyDescent="0.2">
      <c r="A2409" s="2" t="str">
        <f>HYPERLINK("https://www.compass.com/listing/252-east-57th-street-unit-55b-manhattan-ny-10022/29405841518002801/","252 E 57th St, Unit 55B")</f>
        <v>252 E 57th St, Unit 55B</v>
      </c>
      <c r="B2409" s="2" t="str">
        <f t="shared" si="344"/>
        <v>252 E 57th St</v>
      </c>
      <c r="C2409" s="1" t="s">
        <v>64</v>
      </c>
      <c r="D2409" s="1" t="s">
        <v>41</v>
      </c>
      <c r="E2409" s="3">
        <v>5541262</v>
      </c>
      <c r="F2409" s="1">
        <v>2447.5538869257898</v>
      </c>
      <c r="G2409" s="1">
        <v>4</v>
      </c>
      <c r="H2409" s="1">
        <v>3</v>
      </c>
      <c r="I2409" s="1">
        <v>3</v>
      </c>
      <c r="J2409" s="1">
        <v>3</v>
      </c>
      <c r="M2409" s="4">
        <v>2264</v>
      </c>
      <c r="N2409" s="1">
        <v>4053</v>
      </c>
      <c r="O2409" s="1">
        <v>5894</v>
      </c>
      <c r="P2409" s="1">
        <v>1841</v>
      </c>
      <c r="Q2409" s="1" t="s">
        <v>42</v>
      </c>
      <c r="S2409" s="1" t="s">
        <v>42</v>
      </c>
      <c r="T2409" s="1" t="s">
        <v>170</v>
      </c>
      <c r="U2409" s="1">
        <v>114</v>
      </c>
      <c r="V2409" s="5">
        <v>43649</v>
      </c>
      <c r="W2409" s="5">
        <v>42808</v>
      </c>
      <c r="X2409" s="1">
        <v>6075000</v>
      </c>
      <c r="Y2409" s="1">
        <v>6075000</v>
      </c>
      <c r="Z2409" s="5">
        <v>42922</v>
      </c>
      <c r="AA2409" s="1">
        <v>5541262</v>
      </c>
      <c r="AB2409" s="1" t="s">
        <v>1714</v>
      </c>
      <c r="AC2409" s="5">
        <v>43008</v>
      </c>
      <c r="AF2409" s="1">
        <v>10022</v>
      </c>
      <c r="AI2409" s="1" t="s">
        <v>85</v>
      </c>
      <c r="AJ2409" s="1">
        <v>2016</v>
      </c>
      <c r="AK2409" s="1" t="s">
        <v>46</v>
      </c>
      <c r="AL2409" s="1">
        <v>95</v>
      </c>
    </row>
    <row r="2410" spans="1:38" x14ac:dyDescent="0.2">
      <c r="A2410" s="2" t="str">
        <f>HYPERLINK("https://www.compass.com/listing/252-east-57th-street-unit-58a-manhattan-ny-10022/29405844739228321/","252 E 57th St, Unit 58A")</f>
        <v>252 E 57th St, Unit 58A</v>
      </c>
      <c r="B2410" s="2" t="str">
        <f t="shared" si="344"/>
        <v>252 E 57th St</v>
      </c>
      <c r="C2410" s="1" t="s">
        <v>64</v>
      </c>
      <c r="D2410" s="1" t="s">
        <v>41</v>
      </c>
      <c r="E2410" s="3">
        <v>6417975</v>
      </c>
      <c r="F2410" s="1">
        <v>2857.51335707925</v>
      </c>
      <c r="G2410" s="1">
        <v>5</v>
      </c>
      <c r="H2410" s="1">
        <v>3</v>
      </c>
      <c r="I2410" s="1">
        <v>3</v>
      </c>
      <c r="J2410" s="1">
        <v>3</v>
      </c>
      <c r="K2410" s="1">
        <v>3</v>
      </c>
      <c r="M2410" s="4">
        <v>2246</v>
      </c>
      <c r="N2410" s="1">
        <v>4289</v>
      </c>
      <c r="O2410" s="1">
        <v>6509</v>
      </c>
      <c r="P2410" s="1">
        <v>2220</v>
      </c>
      <c r="Q2410" s="1" t="s">
        <v>42</v>
      </c>
      <c r="S2410" s="1" t="s">
        <v>42</v>
      </c>
      <c r="T2410" s="1" t="s">
        <v>170</v>
      </c>
      <c r="U2410" s="1">
        <v>237</v>
      </c>
      <c r="V2410" s="5">
        <v>43678</v>
      </c>
      <c r="W2410" s="5">
        <v>43005</v>
      </c>
      <c r="X2410" s="1">
        <v>6870000</v>
      </c>
      <c r="Y2410" s="1">
        <v>6870000</v>
      </c>
      <c r="Z2410" s="5">
        <v>43242</v>
      </c>
      <c r="AA2410" s="1">
        <v>6417975</v>
      </c>
      <c r="AB2410" s="1" t="s">
        <v>1825</v>
      </c>
      <c r="AC2410" s="5">
        <v>43264</v>
      </c>
      <c r="AF2410" s="1">
        <v>10022</v>
      </c>
      <c r="AI2410" s="1" t="s">
        <v>138</v>
      </c>
      <c r="AJ2410" s="1">
        <v>2016</v>
      </c>
      <c r="AK2410" s="1" t="s">
        <v>73</v>
      </c>
      <c r="AL2410" s="1">
        <v>95</v>
      </c>
    </row>
    <row r="2411" spans="1:38" x14ac:dyDescent="0.2">
      <c r="A2411" s="2" t="str">
        <f>HYPERLINK("https://www.compass.com/listing/252-east-57th-street-unit-44c-manhattan-ny-10022/29405823969123937/","252 E 57th St, Unit 44C")</f>
        <v>252 E 57th St, Unit 44C</v>
      </c>
      <c r="B2411" s="2" t="str">
        <f t="shared" si="344"/>
        <v>252 E 57th St</v>
      </c>
      <c r="C2411" s="1" t="s">
        <v>64</v>
      </c>
      <c r="D2411" s="1" t="s">
        <v>41</v>
      </c>
      <c r="E2411" s="3">
        <v>5705200</v>
      </c>
      <c r="F2411" s="1">
        <v>2601.5503875968898</v>
      </c>
      <c r="G2411" s="1">
        <v>5</v>
      </c>
      <c r="H2411" s="1">
        <v>3</v>
      </c>
      <c r="I2411" s="1">
        <v>4</v>
      </c>
      <c r="J2411" s="1">
        <v>3.5</v>
      </c>
      <c r="M2411" s="4">
        <v>2193</v>
      </c>
      <c r="N2411" s="1">
        <v>3937</v>
      </c>
      <c r="O2411" s="1">
        <v>6088</v>
      </c>
      <c r="P2411" s="1">
        <v>2151</v>
      </c>
      <c r="Q2411" s="1" t="s">
        <v>42</v>
      </c>
      <c r="S2411" s="1" t="s">
        <v>42</v>
      </c>
      <c r="T2411" s="1" t="s">
        <v>170</v>
      </c>
      <c r="U2411" s="1">
        <v>69</v>
      </c>
      <c r="V2411" s="5">
        <v>43649</v>
      </c>
      <c r="W2411" s="5">
        <v>42998</v>
      </c>
      <c r="X2411" s="1">
        <v>5850000</v>
      </c>
      <c r="Y2411" s="1">
        <v>5850000</v>
      </c>
      <c r="Z2411" s="5">
        <v>43067</v>
      </c>
      <c r="AA2411" s="1">
        <v>5705200</v>
      </c>
      <c r="AB2411" s="1" t="s">
        <v>1822</v>
      </c>
      <c r="AC2411" s="5">
        <v>43146</v>
      </c>
      <c r="AF2411" s="1">
        <v>10022</v>
      </c>
      <c r="AI2411" s="1" t="s">
        <v>65</v>
      </c>
      <c r="AJ2411" s="1">
        <v>2016</v>
      </c>
      <c r="AK2411" s="1" t="s">
        <v>73</v>
      </c>
      <c r="AL2411" s="1">
        <v>95</v>
      </c>
    </row>
    <row r="2412" spans="1:38" x14ac:dyDescent="0.2">
      <c r="A2412" s="2" t="str">
        <f>HYPERLINK("https://www.compass.com/listing/252-east-57th-street-unit-58a-manhattan-ny-10022/803345538619721041/","252 E 57th St, Unit 58A")</f>
        <v>252 E 57th St, Unit 58A</v>
      </c>
      <c r="B2412" s="2" t="str">
        <f t="shared" si="344"/>
        <v>252 E 57th St</v>
      </c>
      <c r="C2412" s="1" t="s">
        <v>64</v>
      </c>
      <c r="D2412" s="1" t="s">
        <v>41</v>
      </c>
      <c r="E2412" s="3">
        <v>6417975</v>
      </c>
      <c r="F2412" s="1">
        <v>2857.51335707925</v>
      </c>
      <c r="G2412" s="1">
        <v>5</v>
      </c>
      <c r="H2412" s="1">
        <v>3</v>
      </c>
      <c r="I2412" s="1">
        <v>3</v>
      </c>
      <c r="J2412" s="1">
        <v>3</v>
      </c>
      <c r="M2412" s="4">
        <v>2246</v>
      </c>
      <c r="N2412" s="1">
        <v>4289</v>
      </c>
      <c r="O2412" s="1">
        <v>6509</v>
      </c>
      <c r="P2412" s="1">
        <v>2220</v>
      </c>
      <c r="Q2412" s="1" t="s">
        <v>42</v>
      </c>
      <c r="S2412" s="1" t="s">
        <v>42</v>
      </c>
      <c r="T2412" s="1" t="s">
        <v>170</v>
      </c>
      <c r="U2412" s="1">
        <v>169</v>
      </c>
      <c r="V2412" s="5">
        <v>43173</v>
      </c>
      <c r="W2412" s="5">
        <v>43004</v>
      </c>
      <c r="Y2412" s="1">
        <v>6870000</v>
      </c>
      <c r="Z2412" s="5">
        <v>42768</v>
      </c>
      <c r="AA2412" s="1">
        <v>6417975</v>
      </c>
      <c r="AB2412" s="1" t="s">
        <v>1825</v>
      </c>
      <c r="AC2412" s="5">
        <v>43264</v>
      </c>
      <c r="AF2412" s="1">
        <v>10022</v>
      </c>
      <c r="AI2412" s="1" t="s">
        <v>65</v>
      </c>
      <c r="AJ2412" s="1">
        <v>2016</v>
      </c>
      <c r="AK2412" s="1" t="s">
        <v>73</v>
      </c>
      <c r="AL2412" s="1">
        <v>95</v>
      </c>
    </row>
    <row r="2413" spans="1:38" x14ac:dyDescent="0.2">
      <c r="A2413" s="2" t="str">
        <f>HYPERLINK("https://www.compass.com/listing/252-east-57th-street-unit-59a-manhattan-ny-10022/29405845561311521/","252 E 57th St, Unit 59A")</f>
        <v>252 E 57th St, Unit 59A</v>
      </c>
      <c r="B2413" s="2" t="str">
        <f t="shared" si="344"/>
        <v>252 E 57th St</v>
      </c>
      <c r="C2413" s="1" t="s">
        <v>64</v>
      </c>
      <c r="D2413" s="1" t="s">
        <v>41</v>
      </c>
      <c r="E2413" s="3">
        <v>6000000</v>
      </c>
      <c r="F2413" s="1">
        <v>2673.79679144385</v>
      </c>
      <c r="G2413" s="1">
        <v>5</v>
      </c>
      <c r="H2413" s="1">
        <v>3</v>
      </c>
      <c r="I2413" s="1">
        <v>3</v>
      </c>
      <c r="J2413" s="1">
        <v>3</v>
      </c>
      <c r="M2413" s="4">
        <v>2244</v>
      </c>
      <c r="N2413" s="1">
        <v>4061</v>
      </c>
      <c r="O2413" s="1">
        <v>5906</v>
      </c>
      <c r="P2413" s="1">
        <v>1845</v>
      </c>
      <c r="Q2413" s="1" t="s">
        <v>42</v>
      </c>
      <c r="S2413" s="1" t="s">
        <v>42</v>
      </c>
      <c r="T2413" s="1" t="s">
        <v>170</v>
      </c>
      <c r="U2413" s="1">
        <v>69</v>
      </c>
      <c r="V2413" s="5">
        <v>43028</v>
      </c>
      <c r="W2413" s="5">
        <v>42767</v>
      </c>
      <c r="X2413" s="1">
        <v>6970000</v>
      </c>
      <c r="Y2413" s="1">
        <v>6550000</v>
      </c>
      <c r="Z2413" s="5">
        <v>42837</v>
      </c>
      <c r="AA2413" s="1">
        <v>6000000</v>
      </c>
      <c r="AB2413" s="1" t="s">
        <v>181</v>
      </c>
      <c r="AC2413" s="5">
        <v>42892</v>
      </c>
      <c r="AF2413" s="1">
        <v>10022</v>
      </c>
      <c r="AI2413" s="1" t="s">
        <v>65</v>
      </c>
      <c r="AJ2413" s="1">
        <v>2016</v>
      </c>
      <c r="AK2413" s="1" t="s">
        <v>46</v>
      </c>
      <c r="AL2413" s="1">
        <v>95</v>
      </c>
    </row>
    <row r="2414" spans="1:38" x14ac:dyDescent="0.2">
      <c r="A2414" s="2" t="str">
        <f>HYPERLINK("https://www.compass.com/listing/252-east-57th-street-unit-51b-manhattan-ny-10022/29405835167826417/","252 E 57th St, Unit 51B")</f>
        <v>252 E 57th St, Unit 51B</v>
      </c>
      <c r="B2414" s="2" t="str">
        <f t="shared" si="344"/>
        <v>252 E 57th St</v>
      </c>
      <c r="C2414" s="1" t="s">
        <v>64</v>
      </c>
      <c r="D2414" s="1" t="s">
        <v>41</v>
      </c>
      <c r="E2414" s="3">
        <v>5399725</v>
      </c>
      <c r="F2414" s="1">
        <v>2377.6860413914501</v>
      </c>
      <c r="G2414" s="1">
        <v>5</v>
      </c>
      <c r="H2414" s="1">
        <v>3</v>
      </c>
      <c r="I2414" s="1">
        <v>3</v>
      </c>
      <c r="J2414" s="1">
        <v>3</v>
      </c>
      <c r="M2414" s="4">
        <v>2271</v>
      </c>
      <c r="N2414" s="1">
        <v>4058</v>
      </c>
      <c r="O2414" s="1">
        <v>5901</v>
      </c>
      <c r="P2414" s="1">
        <v>1843</v>
      </c>
      <c r="Q2414" s="1" t="s">
        <v>42</v>
      </c>
      <c r="S2414" s="1" t="s">
        <v>42</v>
      </c>
      <c r="T2414" s="1" t="s">
        <v>170</v>
      </c>
      <c r="U2414" s="1">
        <v>55</v>
      </c>
      <c r="V2414" s="5">
        <v>43650</v>
      </c>
      <c r="W2414" s="5">
        <v>42923</v>
      </c>
      <c r="X2414" s="1">
        <v>5875000</v>
      </c>
      <c r="Y2414" s="1">
        <v>5875000</v>
      </c>
      <c r="Z2414" s="5">
        <v>42978</v>
      </c>
      <c r="AA2414" s="1">
        <v>5399725</v>
      </c>
      <c r="AB2414" s="1" t="s">
        <v>1713</v>
      </c>
      <c r="AC2414" s="5">
        <v>43011</v>
      </c>
      <c r="AF2414" s="1">
        <v>10022</v>
      </c>
      <c r="AI2414" s="1" t="s">
        <v>84</v>
      </c>
      <c r="AJ2414" s="1">
        <v>2016</v>
      </c>
      <c r="AK2414" s="1" t="s">
        <v>73</v>
      </c>
      <c r="AL2414" s="1">
        <v>95</v>
      </c>
    </row>
    <row r="2415" spans="1:38" x14ac:dyDescent="0.2">
      <c r="A2415" s="2" t="str">
        <f>HYPERLINK("https://www.compass.com/listing/252-east-57th-street-unit-37b-manhattan-ny-10022/783366967933792945/","252 E 57th St, Unit 37B")</f>
        <v>252 E 57th St, Unit 37B</v>
      </c>
      <c r="B2415" s="2" t="str">
        <f t="shared" si="344"/>
        <v>252 E 57th St</v>
      </c>
      <c r="C2415" s="1" t="s">
        <v>64</v>
      </c>
      <c r="D2415" s="1" t="s">
        <v>41</v>
      </c>
      <c r="E2415" s="3">
        <v>4025088</v>
      </c>
      <c r="F2415" s="1">
        <v>2086.6187143597699</v>
      </c>
      <c r="G2415" s="1">
        <v>5</v>
      </c>
      <c r="H2415" s="1">
        <v>3</v>
      </c>
      <c r="I2415" s="1">
        <v>3</v>
      </c>
      <c r="J2415" s="1">
        <v>3</v>
      </c>
      <c r="M2415" s="4">
        <v>1929</v>
      </c>
      <c r="N2415" s="1">
        <v>3614</v>
      </c>
      <c r="O2415" s="1">
        <v>5484</v>
      </c>
      <c r="Q2415" s="1" t="s">
        <v>141</v>
      </c>
      <c r="S2415" s="1" t="s">
        <v>141</v>
      </c>
      <c r="T2415" s="1" t="s">
        <v>170</v>
      </c>
      <c r="U2415" s="1">
        <v>154</v>
      </c>
      <c r="V2415" s="5">
        <v>43173</v>
      </c>
      <c r="W2415" s="5">
        <v>42997</v>
      </c>
      <c r="X2415" s="1">
        <v>3950000</v>
      </c>
      <c r="Y2415" s="1">
        <v>4735000</v>
      </c>
      <c r="Z2415" s="5">
        <v>43152</v>
      </c>
      <c r="AA2415" s="1">
        <v>4025087.5</v>
      </c>
      <c r="AB2415" s="1" t="s">
        <v>1788</v>
      </c>
      <c r="AC2415" s="5">
        <v>43214</v>
      </c>
      <c r="AF2415" s="1">
        <v>10022</v>
      </c>
      <c r="AI2415" s="1" t="s">
        <v>84</v>
      </c>
      <c r="AJ2415" s="1">
        <v>2016</v>
      </c>
      <c r="AK2415" s="1" t="s">
        <v>73</v>
      </c>
      <c r="AL2415" s="1">
        <v>95</v>
      </c>
    </row>
    <row r="2416" spans="1:38" x14ac:dyDescent="0.2">
      <c r="A2416" s="2" t="str">
        <f>HYPERLINK("https://www.compass.com/listing/252-east-57th-street-unit-59c-manhattan-ny-10022/803371643715789577/","252 E 57th St, Unit 59C")</f>
        <v>252 E 57th St, Unit 59C</v>
      </c>
      <c r="B2416" s="2" t="str">
        <f t="shared" si="344"/>
        <v>252 E 57th St</v>
      </c>
      <c r="C2416" s="1" t="s">
        <v>64</v>
      </c>
      <c r="D2416" s="1" t="s">
        <v>41</v>
      </c>
      <c r="E2416" s="3">
        <v>8495205</v>
      </c>
      <c r="F2416" s="1">
        <v>2838.35783494821</v>
      </c>
      <c r="G2416" s="1">
        <v>5</v>
      </c>
      <c r="H2416" s="1">
        <v>3</v>
      </c>
      <c r="I2416" s="1">
        <v>4</v>
      </c>
      <c r="J2416" s="1">
        <v>3.5</v>
      </c>
      <c r="M2416" s="4">
        <v>2993</v>
      </c>
      <c r="N2416" s="1">
        <v>5416</v>
      </c>
      <c r="O2416" s="1">
        <v>7877</v>
      </c>
      <c r="P2416" s="1">
        <v>2461</v>
      </c>
      <c r="Q2416" s="1" t="s">
        <v>42</v>
      </c>
      <c r="S2416" s="1" t="s">
        <v>42</v>
      </c>
      <c r="T2416" s="1" t="s">
        <v>170</v>
      </c>
      <c r="U2416" s="1">
        <v>4</v>
      </c>
      <c r="V2416" s="5">
        <v>43173</v>
      </c>
      <c r="W2416" s="5">
        <v>43129</v>
      </c>
      <c r="X2416" s="1">
        <v>8875000</v>
      </c>
      <c r="Y2416" s="1">
        <v>8875000</v>
      </c>
      <c r="Z2416" s="5">
        <v>43134</v>
      </c>
      <c r="AA2416" s="1">
        <v>8495205</v>
      </c>
      <c r="AB2416" s="1" t="s">
        <v>1826</v>
      </c>
      <c r="AC2416" s="5">
        <v>43174</v>
      </c>
      <c r="AF2416" s="1">
        <v>10022</v>
      </c>
      <c r="AI2416" s="1" t="s">
        <v>65</v>
      </c>
      <c r="AJ2416" s="1">
        <v>2016</v>
      </c>
      <c r="AK2416" s="1" t="s">
        <v>73</v>
      </c>
      <c r="AL2416" s="1">
        <v>95</v>
      </c>
    </row>
    <row r="2417" spans="1:38" x14ac:dyDescent="0.2">
      <c r="A2417" s="2" t="str">
        <f>HYPERLINK("https://www.compass.com/listing/252-east-57th-street-unit-52c-manhattan-ny-10022/803420879224439433/","252 E 57th St, Unit 52C")</f>
        <v>252 E 57th St, Unit 52C</v>
      </c>
      <c r="B2417" s="2" t="str">
        <f t="shared" si="344"/>
        <v>252 E 57th St</v>
      </c>
      <c r="C2417" s="1" t="s">
        <v>64</v>
      </c>
      <c r="D2417" s="1" t="s">
        <v>41</v>
      </c>
      <c r="E2417" s="3">
        <v>8098088</v>
      </c>
      <c r="F2417" s="1">
        <v>2655.1106557377002</v>
      </c>
      <c r="G2417" s="1">
        <v>5</v>
      </c>
      <c r="H2417" s="1">
        <v>3</v>
      </c>
      <c r="I2417" s="1">
        <v>4</v>
      </c>
      <c r="J2417" s="1">
        <v>3.5</v>
      </c>
      <c r="M2417" s="4">
        <v>3050</v>
      </c>
      <c r="N2417" s="1">
        <v>5796</v>
      </c>
      <c r="O2417" s="1">
        <v>8796</v>
      </c>
      <c r="P2417" s="1">
        <v>3000</v>
      </c>
      <c r="Q2417" s="1" t="s">
        <v>42</v>
      </c>
      <c r="S2417" s="1" t="s">
        <v>42</v>
      </c>
      <c r="T2417" s="1" t="s">
        <v>170</v>
      </c>
      <c r="U2417" s="1">
        <v>139</v>
      </c>
      <c r="V2417" s="5">
        <v>43173</v>
      </c>
      <c r="W2417" s="5">
        <v>42170</v>
      </c>
      <c r="X2417" s="1">
        <v>9525000</v>
      </c>
      <c r="Y2417" s="1">
        <v>7995000</v>
      </c>
      <c r="Z2417" s="5">
        <v>43159</v>
      </c>
      <c r="AA2417" s="1">
        <v>8098087.5</v>
      </c>
      <c r="AB2417" s="1" t="s">
        <v>1827</v>
      </c>
      <c r="AC2417" s="5">
        <v>43187</v>
      </c>
      <c r="AF2417" s="1">
        <v>10022</v>
      </c>
      <c r="AI2417" s="1" t="s">
        <v>65</v>
      </c>
      <c r="AJ2417" s="1">
        <v>2016</v>
      </c>
      <c r="AK2417" s="1" t="s">
        <v>73</v>
      </c>
      <c r="AL2417" s="1">
        <v>95</v>
      </c>
    </row>
    <row r="2418" spans="1:38" x14ac:dyDescent="0.2">
      <c r="A2418" s="2" t="str">
        <f>HYPERLINK("https://www.compass.com/listing/252-east-57th-street-unit-52b-manhattan-ny-10022/29405836728107537/","252 E 57th St, Unit 52B")</f>
        <v>252 E 57th St, Unit 52B</v>
      </c>
      <c r="B2418" s="2" t="str">
        <f t="shared" si="344"/>
        <v>252 E 57th St</v>
      </c>
      <c r="C2418" s="1" t="s">
        <v>64</v>
      </c>
      <c r="D2418" s="1" t="s">
        <v>41</v>
      </c>
      <c r="E2418" s="3">
        <v>5399725</v>
      </c>
      <c r="F2418" s="1">
        <v>2379.7818422212399</v>
      </c>
      <c r="G2418" s="1">
        <v>5</v>
      </c>
      <c r="H2418" s="1">
        <v>3</v>
      </c>
      <c r="I2418" s="1">
        <v>3</v>
      </c>
      <c r="J2418" s="1">
        <v>3</v>
      </c>
      <c r="M2418" s="4">
        <v>2269</v>
      </c>
      <c r="N2418" s="1">
        <v>4059</v>
      </c>
      <c r="O2418" s="1">
        <v>5902</v>
      </c>
      <c r="P2418" s="1">
        <v>1843</v>
      </c>
      <c r="Q2418" s="1" t="s">
        <v>42</v>
      </c>
      <c r="S2418" s="1" t="s">
        <v>42</v>
      </c>
      <c r="T2418" s="1" t="s">
        <v>170</v>
      </c>
      <c r="U2418" s="1">
        <v>54</v>
      </c>
      <c r="V2418" s="5">
        <v>43650</v>
      </c>
      <c r="W2418" s="5">
        <v>42425</v>
      </c>
      <c r="X2418" s="1">
        <v>6425000</v>
      </c>
      <c r="Y2418" s="1">
        <v>6425000</v>
      </c>
      <c r="Z2418" s="5">
        <v>42479</v>
      </c>
      <c r="AA2418" s="1">
        <v>5399725</v>
      </c>
      <c r="AB2418" s="1" t="s">
        <v>1720</v>
      </c>
      <c r="AC2418" s="5">
        <v>42859</v>
      </c>
      <c r="AF2418" s="1">
        <v>10022</v>
      </c>
      <c r="AI2418" s="1" t="s">
        <v>84</v>
      </c>
      <c r="AJ2418" s="1">
        <v>2016</v>
      </c>
      <c r="AK2418" s="1" t="s">
        <v>73</v>
      </c>
      <c r="AL2418" s="1">
        <v>95</v>
      </c>
    </row>
    <row r="2419" spans="1:38" x14ac:dyDescent="0.2">
      <c r="A2419" s="2" t="str">
        <f>HYPERLINK("https://www.compass.com/listing/252-east-57th-street-unit-53b-manhattan-ny-10022/29405838246445617/","252 E 57th St, Unit 53B")</f>
        <v>252 E 57th St, Unit 53B</v>
      </c>
      <c r="B2419" s="2" t="str">
        <f t="shared" si="344"/>
        <v>252 E 57th St</v>
      </c>
      <c r="C2419" s="1" t="s">
        <v>64</v>
      </c>
      <c r="D2419" s="1" t="s">
        <v>41</v>
      </c>
      <c r="E2419" s="3">
        <v>5450638</v>
      </c>
      <c r="F2419" s="1">
        <v>2403.2795414461998</v>
      </c>
      <c r="G2419" s="1">
        <v>5</v>
      </c>
      <c r="H2419" s="1">
        <v>3</v>
      </c>
      <c r="I2419" s="1">
        <v>3</v>
      </c>
      <c r="J2419" s="1">
        <v>3</v>
      </c>
      <c r="M2419" s="4">
        <v>2268</v>
      </c>
      <c r="N2419" s="1">
        <v>4056</v>
      </c>
      <c r="O2419" s="1">
        <v>5899</v>
      </c>
      <c r="P2419" s="1">
        <v>1843</v>
      </c>
      <c r="Q2419" s="1" t="s">
        <v>42</v>
      </c>
      <c r="S2419" s="1" t="s">
        <v>42</v>
      </c>
      <c r="T2419" s="1" t="s">
        <v>170</v>
      </c>
      <c r="U2419" s="1">
        <v>260</v>
      </c>
      <c r="V2419" s="5">
        <v>43638</v>
      </c>
      <c r="W2419" s="5">
        <v>42479</v>
      </c>
      <c r="X2419" s="1">
        <v>6500000</v>
      </c>
      <c r="Y2419" s="1">
        <v>6500000</v>
      </c>
      <c r="Z2419" s="5">
        <v>42739</v>
      </c>
      <c r="AA2419" s="1">
        <v>5450638</v>
      </c>
      <c r="AB2419" s="1" t="s">
        <v>1721</v>
      </c>
      <c r="AC2419" s="5">
        <v>42888</v>
      </c>
      <c r="AF2419" s="1">
        <v>10022</v>
      </c>
      <c r="AI2419" s="1" t="s">
        <v>85</v>
      </c>
      <c r="AJ2419" s="1">
        <v>2016</v>
      </c>
      <c r="AK2419" s="1" t="s">
        <v>73</v>
      </c>
      <c r="AL2419" s="1">
        <v>95</v>
      </c>
    </row>
    <row r="2420" spans="1:38" x14ac:dyDescent="0.2">
      <c r="A2420" s="2" t="str">
        <f>HYPERLINK("https://www.compass.com/listing/252-east-57th-street-unit-54b-manhattan-ny-10022/29405839982887505/","252 E 57th St, Unit 54B")</f>
        <v>252 E 57th St, Unit 54B</v>
      </c>
      <c r="B2420" s="2" t="str">
        <f t="shared" si="344"/>
        <v>252 E 57th St</v>
      </c>
      <c r="C2420" s="1" t="s">
        <v>64</v>
      </c>
      <c r="D2420" s="1" t="s">
        <v>41</v>
      </c>
      <c r="E2420" s="3">
        <v>5348813</v>
      </c>
      <c r="F2420" s="1">
        <v>2360.4646954986702</v>
      </c>
      <c r="G2420" s="1">
        <v>5</v>
      </c>
      <c r="H2420" s="1">
        <v>3</v>
      </c>
      <c r="I2420" s="1">
        <v>3</v>
      </c>
      <c r="J2420" s="1">
        <v>3</v>
      </c>
      <c r="M2420" s="4">
        <v>2266</v>
      </c>
      <c r="N2420" s="1">
        <v>4055</v>
      </c>
      <c r="O2420" s="1">
        <v>5897</v>
      </c>
      <c r="P2420" s="1">
        <v>1842</v>
      </c>
      <c r="Q2420" s="1" t="s">
        <v>42</v>
      </c>
      <c r="S2420" s="1" t="s">
        <v>42</v>
      </c>
      <c r="T2420" s="1" t="s">
        <v>170</v>
      </c>
      <c r="U2420" s="1">
        <v>69</v>
      </c>
      <c r="V2420" s="5">
        <v>43662</v>
      </c>
      <c r="W2420" s="5">
        <v>42739</v>
      </c>
      <c r="X2420" s="1">
        <v>6575000</v>
      </c>
      <c r="Y2420" s="1">
        <v>5950000</v>
      </c>
      <c r="Z2420" s="5">
        <v>42808</v>
      </c>
      <c r="AA2420" s="1">
        <v>5348813</v>
      </c>
      <c r="AB2420" s="1" t="s">
        <v>1748</v>
      </c>
      <c r="AC2420" s="5">
        <v>42894</v>
      </c>
      <c r="AF2420" s="1">
        <v>10022</v>
      </c>
      <c r="AI2420" s="1" t="s">
        <v>84</v>
      </c>
      <c r="AJ2420" s="1">
        <v>2016</v>
      </c>
      <c r="AK2420" s="1" t="s">
        <v>73</v>
      </c>
      <c r="AL2420" s="1">
        <v>95</v>
      </c>
    </row>
    <row r="2421" spans="1:38" x14ac:dyDescent="0.2">
      <c r="A2421" s="2" t="str">
        <f>HYPERLINK("https://www.compass.com/listing/252-east-57th-street-unit-64b-manhattan-ny-10022/29405851567644833/","252 E 57th St, Unit 64B")</f>
        <v>252 E 57th St, Unit 64B</v>
      </c>
      <c r="B2421" s="2" t="str">
        <f t="shared" si="344"/>
        <v>252 E 57th St</v>
      </c>
      <c r="C2421" s="1" t="s">
        <v>64</v>
      </c>
      <c r="D2421" s="1" t="s">
        <v>41</v>
      </c>
      <c r="E2421" s="3">
        <v>10490975</v>
      </c>
      <c r="F2421" s="1">
        <v>3172.3540973692102</v>
      </c>
      <c r="G2421" s="1">
        <v>6</v>
      </c>
      <c r="H2421" s="1">
        <v>4</v>
      </c>
      <c r="I2421" s="1">
        <v>5</v>
      </c>
      <c r="J2421" s="1">
        <v>4.5</v>
      </c>
      <c r="M2421" s="4">
        <v>3307</v>
      </c>
      <c r="N2421" s="1">
        <v>5991</v>
      </c>
      <c r="O2421" s="1">
        <v>8713</v>
      </c>
      <c r="P2421" s="1">
        <v>2722</v>
      </c>
      <c r="Q2421" s="1" t="s">
        <v>42</v>
      </c>
      <c r="S2421" s="1" t="s">
        <v>42</v>
      </c>
      <c r="T2421" s="1" t="s">
        <v>170</v>
      </c>
      <c r="U2421" s="1">
        <v>201</v>
      </c>
      <c r="V2421" s="5">
        <v>43650</v>
      </c>
      <c r="W2421" s="5">
        <v>42789</v>
      </c>
      <c r="X2421" s="1">
        <v>12000000</v>
      </c>
      <c r="Y2421" s="1">
        <v>12000000</v>
      </c>
      <c r="Z2421" s="5">
        <v>42990</v>
      </c>
      <c r="AA2421" s="1">
        <v>10490975</v>
      </c>
      <c r="AB2421" s="1" t="s">
        <v>1741</v>
      </c>
      <c r="AC2421" s="5">
        <v>43031</v>
      </c>
      <c r="AF2421" s="1">
        <v>10022</v>
      </c>
      <c r="AI2421" s="1" t="s">
        <v>65</v>
      </c>
      <c r="AJ2421" s="1">
        <v>2016</v>
      </c>
      <c r="AK2421" s="1" t="s">
        <v>46</v>
      </c>
      <c r="AL2421" s="1">
        <v>95</v>
      </c>
    </row>
    <row r="2422" spans="1:38" x14ac:dyDescent="0.2">
      <c r="A2422" s="2" t="str">
        <f>HYPERLINK("https://www.compass.com/listing/252-east-57th-street-unit-56b-manhattan-ny-10022/803353430571619729/","252 E 57th St, Unit 56B")</f>
        <v>252 E 57th St, Unit 56B</v>
      </c>
      <c r="B2422" s="2" t="str">
        <f t="shared" si="344"/>
        <v>252 E 57th St</v>
      </c>
      <c r="C2422" s="1" t="s">
        <v>64</v>
      </c>
      <c r="D2422" s="1" t="s">
        <v>41</v>
      </c>
      <c r="E2422" s="3">
        <v>8250825</v>
      </c>
      <c r="F2422" s="1">
        <v>2743.8726305287601</v>
      </c>
      <c r="G2422" s="1">
        <v>5</v>
      </c>
      <c r="H2422" s="1">
        <v>3</v>
      </c>
      <c r="I2422" s="1">
        <v>4</v>
      </c>
      <c r="J2422" s="1">
        <v>3.5</v>
      </c>
      <c r="K2422" s="1">
        <v>3</v>
      </c>
      <c r="L2422" s="1">
        <v>1</v>
      </c>
      <c r="M2422" s="4">
        <v>3007</v>
      </c>
      <c r="N2422" s="1">
        <v>5425</v>
      </c>
      <c r="O2422" s="1">
        <v>8389</v>
      </c>
      <c r="P2422" s="1">
        <v>2964</v>
      </c>
      <c r="Q2422" s="1" t="s">
        <v>42</v>
      </c>
      <c r="S2422" s="1" t="s">
        <v>42</v>
      </c>
      <c r="T2422" s="1" t="s">
        <v>170</v>
      </c>
      <c r="U2422" s="1">
        <v>1041</v>
      </c>
      <c r="V2422" s="5">
        <v>43678</v>
      </c>
      <c r="W2422" s="5">
        <v>42083</v>
      </c>
      <c r="X2422" s="1">
        <v>10225000</v>
      </c>
      <c r="Y2422" s="1">
        <v>10225000</v>
      </c>
      <c r="AA2422" s="1">
        <v>8250825</v>
      </c>
      <c r="AB2422" s="1" t="s">
        <v>1828</v>
      </c>
      <c r="AC2422" s="5">
        <v>43124</v>
      </c>
      <c r="AF2422" s="1">
        <v>10022</v>
      </c>
      <c r="AI2422" s="1" t="s">
        <v>138</v>
      </c>
      <c r="AJ2422" s="1">
        <v>2016</v>
      </c>
      <c r="AK2422" s="1" t="s">
        <v>73</v>
      </c>
      <c r="AL2422" s="1">
        <v>95</v>
      </c>
    </row>
    <row r="2423" spans="1:38" x14ac:dyDescent="0.2">
      <c r="A2423" s="2" t="str">
        <f>HYPERLINK("https://www.compass.com/listing/252-east-57th-street-unit-52a-manhattan-ny-10022/29405836275122273/","252 E 57th St, Unit 52A")</f>
        <v>252 E 57th St, Unit 52A</v>
      </c>
      <c r="B2423" s="2" t="str">
        <f t="shared" si="344"/>
        <v>252 E 57th St</v>
      </c>
      <c r="C2423" s="1" t="s">
        <v>64</v>
      </c>
      <c r="D2423" s="1" t="s">
        <v>41</v>
      </c>
      <c r="E2423" s="3">
        <v>6265238</v>
      </c>
      <c r="F2423" s="1">
        <v>2387.6669207317</v>
      </c>
      <c r="G2423" s="1">
        <v>5</v>
      </c>
      <c r="H2423" s="1">
        <v>3</v>
      </c>
      <c r="I2423" s="1">
        <v>4</v>
      </c>
      <c r="J2423" s="1">
        <v>3.5</v>
      </c>
      <c r="M2423" s="4">
        <v>2624</v>
      </c>
      <c r="N2423" s="1">
        <v>4731</v>
      </c>
      <c r="O2423" s="1">
        <v>6879</v>
      </c>
      <c r="P2423" s="1">
        <v>2148</v>
      </c>
      <c r="Q2423" s="1" t="s">
        <v>42</v>
      </c>
      <c r="S2423" s="1" t="s">
        <v>42</v>
      </c>
      <c r="T2423" s="1" t="s">
        <v>170</v>
      </c>
      <c r="U2423" s="1">
        <v>74</v>
      </c>
      <c r="V2423" s="5">
        <v>43638</v>
      </c>
      <c r="W2423" s="5">
        <v>42559</v>
      </c>
      <c r="X2423" s="1">
        <v>6800000</v>
      </c>
      <c r="Y2423" s="1">
        <v>6800000</v>
      </c>
      <c r="Z2423" s="5">
        <v>42633</v>
      </c>
      <c r="AA2423" s="1">
        <v>6265238</v>
      </c>
      <c r="AB2423" s="1" t="s">
        <v>1726</v>
      </c>
      <c r="AC2423" s="5">
        <v>42875</v>
      </c>
      <c r="AF2423" s="1">
        <v>10022</v>
      </c>
      <c r="AI2423" s="1" t="s">
        <v>65</v>
      </c>
      <c r="AJ2423" s="1">
        <v>2016</v>
      </c>
      <c r="AK2423" s="1" t="s">
        <v>73</v>
      </c>
      <c r="AL2423" s="1">
        <v>95</v>
      </c>
    </row>
    <row r="2424" spans="1:38" x14ac:dyDescent="0.2">
      <c r="A2424" s="2" t="str">
        <f>HYPERLINK("https://www.compass.com/listing/252-east-57th-street-unit-53c-manhattan-ny-10022/29405838917623713/","252 E 57th St, Unit 53C")</f>
        <v>252 E 57th St, Unit 53C</v>
      </c>
      <c r="B2424" s="2" t="str">
        <f t="shared" si="344"/>
        <v>252 E 57th St</v>
      </c>
      <c r="C2424" s="1" t="s">
        <v>64</v>
      </c>
      <c r="D2424" s="1" t="s">
        <v>41</v>
      </c>
      <c r="E2424" s="3">
        <v>8658125</v>
      </c>
      <c r="F2424" s="1">
        <v>2841.5244502789601</v>
      </c>
      <c r="G2424" s="1">
        <v>6</v>
      </c>
      <c r="H2424" s="1">
        <v>3</v>
      </c>
      <c r="I2424" s="1">
        <v>4</v>
      </c>
      <c r="J2424" s="1">
        <v>3.5</v>
      </c>
      <c r="M2424" s="4">
        <v>3047</v>
      </c>
      <c r="N2424" s="1">
        <v>5487</v>
      </c>
      <c r="O2424" s="1">
        <v>7980</v>
      </c>
      <c r="P2424" s="1">
        <v>2493</v>
      </c>
      <c r="Q2424" s="1" t="s">
        <v>42</v>
      </c>
      <c r="S2424" s="1" t="s">
        <v>42</v>
      </c>
      <c r="T2424" s="1" t="s">
        <v>170</v>
      </c>
      <c r="U2424" s="1">
        <v>175</v>
      </c>
      <c r="V2424" s="5">
        <v>43664</v>
      </c>
      <c r="W2424" s="5">
        <v>42516</v>
      </c>
      <c r="X2424" s="1">
        <v>9700000</v>
      </c>
      <c r="Y2424" s="1">
        <v>9100000</v>
      </c>
      <c r="Z2424" s="5">
        <v>42691</v>
      </c>
      <c r="AA2424" s="1">
        <v>8658125</v>
      </c>
      <c r="AB2424" s="1" t="s">
        <v>1728</v>
      </c>
      <c r="AC2424" s="5">
        <v>42870</v>
      </c>
      <c r="AF2424" s="1">
        <v>10022</v>
      </c>
      <c r="AI2424" s="1" t="s">
        <v>65</v>
      </c>
      <c r="AJ2424" s="1">
        <v>2016</v>
      </c>
      <c r="AK2424" s="1" t="s">
        <v>73</v>
      </c>
      <c r="AL2424" s="1">
        <v>95</v>
      </c>
    </row>
    <row r="2425" spans="1:38" x14ac:dyDescent="0.2">
      <c r="A2425" s="2" t="str">
        <f>HYPERLINK("https://www.compass.com/listing/252-east-57th-street-unit-54a-manhattan-ny-10022/29405839404073121/","252 E 57th St, Unit 54A")</f>
        <v>252 E 57th St, Unit 54A</v>
      </c>
      <c r="B2425" s="2" t="str">
        <f t="shared" si="344"/>
        <v>252 E 57th St</v>
      </c>
      <c r="C2425" s="1" t="s">
        <v>64</v>
      </c>
      <c r="D2425" s="1" t="s">
        <v>41</v>
      </c>
      <c r="E2425" s="3">
        <v>6938304</v>
      </c>
      <c r="F2425" s="1">
        <v>2647.1972529568802</v>
      </c>
      <c r="G2425" s="1">
        <v>5</v>
      </c>
      <c r="H2425" s="1">
        <v>3</v>
      </c>
      <c r="I2425" s="1">
        <v>4</v>
      </c>
      <c r="J2425" s="1">
        <v>3.5</v>
      </c>
      <c r="M2425" s="4">
        <v>2621</v>
      </c>
      <c r="N2425" s="1">
        <v>4728</v>
      </c>
      <c r="O2425" s="1">
        <v>6876</v>
      </c>
      <c r="P2425" s="1">
        <v>2148</v>
      </c>
      <c r="Q2425" s="1" t="s">
        <v>42</v>
      </c>
      <c r="S2425" s="1" t="s">
        <v>42</v>
      </c>
      <c r="T2425" s="1" t="s">
        <v>170</v>
      </c>
      <c r="U2425" s="1">
        <v>89</v>
      </c>
      <c r="V2425" s="5">
        <v>43664</v>
      </c>
      <c r="W2425" s="5">
        <v>42671</v>
      </c>
      <c r="X2425" s="1">
        <v>6950000</v>
      </c>
      <c r="Y2425" s="1">
        <v>6950000</v>
      </c>
      <c r="Z2425" s="5">
        <v>42760</v>
      </c>
      <c r="AA2425" s="1">
        <v>6938304</v>
      </c>
      <c r="AB2425" s="1" t="s">
        <v>1729</v>
      </c>
      <c r="AC2425" s="5">
        <v>42903</v>
      </c>
      <c r="AF2425" s="1">
        <v>10022</v>
      </c>
      <c r="AI2425" s="1" t="s">
        <v>65</v>
      </c>
      <c r="AJ2425" s="1">
        <v>2016</v>
      </c>
      <c r="AK2425" s="1" t="s">
        <v>46</v>
      </c>
      <c r="AL2425" s="1">
        <v>95</v>
      </c>
    </row>
    <row r="2426" spans="1:38" x14ac:dyDescent="0.2">
      <c r="A2426" s="2" t="str">
        <f>HYPERLINK("https://www.compass.com/listing/252-east-57th-street-unit-42a-manhattan-ny-10022/29405820152217361/","252 E 57th St, Unit 42A")</f>
        <v>252 E 57th St, Unit 42A</v>
      </c>
      <c r="B2426" s="2" t="str">
        <f t="shared" si="344"/>
        <v>252 E 57th St</v>
      </c>
      <c r="C2426" s="1" t="s">
        <v>64</v>
      </c>
      <c r="D2426" s="1" t="s">
        <v>41</v>
      </c>
      <c r="E2426" s="3">
        <v>4636038</v>
      </c>
      <c r="F2426" s="1">
        <v>2109.2074613284799</v>
      </c>
      <c r="G2426" s="1">
        <v>5</v>
      </c>
      <c r="H2426" s="1">
        <v>3</v>
      </c>
      <c r="I2426" s="1">
        <v>4</v>
      </c>
      <c r="J2426" s="1">
        <v>3.5</v>
      </c>
      <c r="M2426" s="4">
        <v>2198</v>
      </c>
      <c r="N2426" s="1">
        <v>3944</v>
      </c>
      <c r="O2426" s="1">
        <v>5734</v>
      </c>
      <c r="P2426" s="1">
        <v>1790</v>
      </c>
      <c r="Q2426" s="1" t="s">
        <v>42</v>
      </c>
      <c r="S2426" s="1" t="s">
        <v>42</v>
      </c>
      <c r="T2426" s="1" t="s">
        <v>170</v>
      </c>
      <c r="U2426" s="1">
        <v>740</v>
      </c>
      <c r="V2426" s="5">
        <v>43650</v>
      </c>
      <c r="W2426" s="5">
        <v>41893</v>
      </c>
      <c r="X2426" s="1">
        <v>5750000</v>
      </c>
      <c r="Y2426" s="1">
        <v>4995000</v>
      </c>
      <c r="Z2426" s="5">
        <v>42633</v>
      </c>
      <c r="AA2426" s="1">
        <v>4636038</v>
      </c>
      <c r="AB2426" s="1" t="s">
        <v>1742</v>
      </c>
      <c r="AC2426" s="5">
        <v>42854</v>
      </c>
      <c r="AF2426" s="1">
        <v>10022</v>
      </c>
      <c r="AI2426" s="1" t="s">
        <v>65</v>
      </c>
      <c r="AJ2426" s="1">
        <v>2016</v>
      </c>
      <c r="AK2426" s="1" t="s">
        <v>46</v>
      </c>
      <c r="AL2426" s="1">
        <v>95</v>
      </c>
    </row>
    <row r="2427" spans="1:38" x14ac:dyDescent="0.2">
      <c r="A2427" s="2" t="str">
        <f>HYPERLINK("https://www.compass.com/listing/252-east-57th-street-unit-46c-manhattan-ny-10022/29405826712198817/","252 E 57th St, Unit 46C")</f>
        <v>252 E 57th St, Unit 46C</v>
      </c>
      <c r="B2427" s="2" t="str">
        <f t="shared" si="344"/>
        <v>252 E 57th St</v>
      </c>
      <c r="C2427" s="1" t="s">
        <v>64</v>
      </c>
      <c r="D2427" s="1" t="s">
        <v>41</v>
      </c>
      <c r="E2427" s="3">
        <v>5603375</v>
      </c>
      <c r="F2427" s="1">
        <v>2557.4509356458202</v>
      </c>
      <c r="G2427" s="1">
        <v>5</v>
      </c>
      <c r="H2427" s="1">
        <v>3</v>
      </c>
      <c r="I2427" s="1">
        <v>4</v>
      </c>
      <c r="J2427" s="1">
        <v>3.5</v>
      </c>
      <c r="M2427" s="4">
        <v>2191</v>
      </c>
      <c r="N2427" s="1">
        <v>3941</v>
      </c>
      <c r="O2427" s="1">
        <v>5730</v>
      </c>
      <c r="P2427" s="1">
        <v>1789</v>
      </c>
      <c r="Q2427" s="1" t="s">
        <v>42</v>
      </c>
      <c r="S2427" s="1" t="s">
        <v>42</v>
      </c>
      <c r="T2427" s="1" t="s">
        <v>170</v>
      </c>
      <c r="U2427" s="1">
        <v>280</v>
      </c>
      <c r="V2427" s="5">
        <v>43650</v>
      </c>
      <c r="W2427" s="5">
        <v>42208</v>
      </c>
      <c r="X2427" s="1">
        <v>6490000</v>
      </c>
      <c r="Y2427" s="1">
        <v>6490000</v>
      </c>
      <c r="Z2427" s="5">
        <v>42536</v>
      </c>
      <c r="AA2427" s="1">
        <v>5603375</v>
      </c>
      <c r="AB2427" s="1" t="s">
        <v>1724</v>
      </c>
      <c r="AC2427" s="5">
        <v>42850</v>
      </c>
      <c r="AF2427" s="1">
        <v>10022</v>
      </c>
      <c r="AI2427" s="1" t="s">
        <v>65</v>
      </c>
      <c r="AJ2427" s="1">
        <v>2016</v>
      </c>
      <c r="AK2427" s="1" t="s">
        <v>46</v>
      </c>
      <c r="AL2427" s="1">
        <v>95</v>
      </c>
    </row>
    <row r="2428" spans="1:38" x14ac:dyDescent="0.2">
      <c r="A2428" s="2" t="str">
        <f>HYPERLINK("https://www.compass.com/listing/252-east-57th-street-unit-47c-manhattan-ny-10022/29405828565991361/","252 E 57th St, Unit 47C")</f>
        <v>252 E 57th St, Unit 47C</v>
      </c>
      <c r="B2428" s="2" t="str">
        <f t="shared" si="344"/>
        <v>252 E 57th St</v>
      </c>
      <c r="C2428" s="1" t="s">
        <v>64</v>
      </c>
      <c r="D2428" s="1" t="s">
        <v>41</v>
      </c>
      <c r="E2428" s="3">
        <v>5895613</v>
      </c>
      <c r="F2428" s="1">
        <v>2693.2905436272199</v>
      </c>
      <c r="G2428" s="1">
        <v>5</v>
      </c>
      <c r="H2428" s="1">
        <v>3</v>
      </c>
      <c r="I2428" s="1">
        <v>4</v>
      </c>
      <c r="J2428" s="1">
        <v>3.5</v>
      </c>
      <c r="M2428" s="4">
        <v>2189</v>
      </c>
      <c r="N2428" s="1">
        <v>3940</v>
      </c>
      <c r="O2428" s="1">
        <v>5729</v>
      </c>
      <c r="P2428" s="1">
        <v>1789</v>
      </c>
      <c r="Q2428" s="1" t="s">
        <v>42</v>
      </c>
      <c r="S2428" s="1" t="s">
        <v>42</v>
      </c>
      <c r="T2428" s="1" t="s">
        <v>170</v>
      </c>
      <c r="U2428" s="1">
        <v>17</v>
      </c>
      <c r="V2428" s="5">
        <v>43638</v>
      </c>
      <c r="W2428" s="5">
        <v>42448</v>
      </c>
      <c r="X2428" s="1">
        <v>6550000</v>
      </c>
      <c r="Y2428" s="1">
        <v>6550000</v>
      </c>
      <c r="Z2428" s="5">
        <v>42465</v>
      </c>
      <c r="AA2428" s="1">
        <v>5895613</v>
      </c>
      <c r="AB2428" s="1" t="s">
        <v>1743</v>
      </c>
      <c r="AC2428" s="5">
        <v>42837</v>
      </c>
      <c r="AF2428" s="1">
        <v>10022</v>
      </c>
      <c r="AI2428" s="1" t="s">
        <v>65</v>
      </c>
      <c r="AJ2428" s="1">
        <v>2016</v>
      </c>
      <c r="AK2428" s="1" t="s">
        <v>73</v>
      </c>
      <c r="AL2428" s="1">
        <v>95</v>
      </c>
    </row>
    <row r="2429" spans="1:38" x14ac:dyDescent="0.2">
      <c r="A2429" s="2" t="str">
        <f>HYPERLINK("https://www.compass.com/listing/252-east-57th-street-unit-50c-manhattan-ny-10022/29405833632711121/","252 E 57th St, Unit 50C")</f>
        <v>252 E 57th St, Unit 50C</v>
      </c>
      <c r="B2429" s="2" t="str">
        <f t="shared" si="344"/>
        <v>252 E 57th St</v>
      </c>
      <c r="C2429" s="1" t="s">
        <v>64</v>
      </c>
      <c r="D2429" s="1" t="s">
        <v>41</v>
      </c>
      <c r="E2429" s="3">
        <v>5705200</v>
      </c>
      <c r="F2429" s="1">
        <v>2611.07551487414</v>
      </c>
      <c r="G2429" s="1">
        <v>5</v>
      </c>
      <c r="H2429" s="1">
        <v>3</v>
      </c>
      <c r="I2429" s="1">
        <v>4</v>
      </c>
      <c r="J2429" s="1">
        <v>3.5</v>
      </c>
      <c r="M2429" s="4">
        <v>2185</v>
      </c>
      <c r="N2429" s="1">
        <v>3937</v>
      </c>
      <c r="O2429" s="1">
        <v>5726</v>
      </c>
      <c r="P2429" s="1">
        <v>1789</v>
      </c>
      <c r="Q2429" s="1" t="s">
        <v>42</v>
      </c>
      <c r="S2429" s="1" t="s">
        <v>42</v>
      </c>
      <c r="T2429" s="1" t="s">
        <v>170</v>
      </c>
      <c r="U2429" s="1">
        <v>440</v>
      </c>
      <c r="V2429" s="5">
        <v>43638</v>
      </c>
      <c r="W2429" s="5">
        <v>42557</v>
      </c>
      <c r="X2429" s="1">
        <v>6845000</v>
      </c>
      <c r="Y2429" s="1">
        <v>6295000</v>
      </c>
      <c r="Z2429" s="5">
        <v>42997</v>
      </c>
      <c r="AA2429" s="1">
        <v>5705200</v>
      </c>
      <c r="AB2429" s="1" t="s">
        <v>1725</v>
      </c>
      <c r="AC2429" s="5">
        <v>43032</v>
      </c>
      <c r="AF2429" s="1">
        <v>10022</v>
      </c>
      <c r="AI2429" s="1" t="s">
        <v>1820</v>
      </c>
      <c r="AJ2429" s="1">
        <v>2016</v>
      </c>
      <c r="AK2429" s="1" t="s">
        <v>46</v>
      </c>
      <c r="AL2429" s="1">
        <v>95</v>
      </c>
    </row>
    <row r="2430" spans="1:38" x14ac:dyDescent="0.2">
      <c r="A2430" s="2" t="str">
        <f>HYPERLINK("https://www.compass.com/listing/252-east-57th-street-unit-52c-manhattan-ny-10022/29405837307010945/","252 E 57th St, Unit 52C")</f>
        <v>252 E 57th St, Unit 52C</v>
      </c>
      <c r="B2430" s="2" t="str">
        <f t="shared" si="344"/>
        <v>252 E 57th St</v>
      </c>
      <c r="C2430" s="1" t="s">
        <v>64</v>
      </c>
      <c r="D2430" s="1" t="s">
        <v>41</v>
      </c>
      <c r="E2430" s="3">
        <v>8098088</v>
      </c>
      <c r="F2430" s="1">
        <v>2655.1108196721302</v>
      </c>
      <c r="G2430" s="1">
        <v>5</v>
      </c>
      <c r="H2430" s="1">
        <v>3</v>
      </c>
      <c r="I2430" s="1">
        <v>4</v>
      </c>
      <c r="J2430" s="1">
        <v>3.5</v>
      </c>
      <c r="K2430" s="1">
        <v>3</v>
      </c>
      <c r="L2430" s="1">
        <v>1</v>
      </c>
      <c r="M2430" s="4">
        <v>3050</v>
      </c>
      <c r="N2430" s="1">
        <v>5796</v>
      </c>
      <c r="O2430" s="1">
        <v>8796</v>
      </c>
      <c r="P2430" s="1">
        <v>3000</v>
      </c>
      <c r="Q2430" s="1" t="s">
        <v>42</v>
      </c>
      <c r="S2430" s="1" t="s">
        <v>42</v>
      </c>
      <c r="T2430" s="1" t="s">
        <v>170</v>
      </c>
      <c r="U2430" s="1">
        <v>139</v>
      </c>
      <c r="V2430" s="5">
        <v>43678</v>
      </c>
      <c r="W2430" s="5">
        <v>43020</v>
      </c>
      <c r="X2430" s="1">
        <v>7995000</v>
      </c>
      <c r="Y2430" s="1">
        <v>7995000</v>
      </c>
      <c r="Z2430" s="5">
        <v>43159</v>
      </c>
      <c r="AA2430" s="1">
        <v>8098088</v>
      </c>
      <c r="AB2430" s="1" t="s">
        <v>1827</v>
      </c>
      <c r="AC2430" s="5">
        <v>43188</v>
      </c>
      <c r="AF2430" s="1">
        <v>10022</v>
      </c>
      <c r="AI2430" s="1" t="s">
        <v>138</v>
      </c>
      <c r="AJ2430" s="1">
        <v>2016</v>
      </c>
      <c r="AK2430" s="1" t="s">
        <v>73</v>
      </c>
      <c r="AL2430" s="1">
        <v>95</v>
      </c>
    </row>
    <row r="2431" spans="1:38" x14ac:dyDescent="0.2">
      <c r="A2431" s="2" t="str">
        <f>HYPERLINK("https://www.compass.com/listing/252-east-57th-street-unit-53a-manhattan-ny-10022/29405837743128705/","252 E 57th St, Unit 53A")</f>
        <v>252 E 57th St, Unit 53A</v>
      </c>
      <c r="B2431" s="2" t="str">
        <f t="shared" si="344"/>
        <v>252 E 57th St</v>
      </c>
      <c r="C2431" s="1" t="s">
        <v>64</v>
      </c>
      <c r="D2431" s="1" t="s">
        <v>41</v>
      </c>
      <c r="E2431" s="3">
        <v>6112500</v>
      </c>
      <c r="F2431" s="1">
        <v>2330.3469309950401</v>
      </c>
      <c r="G2431" s="1">
        <v>5</v>
      </c>
      <c r="H2431" s="1">
        <v>3</v>
      </c>
      <c r="I2431" s="1">
        <v>4</v>
      </c>
      <c r="J2431" s="1">
        <v>3.5</v>
      </c>
      <c r="M2431" s="4">
        <v>2623</v>
      </c>
      <c r="N2431" s="1">
        <v>4372</v>
      </c>
      <c r="O2431" s="1">
        <v>6520</v>
      </c>
      <c r="P2431" s="1">
        <v>2148</v>
      </c>
      <c r="Q2431" s="1" t="s">
        <v>42</v>
      </c>
      <c r="S2431" s="1" t="s">
        <v>42</v>
      </c>
      <c r="T2431" s="1" t="s">
        <v>170</v>
      </c>
      <c r="U2431" s="1">
        <v>9</v>
      </c>
      <c r="V2431" s="5">
        <v>43638</v>
      </c>
      <c r="W2431" s="5">
        <v>42549</v>
      </c>
      <c r="X2431" s="1">
        <v>6875000</v>
      </c>
      <c r="Y2431" s="1">
        <v>6875000</v>
      </c>
      <c r="Z2431" s="5">
        <v>42558</v>
      </c>
      <c r="AA2431" s="1">
        <v>6112500</v>
      </c>
      <c r="AB2431" s="1" t="s">
        <v>1727</v>
      </c>
      <c r="AC2431" s="5">
        <v>42887</v>
      </c>
      <c r="AF2431" s="1">
        <v>10022</v>
      </c>
      <c r="AI2431" s="1" t="s">
        <v>65</v>
      </c>
      <c r="AJ2431" s="1">
        <v>2016</v>
      </c>
      <c r="AK2431" s="1" t="s">
        <v>73</v>
      </c>
      <c r="AL2431" s="1">
        <v>95</v>
      </c>
    </row>
    <row r="2432" spans="1:38" x14ac:dyDescent="0.2">
      <c r="A2432" s="2" t="str">
        <f>HYPERLINK("https://www.compass.com/listing/252-east-57th-street-unit-54c-manhattan-ny-10022/29405840511459265/","252 E 57th St, Unit 54C")</f>
        <v>252 E 57th St, Unit 54C</v>
      </c>
      <c r="B2432" s="2" t="str">
        <f t="shared" si="344"/>
        <v>252 E 57th St</v>
      </c>
      <c r="C2432" s="1" t="s">
        <v>64</v>
      </c>
      <c r="D2432" s="1" t="s">
        <v>41</v>
      </c>
      <c r="E2432" s="3">
        <v>8149000</v>
      </c>
      <c r="F2432" s="1">
        <v>2677.9493920473201</v>
      </c>
      <c r="G2432" s="1">
        <v>5</v>
      </c>
      <c r="H2432" s="1">
        <v>3</v>
      </c>
      <c r="I2432" s="1">
        <v>4</v>
      </c>
      <c r="J2432" s="1">
        <v>3.5</v>
      </c>
      <c r="M2432" s="4">
        <v>3043</v>
      </c>
      <c r="N2432" s="1">
        <v>5483</v>
      </c>
      <c r="O2432" s="1">
        <v>7974</v>
      </c>
      <c r="P2432" s="1">
        <v>2491</v>
      </c>
      <c r="Q2432" s="1" t="s">
        <v>42</v>
      </c>
      <c r="S2432" s="1" t="s">
        <v>42</v>
      </c>
      <c r="T2432" s="1" t="s">
        <v>170</v>
      </c>
      <c r="U2432" s="1">
        <v>320</v>
      </c>
      <c r="V2432" s="5">
        <v>43659</v>
      </c>
      <c r="W2432" s="5">
        <v>42691</v>
      </c>
      <c r="X2432" s="1">
        <v>9200000</v>
      </c>
      <c r="Y2432" s="1">
        <v>8225000</v>
      </c>
      <c r="Z2432" s="5">
        <v>43011</v>
      </c>
      <c r="AA2432" s="1">
        <v>8149000</v>
      </c>
      <c r="AB2432" s="1" t="s">
        <v>1730</v>
      </c>
      <c r="AC2432" s="5">
        <v>43017</v>
      </c>
      <c r="AF2432" s="1">
        <v>10022</v>
      </c>
      <c r="AI2432" s="1" t="s">
        <v>65</v>
      </c>
      <c r="AJ2432" s="1">
        <v>2016</v>
      </c>
      <c r="AK2432" s="1" t="s">
        <v>46</v>
      </c>
      <c r="AL2432" s="1">
        <v>95</v>
      </c>
    </row>
    <row r="2433" spans="1:38" x14ac:dyDescent="0.2">
      <c r="A2433" s="2" t="str">
        <f>HYPERLINK("https://www.compass.com/listing/252-east-57th-street-unit-55a-manhattan-ny-10022/29405841081794753/","252 E 57th St, Unit 55A")</f>
        <v>252 E 57th St, Unit 55A</v>
      </c>
      <c r="B2433" s="2" t="str">
        <f t="shared" si="344"/>
        <v>252 E 57th St</v>
      </c>
      <c r="C2433" s="1" t="s">
        <v>64</v>
      </c>
      <c r="D2433" s="1" t="s">
        <v>41</v>
      </c>
      <c r="E2433" s="3">
        <v>6392519</v>
      </c>
      <c r="F2433" s="1">
        <v>2434.31787890327</v>
      </c>
      <c r="G2433" s="1">
        <v>5</v>
      </c>
      <c r="H2433" s="1">
        <v>3</v>
      </c>
      <c r="I2433" s="1">
        <v>4</v>
      </c>
      <c r="J2433" s="1">
        <v>3.5</v>
      </c>
      <c r="M2433" s="4">
        <v>2626</v>
      </c>
      <c r="N2433" s="1">
        <v>4732</v>
      </c>
      <c r="O2433" s="1">
        <v>6880</v>
      </c>
      <c r="P2433" s="1">
        <v>2148</v>
      </c>
      <c r="Q2433" s="1" t="s">
        <v>42</v>
      </c>
      <c r="S2433" s="1" t="s">
        <v>42</v>
      </c>
      <c r="T2433" s="1" t="s">
        <v>170</v>
      </c>
      <c r="U2433" s="1">
        <v>7</v>
      </c>
      <c r="V2433" s="5">
        <v>43605</v>
      </c>
      <c r="W2433" s="5">
        <v>42537</v>
      </c>
      <c r="X2433" s="1">
        <v>6725000</v>
      </c>
      <c r="Y2433" s="1">
        <v>6725000</v>
      </c>
      <c r="Z2433" s="5">
        <v>42545</v>
      </c>
      <c r="AA2433" s="1">
        <v>6392518.75</v>
      </c>
      <c r="AB2433" s="1" t="s">
        <v>1731</v>
      </c>
      <c r="AC2433" s="5">
        <v>42941</v>
      </c>
      <c r="AF2433" s="1">
        <v>10022</v>
      </c>
      <c r="AI2433" s="1" t="s">
        <v>65</v>
      </c>
      <c r="AJ2433" s="1">
        <v>2016</v>
      </c>
      <c r="AK2433" s="1" t="s">
        <v>46</v>
      </c>
      <c r="AL2433" s="1">
        <v>95</v>
      </c>
    </row>
    <row r="2434" spans="1:38" x14ac:dyDescent="0.2">
      <c r="A2434" s="2" t="str">
        <f>HYPERLINK("https://www.compass.com/listing/252-east-57th-street-unit-55c-manhattan-ny-10022/29405842122072033/","252 E 57th St, Unit 55C")</f>
        <v>252 E 57th St, Unit 55C</v>
      </c>
      <c r="B2434" s="2" t="str">
        <f t="shared" si="344"/>
        <v>252 E 57th St</v>
      </c>
      <c r="C2434" s="1" t="s">
        <v>64</v>
      </c>
      <c r="D2434" s="1" t="s">
        <v>41</v>
      </c>
      <c r="E2434" s="3">
        <v>8149000</v>
      </c>
      <c r="F2434" s="1">
        <v>2681.4741691345798</v>
      </c>
      <c r="G2434" s="1">
        <v>5</v>
      </c>
      <c r="H2434" s="1">
        <v>3</v>
      </c>
      <c r="I2434" s="1">
        <v>4</v>
      </c>
      <c r="J2434" s="1">
        <v>3.5</v>
      </c>
      <c r="M2434" s="4">
        <v>3039</v>
      </c>
      <c r="N2434" s="1">
        <v>5479</v>
      </c>
      <c r="O2434" s="1">
        <v>7968</v>
      </c>
      <c r="P2434" s="1">
        <v>2489</v>
      </c>
      <c r="Q2434" s="1" t="s">
        <v>42</v>
      </c>
      <c r="S2434" s="1" t="s">
        <v>42</v>
      </c>
      <c r="T2434" s="1" t="s">
        <v>170</v>
      </c>
      <c r="U2434" s="1">
        <v>4</v>
      </c>
      <c r="V2434" s="5">
        <v>43649</v>
      </c>
      <c r="W2434" s="5">
        <v>43049</v>
      </c>
      <c r="X2434" s="1">
        <v>8425000</v>
      </c>
      <c r="Y2434" s="1">
        <v>8425000</v>
      </c>
      <c r="Z2434" s="5">
        <v>43053</v>
      </c>
      <c r="AA2434" s="1">
        <v>8149000</v>
      </c>
      <c r="AB2434" s="1" t="s">
        <v>1678</v>
      </c>
      <c r="AC2434" s="5">
        <v>43081</v>
      </c>
      <c r="AF2434" s="1">
        <v>10022</v>
      </c>
      <c r="AI2434" s="1" t="s">
        <v>65</v>
      </c>
      <c r="AJ2434" s="1">
        <v>2016</v>
      </c>
      <c r="AK2434" s="1" t="s">
        <v>73</v>
      </c>
      <c r="AL2434" s="1">
        <v>95</v>
      </c>
    </row>
    <row r="2435" spans="1:38" x14ac:dyDescent="0.2">
      <c r="A2435" s="2" t="str">
        <f>HYPERLINK("https://www.compass.com/listing/252-east-57th-street-unit-56a-manhattan-ny-10022/29405842625298657/","252 E 57th St, Unit 56A")</f>
        <v>252 E 57th St, Unit 56A</v>
      </c>
      <c r="B2435" s="2" t="str">
        <f t="shared" si="344"/>
        <v>252 E 57th St</v>
      </c>
      <c r="C2435" s="1" t="s">
        <v>64</v>
      </c>
      <c r="D2435" s="1" t="s">
        <v>41</v>
      </c>
      <c r="E2435" s="3">
        <v>13342075</v>
      </c>
      <c r="F2435" s="1">
        <v>2683.4422767497899</v>
      </c>
      <c r="G2435" s="1">
        <v>8</v>
      </c>
      <c r="H2435" s="1">
        <v>5</v>
      </c>
      <c r="I2435" s="1">
        <v>6</v>
      </c>
      <c r="J2435" s="1">
        <v>5.5</v>
      </c>
      <c r="M2435" s="4">
        <v>4972</v>
      </c>
      <c r="N2435" s="1">
        <v>8945</v>
      </c>
      <c r="O2435" s="1">
        <v>13009</v>
      </c>
      <c r="P2435" s="1">
        <v>4064</v>
      </c>
      <c r="Q2435" s="1" t="s">
        <v>42</v>
      </c>
      <c r="S2435" s="1" t="s">
        <v>42</v>
      </c>
      <c r="T2435" s="1" t="s">
        <v>170</v>
      </c>
      <c r="U2435" s="1">
        <v>866</v>
      </c>
      <c r="V2435" s="5">
        <v>43638</v>
      </c>
      <c r="W2435" s="5">
        <v>42084</v>
      </c>
      <c r="X2435" s="1">
        <v>19000000</v>
      </c>
      <c r="Y2435" s="1">
        <v>14650000</v>
      </c>
      <c r="Z2435" s="5">
        <v>42950</v>
      </c>
      <c r="AA2435" s="1">
        <v>13342075</v>
      </c>
      <c r="AB2435" s="1" t="s">
        <v>1732</v>
      </c>
      <c r="AC2435" s="5">
        <v>43024</v>
      </c>
      <c r="AF2435" s="1">
        <v>10022</v>
      </c>
      <c r="AI2435" s="1" t="s">
        <v>1820</v>
      </c>
      <c r="AJ2435" s="1">
        <v>2016</v>
      </c>
      <c r="AK2435" s="1" t="s">
        <v>46</v>
      </c>
      <c r="AL2435" s="1">
        <v>95</v>
      </c>
    </row>
    <row r="2436" spans="1:38" x14ac:dyDescent="0.2">
      <c r="A2436" s="2" t="str">
        <f>HYPERLINK("https://www.compass.com/listing/252-east-57th-street-unit-56b-manhattan-ny-10022/29405843187335825/","252 E 57th St, Unit 56B")</f>
        <v>252 E 57th St, Unit 56B</v>
      </c>
      <c r="B2436" s="2" t="str">
        <f t="shared" si="344"/>
        <v>252 E 57th St</v>
      </c>
      <c r="C2436" s="1" t="s">
        <v>64</v>
      </c>
      <c r="D2436" s="1" t="s">
        <v>41</v>
      </c>
      <c r="E2436" s="3">
        <v>8250825</v>
      </c>
      <c r="F2436" s="1">
        <v>2743.8726305287601</v>
      </c>
      <c r="G2436" s="1">
        <v>5</v>
      </c>
      <c r="H2436" s="1">
        <v>3</v>
      </c>
      <c r="I2436" s="1">
        <v>4</v>
      </c>
      <c r="J2436" s="1">
        <v>3.5</v>
      </c>
      <c r="M2436" s="4">
        <v>3007</v>
      </c>
      <c r="N2436" s="1">
        <v>5425</v>
      </c>
      <c r="O2436" s="1">
        <v>8389</v>
      </c>
      <c r="P2436" s="1">
        <v>2964</v>
      </c>
      <c r="Q2436" s="1" t="s">
        <v>42</v>
      </c>
      <c r="S2436" s="1" t="s">
        <v>42</v>
      </c>
      <c r="T2436" s="1" t="s">
        <v>170</v>
      </c>
      <c r="U2436" s="1">
        <v>1029</v>
      </c>
      <c r="V2436" s="5">
        <v>43650</v>
      </c>
      <c r="W2436" s="5">
        <v>42084</v>
      </c>
      <c r="X2436" s="1">
        <v>10225000</v>
      </c>
      <c r="Y2436" s="1">
        <v>8650000</v>
      </c>
      <c r="Z2436" s="5">
        <v>43113</v>
      </c>
      <c r="AA2436" s="1">
        <v>8250825</v>
      </c>
      <c r="AB2436" s="1" t="s">
        <v>1828</v>
      </c>
      <c r="AC2436" s="5">
        <v>43124</v>
      </c>
      <c r="AF2436" s="1">
        <v>10022</v>
      </c>
      <c r="AI2436" s="1" t="s">
        <v>65</v>
      </c>
      <c r="AJ2436" s="1">
        <v>2016</v>
      </c>
      <c r="AK2436" s="1" t="s">
        <v>73</v>
      </c>
      <c r="AL2436" s="1">
        <v>95</v>
      </c>
    </row>
    <row r="2437" spans="1:38" x14ac:dyDescent="0.2">
      <c r="A2437" s="2" t="str">
        <f>HYPERLINK("https://www.compass.com/listing/252-east-57th-street-unit-57a-manhattan-ny-10022/29405843715907601/","252 E 57th St, Unit 57A")</f>
        <v>252 E 57th St, Unit 57A</v>
      </c>
      <c r="B2437" s="2" t="str">
        <f t="shared" si="344"/>
        <v>252 E 57th St</v>
      </c>
      <c r="C2437" s="1" t="s">
        <v>64</v>
      </c>
      <c r="D2437" s="1" t="s">
        <v>41</v>
      </c>
      <c r="E2437" s="3">
        <v>13851200</v>
      </c>
      <c r="F2437" s="1">
        <v>2788.08373590982</v>
      </c>
      <c r="G2437" s="1">
        <v>8.5</v>
      </c>
      <c r="H2437" s="1">
        <v>5</v>
      </c>
      <c r="I2437" s="1">
        <v>6</v>
      </c>
      <c r="J2437" s="1">
        <v>5.5</v>
      </c>
      <c r="M2437" s="4">
        <v>4968</v>
      </c>
      <c r="N2437" s="1">
        <v>8942</v>
      </c>
      <c r="O2437" s="1">
        <v>13005</v>
      </c>
      <c r="P2437" s="1">
        <v>4063</v>
      </c>
      <c r="Q2437" s="1" t="s">
        <v>42</v>
      </c>
      <c r="S2437" s="1" t="s">
        <v>42</v>
      </c>
      <c r="T2437" s="1" t="s">
        <v>170</v>
      </c>
      <c r="U2437" s="1">
        <v>12</v>
      </c>
      <c r="V2437" s="5">
        <v>43642</v>
      </c>
      <c r="W2437" s="5">
        <v>42916</v>
      </c>
      <c r="X2437" s="1">
        <v>14800000</v>
      </c>
      <c r="Y2437" s="1">
        <v>14800000</v>
      </c>
      <c r="Z2437" s="5">
        <v>42928</v>
      </c>
      <c r="AA2437" s="1">
        <v>13851200</v>
      </c>
      <c r="AB2437" s="1" t="s">
        <v>1733</v>
      </c>
      <c r="AC2437" s="5">
        <v>43010</v>
      </c>
      <c r="AF2437" s="1">
        <v>10022</v>
      </c>
      <c r="AI2437" s="1" t="s">
        <v>65</v>
      </c>
      <c r="AJ2437" s="1">
        <v>2016</v>
      </c>
      <c r="AK2437" s="1" t="s">
        <v>46</v>
      </c>
      <c r="AL2437" s="1">
        <v>95</v>
      </c>
    </row>
    <row r="2438" spans="1:38" x14ac:dyDescent="0.2">
      <c r="A2438" s="2" t="str">
        <f>HYPERLINK("https://www.compass.com/listing/252-east-57th-street-unit-58c-manhattan-ny-10022/29405845158748193/","252 E 57th St, Unit 58C")</f>
        <v>252 E 57th St, Unit 58C</v>
      </c>
      <c r="B2438" s="2" t="str">
        <f t="shared" si="344"/>
        <v>252 E 57th St</v>
      </c>
      <c r="C2438" s="1" t="s">
        <v>64</v>
      </c>
      <c r="D2438" s="1" t="s">
        <v>41</v>
      </c>
      <c r="E2438" s="3">
        <v>8515570</v>
      </c>
      <c r="F2438" s="1">
        <v>2842.3130841121401</v>
      </c>
      <c r="G2438" s="1">
        <v>5</v>
      </c>
      <c r="H2438" s="1">
        <v>3</v>
      </c>
      <c r="I2438" s="1">
        <v>4</v>
      </c>
      <c r="J2438" s="1">
        <v>3.5</v>
      </c>
      <c r="K2438" s="1">
        <v>3</v>
      </c>
      <c r="L2438" s="1">
        <v>1</v>
      </c>
      <c r="M2438" s="4">
        <v>2996</v>
      </c>
      <c r="N2438" s="1">
        <v>5721</v>
      </c>
      <c r="O2438" s="1">
        <v>8682</v>
      </c>
      <c r="P2438" s="1">
        <v>2961</v>
      </c>
      <c r="Q2438" s="1" t="s">
        <v>42</v>
      </c>
      <c r="S2438" s="1" t="s">
        <v>42</v>
      </c>
      <c r="T2438" s="1" t="s">
        <v>170</v>
      </c>
      <c r="U2438" s="1">
        <v>56</v>
      </c>
      <c r="V2438" s="5">
        <v>43678</v>
      </c>
      <c r="W2438" s="5">
        <v>43139</v>
      </c>
      <c r="X2438" s="1">
        <v>8745000</v>
      </c>
      <c r="Y2438" s="1">
        <v>8745000</v>
      </c>
      <c r="Z2438" s="5">
        <v>43195</v>
      </c>
      <c r="AA2438" s="1">
        <v>8515570</v>
      </c>
      <c r="AB2438" s="1" t="s">
        <v>1829</v>
      </c>
      <c r="AC2438" s="5">
        <v>43210</v>
      </c>
      <c r="AF2438" s="1">
        <v>10022</v>
      </c>
      <c r="AI2438" s="1" t="s">
        <v>138</v>
      </c>
      <c r="AJ2438" s="1">
        <v>2016</v>
      </c>
      <c r="AK2438" s="1" t="s">
        <v>73</v>
      </c>
      <c r="AL2438" s="1">
        <v>95</v>
      </c>
    </row>
    <row r="2439" spans="1:38" x14ac:dyDescent="0.2">
      <c r="A2439" s="2" t="str">
        <f>HYPERLINK("https://www.compass.com/listing/252-east-57th-street-unit-59c-manhattan-ny-10022/29405846073017025/","252 E 57th St, Unit 59C")</f>
        <v>252 E 57th St, Unit 59C</v>
      </c>
      <c r="B2439" s="2" t="str">
        <f t="shared" si="344"/>
        <v>252 E 57th St</v>
      </c>
      <c r="C2439" s="1" t="s">
        <v>64</v>
      </c>
      <c r="D2439" s="1" t="s">
        <v>41</v>
      </c>
      <c r="E2439" s="3">
        <v>8495205</v>
      </c>
      <c r="F2439" s="1">
        <v>2838.35783494821</v>
      </c>
      <c r="G2439" s="1">
        <v>5</v>
      </c>
      <c r="H2439" s="1">
        <v>3</v>
      </c>
      <c r="I2439" s="1">
        <v>4</v>
      </c>
      <c r="J2439" s="1">
        <v>3.5</v>
      </c>
      <c r="K2439" s="1">
        <v>3</v>
      </c>
      <c r="L2439" s="1">
        <v>1</v>
      </c>
      <c r="M2439" s="4">
        <v>2993</v>
      </c>
      <c r="N2439" s="1">
        <v>5416</v>
      </c>
      <c r="O2439" s="1">
        <v>7832</v>
      </c>
      <c r="P2439" s="1">
        <v>2416</v>
      </c>
      <c r="Q2439" s="1" t="s">
        <v>42</v>
      </c>
      <c r="S2439" s="1" t="s">
        <v>42</v>
      </c>
      <c r="T2439" s="1" t="s">
        <v>170</v>
      </c>
      <c r="U2439" s="1">
        <v>4</v>
      </c>
      <c r="V2439" s="5">
        <v>43678</v>
      </c>
      <c r="W2439" s="5">
        <v>43130</v>
      </c>
      <c r="X2439" s="1">
        <v>8875000</v>
      </c>
      <c r="Y2439" s="1">
        <v>8875000</v>
      </c>
      <c r="Z2439" s="5">
        <v>43134</v>
      </c>
      <c r="AA2439" s="1">
        <v>8495205</v>
      </c>
      <c r="AB2439" s="1" t="s">
        <v>1826</v>
      </c>
      <c r="AC2439" s="5">
        <v>43174</v>
      </c>
      <c r="AF2439" s="1">
        <v>10022</v>
      </c>
      <c r="AI2439" s="1" t="s">
        <v>138</v>
      </c>
      <c r="AJ2439" s="1">
        <v>2016</v>
      </c>
      <c r="AK2439" s="1" t="s">
        <v>73</v>
      </c>
      <c r="AL2439" s="1">
        <v>95</v>
      </c>
    </row>
    <row r="2440" spans="1:38" x14ac:dyDescent="0.2">
      <c r="A2440" s="2" t="str">
        <f>HYPERLINK("https://www.compass.com/listing/252-east-57th-street-unit-60a-manhattan-ny-10022/29405846559645761/","252 E 57th St, Unit 60A")</f>
        <v>252 E 57th St, Unit 60A</v>
      </c>
      <c r="B2440" s="2" t="str">
        <f t="shared" si="344"/>
        <v>252 E 57th St</v>
      </c>
      <c r="C2440" s="1" t="s">
        <v>64</v>
      </c>
      <c r="D2440" s="1" t="s">
        <v>41</v>
      </c>
      <c r="E2440" s="3">
        <v>10567344</v>
      </c>
      <c r="F2440" s="1">
        <v>2281.8708702224098</v>
      </c>
      <c r="G2440" s="1">
        <v>8</v>
      </c>
      <c r="H2440" s="1">
        <v>5</v>
      </c>
      <c r="I2440" s="1">
        <v>7</v>
      </c>
      <c r="J2440" s="1">
        <v>6.5</v>
      </c>
      <c r="M2440" s="4">
        <v>4631</v>
      </c>
      <c r="N2440" s="1">
        <v>8360</v>
      </c>
      <c r="O2440" s="1">
        <v>12155</v>
      </c>
      <c r="P2440" s="1">
        <v>3795</v>
      </c>
      <c r="Q2440" s="1" t="s">
        <v>42</v>
      </c>
      <c r="S2440" s="1" t="s">
        <v>42</v>
      </c>
      <c r="T2440" s="1" t="s">
        <v>170</v>
      </c>
      <c r="U2440" s="1">
        <v>152</v>
      </c>
      <c r="V2440" s="5">
        <v>43650</v>
      </c>
      <c r="W2440" s="5">
        <v>42392</v>
      </c>
      <c r="X2440" s="1">
        <v>15750000</v>
      </c>
      <c r="Y2440" s="1">
        <v>12900000</v>
      </c>
      <c r="Z2440" s="5">
        <v>42544</v>
      </c>
      <c r="AA2440" s="1">
        <v>10567344</v>
      </c>
      <c r="AB2440" s="1" t="s">
        <v>1734</v>
      </c>
      <c r="AC2440" s="5">
        <v>42977</v>
      </c>
      <c r="AF2440" s="1">
        <v>10022</v>
      </c>
      <c r="AI2440" s="1" t="s">
        <v>65</v>
      </c>
      <c r="AJ2440" s="1">
        <v>2016</v>
      </c>
      <c r="AK2440" s="1" t="s">
        <v>46</v>
      </c>
      <c r="AL2440" s="1">
        <v>95</v>
      </c>
    </row>
    <row r="2441" spans="1:38" x14ac:dyDescent="0.2">
      <c r="A2441" s="2" t="str">
        <f>HYPERLINK("https://www.compass.com/listing/252-east-57th-street-unit-61a-manhattan-ny-10022/29405847817847521/","252 E 57th St, Unit 61A")</f>
        <v>252 E 57th St, Unit 61A</v>
      </c>
      <c r="B2441" s="2" t="str">
        <f t="shared" si="344"/>
        <v>252 E 57th St</v>
      </c>
      <c r="C2441" s="1" t="s">
        <v>64</v>
      </c>
      <c r="D2441" s="1" t="s">
        <v>41</v>
      </c>
      <c r="E2441" s="3">
        <v>12425650</v>
      </c>
      <c r="F2441" s="1">
        <v>2687.2080449826899</v>
      </c>
      <c r="G2441" s="1">
        <v>8</v>
      </c>
      <c r="H2441" s="1">
        <v>5</v>
      </c>
      <c r="I2441" s="1">
        <v>7</v>
      </c>
      <c r="J2441" s="1">
        <v>6.5</v>
      </c>
      <c r="M2441" s="4">
        <v>4624</v>
      </c>
      <c r="N2441" s="1">
        <v>8352</v>
      </c>
      <c r="O2441" s="1">
        <v>12143</v>
      </c>
      <c r="P2441" s="1">
        <v>3791</v>
      </c>
      <c r="Q2441" s="1" t="s">
        <v>42</v>
      </c>
      <c r="S2441" s="1" t="s">
        <v>42</v>
      </c>
      <c r="T2441" s="1" t="s">
        <v>170</v>
      </c>
      <c r="U2441" s="1">
        <v>72</v>
      </c>
      <c r="V2441" s="5">
        <v>43650</v>
      </c>
      <c r="W2441" s="5">
        <v>42557</v>
      </c>
      <c r="X2441" s="1">
        <v>12950000</v>
      </c>
      <c r="Y2441" s="1">
        <v>12950000</v>
      </c>
      <c r="Z2441" s="5">
        <v>42629</v>
      </c>
      <c r="AA2441" s="1">
        <v>12425650</v>
      </c>
      <c r="AB2441" s="1" t="s">
        <v>1735</v>
      </c>
      <c r="AC2441" s="5">
        <v>42968</v>
      </c>
      <c r="AF2441" s="1">
        <v>10022</v>
      </c>
      <c r="AI2441" s="1" t="s">
        <v>65</v>
      </c>
      <c r="AJ2441" s="1">
        <v>2016</v>
      </c>
      <c r="AK2441" s="1" t="s">
        <v>46</v>
      </c>
      <c r="AL2441" s="1">
        <v>95</v>
      </c>
    </row>
    <row r="2442" spans="1:38" x14ac:dyDescent="0.2">
      <c r="A2442" s="2" t="str">
        <f>HYPERLINK("https://www.compass.com/listing/252-east-57th-street-unit-61b-manhattan-ny-10022/29405848346419297/","252 E 57th St, Unit 61B")</f>
        <v>252 E 57th St, Unit 61B</v>
      </c>
      <c r="B2442" s="2" t="str">
        <f t="shared" si="344"/>
        <v>252 E 57th St</v>
      </c>
      <c r="C2442" s="1" t="s">
        <v>64</v>
      </c>
      <c r="D2442" s="1" t="s">
        <v>41</v>
      </c>
      <c r="E2442" s="3">
        <v>9269075</v>
      </c>
      <c r="F2442" s="1">
        <v>2782.6703692584802</v>
      </c>
      <c r="G2442" s="1">
        <v>7</v>
      </c>
      <c r="H2442" s="1">
        <v>4</v>
      </c>
      <c r="I2442" s="1">
        <v>5</v>
      </c>
      <c r="J2442" s="1">
        <v>4.5</v>
      </c>
      <c r="M2442" s="4">
        <v>3331</v>
      </c>
      <c r="N2442" s="1">
        <v>6028</v>
      </c>
      <c r="O2442" s="1">
        <v>8765</v>
      </c>
      <c r="P2442" s="1">
        <v>2737</v>
      </c>
      <c r="Q2442" s="1" t="s">
        <v>42</v>
      </c>
      <c r="S2442" s="1" t="s">
        <v>42</v>
      </c>
      <c r="T2442" s="1" t="s">
        <v>170</v>
      </c>
      <c r="U2442" s="1">
        <v>404</v>
      </c>
      <c r="V2442" s="5">
        <v>43650</v>
      </c>
      <c r="W2442" s="5">
        <v>42084</v>
      </c>
      <c r="X2442" s="1">
        <v>13400000</v>
      </c>
      <c r="Y2442" s="1">
        <v>11400000</v>
      </c>
      <c r="Z2442" s="5">
        <v>42524</v>
      </c>
      <c r="AA2442" s="1">
        <v>9269075</v>
      </c>
      <c r="AB2442" s="1" t="s">
        <v>1736</v>
      </c>
      <c r="AC2442" s="5">
        <v>42968</v>
      </c>
      <c r="AF2442" s="1">
        <v>10022</v>
      </c>
      <c r="AI2442" s="1" t="s">
        <v>65</v>
      </c>
      <c r="AJ2442" s="1">
        <v>2016</v>
      </c>
      <c r="AK2442" s="1" t="s">
        <v>46</v>
      </c>
      <c r="AL2442" s="1">
        <v>95</v>
      </c>
    </row>
    <row r="2443" spans="1:38" x14ac:dyDescent="0.2">
      <c r="A2443" s="2" t="str">
        <f>HYPERLINK("https://www.compass.com/listing/252-east-57th-street-unit-62a-manhattan-ny-10022/29405848899977585/","252 E 57th St, Unit 62A")</f>
        <v>252 E 57th St, Unit 62A</v>
      </c>
      <c r="B2443" s="2" t="str">
        <f t="shared" si="344"/>
        <v>252 E 57th St</v>
      </c>
      <c r="C2443" s="1" t="s">
        <v>64</v>
      </c>
      <c r="D2443" s="1" t="s">
        <v>41</v>
      </c>
      <c r="E2443" s="3">
        <v>12629300</v>
      </c>
      <c r="F2443" s="1">
        <v>2735.98353552859</v>
      </c>
      <c r="G2443" s="1">
        <v>8</v>
      </c>
      <c r="H2443" s="1">
        <v>5</v>
      </c>
      <c r="I2443" s="1">
        <v>7</v>
      </c>
      <c r="J2443" s="1">
        <v>6.5</v>
      </c>
      <c r="M2443" s="4">
        <v>4616</v>
      </c>
      <c r="N2443" s="1">
        <v>8336</v>
      </c>
      <c r="O2443" s="1">
        <v>12123</v>
      </c>
      <c r="P2443" s="1">
        <v>3787</v>
      </c>
      <c r="Q2443" s="1" t="s">
        <v>42</v>
      </c>
      <c r="S2443" s="1" t="s">
        <v>42</v>
      </c>
      <c r="T2443" s="1" t="s">
        <v>170</v>
      </c>
      <c r="U2443" s="1">
        <v>214</v>
      </c>
      <c r="V2443" s="5">
        <v>43650</v>
      </c>
      <c r="W2443" s="5">
        <v>42629</v>
      </c>
      <c r="X2443" s="1">
        <v>13200000</v>
      </c>
      <c r="Y2443" s="1">
        <v>13200000</v>
      </c>
      <c r="Z2443" s="5">
        <v>42843</v>
      </c>
      <c r="AA2443" s="1">
        <v>12629300</v>
      </c>
      <c r="AB2443" s="1" t="s">
        <v>1737</v>
      </c>
      <c r="AC2443" s="5">
        <v>42969</v>
      </c>
      <c r="AF2443" s="1">
        <v>10022</v>
      </c>
      <c r="AI2443" s="1" t="s">
        <v>65</v>
      </c>
      <c r="AJ2443" s="1">
        <v>2016</v>
      </c>
      <c r="AK2443" s="1" t="s">
        <v>46</v>
      </c>
      <c r="AL2443" s="1">
        <v>95</v>
      </c>
    </row>
    <row r="2444" spans="1:38" x14ac:dyDescent="0.2">
      <c r="A2444" s="2" t="str">
        <f>HYPERLINK("https://www.compass.com/listing/252-east-57th-street-unit-62b-manhattan-ny-10022/29405849420071681/","252 E 57th St, Unit 62B")</f>
        <v>252 E 57th St, Unit 62B</v>
      </c>
      <c r="B2444" s="2" t="str">
        <f t="shared" si="344"/>
        <v>252 E 57th St</v>
      </c>
      <c r="C2444" s="1" t="s">
        <v>64</v>
      </c>
      <c r="D2444" s="1" t="s">
        <v>41</v>
      </c>
      <c r="E2444" s="3">
        <v>9625463</v>
      </c>
      <c r="F2444" s="1">
        <v>2896.6184170929801</v>
      </c>
      <c r="G2444" s="1">
        <v>6</v>
      </c>
      <c r="H2444" s="1">
        <v>4</v>
      </c>
      <c r="I2444" s="1">
        <v>5</v>
      </c>
      <c r="J2444" s="1">
        <v>4.5</v>
      </c>
      <c r="M2444" s="4">
        <v>3323</v>
      </c>
      <c r="N2444" s="1">
        <v>6013</v>
      </c>
      <c r="O2444" s="1">
        <v>8745</v>
      </c>
      <c r="P2444" s="1">
        <v>2732</v>
      </c>
      <c r="Q2444" s="1" t="s">
        <v>42</v>
      </c>
      <c r="S2444" s="1" t="s">
        <v>42</v>
      </c>
      <c r="T2444" s="1" t="s">
        <v>170</v>
      </c>
      <c r="U2444" s="1">
        <v>146</v>
      </c>
      <c r="V2444" s="5">
        <v>43637</v>
      </c>
      <c r="W2444" s="5">
        <v>42557</v>
      </c>
      <c r="X2444" s="1">
        <v>11600000</v>
      </c>
      <c r="Y2444" s="1">
        <v>11600000</v>
      </c>
      <c r="Z2444" s="5">
        <v>42703</v>
      </c>
      <c r="AA2444" s="1">
        <v>9625463</v>
      </c>
      <c r="AB2444" s="1" t="s">
        <v>1738</v>
      </c>
      <c r="AC2444" s="5">
        <v>42971</v>
      </c>
      <c r="AF2444" s="1">
        <v>10022</v>
      </c>
      <c r="AI2444" s="1" t="s">
        <v>65</v>
      </c>
      <c r="AJ2444" s="1">
        <v>2016</v>
      </c>
      <c r="AK2444" s="1" t="s">
        <v>46</v>
      </c>
      <c r="AL2444" s="1">
        <v>95</v>
      </c>
    </row>
    <row r="2445" spans="1:38" x14ac:dyDescent="0.2">
      <c r="A2445" s="2" t="str">
        <f>HYPERLINK("https://www.compass.com/listing/252-east-57th-street-unit-63a-manhattan-ny-10022/29405850032529537/","252 E 57th St, Unit 63A")</f>
        <v>252 E 57th St, Unit 63A</v>
      </c>
      <c r="B2445" s="2" t="str">
        <f t="shared" si="344"/>
        <v>252 E 57th St</v>
      </c>
      <c r="C2445" s="1" t="s">
        <v>64</v>
      </c>
      <c r="D2445" s="1" t="s">
        <v>41</v>
      </c>
      <c r="E2445" s="3">
        <v>12782038</v>
      </c>
      <c r="F2445" s="1">
        <v>2773.8797743055502</v>
      </c>
      <c r="G2445" s="1">
        <v>8</v>
      </c>
      <c r="H2445" s="1">
        <v>5</v>
      </c>
      <c r="I2445" s="1">
        <v>7</v>
      </c>
      <c r="J2445" s="1">
        <v>6.5</v>
      </c>
      <c r="M2445" s="4">
        <v>4608</v>
      </c>
      <c r="N2445" s="1">
        <v>8326</v>
      </c>
      <c r="O2445" s="1">
        <v>12109</v>
      </c>
      <c r="P2445" s="1">
        <v>3783</v>
      </c>
      <c r="Q2445" s="1" t="s">
        <v>42</v>
      </c>
      <c r="S2445" s="1" t="s">
        <v>42</v>
      </c>
      <c r="T2445" s="1" t="s">
        <v>170</v>
      </c>
      <c r="U2445" s="1">
        <v>24</v>
      </c>
      <c r="V2445" s="5">
        <v>43637</v>
      </c>
      <c r="W2445" s="5">
        <v>42843</v>
      </c>
      <c r="X2445" s="1">
        <v>13450000</v>
      </c>
      <c r="Y2445" s="1">
        <v>13450000</v>
      </c>
      <c r="Z2445" s="5">
        <v>42867</v>
      </c>
      <c r="AA2445" s="1">
        <v>12782038</v>
      </c>
      <c r="AB2445" s="1" t="s">
        <v>1744</v>
      </c>
      <c r="AC2445" s="5">
        <v>42957</v>
      </c>
      <c r="AF2445" s="1">
        <v>10022</v>
      </c>
      <c r="AI2445" s="1" t="s">
        <v>1820</v>
      </c>
      <c r="AJ2445" s="1">
        <v>2016</v>
      </c>
      <c r="AK2445" s="1" t="s">
        <v>73</v>
      </c>
      <c r="AL2445" s="1">
        <v>95</v>
      </c>
    </row>
    <row r="2446" spans="1:38" x14ac:dyDescent="0.2">
      <c r="A2446" s="2" t="str">
        <f>HYPERLINK("https://www.compass.com/listing/252-east-57th-street-unit-63b-manhattan-ny-10022/29405850510590353/","252 E 57th St, Unit 63B")</f>
        <v>252 E 57th St, Unit 63B</v>
      </c>
      <c r="B2446" s="2" t="str">
        <f t="shared" si="344"/>
        <v>252 E 57th St</v>
      </c>
      <c r="C2446" s="1" t="s">
        <v>64</v>
      </c>
      <c r="D2446" s="1" t="s">
        <v>41</v>
      </c>
      <c r="E2446" s="3">
        <v>9266075</v>
      </c>
      <c r="F2446" s="1">
        <v>2795.1960784313701</v>
      </c>
      <c r="G2446" s="1">
        <v>6</v>
      </c>
      <c r="H2446" s="1">
        <v>4</v>
      </c>
      <c r="I2446" s="1">
        <v>5</v>
      </c>
      <c r="J2446" s="1">
        <v>4.5</v>
      </c>
      <c r="M2446" s="4">
        <v>3315</v>
      </c>
      <c r="N2446" s="1">
        <v>6002</v>
      </c>
      <c r="O2446" s="1">
        <v>8729</v>
      </c>
      <c r="P2446" s="1">
        <v>2727</v>
      </c>
      <c r="Q2446" s="1" t="s">
        <v>42</v>
      </c>
      <c r="S2446" s="1" t="s">
        <v>42</v>
      </c>
      <c r="T2446" s="1" t="s">
        <v>170</v>
      </c>
      <c r="U2446" s="1">
        <v>85</v>
      </c>
      <c r="V2446" s="5">
        <v>43650</v>
      </c>
      <c r="W2446" s="5">
        <v>42703</v>
      </c>
      <c r="X2446" s="1">
        <v>11800000</v>
      </c>
      <c r="Y2446" s="1">
        <v>11800000</v>
      </c>
      <c r="Z2446" s="5">
        <v>42788</v>
      </c>
      <c r="AA2446" s="1">
        <v>9266075</v>
      </c>
      <c r="AB2446" s="1" t="s">
        <v>1739</v>
      </c>
      <c r="AC2446" s="5">
        <v>43089</v>
      </c>
      <c r="AF2446" s="1">
        <v>10022</v>
      </c>
      <c r="AI2446" s="1" t="s">
        <v>65</v>
      </c>
      <c r="AJ2446" s="1">
        <v>2016</v>
      </c>
      <c r="AK2446" s="1" t="s">
        <v>73</v>
      </c>
      <c r="AL2446" s="1">
        <v>95</v>
      </c>
    </row>
    <row r="2447" spans="1:38" x14ac:dyDescent="0.2">
      <c r="A2447" s="2" t="str">
        <f>HYPERLINK("https://www.compass.com/listing/252-east-57th-street-unit-64a-manhattan-ny-10022/29405851072627489/","252 E 57th St, Unit 64A")</f>
        <v>252 E 57th St, Unit 64A</v>
      </c>
      <c r="B2447" s="2" t="str">
        <f t="shared" si="344"/>
        <v>252 E 57th St</v>
      </c>
      <c r="C2447" s="1" t="s">
        <v>64</v>
      </c>
      <c r="D2447" s="1" t="s">
        <v>41</v>
      </c>
      <c r="E2447" s="3">
        <v>13545725</v>
      </c>
      <c r="F2447" s="1">
        <v>2944.7228260869501</v>
      </c>
      <c r="G2447" s="1">
        <v>8</v>
      </c>
      <c r="H2447" s="1">
        <v>5</v>
      </c>
      <c r="I2447" s="1">
        <v>7</v>
      </c>
      <c r="J2447" s="1">
        <v>6.5</v>
      </c>
      <c r="M2447" s="4">
        <v>4600</v>
      </c>
      <c r="N2447" s="1">
        <v>8316</v>
      </c>
      <c r="O2447" s="1">
        <v>12094</v>
      </c>
      <c r="P2447" s="1">
        <v>3778</v>
      </c>
      <c r="Q2447" s="1" t="s">
        <v>42</v>
      </c>
      <c r="S2447" s="1" t="s">
        <v>42</v>
      </c>
      <c r="T2447" s="1" t="s">
        <v>170</v>
      </c>
      <c r="U2447" s="1">
        <v>137</v>
      </c>
      <c r="V2447" s="5">
        <v>43650</v>
      </c>
      <c r="W2447" s="5">
        <v>42867</v>
      </c>
      <c r="X2447" s="1">
        <v>13700000</v>
      </c>
      <c r="Y2447" s="1">
        <v>13700000</v>
      </c>
      <c r="Z2447" s="5">
        <v>43004</v>
      </c>
      <c r="AA2447" s="1">
        <v>13545725</v>
      </c>
      <c r="AB2447" s="1" t="s">
        <v>1740</v>
      </c>
      <c r="AC2447" s="5">
        <v>43042</v>
      </c>
      <c r="AF2447" s="1">
        <v>10022</v>
      </c>
      <c r="AI2447" s="1" t="s">
        <v>65</v>
      </c>
      <c r="AJ2447" s="1">
        <v>2016</v>
      </c>
      <c r="AK2447" s="1" t="s">
        <v>73</v>
      </c>
      <c r="AL2447" s="1">
        <v>95</v>
      </c>
    </row>
    <row r="2448" spans="1:38" x14ac:dyDescent="0.2">
      <c r="A2448" s="2" t="str">
        <f>HYPERLINK("https://www.compass.com/listing/252-east-57th-street-unit-58-59b-manhattan-ny-10022/29517530825569217/","252 E 57th St, Unit 58/59B")</f>
        <v>252 E 57th St, Unit 58/59B</v>
      </c>
      <c r="B2448" s="2" t="str">
        <f t="shared" si="344"/>
        <v>252 E 57th St</v>
      </c>
      <c r="C2448" s="1" t="s">
        <v>64</v>
      </c>
      <c r="D2448" s="1" t="s">
        <v>41</v>
      </c>
      <c r="E2448" s="3">
        <v>13875000</v>
      </c>
      <c r="F2448" s="1">
        <v>3072.40921169176</v>
      </c>
      <c r="G2448" s="1">
        <v>8</v>
      </c>
      <c r="H2448" s="1">
        <v>5</v>
      </c>
      <c r="I2448" s="1">
        <v>6</v>
      </c>
      <c r="J2448" s="1">
        <v>5.5</v>
      </c>
      <c r="K2448" s="1">
        <v>5</v>
      </c>
      <c r="L2448" s="1">
        <v>1</v>
      </c>
      <c r="M2448" s="4">
        <v>4516</v>
      </c>
      <c r="N2448" s="1">
        <v>8549</v>
      </c>
      <c r="O2448" s="1">
        <v>12974</v>
      </c>
      <c r="P2448" s="1">
        <v>4425</v>
      </c>
      <c r="Q2448" s="1" t="s">
        <v>42</v>
      </c>
      <c r="S2448" s="1" t="s">
        <v>42</v>
      </c>
      <c r="T2448" s="1" t="s">
        <v>170</v>
      </c>
      <c r="U2448" s="1">
        <v>43</v>
      </c>
      <c r="V2448" s="5">
        <v>43678</v>
      </c>
      <c r="W2448" s="5">
        <v>43357</v>
      </c>
      <c r="X2448" s="1">
        <v>13875000</v>
      </c>
      <c r="Y2448" s="1">
        <v>13875000</v>
      </c>
      <c r="Z2448" s="5">
        <v>43400</v>
      </c>
      <c r="AA2448" s="1">
        <v>13875000</v>
      </c>
      <c r="AB2448" s="1" t="s">
        <v>1830</v>
      </c>
      <c r="AC2448" s="5">
        <v>43440</v>
      </c>
      <c r="AF2448" s="1">
        <v>10022</v>
      </c>
      <c r="AI2448" s="1" t="s">
        <v>85</v>
      </c>
      <c r="AJ2448" s="1">
        <v>2016</v>
      </c>
      <c r="AK2448" s="1" t="s">
        <v>73</v>
      </c>
      <c r="AL2448" s="1">
        <v>95</v>
      </c>
    </row>
    <row r="2449" spans="1:38" x14ac:dyDescent="0.2">
      <c r="A2449" s="2" t="str">
        <f>HYPERLINK("https://www.compass.com/listing/252-east-57th-street-unit-58c-manhattan-ny-10022/803381565753136337/","252 E 57th St, Unit 58C")</f>
        <v>252 E 57th St, Unit 58C</v>
      </c>
      <c r="B2449" s="2" t="str">
        <f t="shared" si="344"/>
        <v>252 E 57th St</v>
      </c>
      <c r="C2449" s="1" t="s">
        <v>64</v>
      </c>
      <c r="D2449" s="1" t="s">
        <v>41</v>
      </c>
      <c r="E2449" s="3">
        <v>8515570</v>
      </c>
      <c r="F2449" s="1">
        <v>2842.3130841121401</v>
      </c>
      <c r="G2449" s="1">
        <v>5</v>
      </c>
      <c r="H2449" s="1">
        <v>3</v>
      </c>
      <c r="I2449" s="1">
        <v>4</v>
      </c>
      <c r="J2449" s="1">
        <v>3.5</v>
      </c>
      <c r="M2449" s="4">
        <v>2996</v>
      </c>
      <c r="N2449" s="1">
        <v>5721</v>
      </c>
      <c r="O2449" s="1">
        <v>8682</v>
      </c>
      <c r="P2449" s="1">
        <v>2961</v>
      </c>
      <c r="Q2449" s="1" t="s">
        <v>42</v>
      </c>
      <c r="S2449" s="1" t="s">
        <v>42</v>
      </c>
      <c r="T2449" s="1" t="s">
        <v>170</v>
      </c>
      <c r="U2449" s="1">
        <v>34</v>
      </c>
      <c r="V2449" s="5">
        <v>43173</v>
      </c>
      <c r="W2449" s="5">
        <v>43138</v>
      </c>
      <c r="X2449" s="1">
        <v>8745000</v>
      </c>
      <c r="Y2449" s="1">
        <v>8745000</v>
      </c>
      <c r="AA2449" s="1">
        <v>8515570</v>
      </c>
      <c r="AB2449" s="1" t="s">
        <v>1829</v>
      </c>
      <c r="AC2449" s="5">
        <v>43210</v>
      </c>
      <c r="AF2449" s="1">
        <v>10022</v>
      </c>
      <c r="AI2449" s="1" t="s">
        <v>65</v>
      </c>
      <c r="AJ2449" s="1">
        <v>2016</v>
      </c>
      <c r="AK2449" s="1" t="s">
        <v>73</v>
      </c>
      <c r="AL2449" s="1">
        <v>95</v>
      </c>
    </row>
    <row r="2450" spans="1:38" x14ac:dyDescent="0.2">
      <c r="A2450" s="2" t="str">
        <f>HYPERLINK("https://www.compass.com/listing/252-east-57th-street-unit-36d-manhattan-ny-10022/165972810924056513/","252 E 57th St, Unit 36D")</f>
        <v>252 E 57th St, Unit 36D</v>
      </c>
      <c r="B2450" s="2" t="str">
        <f t="shared" si="344"/>
        <v>252 E 57th St</v>
      </c>
      <c r="C2450" s="1" t="s">
        <v>64</v>
      </c>
      <c r="D2450" s="1" t="s">
        <v>41</v>
      </c>
      <c r="E2450" s="3">
        <v>3950000</v>
      </c>
      <c r="F2450" s="1">
        <v>2044.51345755693</v>
      </c>
      <c r="G2450" s="1">
        <v>6</v>
      </c>
      <c r="H2450" s="1">
        <v>3</v>
      </c>
      <c r="I2450" s="1">
        <v>3</v>
      </c>
      <c r="J2450" s="1">
        <v>3</v>
      </c>
      <c r="K2450" s="1">
        <v>3</v>
      </c>
      <c r="M2450" s="4">
        <v>1932</v>
      </c>
      <c r="N2450" s="1">
        <v>3616</v>
      </c>
      <c r="O2450" s="1">
        <v>5547</v>
      </c>
      <c r="P2450" s="1">
        <v>1931</v>
      </c>
      <c r="Q2450" s="1" t="s">
        <v>42</v>
      </c>
      <c r="S2450" s="1" t="s">
        <v>42</v>
      </c>
      <c r="T2450" s="1" t="s">
        <v>170</v>
      </c>
      <c r="U2450" s="1">
        <v>137</v>
      </c>
      <c r="V2450" s="5">
        <v>43697</v>
      </c>
      <c r="W2450" s="5">
        <v>43481</v>
      </c>
      <c r="X2450" s="1">
        <v>4495000</v>
      </c>
      <c r="Y2450" s="1">
        <v>3999000</v>
      </c>
      <c r="Z2450" s="5">
        <v>43618</v>
      </c>
      <c r="AA2450" s="1">
        <v>3950000</v>
      </c>
      <c r="AB2450" s="1" t="s">
        <v>1831</v>
      </c>
      <c r="AC2450" s="5">
        <v>43644</v>
      </c>
      <c r="AF2450" s="1">
        <v>10022</v>
      </c>
      <c r="AI2450" s="1" t="s">
        <v>84</v>
      </c>
      <c r="AJ2450" s="1">
        <v>2016</v>
      </c>
      <c r="AK2450" s="1" t="s">
        <v>73</v>
      </c>
      <c r="AL2450" s="1">
        <v>95</v>
      </c>
    </row>
    <row r="2451" spans="1:38" x14ac:dyDescent="0.2">
      <c r="A2451" s="2" t="str">
        <f>HYPERLINK("https://www.compass.com/listing/252-east-57th-street-unit-ph-manhattan-ny-10022/243354580967078625/","252 E 57th St, Unit PH")</f>
        <v>252 E 57th St, Unit PH</v>
      </c>
      <c r="B2451" s="2" t="str">
        <f t="shared" si="344"/>
        <v>252 E 57th St</v>
      </c>
      <c r="C2451" s="1" t="s">
        <v>64</v>
      </c>
      <c r="D2451" s="1" t="s">
        <v>41</v>
      </c>
      <c r="E2451" s="3">
        <v>23750000</v>
      </c>
      <c r="F2451" s="1">
        <v>2918.0489003562998</v>
      </c>
      <c r="G2451" s="1">
        <v>9</v>
      </c>
      <c r="H2451" s="1">
        <v>6</v>
      </c>
      <c r="I2451" s="1">
        <v>7</v>
      </c>
      <c r="J2451" s="1">
        <v>7</v>
      </c>
      <c r="K2451" s="1">
        <v>7</v>
      </c>
      <c r="M2451" s="4">
        <v>8139</v>
      </c>
      <c r="N2451" s="1">
        <v>15854</v>
      </c>
      <c r="O2451" s="1">
        <v>25120</v>
      </c>
      <c r="P2451" s="1">
        <v>9266</v>
      </c>
      <c r="Q2451" s="1" t="s">
        <v>42</v>
      </c>
      <c r="S2451" s="1" t="s">
        <v>42</v>
      </c>
      <c r="T2451" s="1" t="s">
        <v>170</v>
      </c>
      <c r="U2451" s="1">
        <v>107</v>
      </c>
      <c r="V2451" s="5">
        <v>43912</v>
      </c>
      <c r="W2451" s="5">
        <v>43586</v>
      </c>
      <c r="X2451" s="1">
        <v>27000000</v>
      </c>
      <c r="Y2451" s="1">
        <v>23750000</v>
      </c>
      <c r="Z2451" s="5">
        <v>43874</v>
      </c>
      <c r="AA2451" s="1">
        <v>23750000</v>
      </c>
      <c r="AB2451" s="1" t="s">
        <v>181</v>
      </c>
      <c r="AC2451" s="5">
        <v>43910</v>
      </c>
      <c r="AF2451" s="1">
        <v>10022</v>
      </c>
      <c r="AI2451" s="1" t="s">
        <v>1832</v>
      </c>
      <c r="AJ2451" s="1">
        <v>2016</v>
      </c>
      <c r="AK2451" s="1" t="s">
        <v>98</v>
      </c>
      <c r="AL2451" s="1">
        <v>95</v>
      </c>
    </row>
    <row r="2452" spans="1:38" x14ac:dyDescent="0.2">
      <c r="A2452" s="2" t="str">
        <f>HYPERLINK("https://www.compass.com/listing/555-main-street-unit-1511-manhattan-ny-10044/652930091119219641/","555 Main St, Unit 1511")</f>
        <v>555 Main St, Unit 1511</v>
      </c>
      <c r="B2452" s="2" t="str">
        <f>HYPERLINK("https://www.compass.com/building/island-house-manhattan-ny/282034908468103317/","Island House")</f>
        <v>Island House</v>
      </c>
      <c r="C2452" s="1" t="s">
        <v>128</v>
      </c>
      <c r="D2452" s="1" t="s">
        <v>41</v>
      </c>
      <c r="E2452" s="3">
        <v>460000</v>
      </c>
      <c r="F2452" s="1">
        <v>771.81208053691205</v>
      </c>
      <c r="G2452" s="1">
        <v>2</v>
      </c>
      <c r="H2452" s="1" t="s">
        <v>79</v>
      </c>
      <c r="I2452" s="1">
        <v>1</v>
      </c>
      <c r="J2452" s="1">
        <v>1</v>
      </c>
      <c r="K2452" s="1">
        <v>1</v>
      </c>
      <c r="M2452" s="1">
        <v>596</v>
      </c>
      <c r="N2452" s="1">
        <v>596</v>
      </c>
      <c r="O2452" s="1">
        <v>596</v>
      </c>
      <c r="Q2452" s="1" t="s">
        <v>1833</v>
      </c>
      <c r="S2452" s="1" t="s">
        <v>129</v>
      </c>
      <c r="T2452" s="1" t="s">
        <v>170</v>
      </c>
      <c r="U2452" s="1">
        <v>145</v>
      </c>
      <c r="V2452" s="5">
        <v>44424</v>
      </c>
      <c r="W2452" s="5">
        <v>44152</v>
      </c>
      <c r="X2452" s="1">
        <v>460000</v>
      </c>
      <c r="Y2452" s="1">
        <v>459000</v>
      </c>
      <c r="Z2452" s="5">
        <v>44298</v>
      </c>
      <c r="AA2452" s="1">
        <v>460000</v>
      </c>
      <c r="AB2452" s="1" t="s">
        <v>173</v>
      </c>
      <c r="AC2452" s="5">
        <v>44405</v>
      </c>
      <c r="AF2452" s="1">
        <v>10044</v>
      </c>
      <c r="AJ2452" s="1">
        <v>1975</v>
      </c>
      <c r="AK2452" s="1" t="s">
        <v>49</v>
      </c>
      <c r="AL2452" s="1">
        <v>400</v>
      </c>
    </row>
    <row r="2453" spans="1:38" x14ac:dyDescent="0.2">
      <c r="A2453" s="2" t="str">
        <f>HYPERLINK("https://www.compass.com/listing/225-east-19th-street-unit-100-manhattan-ny-10003/29514964121250801/","225 E 19th St, Unit 104")</f>
        <v>225 E 19th St, Unit 104</v>
      </c>
      <c r="B2453" s="2" t="str">
        <f>HYPERLINK("https://www.compass.com/building/the-prewar-at-gramercy-square-manhattan-ny/282059248584654437/","The Prewar at Gramercy Square")</f>
        <v>The Prewar at Gramercy Square</v>
      </c>
      <c r="C2453" s="1" t="s">
        <v>54</v>
      </c>
      <c r="D2453" s="1" t="s">
        <v>41</v>
      </c>
      <c r="E2453" s="3">
        <v>3050000</v>
      </c>
      <c r="F2453" s="1">
        <v>1851.8518518518499</v>
      </c>
      <c r="G2453" s="1">
        <v>6</v>
      </c>
      <c r="H2453" s="1">
        <v>3</v>
      </c>
      <c r="I2453" s="1">
        <v>2</v>
      </c>
      <c r="J2453" s="1">
        <v>2</v>
      </c>
      <c r="K2453" s="1">
        <v>2</v>
      </c>
      <c r="M2453" s="4">
        <v>1647</v>
      </c>
      <c r="N2453" s="1">
        <v>1869</v>
      </c>
      <c r="O2453" s="1">
        <v>4237</v>
      </c>
      <c r="P2453" s="1">
        <v>2368</v>
      </c>
      <c r="Q2453" s="1" t="s">
        <v>42</v>
      </c>
      <c r="S2453" s="1" t="s">
        <v>42</v>
      </c>
      <c r="T2453" s="1" t="s">
        <v>170</v>
      </c>
      <c r="U2453" s="1">
        <v>424</v>
      </c>
      <c r="V2453" s="5">
        <v>43552</v>
      </c>
      <c r="W2453" s="5">
        <v>43006</v>
      </c>
      <c r="X2453" s="1">
        <v>3080000</v>
      </c>
      <c r="Y2453" s="1">
        <v>3390000</v>
      </c>
      <c r="Z2453" s="5">
        <v>43431</v>
      </c>
      <c r="AA2453" s="1">
        <v>3050000</v>
      </c>
      <c r="AB2453" s="1" t="s">
        <v>1834</v>
      </c>
      <c r="AC2453" s="5">
        <v>43545</v>
      </c>
      <c r="AF2453" s="1">
        <v>10003</v>
      </c>
      <c r="AI2453" s="1" t="s">
        <v>242</v>
      </c>
      <c r="AJ2453" s="1">
        <v>1920</v>
      </c>
      <c r="AL2453" s="1">
        <v>48</v>
      </c>
    </row>
    <row r="2454" spans="1:38" x14ac:dyDescent="0.2">
      <c r="A2454" s="2" t="str">
        <f>HYPERLINK("https://www.compass.com/listing/555-main-street-unit-1103-manhattan-ny-10044/4852307183649427169/","555 Main St, Unit 1103")</f>
        <v>555 Main St, Unit 1103</v>
      </c>
      <c r="B2454" s="2" t="str">
        <f t="shared" ref="B2454:B2471" si="345">HYPERLINK("https://www.compass.com/building/island-house-manhattan-ny/282034908468103317/","Island House")</f>
        <v>Island House</v>
      </c>
      <c r="C2454" s="1" t="s">
        <v>128</v>
      </c>
      <c r="D2454" s="1" t="s">
        <v>41</v>
      </c>
      <c r="E2454" s="3">
        <v>585000</v>
      </c>
      <c r="F2454" s="1">
        <v>728.51805728518002</v>
      </c>
      <c r="G2454" s="1">
        <v>3</v>
      </c>
      <c r="H2454" s="1">
        <v>1</v>
      </c>
      <c r="I2454" s="1">
        <v>1</v>
      </c>
      <c r="J2454" s="1">
        <v>1</v>
      </c>
      <c r="K2454" s="1">
        <v>1</v>
      </c>
      <c r="M2454" s="1">
        <v>803</v>
      </c>
      <c r="N2454" s="1">
        <v>922</v>
      </c>
      <c r="O2454" s="1">
        <v>922</v>
      </c>
      <c r="Q2454" s="1" t="s">
        <v>129</v>
      </c>
      <c r="S2454" s="1" t="s">
        <v>129</v>
      </c>
      <c r="T2454" s="1" t="s">
        <v>170</v>
      </c>
      <c r="U2454" s="1">
        <v>81</v>
      </c>
      <c r="V2454" s="5">
        <v>43675</v>
      </c>
      <c r="W2454" s="5">
        <v>42202</v>
      </c>
      <c r="X2454" s="1">
        <v>585000</v>
      </c>
      <c r="Y2454" s="1">
        <v>585000</v>
      </c>
      <c r="Z2454" s="5">
        <v>42283</v>
      </c>
      <c r="AA2454" s="1">
        <v>585000</v>
      </c>
      <c r="AB2454" s="1" t="s">
        <v>181</v>
      </c>
      <c r="AC2454" s="5">
        <v>42572</v>
      </c>
      <c r="AF2454" s="1">
        <v>10044</v>
      </c>
      <c r="AJ2454" s="1">
        <v>1975</v>
      </c>
      <c r="AK2454" s="1" t="s">
        <v>253</v>
      </c>
      <c r="AL2454" s="1">
        <v>400</v>
      </c>
    </row>
    <row r="2455" spans="1:38" x14ac:dyDescent="0.2">
      <c r="A2455" s="2" t="str">
        <f>HYPERLINK("https://www.compass.com/listing/555-main-street-unit-1101-manhattan-ny-10044/4852307655433129217/","555 Main St, Unit 1101")</f>
        <v>555 Main St, Unit 1101</v>
      </c>
      <c r="B2455" s="2" t="str">
        <f t="shared" si="345"/>
        <v>Island House</v>
      </c>
      <c r="C2455" s="1" t="s">
        <v>128</v>
      </c>
      <c r="D2455" s="1" t="s">
        <v>41</v>
      </c>
      <c r="E2455" s="3">
        <v>549000</v>
      </c>
      <c r="F2455" s="1">
        <v>683.68617683686102</v>
      </c>
      <c r="G2455" s="1">
        <v>4</v>
      </c>
      <c r="H2455" s="1">
        <v>1</v>
      </c>
      <c r="I2455" s="1">
        <v>1</v>
      </c>
      <c r="J2455" s="1">
        <v>1</v>
      </c>
      <c r="K2455" s="1">
        <v>1</v>
      </c>
      <c r="M2455" s="1">
        <v>803</v>
      </c>
      <c r="N2455" s="1">
        <v>799</v>
      </c>
      <c r="O2455" s="1">
        <v>799</v>
      </c>
      <c r="Q2455" s="1" t="s">
        <v>129</v>
      </c>
      <c r="S2455" s="1" t="s">
        <v>129</v>
      </c>
      <c r="T2455" s="1" t="s">
        <v>170</v>
      </c>
      <c r="U2455" s="1">
        <v>67</v>
      </c>
      <c r="V2455" s="5">
        <v>43675</v>
      </c>
      <c r="W2455" s="5">
        <v>42511</v>
      </c>
      <c r="X2455" s="1">
        <v>549000</v>
      </c>
      <c r="Y2455" s="1">
        <v>549000</v>
      </c>
      <c r="Z2455" s="5">
        <v>42578</v>
      </c>
      <c r="AA2455" s="1">
        <v>549000</v>
      </c>
      <c r="AB2455" s="1" t="s">
        <v>181</v>
      </c>
      <c r="AC2455" s="5">
        <v>42690</v>
      </c>
      <c r="AF2455" s="1">
        <v>10044</v>
      </c>
      <c r="AJ2455" s="1">
        <v>1975</v>
      </c>
      <c r="AK2455" s="1" t="s">
        <v>253</v>
      </c>
      <c r="AL2455" s="1">
        <v>400</v>
      </c>
    </row>
    <row r="2456" spans="1:38" x14ac:dyDescent="0.2">
      <c r="A2456" s="2" t="str">
        <f>HYPERLINK("https://www.compass.com/listing/555-main-street-unit-1003-manhattan-ny-10044/4852262920647607345/","555 Main St, Unit 1003")</f>
        <v>555 Main St, Unit 1003</v>
      </c>
      <c r="B2456" s="2" t="str">
        <f t="shared" si="345"/>
        <v>Island House</v>
      </c>
      <c r="C2456" s="1" t="s">
        <v>128</v>
      </c>
      <c r="D2456" s="1" t="s">
        <v>41</v>
      </c>
      <c r="E2456" s="3">
        <v>575000</v>
      </c>
      <c r="F2456" s="1">
        <v>716.06475716064699</v>
      </c>
      <c r="G2456" s="1">
        <v>3</v>
      </c>
      <c r="H2456" s="1">
        <v>1</v>
      </c>
      <c r="I2456" s="1">
        <v>1</v>
      </c>
      <c r="J2456" s="1">
        <v>1</v>
      </c>
      <c r="K2456" s="1">
        <v>1</v>
      </c>
      <c r="M2456" s="1">
        <v>803</v>
      </c>
      <c r="N2456" s="1">
        <v>868</v>
      </c>
      <c r="O2456" s="1">
        <v>868</v>
      </c>
      <c r="Q2456" s="1" t="s">
        <v>129</v>
      </c>
      <c r="S2456" s="1" t="s">
        <v>129</v>
      </c>
      <c r="T2456" s="1" t="s">
        <v>170</v>
      </c>
      <c r="U2456" s="1">
        <v>47</v>
      </c>
      <c r="V2456" s="5">
        <v>43672</v>
      </c>
      <c r="W2456" s="5">
        <v>42531</v>
      </c>
      <c r="X2456" s="1">
        <v>575000</v>
      </c>
      <c r="Y2456" s="1">
        <v>575000</v>
      </c>
      <c r="Z2456" s="5">
        <v>42578</v>
      </c>
      <c r="AA2456" s="1">
        <v>575000</v>
      </c>
      <c r="AB2456" s="1" t="s">
        <v>181</v>
      </c>
      <c r="AC2456" s="5">
        <v>42712</v>
      </c>
      <c r="AF2456" s="1">
        <v>10044</v>
      </c>
      <c r="AJ2456" s="1">
        <v>1975</v>
      </c>
      <c r="AK2456" s="1" t="s">
        <v>253</v>
      </c>
      <c r="AL2456" s="1">
        <v>400</v>
      </c>
    </row>
    <row r="2457" spans="1:38" x14ac:dyDescent="0.2">
      <c r="A2457" s="2" t="str">
        <f>HYPERLINK("https://www.compass.com/listing/555-main-street-unit-901-manhattan-ny-10044/4852273788340936225/","555 Main St, Unit 901")</f>
        <v>555 Main St, Unit 901</v>
      </c>
      <c r="B2457" s="2" t="str">
        <f t="shared" si="345"/>
        <v>Island House</v>
      </c>
      <c r="C2457" s="1" t="s">
        <v>128</v>
      </c>
      <c r="D2457" s="1" t="s">
        <v>41</v>
      </c>
      <c r="E2457" s="3">
        <v>540000</v>
      </c>
      <c r="F2457" s="1">
        <v>672.47820672478201</v>
      </c>
      <c r="G2457" s="1">
        <v>3</v>
      </c>
      <c r="H2457" s="1">
        <v>1</v>
      </c>
      <c r="I2457" s="1">
        <v>1</v>
      </c>
      <c r="J2457" s="1">
        <v>1</v>
      </c>
      <c r="K2457" s="1">
        <v>1</v>
      </c>
      <c r="M2457" s="1">
        <v>803</v>
      </c>
      <c r="N2457" s="1">
        <v>829</v>
      </c>
      <c r="O2457" s="1">
        <v>829</v>
      </c>
      <c r="Q2457" s="1" t="s">
        <v>129</v>
      </c>
      <c r="S2457" s="1" t="s">
        <v>129</v>
      </c>
      <c r="T2457" s="1" t="s">
        <v>170</v>
      </c>
      <c r="U2457" s="1">
        <v>109</v>
      </c>
      <c r="V2457" s="5">
        <v>43678</v>
      </c>
      <c r="W2457" s="5">
        <v>42175</v>
      </c>
      <c r="X2457" s="1">
        <v>515000</v>
      </c>
      <c r="Y2457" s="1">
        <v>535000</v>
      </c>
      <c r="Z2457" s="5">
        <v>42284</v>
      </c>
      <c r="AA2457" s="1">
        <v>540000</v>
      </c>
      <c r="AB2457" s="1" t="s">
        <v>181</v>
      </c>
      <c r="AC2457" s="5">
        <v>42488</v>
      </c>
      <c r="AF2457" s="1">
        <v>10044</v>
      </c>
      <c r="AJ2457" s="1">
        <v>1975</v>
      </c>
      <c r="AK2457" s="1" t="s">
        <v>253</v>
      </c>
      <c r="AL2457" s="1">
        <v>400</v>
      </c>
    </row>
    <row r="2458" spans="1:38" x14ac:dyDescent="0.2">
      <c r="A2458" s="2" t="str">
        <f>HYPERLINK("https://www.compass.com/listing/555-main-street-unit-703-manhattan-ny-10044/4852274013575063921/","555 Main St, Unit 703")</f>
        <v>555 Main St, Unit 703</v>
      </c>
      <c r="B2458" s="2" t="str">
        <f t="shared" si="345"/>
        <v>Island House</v>
      </c>
      <c r="C2458" s="1" t="s">
        <v>128</v>
      </c>
      <c r="D2458" s="1" t="s">
        <v>41</v>
      </c>
      <c r="E2458" s="3">
        <v>541000</v>
      </c>
      <c r="F2458" s="1">
        <v>673.72353673723501</v>
      </c>
      <c r="G2458" s="1">
        <v>3</v>
      </c>
      <c r="H2458" s="1">
        <v>1</v>
      </c>
      <c r="I2458" s="1">
        <v>1</v>
      </c>
      <c r="J2458" s="1">
        <v>1</v>
      </c>
      <c r="K2458" s="1">
        <v>1</v>
      </c>
      <c r="M2458" s="1">
        <v>803</v>
      </c>
      <c r="N2458" s="1">
        <v>888</v>
      </c>
      <c r="O2458" s="1">
        <v>888</v>
      </c>
      <c r="Q2458" s="1" t="s">
        <v>129</v>
      </c>
      <c r="S2458" s="1" t="s">
        <v>129</v>
      </c>
      <c r="T2458" s="1" t="s">
        <v>170</v>
      </c>
      <c r="U2458" s="1">
        <v>117</v>
      </c>
      <c r="V2458" s="5">
        <v>43679</v>
      </c>
      <c r="W2458" s="5">
        <v>42167</v>
      </c>
      <c r="X2458" s="1">
        <v>535000</v>
      </c>
      <c r="Y2458" s="1">
        <v>535000</v>
      </c>
      <c r="Z2458" s="5">
        <v>42284</v>
      </c>
      <c r="AA2458" s="1">
        <v>541000</v>
      </c>
      <c r="AB2458" s="1" t="s">
        <v>181</v>
      </c>
      <c r="AC2458" s="5">
        <v>42480</v>
      </c>
      <c r="AF2458" s="1">
        <v>10044</v>
      </c>
      <c r="AJ2458" s="1">
        <v>1975</v>
      </c>
      <c r="AK2458" s="1" t="s">
        <v>253</v>
      </c>
      <c r="AL2458" s="1">
        <v>400</v>
      </c>
    </row>
    <row r="2459" spans="1:38" x14ac:dyDescent="0.2">
      <c r="A2459" s="2" t="str">
        <f>HYPERLINK("https://www.compass.com/listing/555-main-street-unit-603-manhattan-ny-10044/4852319342357908161/","555 Main St, Unit 603")</f>
        <v>555 Main St, Unit 603</v>
      </c>
      <c r="B2459" s="2" t="str">
        <f t="shared" si="345"/>
        <v>Island House</v>
      </c>
      <c r="C2459" s="1" t="s">
        <v>128</v>
      </c>
      <c r="D2459" s="1" t="s">
        <v>41</v>
      </c>
      <c r="E2459" s="3">
        <v>530000</v>
      </c>
      <c r="F2459" s="1">
        <v>660.02490660024898</v>
      </c>
      <c r="G2459" s="1">
        <v>3</v>
      </c>
      <c r="H2459" s="1">
        <v>1</v>
      </c>
      <c r="I2459" s="1">
        <v>1</v>
      </c>
      <c r="J2459" s="1">
        <v>1</v>
      </c>
      <c r="K2459" s="1">
        <v>1</v>
      </c>
      <c r="M2459" s="1">
        <v>803</v>
      </c>
      <c r="N2459" s="1">
        <v>880</v>
      </c>
      <c r="O2459" s="1">
        <v>880</v>
      </c>
      <c r="Q2459" s="1" t="s">
        <v>129</v>
      </c>
      <c r="S2459" s="1" t="s">
        <v>129</v>
      </c>
      <c r="T2459" s="1" t="s">
        <v>170</v>
      </c>
      <c r="U2459" s="1">
        <v>7</v>
      </c>
      <c r="V2459" s="5">
        <v>43651</v>
      </c>
      <c r="W2459" s="5">
        <v>42175</v>
      </c>
      <c r="X2459" s="1">
        <v>530000</v>
      </c>
      <c r="Y2459" s="1">
        <v>530000</v>
      </c>
      <c r="Z2459" s="5">
        <v>42182</v>
      </c>
      <c r="AA2459" s="1">
        <v>530000</v>
      </c>
      <c r="AB2459" s="1" t="s">
        <v>181</v>
      </c>
      <c r="AC2459" s="5">
        <v>42209</v>
      </c>
      <c r="AF2459" s="1">
        <v>10044</v>
      </c>
      <c r="AJ2459" s="1">
        <v>1975</v>
      </c>
      <c r="AK2459" s="1" t="s">
        <v>253</v>
      </c>
      <c r="AL2459" s="1">
        <v>400</v>
      </c>
    </row>
    <row r="2460" spans="1:38" x14ac:dyDescent="0.2">
      <c r="A2460" s="2" t="str">
        <f>HYPERLINK("https://www.compass.com/listing/555-main-street-unit-708-manhattan-ny-10044/4852326185121622017/","555 Main St, Unit 708")</f>
        <v>555 Main St, Unit 708</v>
      </c>
      <c r="B2460" s="2" t="str">
        <f t="shared" si="345"/>
        <v>Island House</v>
      </c>
      <c r="C2460" s="1" t="s">
        <v>128</v>
      </c>
      <c r="D2460" s="1" t="s">
        <v>41</v>
      </c>
      <c r="E2460" s="3">
        <v>558000</v>
      </c>
      <c r="F2460" s="1">
        <v>694.89414694894106</v>
      </c>
      <c r="G2460" s="1">
        <v>4</v>
      </c>
      <c r="H2460" s="1">
        <v>1</v>
      </c>
      <c r="I2460" s="1">
        <v>1</v>
      </c>
      <c r="J2460" s="1">
        <v>1</v>
      </c>
      <c r="K2460" s="1">
        <v>1</v>
      </c>
      <c r="M2460" s="1">
        <v>803</v>
      </c>
      <c r="N2460" s="1">
        <v>811</v>
      </c>
      <c r="O2460" s="1">
        <v>811</v>
      </c>
      <c r="Q2460" s="1" t="s">
        <v>129</v>
      </c>
      <c r="S2460" s="1" t="s">
        <v>129</v>
      </c>
      <c r="T2460" s="1" t="s">
        <v>170</v>
      </c>
      <c r="U2460" s="1">
        <v>62</v>
      </c>
      <c r="V2460" s="5">
        <v>43678</v>
      </c>
      <c r="W2460" s="5">
        <v>42182</v>
      </c>
      <c r="X2460" s="1">
        <v>558000</v>
      </c>
      <c r="Y2460" s="1">
        <v>558000</v>
      </c>
      <c r="Z2460" s="5">
        <v>42244</v>
      </c>
      <c r="AA2460" s="1">
        <v>558000</v>
      </c>
      <c r="AB2460" s="1" t="s">
        <v>181</v>
      </c>
      <c r="AC2460" s="5">
        <v>42460</v>
      </c>
      <c r="AF2460" s="1">
        <v>10044</v>
      </c>
      <c r="AJ2460" s="1">
        <v>1975</v>
      </c>
      <c r="AK2460" s="1" t="s">
        <v>253</v>
      </c>
      <c r="AL2460" s="1">
        <v>400</v>
      </c>
    </row>
    <row r="2461" spans="1:38" x14ac:dyDescent="0.2">
      <c r="A2461" s="2" t="str">
        <f>HYPERLINK("https://www.compass.com/listing/555-main-street-unit-1106-manhattan-ny-10044/546419997575341665/","555 Main St, Unit 1106")</f>
        <v>555 Main St, Unit 1106</v>
      </c>
      <c r="B2461" s="2" t="str">
        <f t="shared" si="345"/>
        <v>Island House</v>
      </c>
      <c r="C2461" s="1" t="s">
        <v>128</v>
      </c>
      <c r="D2461" s="1" t="s">
        <v>41</v>
      </c>
      <c r="E2461" s="3">
        <v>499750</v>
      </c>
      <c r="F2461" s="1">
        <v>622.35367372353596</v>
      </c>
      <c r="G2461" s="1">
        <v>3</v>
      </c>
      <c r="H2461" s="1">
        <v>1</v>
      </c>
      <c r="I2461" s="1">
        <v>1</v>
      </c>
      <c r="J2461" s="1">
        <v>1</v>
      </c>
      <c r="K2461" s="1">
        <v>1</v>
      </c>
      <c r="M2461" s="1">
        <v>803</v>
      </c>
      <c r="N2461" s="1">
        <v>848</v>
      </c>
      <c r="O2461" s="1">
        <v>848</v>
      </c>
      <c r="Q2461" s="1" t="s">
        <v>129</v>
      </c>
      <c r="S2461" s="1" t="s">
        <v>1835</v>
      </c>
      <c r="T2461" s="1" t="s">
        <v>170</v>
      </c>
      <c r="U2461" s="1">
        <v>24</v>
      </c>
      <c r="V2461" s="5">
        <v>44132</v>
      </c>
      <c r="W2461" s="5">
        <v>44005</v>
      </c>
      <c r="X2461" s="1">
        <v>499750</v>
      </c>
      <c r="Y2461" s="1">
        <v>499750</v>
      </c>
      <c r="Z2461" s="5">
        <v>44029</v>
      </c>
      <c r="AA2461" s="1">
        <v>499750</v>
      </c>
      <c r="AB2461" s="1" t="s">
        <v>1836</v>
      </c>
      <c r="AC2461" s="5">
        <v>44124</v>
      </c>
      <c r="AF2461" s="1">
        <v>10044</v>
      </c>
      <c r="AI2461" s="1" t="s">
        <v>84</v>
      </c>
      <c r="AJ2461" s="1">
        <v>1975</v>
      </c>
      <c r="AK2461" s="1" t="s">
        <v>77</v>
      </c>
      <c r="AL2461" s="1">
        <v>400</v>
      </c>
    </row>
    <row r="2462" spans="1:38" x14ac:dyDescent="0.2">
      <c r="A2462" s="2" t="str">
        <f>HYPERLINK("https://www.compass.com/listing/555-main-street-unit-1411-manhattan-ny-10044/192574530839994497/","555 Main St, Unit 1411")</f>
        <v>555 Main St, Unit 1411</v>
      </c>
      <c r="B2462" s="2" t="str">
        <f t="shared" si="345"/>
        <v>Island House</v>
      </c>
      <c r="C2462" s="1" t="s">
        <v>128</v>
      </c>
      <c r="D2462" s="1" t="s">
        <v>41</v>
      </c>
      <c r="E2462" s="3">
        <v>440000</v>
      </c>
      <c r="F2462" s="1">
        <v>738.255033557047</v>
      </c>
      <c r="G2462" s="1">
        <v>2</v>
      </c>
      <c r="H2462" s="1" t="s">
        <v>79</v>
      </c>
      <c r="I2462" s="1">
        <v>1</v>
      </c>
      <c r="J2462" s="1">
        <v>1</v>
      </c>
      <c r="K2462" s="1">
        <v>1</v>
      </c>
      <c r="M2462" s="1">
        <v>596</v>
      </c>
      <c r="N2462" s="1">
        <v>609</v>
      </c>
      <c r="O2462" s="1">
        <v>609</v>
      </c>
      <c r="Q2462" s="1" t="s">
        <v>129</v>
      </c>
      <c r="S2462" s="1" t="s">
        <v>129</v>
      </c>
      <c r="T2462" s="1" t="s">
        <v>170</v>
      </c>
      <c r="U2462" s="1">
        <v>34</v>
      </c>
      <c r="V2462" s="5">
        <v>43675</v>
      </c>
      <c r="W2462" s="5">
        <v>42544</v>
      </c>
      <c r="X2462" s="1">
        <v>440000</v>
      </c>
      <c r="Y2462" s="1">
        <v>440000</v>
      </c>
      <c r="Z2462" s="5">
        <v>42578</v>
      </c>
      <c r="AA2462" s="1">
        <v>440000</v>
      </c>
      <c r="AB2462" s="1" t="s">
        <v>181</v>
      </c>
      <c r="AC2462" s="5">
        <v>42669</v>
      </c>
      <c r="AF2462" s="1">
        <v>10044</v>
      </c>
      <c r="AJ2462" s="1">
        <v>1975</v>
      </c>
      <c r="AK2462" s="1" t="s">
        <v>253</v>
      </c>
      <c r="AL2462" s="1">
        <v>400</v>
      </c>
    </row>
    <row r="2463" spans="1:38" x14ac:dyDescent="0.2">
      <c r="A2463" s="2" t="str">
        <f>HYPERLINK("https://www.compass.com/listing/555-main-street-unit-306-manhattan-ny-10044/4852273520652074497/","555 Main St, Unit 306")</f>
        <v>555 Main St, Unit 306</v>
      </c>
      <c r="B2463" s="2" t="str">
        <f t="shared" si="345"/>
        <v>Island House</v>
      </c>
      <c r="C2463" s="1" t="s">
        <v>128</v>
      </c>
      <c r="D2463" s="1" t="s">
        <v>41</v>
      </c>
      <c r="E2463" s="3">
        <v>479000</v>
      </c>
      <c r="F2463" s="1">
        <v>596.51307596513004</v>
      </c>
      <c r="G2463" s="1">
        <v>4</v>
      </c>
      <c r="H2463" s="1">
        <v>1</v>
      </c>
      <c r="I2463" s="1">
        <v>1</v>
      </c>
      <c r="J2463" s="1">
        <v>1</v>
      </c>
      <c r="K2463" s="1">
        <v>1</v>
      </c>
      <c r="M2463" s="1">
        <v>803</v>
      </c>
      <c r="N2463" s="1">
        <v>743</v>
      </c>
      <c r="O2463" s="1">
        <v>743</v>
      </c>
      <c r="Q2463" s="1" t="s">
        <v>129</v>
      </c>
      <c r="S2463" s="1" t="s">
        <v>129</v>
      </c>
      <c r="T2463" s="1" t="s">
        <v>170</v>
      </c>
      <c r="U2463" s="1">
        <v>34</v>
      </c>
      <c r="V2463" s="5">
        <v>43678</v>
      </c>
      <c r="W2463" s="5">
        <v>42182</v>
      </c>
      <c r="X2463" s="1">
        <v>479000</v>
      </c>
      <c r="Y2463" s="1">
        <v>479000</v>
      </c>
      <c r="Z2463" s="5">
        <v>42216</v>
      </c>
      <c r="AA2463" s="1">
        <v>479000</v>
      </c>
      <c r="AB2463" s="1" t="s">
        <v>181</v>
      </c>
      <c r="AC2463" s="5">
        <v>42399</v>
      </c>
      <c r="AF2463" s="1">
        <v>10044</v>
      </c>
      <c r="AJ2463" s="1">
        <v>1975</v>
      </c>
      <c r="AK2463" s="1" t="s">
        <v>253</v>
      </c>
      <c r="AL2463" s="1">
        <v>400</v>
      </c>
    </row>
    <row r="2464" spans="1:38" x14ac:dyDescent="0.2">
      <c r="A2464" s="2" t="str">
        <f>HYPERLINK("https://www.compass.com/listing/555-main-street-unit-1111-manhattan-ny-10044/4852273894129664001/","555 Main St, Unit 1111")</f>
        <v>555 Main St, Unit 1111</v>
      </c>
      <c r="B2464" s="2" t="str">
        <f t="shared" si="345"/>
        <v>Island House</v>
      </c>
      <c r="C2464" s="1" t="s">
        <v>128</v>
      </c>
      <c r="D2464" s="1" t="s">
        <v>41</v>
      </c>
      <c r="E2464" s="3">
        <v>410000</v>
      </c>
      <c r="F2464" s="1">
        <v>687.919463087248</v>
      </c>
      <c r="G2464" s="1">
        <v>2</v>
      </c>
      <c r="H2464" s="1" t="s">
        <v>79</v>
      </c>
      <c r="I2464" s="1">
        <v>1</v>
      </c>
      <c r="J2464" s="1">
        <v>1</v>
      </c>
      <c r="K2464" s="1">
        <v>1</v>
      </c>
      <c r="M2464" s="1">
        <v>596</v>
      </c>
      <c r="N2464" s="1">
        <v>509</v>
      </c>
      <c r="O2464" s="1">
        <v>509</v>
      </c>
      <c r="Q2464" s="1" t="s">
        <v>129</v>
      </c>
      <c r="S2464" s="1" t="s">
        <v>129</v>
      </c>
      <c r="T2464" s="1" t="s">
        <v>170</v>
      </c>
      <c r="U2464" s="1">
        <v>68</v>
      </c>
      <c r="V2464" s="5">
        <v>43675</v>
      </c>
      <c r="W2464" s="5">
        <v>42511</v>
      </c>
      <c r="X2464" s="1">
        <v>410000</v>
      </c>
      <c r="Y2464" s="1">
        <v>410000</v>
      </c>
      <c r="Z2464" s="5">
        <v>42579</v>
      </c>
      <c r="AA2464" s="1">
        <v>410000</v>
      </c>
      <c r="AB2464" s="1" t="s">
        <v>181</v>
      </c>
      <c r="AC2464" s="5">
        <v>42665</v>
      </c>
      <c r="AF2464" s="1">
        <v>10044</v>
      </c>
      <c r="AJ2464" s="1">
        <v>1975</v>
      </c>
      <c r="AK2464" s="1" t="s">
        <v>253</v>
      </c>
      <c r="AL2464" s="1">
        <v>400</v>
      </c>
    </row>
    <row r="2465" spans="1:38" x14ac:dyDescent="0.2">
      <c r="A2465" s="2" t="str">
        <f>HYPERLINK("https://www.compass.com/listing/555-main-street-unit-1511-manhattan-ny-10044/4852308910410829233/","555 Main St, Unit 1511")</f>
        <v>555 Main St, Unit 1511</v>
      </c>
      <c r="B2465" s="2" t="str">
        <f t="shared" si="345"/>
        <v>Island House</v>
      </c>
      <c r="C2465" s="1" t="s">
        <v>128</v>
      </c>
      <c r="D2465" s="1" t="s">
        <v>41</v>
      </c>
      <c r="E2465" s="3">
        <v>445000</v>
      </c>
      <c r="F2465" s="1">
        <v>746.64429530201301</v>
      </c>
      <c r="G2465" s="1">
        <v>2</v>
      </c>
      <c r="H2465" s="1" t="s">
        <v>79</v>
      </c>
      <c r="I2465" s="1">
        <v>1</v>
      </c>
      <c r="J2465" s="1">
        <v>1</v>
      </c>
      <c r="K2465" s="1">
        <v>1</v>
      </c>
      <c r="M2465" s="1">
        <v>596</v>
      </c>
      <c r="N2465" s="1">
        <v>615</v>
      </c>
      <c r="O2465" s="1">
        <v>615</v>
      </c>
      <c r="Q2465" s="1" t="s">
        <v>129</v>
      </c>
      <c r="S2465" s="1" t="s">
        <v>129</v>
      </c>
      <c r="T2465" s="1" t="s">
        <v>170</v>
      </c>
      <c r="U2465" s="1">
        <v>141</v>
      </c>
      <c r="V2465" s="5">
        <v>43663</v>
      </c>
      <c r="W2465" s="5">
        <v>42564</v>
      </c>
      <c r="X2465" s="1">
        <v>445000</v>
      </c>
      <c r="Y2465" s="1">
        <v>445000</v>
      </c>
      <c r="Z2465" s="5">
        <v>42705</v>
      </c>
      <c r="AA2465" s="1">
        <v>445000</v>
      </c>
      <c r="AB2465" s="1" t="s">
        <v>181</v>
      </c>
      <c r="AC2465" s="5">
        <v>42710</v>
      </c>
      <c r="AF2465" s="1">
        <v>10044</v>
      </c>
      <c r="AJ2465" s="1">
        <v>1975</v>
      </c>
      <c r="AK2465" s="1" t="s">
        <v>253</v>
      </c>
      <c r="AL2465" s="1">
        <v>400</v>
      </c>
    </row>
    <row r="2466" spans="1:38" x14ac:dyDescent="0.2">
      <c r="A2466" s="2" t="str">
        <f>HYPERLINK("https://www.compass.com/listing/555-main-street-unit-1811-manhattan-ny-10044/4852309623954213217/","555 Main St, Unit 1811")</f>
        <v>555 Main St, Unit 1811</v>
      </c>
      <c r="B2466" s="2" t="str">
        <f t="shared" si="345"/>
        <v>Island House</v>
      </c>
      <c r="C2466" s="1" t="s">
        <v>128</v>
      </c>
      <c r="D2466" s="1" t="s">
        <v>41</v>
      </c>
      <c r="E2466" s="3">
        <v>420000</v>
      </c>
      <c r="F2466" s="1">
        <v>704.69798657718104</v>
      </c>
      <c r="G2466" s="1">
        <v>2</v>
      </c>
      <c r="H2466" s="1" t="s">
        <v>79</v>
      </c>
      <c r="I2466" s="1">
        <v>1</v>
      </c>
      <c r="J2466" s="1">
        <v>1</v>
      </c>
      <c r="K2466" s="1">
        <v>1</v>
      </c>
      <c r="M2466" s="1">
        <v>596</v>
      </c>
      <c r="N2466" s="1">
        <v>631</v>
      </c>
      <c r="O2466" s="1">
        <v>631</v>
      </c>
      <c r="Q2466" s="1" t="s">
        <v>129</v>
      </c>
      <c r="S2466" s="1" t="s">
        <v>129</v>
      </c>
      <c r="T2466" s="1" t="s">
        <v>170</v>
      </c>
      <c r="U2466" s="1">
        <v>44</v>
      </c>
      <c r="V2466" s="5">
        <v>43663</v>
      </c>
      <c r="W2466" s="5">
        <v>42676</v>
      </c>
      <c r="X2466" s="1">
        <v>465000</v>
      </c>
      <c r="Y2466" s="1">
        <v>465000</v>
      </c>
      <c r="Z2466" s="5">
        <v>42720</v>
      </c>
      <c r="AA2466" s="1">
        <v>420000</v>
      </c>
      <c r="AB2466" s="1" t="s">
        <v>181</v>
      </c>
      <c r="AC2466" s="5">
        <v>43526</v>
      </c>
      <c r="AF2466" s="1">
        <v>10044</v>
      </c>
      <c r="AI2466" s="1" t="s">
        <v>84</v>
      </c>
      <c r="AJ2466" s="1">
        <v>1975</v>
      </c>
      <c r="AK2466" s="1" t="s">
        <v>253</v>
      </c>
      <c r="AL2466" s="1">
        <v>400</v>
      </c>
    </row>
    <row r="2467" spans="1:38" x14ac:dyDescent="0.2">
      <c r="A2467" s="2" t="str">
        <f>HYPERLINK("https://www.compass.com/listing/555-main-street-unit-106-manhattan-ny-10044/4852265710161767089/","555 Main St, Unit 106")</f>
        <v>555 Main St, Unit 106</v>
      </c>
      <c r="B2467" s="2" t="str">
        <f t="shared" si="345"/>
        <v>Island House</v>
      </c>
      <c r="C2467" s="1" t="s">
        <v>128</v>
      </c>
      <c r="D2467" s="1" t="s">
        <v>41</v>
      </c>
      <c r="E2467" s="3">
        <v>528600</v>
      </c>
      <c r="G2467" s="1">
        <v>3</v>
      </c>
      <c r="H2467" s="1">
        <v>1</v>
      </c>
      <c r="I2467" s="1">
        <v>1</v>
      </c>
      <c r="J2467" s="1">
        <v>1</v>
      </c>
      <c r="K2467" s="1">
        <v>1</v>
      </c>
      <c r="N2467" s="1">
        <v>692</v>
      </c>
      <c r="O2467" s="1">
        <v>692</v>
      </c>
      <c r="Q2467" s="1" t="s">
        <v>129</v>
      </c>
      <c r="S2467" s="1" t="s">
        <v>129</v>
      </c>
      <c r="T2467" s="1" t="s">
        <v>170</v>
      </c>
      <c r="V2467" s="5">
        <v>43662</v>
      </c>
      <c r="W2467" s="5">
        <v>42808</v>
      </c>
      <c r="X2467" s="1">
        <v>528600</v>
      </c>
      <c r="Y2467" s="1">
        <v>528600</v>
      </c>
      <c r="Z2467" s="5">
        <v>42809</v>
      </c>
      <c r="AA2467" s="1">
        <v>528600</v>
      </c>
      <c r="AB2467" s="1" t="s">
        <v>181</v>
      </c>
      <c r="AC2467" s="5">
        <v>42831</v>
      </c>
      <c r="AF2467" s="1">
        <v>10044</v>
      </c>
      <c r="AJ2467" s="1">
        <v>1975</v>
      </c>
      <c r="AK2467" s="1" t="s">
        <v>253</v>
      </c>
      <c r="AL2467" s="1">
        <v>400</v>
      </c>
    </row>
    <row r="2468" spans="1:38" x14ac:dyDescent="0.2">
      <c r="A2468" s="2" t="str">
        <f>HYPERLINK("https://www.compass.com/listing/555-main-street-unit-311-manhattan-ny-10044/4852308238231676449/","555 Main St, Unit 311")</f>
        <v>555 Main St, Unit 311</v>
      </c>
      <c r="B2468" s="2" t="str">
        <f t="shared" si="345"/>
        <v>Island House</v>
      </c>
      <c r="C2468" s="1" t="s">
        <v>128</v>
      </c>
      <c r="D2468" s="1" t="s">
        <v>41</v>
      </c>
      <c r="E2468" s="3">
        <v>389000</v>
      </c>
      <c r="F2468" s="1">
        <v>652.684563758389</v>
      </c>
      <c r="G2468" s="1">
        <v>3</v>
      </c>
      <c r="H2468" s="1" t="s">
        <v>79</v>
      </c>
      <c r="I2468" s="1">
        <v>1</v>
      </c>
      <c r="J2468" s="1">
        <v>1</v>
      </c>
      <c r="K2468" s="1">
        <v>1</v>
      </c>
      <c r="M2468" s="1">
        <v>596</v>
      </c>
      <c r="N2468" s="1">
        <v>498</v>
      </c>
      <c r="O2468" s="1">
        <v>498</v>
      </c>
      <c r="Q2468" s="1" t="s">
        <v>129</v>
      </c>
      <c r="S2468" s="1" t="s">
        <v>129</v>
      </c>
      <c r="T2468" s="1" t="s">
        <v>170</v>
      </c>
      <c r="U2468" s="1">
        <v>35</v>
      </c>
      <c r="V2468" s="5">
        <v>43673</v>
      </c>
      <c r="W2468" s="5">
        <v>42285</v>
      </c>
      <c r="X2468" s="1">
        <v>389000</v>
      </c>
      <c r="Y2468" s="1">
        <v>389000</v>
      </c>
      <c r="Z2468" s="5">
        <v>42578</v>
      </c>
      <c r="AA2468" s="1">
        <v>389000</v>
      </c>
      <c r="AB2468" s="1" t="s">
        <v>181</v>
      </c>
      <c r="AC2468" s="5">
        <v>42706</v>
      </c>
      <c r="AF2468" s="1">
        <v>10044</v>
      </c>
      <c r="AJ2468" s="1">
        <v>1975</v>
      </c>
      <c r="AK2468" s="1" t="s">
        <v>253</v>
      </c>
      <c r="AL2468" s="1">
        <v>400</v>
      </c>
    </row>
    <row r="2469" spans="1:38" x14ac:dyDescent="0.2">
      <c r="A2469" s="2" t="str">
        <f>HYPERLINK("https://www.compass.com/listing/555-main-street-unit-408-manhattan-ny-10044/29514334019330545/","555 Main St, Unit 408")</f>
        <v>555 Main St, Unit 408</v>
      </c>
      <c r="B2469" s="2" t="str">
        <f t="shared" si="345"/>
        <v>Island House</v>
      </c>
      <c r="C2469" s="1" t="s">
        <v>128</v>
      </c>
      <c r="D2469" s="1" t="s">
        <v>41</v>
      </c>
      <c r="E2469" s="3">
        <v>369456</v>
      </c>
      <c r="F2469" s="1">
        <v>460.09464508094601</v>
      </c>
      <c r="G2469" s="1">
        <v>3</v>
      </c>
      <c r="H2469" s="1">
        <v>1</v>
      </c>
      <c r="I2469" s="1">
        <v>1</v>
      </c>
      <c r="J2469" s="1">
        <v>1</v>
      </c>
      <c r="K2469" s="1">
        <v>1</v>
      </c>
      <c r="M2469" s="1">
        <v>803</v>
      </c>
      <c r="N2469" s="1">
        <v>748</v>
      </c>
      <c r="O2469" s="1">
        <v>748</v>
      </c>
      <c r="Q2469" s="1" t="s">
        <v>129</v>
      </c>
      <c r="S2469" s="1" t="s">
        <v>129</v>
      </c>
      <c r="T2469" s="1" t="s">
        <v>170</v>
      </c>
      <c r="U2469" s="1">
        <v>24</v>
      </c>
      <c r="V2469" s="5">
        <v>43694</v>
      </c>
      <c r="W2469" s="5">
        <v>43250</v>
      </c>
      <c r="X2469" s="1">
        <v>369704</v>
      </c>
      <c r="Y2469" s="1">
        <v>369455</v>
      </c>
      <c r="Z2469" s="5">
        <v>43274</v>
      </c>
      <c r="AA2469" s="1">
        <v>369456</v>
      </c>
      <c r="AB2469" s="1" t="s">
        <v>1837</v>
      </c>
      <c r="AC2469" s="5">
        <v>43484</v>
      </c>
      <c r="AF2469" s="1">
        <v>10044</v>
      </c>
      <c r="AJ2469" s="1">
        <v>1975</v>
      </c>
      <c r="AK2469" s="1" t="s">
        <v>77</v>
      </c>
      <c r="AL2469" s="1">
        <v>400</v>
      </c>
    </row>
    <row r="2470" spans="1:38" x14ac:dyDescent="0.2">
      <c r="A2470" s="2" t="str">
        <f>HYPERLINK("https://www.compass.com/listing/555-main-street-unit-703-manhattan-ny-10044/272318473588206273/","555 Main St, Unit 703")</f>
        <v>555 Main St, Unit 703</v>
      </c>
      <c r="B2470" s="2" t="str">
        <f t="shared" si="345"/>
        <v>Island House</v>
      </c>
      <c r="C2470" s="1" t="s">
        <v>128</v>
      </c>
      <c r="D2470" s="1" t="s">
        <v>41</v>
      </c>
      <c r="E2470" s="3">
        <v>620000</v>
      </c>
      <c r="F2470" s="1">
        <v>772.10460772104602</v>
      </c>
      <c r="G2470" s="1">
        <v>3</v>
      </c>
      <c r="H2470" s="1">
        <v>1</v>
      </c>
      <c r="I2470" s="1">
        <v>1</v>
      </c>
      <c r="J2470" s="1">
        <v>1</v>
      </c>
      <c r="K2470" s="1">
        <v>1</v>
      </c>
      <c r="M2470" s="1">
        <v>803</v>
      </c>
      <c r="N2470" s="1">
        <v>1018</v>
      </c>
      <c r="O2470" s="1">
        <v>1018</v>
      </c>
      <c r="Q2470" s="1" t="s">
        <v>129</v>
      </c>
      <c r="S2470" s="1" t="s">
        <v>129</v>
      </c>
      <c r="T2470" s="1" t="s">
        <v>170</v>
      </c>
      <c r="U2470" s="1">
        <v>27</v>
      </c>
      <c r="V2470" s="5">
        <v>44040</v>
      </c>
      <c r="W2470" s="5">
        <v>43628</v>
      </c>
      <c r="X2470" s="1">
        <v>625000</v>
      </c>
      <c r="Y2470" s="1">
        <v>625000</v>
      </c>
      <c r="Z2470" s="5">
        <v>43655</v>
      </c>
      <c r="AA2470" s="1">
        <v>620000</v>
      </c>
      <c r="AB2470" s="1" t="s">
        <v>181</v>
      </c>
      <c r="AC2470" s="5">
        <v>43737</v>
      </c>
      <c r="AF2470" s="1">
        <v>10044</v>
      </c>
      <c r="AI2470" s="1" t="s">
        <v>84</v>
      </c>
      <c r="AJ2470" s="1">
        <v>1975</v>
      </c>
      <c r="AK2470" s="1" t="s">
        <v>77</v>
      </c>
      <c r="AL2470" s="1">
        <v>400</v>
      </c>
    </row>
    <row r="2471" spans="1:38" x14ac:dyDescent="0.2">
      <c r="A2471" s="2" t="str">
        <f>HYPERLINK("https://www.compass.com/listing/555-main-street-unit-1608-manhattan-ny-10044/4852265857927092865/","555 Main St, Unit 1608")</f>
        <v>555 Main St, Unit 1608</v>
      </c>
      <c r="B2471" s="2" t="str">
        <f t="shared" si="345"/>
        <v>Island House</v>
      </c>
      <c r="C2471" s="1" t="s">
        <v>128</v>
      </c>
      <c r="D2471" s="1" t="s">
        <v>41</v>
      </c>
      <c r="E2471" s="3">
        <v>650000</v>
      </c>
      <c r="F2471" s="1">
        <v>809.464508094645</v>
      </c>
      <c r="G2471" s="1">
        <v>4</v>
      </c>
      <c r="H2471" s="1">
        <v>1</v>
      </c>
      <c r="I2471" s="1">
        <v>1</v>
      </c>
      <c r="J2471" s="1">
        <v>1</v>
      </c>
      <c r="K2471" s="1">
        <v>1</v>
      </c>
      <c r="M2471" s="1">
        <v>803</v>
      </c>
      <c r="N2471" s="1">
        <v>836</v>
      </c>
      <c r="O2471" s="1">
        <v>836</v>
      </c>
      <c r="Q2471" s="1" t="s">
        <v>129</v>
      </c>
      <c r="S2471" s="1" t="s">
        <v>129</v>
      </c>
      <c r="T2471" s="1" t="s">
        <v>170</v>
      </c>
      <c r="U2471" s="1">
        <v>38</v>
      </c>
      <c r="V2471" s="5">
        <v>43663</v>
      </c>
      <c r="W2471" s="5">
        <v>42712</v>
      </c>
      <c r="X2471" s="1">
        <v>650000</v>
      </c>
      <c r="Y2471" s="1">
        <v>650000</v>
      </c>
      <c r="Z2471" s="5">
        <v>42750</v>
      </c>
      <c r="AA2471" s="1">
        <v>650000</v>
      </c>
      <c r="AB2471" s="1" t="s">
        <v>181</v>
      </c>
      <c r="AC2471" s="5">
        <v>42826</v>
      </c>
      <c r="AF2471" s="1">
        <v>10044</v>
      </c>
      <c r="AJ2471" s="1">
        <v>1975</v>
      </c>
      <c r="AK2471" s="1" t="s">
        <v>253</v>
      </c>
      <c r="AL2471" s="1">
        <v>400</v>
      </c>
    </row>
    <row r="2472" spans="1:38" x14ac:dyDescent="0.2">
      <c r="A2472" s="2" t="str">
        <f>HYPERLINK("https://www.compass.com/listing/2351-adam-clayton-powell-jr-boulevard-unit-419-manhattan-ny-10030/796315868883618769/","2351 Adam Clayton Powell Jr Blvd, Unit 419")</f>
        <v>2351 Adam Clayton Powell Jr Blvd, Unit 419</v>
      </c>
      <c r="B2472" s="2" t="str">
        <f t="shared" ref="B2472:B2473" si="346">HYPERLINK("https://www.compass.com/building/the-rennie-manhattan-ny/307439143554395509/","THE RENNIE")</f>
        <v>THE RENNIE</v>
      </c>
      <c r="C2472" s="1" t="s">
        <v>61</v>
      </c>
      <c r="D2472" s="1" t="s">
        <v>41</v>
      </c>
      <c r="E2472" s="3">
        <v>950000</v>
      </c>
      <c r="G2472" s="1">
        <v>4</v>
      </c>
      <c r="H2472" s="1">
        <v>2</v>
      </c>
      <c r="I2472" s="1">
        <v>1</v>
      </c>
      <c r="J2472" s="1">
        <v>1</v>
      </c>
      <c r="K2472" s="1">
        <v>1</v>
      </c>
      <c r="O2472" s="1">
        <v>1132</v>
      </c>
      <c r="P2472" s="1">
        <v>1132</v>
      </c>
      <c r="Q2472" s="1" t="s">
        <v>42</v>
      </c>
      <c r="S2472" s="1" t="s">
        <v>42</v>
      </c>
      <c r="T2472" s="1" t="s">
        <v>170</v>
      </c>
      <c r="V2472" s="5">
        <v>44351</v>
      </c>
      <c r="W2472" s="5">
        <v>44350</v>
      </c>
      <c r="X2472" s="1">
        <v>950000</v>
      </c>
      <c r="Y2472" s="1">
        <v>950000</v>
      </c>
      <c r="AA2472" s="1">
        <v>950000</v>
      </c>
      <c r="AB2472" s="1" t="s">
        <v>181</v>
      </c>
      <c r="AC2472" s="5">
        <v>44350</v>
      </c>
      <c r="AF2472" s="1">
        <v>10030</v>
      </c>
      <c r="AI2472" s="1" t="s">
        <v>45</v>
      </c>
      <c r="AJ2472" s="1">
        <v>2018</v>
      </c>
      <c r="AK2472" s="1" t="s">
        <v>49</v>
      </c>
      <c r="AL2472" s="1">
        <v>106</v>
      </c>
    </row>
    <row r="2473" spans="1:38" x14ac:dyDescent="0.2">
      <c r="A2473" s="2" t="str">
        <f>HYPERLINK("https://www.compass.com/listing/2351-adam-clayton-powell-jr-boulevard-unit-304-manhattan-ny-10030/71645764253718641/","2351 Adam Clayton Powell Jr Blvd, Unit 304")</f>
        <v>2351 Adam Clayton Powell Jr Blvd, Unit 304</v>
      </c>
      <c r="B2473" s="2" t="str">
        <f t="shared" si="346"/>
        <v>THE RENNIE</v>
      </c>
      <c r="C2473" s="1" t="s">
        <v>61</v>
      </c>
      <c r="D2473" s="1" t="s">
        <v>41</v>
      </c>
      <c r="E2473" s="3">
        <v>1025000</v>
      </c>
      <c r="F2473" s="1">
        <v>976.19047619047603</v>
      </c>
      <c r="G2473" s="1">
        <v>4</v>
      </c>
      <c r="H2473" s="1">
        <v>2</v>
      </c>
      <c r="I2473" s="1">
        <v>2</v>
      </c>
      <c r="J2473" s="1">
        <v>2</v>
      </c>
      <c r="K2473" s="1">
        <v>2</v>
      </c>
      <c r="M2473" s="4">
        <v>1050</v>
      </c>
      <c r="N2473" s="1">
        <v>1193</v>
      </c>
      <c r="O2473" s="1">
        <v>1212</v>
      </c>
      <c r="P2473" s="1">
        <v>19</v>
      </c>
      <c r="Q2473" s="1" t="s">
        <v>42</v>
      </c>
      <c r="S2473" s="1" t="s">
        <v>42</v>
      </c>
      <c r="T2473" s="1" t="s">
        <v>170</v>
      </c>
      <c r="V2473" s="5">
        <v>44370</v>
      </c>
      <c r="W2473" s="5">
        <v>44309</v>
      </c>
      <c r="X2473" s="1">
        <v>1075000</v>
      </c>
      <c r="Y2473" s="1">
        <v>1075000</v>
      </c>
      <c r="Z2473" s="5">
        <v>44310</v>
      </c>
      <c r="AA2473" s="1">
        <v>1025000</v>
      </c>
      <c r="AB2473" s="1" t="s">
        <v>1838</v>
      </c>
      <c r="AC2473" s="5">
        <v>44363</v>
      </c>
      <c r="AF2473" s="1">
        <v>10030</v>
      </c>
      <c r="AI2473" s="1" t="s">
        <v>45</v>
      </c>
      <c r="AJ2473" s="1">
        <v>2018</v>
      </c>
      <c r="AK2473" s="1" t="s">
        <v>77</v>
      </c>
      <c r="AL2473" s="1">
        <v>106</v>
      </c>
    </row>
    <row r="2474" spans="1:38" x14ac:dyDescent="0.2">
      <c r="A2474" s="2" t="str">
        <f>HYPERLINK("https://www.compass.com/listing/555-main-street-unit-1514-manhattan-ny-10044/776543753631503481/","555 Main St, Unit 1514")</f>
        <v>555 Main St, Unit 1514</v>
      </c>
      <c r="B2474" s="2" t="str">
        <f t="shared" ref="B2474:B2479" si="347">HYPERLINK("https://www.compass.com/building/island-house-manhattan-ny/282034908468103317/","Island House")</f>
        <v>Island House</v>
      </c>
      <c r="C2474" s="1" t="s">
        <v>128</v>
      </c>
      <c r="D2474" s="1" t="s">
        <v>41</v>
      </c>
      <c r="E2474" s="3">
        <v>1375000</v>
      </c>
      <c r="F2474" s="1">
        <v>830.31400966183503</v>
      </c>
      <c r="G2474" s="1">
        <v>5</v>
      </c>
      <c r="H2474" s="1">
        <v>3</v>
      </c>
      <c r="J2474" s="1">
        <v>3</v>
      </c>
      <c r="M2474" s="4">
        <v>1656</v>
      </c>
      <c r="N2474" s="1">
        <v>1811</v>
      </c>
      <c r="O2474" s="1">
        <v>1811</v>
      </c>
      <c r="S2474" s="1" t="s">
        <v>129</v>
      </c>
      <c r="T2474" s="1" t="s">
        <v>170</v>
      </c>
      <c r="U2474" s="1">
        <v>1</v>
      </c>
      <c r="V2474" s="5">
        <v>44362</v>
      </c>
      <c r="W2474" s="5">
        <v>44322</v>
      </c>
      <c r="X2474" s="1">
        <v>1375000</v>
      </c>
      <c r="Y2474" s="1">
        <v>1375000</v>
      </c>
      <c r="Z2474" s="5">
        <v>44323</v>
      </c>
      <c r="AA2474" s="1">
        <v>1375000</v>
      </c>
      <c r="AB2474" s="1" t="s">
        <v>181</v>
      </c>
      <c r="AC2474" s="5">
        <v>44361</v>
      </c>
      <c r="AF2474" s="1">
        <v>10044</v>
      </c>
      <c r="AJ2474" s="1">
        <v>1975</v>
      </c>
      <c r="AL2474" s="1">
        <v>400</v>
      </c>
    </row>
    <row r="2475" spans="1:38" x14ac:dyDescent="0.2">
      <c r="A2475" s="2" t="str">
        <f>HYPERLINK("https://www.compass.com/listing/555-main-street-unit-102-manhattan-ny-10044/4852269636634282881/","555 Main St, Unit 102")</f>
        <v>555 Main St, Unit 102</v>
      </c>
      <c r="B2475" s="2" t="str">
        <f t="shared" si="347"/>
        <v>Island House</v>
      </c>
      <c r="C2475" s="1" t="s">
        <v>128</v>
      </c>
      <c r="D2475" s="1" t="s">
        <v>41</v>
      </c>
      <c r="E2475" s="3">
        <v>715000</v>
      </c>
      <c r="F2475" s="1">
        <v>679.01234567901201</v>
      </c>
      <c r="G2475" s="1">
        <v>5</v>
      </c>
      <c r="H2475" s="1">
        <v>2</v>
      </c>
      <c r="I2475" s="1">
        <v>2</v>
      </c>
      <c r="J2475" s="1">
        <v>2</v>
      </c>
      <c r="K2475" s="1">
        <v>2</v>
      </c>
      <c r="M2475" s="4">
        <v>1053</v>
      </c>
      <c r="N2475" s="1">
        <v>908</v>
      </c>
      <c r="O2475" s="1">
        <v>908</v>
      </c>
      <c r="Q2475" s="1" t="s">
        <v>129</v>
      </c>
      <c r="S2475" s="1" t="s">
        <v>129</v>
      </c>
      <c r="T2475" s="1" t="s">
        <v>170</v>
      </c>
      <c r="U2475" s="1">
        <v>99</v>
      </c>
      <c r="V2475" s="5">
        <v>43662</v>
      </c>
      <c r="W2475" s="5">
        <v>42677</v>
      </c>
      <c r="X2475" s="1">
        <v>715000</v>
      </c>
      <c r="Y2475" s="1">
        <v>715000</v>
      </c>
      <c r="Z2475" s="5">
        <v>42776</v>
      </c>
      <c r="AA2475" s="1">
        <v>715000</v>
      </c>
      <c r="AB2475" s="1" t="s">
        <v>181</v>
      </c>
      <c r="AC2475" s="5">
        <v>42844</v>
      </c>
      <c r="AF2475" s="1">
        <v>10044</v>
      </c>
      <c r="AJ2475" s="1">
        <v>1975</v>
      </c>
      <c r="AK2475" s="1" t="s">
        <v>253</v>
      </c>
      <c r="AL2475" s="1">
        <v>400</v>
      </c>
    </row>
    <row r="2476" spans="1:38" x14ac:dyDescent="0.2">
      <c r="A2476" s="2" t="str">
        <f>HYPERLINK("https://www.compass.com/listing/555-main-street-unit-107-manhattan-ny-10044/192575570297583889/","555 Main St, Unit 107")</f>
        <v>555 Main St, Unit 107</v>
      </c>
      <c r="B2476" s="2" t="str">
        <f t="shared" si="347"/>
        <v>Island House</v>
      </c>
      <c r="C2476" s="1" t="s">
        <v>128</v>
      </c>
      <c r="D2476" s="1" t="s">
        <v>41</v>
      </c>
      <c r="E2476" s="3">
        <v>720000</v>
      </c>
      <c r="G2476" s="1">
        <v>5</v>
      </c>
      <c r="H2476" s="1">
        <v>2</v>
      </c>
      <c r="I2476" s="1">
        <v>2</v>
      </c>
      <c r="J2476" s="1">
        <v>2</v>
      </c>
      <c r="K2476" s="1">
        <v>2</v>
      </c>
      <c r="N2476" s="1">
        <v>953</v>
      </c>
      <c r="O2476" s="1">
        <v>953</v>
      </c>
      <c r="Q2476" s="1" t="s">
        <v>129</v>
      </c>
      <c r="S2476" s="1" t="s">
        <v>129</v>
      </c>
      <c r="T2476" s="1" t="s">
        <v>170</v>
      </c>
      <c r="V2476" s="5">
        <v>42833</v>
      </c>
      <c r="AA2476" s="1">
        <v>720000</v>
      </c>
      <c r="AB2476" s="1" t="s">
        <v>181</v>
      </c>
      <c r="AC2476" s="5">
        <v>42815</v>
      </c>
      <c r="AF2476" s="1">
        <v>10044</v>
      </c>
      <c r="AJ2476" s="1">
        <v>1975</v>
      </c>
      <c r="AK2476" s="1" t="s">
        <v>253</v>
      </c>
      <c r="AL2476" s="1">
        <v>400</v>
      </c>
    </row>
    <row r="2477" spans="1:38" x14ac:dyDescent="0.2">
      <c r="A2477" s="2" t="str">
        <f>HYPERLINK("https://www.compass.com/listing/555-main-street-unit-702-manhattan-ny-10044/4852273514729716033/","555 Main St, Unit 702")</f>
        <v>555 Main St, Unit 702</v>
      </c>
      <c r="B2477" s="2" t="str">
        <f t="shared" si="347"/>
        <v>Island House</v>
      </c>
      <c r="C2477" s="1" t="s">
        <v>128</v>
      </c>
      <c r="D2477" s="1" t="s">
        <v>41</v>
      </c>
      <c r="E2477" s="3">
        <v>765000</v>
      </c>
      <c r="F2477" s="1">
        <v>726.49572649572599</v>
      </c>
      <c r="G2477" s="1">
        <v>4</v>
      </c>
      <c r="H2477" s="1">
        <v>2</v>
      </c>
      <c r="I2477" s="1">
        <v>2</v>
      </c>
      <c r="J2477" s="1">
        <v>2</v>
      </c>
      <c r="K2477" s="1">
        <v>2</v>
      </c>
      <c r="M2477" s="4">
        <v>1053</v>
      </c>
      <c r="N2477" s="1">
        <v>1106</v>
      </c>
      <c r="O2477" s="1">
        <v>1106</v>
      </c>
      <c r="Q2477" s="1" t="s">
        <v>129</v>
      </c>
      <c r="S2477" s="1" t="s">
        <v>129</v>
      </c>
      <c r="T2477" s="1" t="s">
        <v>170</v>
      </c>
      <c r="U2477" s="1">
        <v>101</v>
      </c>
      <c r="V2477" s="5">
        <v>43664</v>
      </c>
      <c r="W2477" s="5">
        <v>42511</v>
      </c>
      <c r="X2477" s="1">
        <v>755000</v>
      </c>
      <c r="Y2477" s="1">
        <v>765000</v>
      </c>
      <c r="Z2477" s="5">
        <v>42612</v>
      </c>
      <c r="AA2477" s="1">
        <v>765000</v>
      </c>
      <c r="AB2477" s="1" t="s">
        <v>181</v>
      </c>
      <c r="AC2477" s="5">
        <v>42761</v>
      </c>
      <c r="AF2477" s="1">
        <v>10044</v>
      </c>
      <c r="AJ2477" s="1">
        <v>1975</v>
      </c>
      <c r="AK2477" s="1" t="s">
        <v>77</v>
      </c>
      <c r="AL2477" s="1">
        <v>400</v>
      </c>
    </row>
    <row r="2478" spans="1:38" x14ac:dyDescent="0.2">
      <c r="A2478" s="2" t="str">
        <f>HYPERLINK("https://www.compass.com/listing/555-main-street-unit-602-manhattan-ny-10044/29410503168116993/","555 Main St, Unit 602")</f>
        <v>555 Main St, Unit 602</v>
      </c>
      <c r="B2478" s="2" t="str">
        <f t="shared" si="347"/>
        <v>Island House</v>
      </c>
      <c r="C2478" s="1" t="s">
        <v>128</v>
      </c>
      <c r="D2478" s="1" t="s">
        <v>41</v>
      </c>
      <c r="E2478" s="3">
        <v>755000</v>
      </c>
      <c r="F2478" s="1">
        <v>716.99905033238304</v>
      </c>
      <c r="G2478" s="1">
        <v>4</v>
      </c>
      <c r="H2478" s="1">
        <v>2</v>
      </c>
      <c r="I2478" s="1">
        <v>2</v>
      </c>
      <c r="J2478" s="1">
        <v>2</v>
      </c>
      <c r="K2478" s="1">
        <v>2</v>
      </c>
      <c r="M2478" s="4">
        <v>1053</v>
      </c>
      <c r="N2478" s="1">
        <v>1157</v>
      </c>
      <c r="O2478" s="1">
        <v>1157</v>
      </c>
      <c r="Q2478" s="1" t="s">
        <v>129</v>
      </c>
      <c r="S2478" s="1" t="s">
        <v>129</v>
      </c>
      <c r="T2478" s="1" t="s">
        <v>170</v>
      </c>
      <c r="U2478" s="1">
        <v>153</v>
      </c>
      <c r="V2478" s="5">
        <v>43673</v>
      </c>
      <c r="W2478" s="5">
        <v>42161</v>
      </c>
      <c r="X2478" s="1">
        <v>735000</v>
      </c>
      <c r="Y2478" s="1">
        <v>755000</v>
      </c>
      <c r="Z2478" s="5">
        <v>42314</v>
      </c>
      <c r="AA2478" s="1">
        <v>755000</v>
      </c>
      <c r="AB2478" s="1" t="s">
        <v>181</v>
      </c>
      <c r="AC2478" s="5">
        <v>42734</v>
      </c>
      <c r="AF2478" s="1">
        <v>10044</v>
      </c>
      <c r="AJ2478" s="1">
        <v>1975</v>
      </c>
      <c r="AK2478" s="1" t="s">
        <v>253</v>
      </c>
      <c r="AL2478" s="1">
        <v>400</v>
      </c>
    </row>
    <row r="2479" spans="1:38" x14ac:dyDescent="0.2">
      <c r="A2479" s="2" t="str">
        <f>HYPERLINK("https://www.compass.com/listing/555-main-street-unit-1402-manhattan-ny-10044/4852264437911918033/","555 Main St, Unit 1402")</f>
        <v>555 Main St, Unit 1402</v>
      </c>
      <c r="B2479" s="2" t="str">
        <f t="shared" si="347"/>
        <v>Island House</v>
      </c>
      <c r="C2479" s="1" t="s">
        <v>128</v>
      </c>
      <c r="D2479" s="1" t="s">
        <v>41</v>
      </c>
      <c r="E2479" s="3">
        <v>850000</v>
      </c>
      <c r="F2479" s="1">
        <v>807.21747388413996</v>
      </c>
      <c r="G2479" s="1">
        <v>5</v>
      </c>
      <c r="H2479" s="1">
        <v>2</v>
      </c>
      <c r="I2479" s="1">
        <v>2</v>
      </c>
      <c r="J2479" s="1">
        <v>2</v>
      </c>
      <c r="K2479" s="1">
        <v>2</v>
      </c>
      <c r="M2479" s="4">
        <v>1053</v>
      </c>
      <c r="N2479" s="1">
        <v>1230</v>
      </c>
      <c r="O2479" s="1">
        <v>1230</v>
      </c>
      <c r="Q2479" s="1" t="s">
        <v>129</v>
      </c>
      <c r="S2479" s="1" t="s">
        <v>129</v>
      </c>
      <c r="T2479" s="1" t="s">
        <v>170</v>
      </c>
      <c r="U2479" s="1">
        <v>32</v>
      </c>
      <c r="V2479" s="5">
        <v>43672</v>
      </c>
      <c r="W2479" s="5">
        <v>42585</v>
      </c>
      <c r="X2479" s="1">
        <v>850000</v>
      </c>
      <c r="Y2479" s="1">
        <v>850000</v>
      </c>
      <c r="Z2479" s="5">
        <v>42617</v>
      </c>
      <c r="AA2479" s="1">
        <v>850000</v>
      </c>
      <c r="AB2479" s="1" t="s">
        <v>181</v>
      </c>
      <c r="AC2479" s="5">
        <v>42761</v>
      </c>
      <c r="AF2479" s="1">
        <v>10044</v>
      </c>
      <c r="AJ2479" s="1">
        <v>1975</v>
      </c>
      <c r="AK2479" s="1" t="s">
        <v>253</v>
      </c>
      <c r="AL2479" s="1">
        <v>400</v>
      </c>
    </row>
    <row r="2480" spans="1:38" x14ac:dyDescent="0.2">
      <c r="A2480" s="2" t="str">
        <f>HYPERLINK("https://www.compass.com/listing/2351-adam-clayton-powell-jr-boulevard-unit-ph24-manhattan-ny-10030/171037791466079905/","2351 Adam Clayton Powell Jr Blvd, Unit PH24")</f>
        <v>2351 Adam Clayton Powell Jr Blvd, Unit PH24</v>
      </c>
      <c r="B2480" s="2" t="str">
        <f t="shared" ref="B2480:B2482" si="348">HYPERLINK("https://www.compass.com/building/the-rennie-manhattan-ny/307439143554395509/","THE RENNIE")</f>
        <v>THE RENNIE</v>
      </c>
      <c r="C2480" s="1" t="s">
        <v>61</v>
      </c>
      <c r="D2480" s="1" t="s">
        <v>41</v>
      </c>
      <c r="E2480" s="3">
        <v>1074000</v>
      </c>
      <c r="F2480" s="1">
        <v>1257.6112412177899</v>
      </c>
      <c r="G2480" s="1">
        <v>4</v>
      </c>
      <c r="H2480" s="1">
        <v>2</v>
      </c>
      <c r="I2480" s="1">
        <v>2</v>
      </c>
      <c r="J2480" s="1">
        <v>2</v>
      </c>
      <c r="K2480" s="1">
        <v>2</v>
      </c>
      <c r="M2480" s="1">
        <v>854</v>
      </c>
      <c r="N2480" s="1">
        <v>970</v>
      </c>
      <c r="O2480" s="1">
        <v>1008</v>
      </c>
      <c r="P2480" s="1">
        <v>38</v>
      </c>
      <c r="Q2480" s="1" t="s">
        <v>42</v>
      </c>
      <c r="S2480" s="1" t="s">
        <v>42</v>
      </c>
      <c r="T2480" s="1" t="s">
        <v>170</v>
      </c>
      <c r="U2480" s="1">
        <v>15</v>
      </c>
      <c r="V2480" s="5">
        <v>43846</v>
      </c>
      <c r="W2480" s="5">
        <v>43472</v>
      </c>
      <c r="X2480" s="1">
        <v>1074000</v>
      </c>
      <c r="Y2480" s="1">
        <v>1074000</v>
      </c>
      <c r="Z2480" s="5">
        <v>43488</v>
      </c>
      <c r="AA2480" s="1">
        <v>1074000</v>
      </c>
      <c r="AB2480" s="1" t="s">
        <v>181</v>
      </c>
      <c r="AC2480" s="5">
        <v>43812</v>
      </c>
      <c r="AF2480" s="1">
        <v>10030</v>
      </c>
      <c r="AI2480" s="1" t="s">
        <v>1839</v>
      </c>
      <c r="AJ2480" s="1">
        <v>2018</v>
      </c>
      <c r="AK2480" s="1" t="s">
        <v>77</v>
      </c>
      <c r="AL2480" s="1">
        <v>106</v>
      </c>
    </row>
    <row r="2481" spans="1:38" x14ac:dyDescent="0.2">
      <c r="A2481" s="2" t="str">
        <f>HYPERLINK("https://www.compass.com/listing/2351-adam-clayton-powell-jr-boulevard-unit-319-manhattan-ny-10030/304065780072878705/","2351 Adam Clayton Powell Jr Blvd, Unit 319")</f>
        <v>2351 Adam Clayton Powell Jr Blvd, Unit 319</v>
      </c>
      <c r="B2481" s="2" t="str">
        <f t="shared" si="348"/>
        <v>THE RENNIE</v>
      </c>
      <c r="C2481" s="1" t="s">
        <v>61</v>
      </c>
      <c r="D2481" s="1" t="s">
        <v>41</v>
      </c>
      <c r="E2481" s="3">
        <v>1075000</v>
      </c>
      <c r="F2481" s="1">
        <v>1079.3172690762999</v>
      </c>
      <c r="G2481" s="1">
        <v>4</v>
      </c>
      <c r="H2481" s="1">
        <v>2</v>
      </c>
      <c r="I2481" s="1">
        <v>2</v>
      </c>
      <c r="J2481" s="1">
        <v>2</v>
      </c>
      <c r="K2481" s="1">
        <v>2</v>
      </c>
      <c r="M2481" s="1">
        <v>996</v>
      </c>
      <c r="N2481" s="1">
        <v>1132</v>
      </c>
      <c r="O2481" s="1">
        <v>1176</v>
      </c>
      <c r="P2481" s="1">
        <v>44</v>
      </c>
      <c r="Q2481" s="1" t="s">
        <v>42</v>
      </c>
      <c r="S2481" s="1" t="s">
        <v>42</v>
      </c>
      <c r="T2481" s="1" t="s">
        <v>170</v>
      </c>
      <c r="U2481" s="1">
        <v>400</v>
      </c>
      <c r="V2481" s="5">
        <v>43846</v>
      </c>
      <c r="W2481" s="5">
        <v>43271</v>
      </c>
      <c r="X2481" s="1">
        <v>1135000</v>
      </c>
      <c r="Y2481" s="1">
        <v>1135000</v>
      </c>
      <c r="Z2481" s="5">
        <v>43671</v>
      </c>
      <c r="AA2481" s="1">
        <v>1075000</v>
      </c>
      <c r="AB2481" s="1" t="s">
        <v>1840</v>
      </c>
      <c r="AC2481" s="5">
        <v>43826</v>
      </c>
      <c r="AF2481" s="1">
        <v>10030</v>
      </c>
      <c r="AI2481" s="1" t="s">
        <v>45</v>
      </c>
      <c r="AJ2481" s="1">
        <v>2018</v>
      </c>
      <c r="AK2481" s="1" t="s">
        <v>77</v>
      </c>
      <c r="AL2481" s="1">
        <v>106</v>
      </c>
    </row>
    <row r="2482" spans="1:38" x14ac:dyDescent="0.2">
      <c r="A2482" s="2" t="str">
        <f>HYPERLINK("https://www.compass.com/listing/2351-adam-clayton-powell-jr-boulevard-unit-613-manhattan-ny-10030/438651886896581881/","2351 Adam Clayton Powell Jr Blvd, Unit 613")</f>
        <v>2351 Adam Clayton Powell Jr Blvd, Unit 613</v>
      </c>
      <c r="B2482" s="2" t="str">
        <f t="shared" si="348"/>
        <v>THE RENNIE</v>
      </c>
      <c r="C2482" s="1" t="s">
        <v>61</v>
      </c>
      <c r="D2482" s="1" t="s">
        <v>41</v>
      </c>
      <c r="E2482" s="3">
        <v>960000</v>
      </c>
      <c r="F2482" s="1">
        <v>1060.7734806629801</v>
      </c>
      <c r="G2482" s="1">
        <v>4</v>
      </c>
      <c r="H2482" s="1">
        <v>2</v>
      </c>
      <c r="I2482" s="1">
        <v>2</v>
      </c>
      <c r="J2482" s="1">
        <v>2</v>
      </c>
      <c r="K2482" s="1">
        <v>2</v>
      </c>
      <c r="M2482" s="1">
        <v>905</v>
      </c>
      <c r="N2482" s="1">
        <v>1028</v>
      </c>
      <c r="O2482" s="1">
        <v>1068</v>
      </c>
      <c r="P2482" s="1">
        <v>40</v>
      </c>
      <c r="Q2482" s="1" t="s">
        <v>42</v>
      </c>
      <c r="S2482" s="1" t="s">
        <v>42</v>
      </c>
      <c r="T2482" s="1" t="s">
        <v>170</v>
      </c>
      <c r="U2482" s="1">
        <v>586</v>
      </c>
      <c r="V2482" s="5">
        <v>43979</v>
      </c>
      <c r="W2482" s="5">
        <v>43271</v>
      </c>
      <c r="X2482" s="1">
        <v>998000</v>
      </c>
      <c r="Y2482" s="1">
        <v>998000</v>
      </c>
      <c r="Z2482" s="5">
        <v>43857</v>
      </c>
      <c r="AA2482" s="1">
        <v>960000</v>
      </c>
      <c r="AB2482" s="1" t="s">
        <v>1841</v>
      </c>
      <c r="AC2482" s="5">
        <v>43972</v>
      </c>
      <c r="AF2482" s="1">
        <v>10030</v>
      </c>
      <c r="AI2482" s="1" t="s">
        <v>45</v>
      </c>
      <c r="AJ2482" s="1">
        <v>2018</v>
      </c>
      <c r="AK2482" s="1" t="s">
        <v>77</v>
      </c>
      <c r="AL2482" s="1">
        <v>106</v>
      </c>
    </row>
    <row r="2483" spans="1:38" x14ac:dyDescent="0.2">
      <c r="A2483" s="2" t="str">
        <f>HYPERLINK("https://www.compass.com/listing/555-main-street-unit-1202-manhattan-ny-10044/4852277399905118705/","555 Main St, Unit 1202")</f>
        <v>555 Main St, Unit 1202</v>
      </c>
      <c r="B2483" s="2" t="str">
        <f t="shared" ref="B2483:B2484" si="349">HYPERLINK("https://www.compass.com/building/island-house-manhattan-ny/282034908468103317/","Island House")</f>
        <v>Island House</v>
      </c>
      <c r="C2483" s="1" t="s">
        <v>128</v>
      </c>
      <c r="D2483" s="1" t="s">
        <v>41</v>
      </c>
      <c r="E2483" s="3">
        <v>845000</v>
      </c>
      <c r="F2483" s="1">
        <v>802.46913580246905</v>
      </c>
      <c r="G2483" s="1">
        <v>5</v>
      </c>
      <c r="H2483" s="1">
        <v>2</v>
      </c>
      <c r="I2483" s="1">
        <v>2</v>
      </c>
      <c r="J2483" s="1">
        <v>2</v>
      </c>
      <c r="K2483" s="1">
        <v>2</v>
      </c>
      <c r="M2483" s="4">
        <v>1053</v>
      </c>
      <c r="N2483" s="1">
        <v>1159</v>
      </c>
      <c r="O2483" s="1">
        <v>1159</v>
      </c>
      <c r="Q2483" s="1" t="s">
        <v>129</v>
      </c>
      <c r="S2483" s="1" t="s">
        <v>129</v>
      </c>
      <c r="T2483" s="1" t="s">
        <v>170</v>
      </c>
      <c r="U2483" s="1">
        <v>115</v>
      </c>
      <c r="V2483" s="5">
        <v>43662</v>
      </c>
      <c r="W2483" s="5">
        <v>42774</v>
      </c>
      <c r="X2483" s="1">
        <v>845000</v>
      </c>
      <c r="Y2483" s="1">
        <v>845000</v>
      </c>
      <c r="Z2483" s="5">
        <v>42889</v>
      </c>
      <c r="AA2483" s="1">
        <v>845000</v>
      </c>
      <c r="AB2483" s="1" t="s">
        <v>181</v>
      </c>
      <c r="AC2483" s="5">
        <v>42941</v>
      </c>
      <c r="AF2483" s="1">
        <v>10044</v>
      </c>
      <c r="AJ2483" s="1">
        <v>1975</v>
      </c>
      <c r="AK2483" s="1" t="s">
        <v>253</v>
      </c>
      <c r="AL2483" s="1">
        <v>400</v>
      </c>
    </row>
    <row r="2484" spans="1:38" x14ac:dyDescent="0.2">
      <c r="A2484" s="2" t="str">
        <f>HYPERLINK("https://www.compass.com/listing/555-main-street-unit-804-manhattan-ny-10044/4852276917593717761/","555 Main St, Unit 804")</f>
        <v>555 Main St, Unit 804</v>
      </c>
      <c r="B2484" s="2" t="str">
        <f t="shared" si="349"/>
        <v>Island House</v>
      </c>
      <c r="C2484" s="1" t="s">
        <v>128</v>
      </c>
      <c r="D2484" s="1" t="s">
        <v>41</v>
      </c>
      <c r="E2484" s="3">
        <v>1020000</v>
      </c>
      <c r="F2484" s="1">
        <v>921.40921409214002</v>
      </c>
      <c r="G2484" s="1">
        <v>5</v>
      </c>
      <c r="H2484" s="1">
        <v>2</v>
      </c>
      <c r="I2484" s="1">
        <v>2</v>
      </c>
      <c r="J2484" s="1">
        <v>2</v>
      </c>
      <c r="K2484" s="1">
        <v>2</v>
      </c>
      <c r="M2484" s="4">
        <v>1107</v>
      </c>
      <c r="N2484" s="1">
        <v>1225</v>
      </c>
      <c r="O2484" s="1">
        <v>1225</v>
      </c>
      <c r="Q2484" s="1" t="s">
        <v>129</v>
      </c>
      <c r="S2484" s="1" t="s">
        <v>129</v>
      </c>
      <c r="T2484" s="1" t="s">
        <v>170</v>
      </c>
      <c r="U2484" s="1">
        <v>285</v>
      </c>
      <c r="V2484" s="5">
        <v>43662</v>
      </c>
      <c r="W2484" s="5">
        <v>42307</v>
      </c>
      <c r="X2484" s="1">
        <v>1030000</v>
      </c>
      <c r="Y2484" s="1">
        <v>1020000</v>
      </c>
      <c r="Z2484" s="5">
        <v>42872</v>
      </c>
      <c r="AA2484" s="1">
        <v>1020000</v>
      </c>
      <c r="AB2484" s="1" t="s">
        <v>181</v>
      </c>
      <c r="AC2484" s="5">
        <v>42941</v>
      </c>
      <c r="AF2484" s="1">
        <v>10044</v>
      </c>
      <c r="AJ2484" s="1">
        <v>1975</v>
      </c>
      <c r="AK2484" s="1" t="s">
        <v>253</v>
      </c>
      <c r="AL2484" s="1">
        <v>400</v>
      </c>
    </row>
    <row r="2485" spans="1:38" x14ac:dyDescent="0.2">
      <c r="A2485" s="2" t="str">
        <f>HYPERLINK("https://www.compass.com/listing/2351-adam-clayton-powell-jr-boulevard-unit-ph19-manhattan-ny-10030/227483887314530689/","2351 Adam Clayton Powell Jr Blvd, Unit PH19")</f>
        <v>2351 Adam Clayton Powell Jr Blvd, Unit PH19</v>
      </c>
      <c r="B2485" s="2" t="str">
        <f t="shared" ref="B2485:B2496" si="350">HYPERLINK("https://www.compass.com/building/the-rennie-manhattan-ny/307439143554395509/","THE RENNIE")</f>
        <v>THE RENNIE</v>
      </c>
      <c r="C2485" s="1" t="s">
        <v>61</v>
      </c>
      <c r="D2485" s="1" t="s">
        <v>41</v>
      </c>
      <c r="E2485" s="3">
        <v>1160000</v>
      </c>
      <c r="G2485" s="1">
        <v>4.5</v>
      </c>
      <c r="H2485" s="1">
        <v>2</v>
      </c>
      <c r="I2485" s="1">
        <v>2</v>
      </c>
      <c r="J2485" s="1">
        <v>2</v>
      </c>
      <c r="K2485" s="1">
        <v>2</v>
      </c>
      <c r="N2485" s="1">
        <v>1115</v>
      </c>
      <c r="O2485" s="1">
        <v>1159</v>
      </c>
      <c r="P2485" s="1">
        <v>44</v>
      </c>
      <c r="Q2485" s="1" t="s">
        <v>42</v>
      </c>
      <c r="S2485" s="1" t="s">
        <v>42</v>
      </c>
      <c r="T2485" s="1" t="s">
        <v>170</v>
      </c>
      <c r="U2485" s="1">
        <v>93</v>
      </c>
      <c r="V2485" s="5">
        <v>43846</v>
      </c>
      <c r="W2485" s="5">
        <v>43472</v>
      </c>
      <c r="X2485" s="1">
        <v>1160000</v>
      </c>
      <c r="Y2485" s="1">
        <v>1160000</v>
      </c>
      <c r="Z2485" s="5">
        <v>43566</v>
      </c>
      <c r="AA2485" s="1">
        <v>1160000</v>
      </c>
      <c r="AB2485" s="1" t="s">
        <v>181</v>
      </c>
      <c r="AC2485" s="5">
        <v>43811</v>
      </c>
      <c r="AF2485" s="1">
        <v>10030</v>
      </c>
      <c r="AI2485" s="1" t="s">
        <v>1839</v>
      </c>
      <c r="AJ2485" s="1">
        <v>2018</v>
      </c>
      <c r="AK2485" s="1" t="s">
        <v>77</v>
      </c>
      <c r="AL2485" s="1">
        <v>106</v>
      </c>
    </row>
    <row r="2486" spans="1:38" x14ac:dyDescent="0.2">
      <c r="A2486" s="2" t="str">
        <f>HYPERLINK("https://www.compass.com/listing/2351-adam-clayton-powell-jr-boulevard-unit-214-manhattan-ny-10030/313027803922089169/","2351 Adam Clayton Powell Jr Blvd, Unit 214")</f>
        <v>2351 Adam Clayton Powell Jr Blvd, Unit 214</v>
      </c>
      <c r="B2486" s="2" t="str">
        <f t="shared" si="350"/>
        <v>THE RENNIE</v>
      </c>
      <c r="C2486" s="1" t="s">
        <v>61</v>
      </c>
      <c r="D2486" s="1" t="s">
        <v>41</v>
      </c>
      <c r="E2486" s="3">
        <v>1130971</v>
      </c>
      <c r="F2486" s="1">
        <v>1252.4595791805</v>
      </c>
      <c r="G2486" s="1">
        <v>4</v>
      </c>
      <c r="H2486" s="1">
        <v>2</v>
      </c>
      <c r="I2486" s="1">
        <v>2</v>
      </c>
      <c r="J2486" s="1">
        <v>2</v>
      </c>
      <c r="K2486" s="1">
        <v>2</v>
      </c>
      <c r="M2486" s="1">
        <v>903</v>
      </c>
      <c r="N2486" s="1">
        <v>1026</v>
      </c>
      <c r="O2486" s="1">
        <v>1066</v>
      </c>
      <c r="P2486" s="1">
        <v>40</v>
      </c>
      <c r="Q2486" s="1" t="s">
        <v>42</v>
      </c>
      <c r="S2486" s="1" t="s">
        <v>42</v>
      </c>
      <c r="T2486" s="1" t="s">
        <v>170</v>
      </c>
      <c r="U2486" s="1">
        <v>413</v>
      </c>
      <c r="V2486" s="5">
        <v>43846</v>
      </c>
      <c r="W2486" s="5">
        <v>43270</v>
      </c>
      <c r="X2486" s="1">
        <v>1108000</v>
      </c>
      <c r="Y2486" s="1">
        <v>1108000</v>
      </c>
      <c r="Z2486" s="5">
        <v>43684</v>
      </c>
      <c r="AA2486" s="1">
        <v>1130971</v>
      </c>
      <c r="AB2486" s="1" t="s">
        <v>1842</v>
      </c>
      <c r="AC2486" s="5">
        <v>43829</v>
      </c>
      <c r="AF2486" s="1">
        <v>10030</v>
      </c>
      <c r="AI2486" s="1" t="s">
        <v>74</v>
      </c>
      <c r="AJ2486" s="1">
        <v>2018</v>
      </c>
      <c r="AK2486" s="1" t="s">
        <v>77</v>
      </c>
      <c r="AL2486" s="1">
        <v>106</v>
      </c>
    </row>
    <row r="2487" spans="1:38" x14ac:dyDescent="0.2">
      <c r="A2487" s="2" t="str">
        <f>HYPERLINK("https://www.compass.com/listing/2351-adam-clayton-powell-jr-boulevard-unit-ph1-manhattan-ny-10030/119420706135064609/","2351 Adam Clayton Powell Jr Blvd, Unit PH1")</f>
        <v>2351 Adam Clayton Powell Jr Blvd, Unit PH1</v>
      </c>
      <c r="B2487" s="2" t="str">
        <f t="shared" si="350"/>
        <v>THE RENNIE</v>
      </c>
      <c r="C2487" s="1" t="s">
        <v>61</v>
      </c>
      <c r="D2487" s="1" t="s">
        <v>41</v>
      </c>
      <c r="E2487" s="3">
        <v>958000</v>
      </c>
      <c r="F2487" s="1">
        <v>1148.6810551558699</v>
      </c>
      <c r="G2487" s="1">
        <v>3</v>
      </c>
      <c r="H2487" s="1">
        <v>1</v>
      </c>
      <c r="I2487" s="1">
        <v>1</v>
      </c>
      <c r="J2487" s="1">
        <v>1</v>
      </c>
      <c r="K2487" s="1">
        <v>1</v>
      </c>
      <c r="M2487" s="1">
        <v>834</v>
      </c>
      <c r="N2487" s="1">
        <v>947</v>
      </c>
      <c r="O2487" s="1">
        <v>984</v>
      </c>
      <c r="P2487" s="1">
        <v>37</v>
      </c>
      <c r="Q2487" s="1" t="s">
        <v>42</v>
      </c>
      <c r="S2487" s="1" t="s">
        <v>42</v>
      </c>
      <c r="T2487" s="1" t="s">
        <v>170</v>
      </c>
      <c r="U2487" s="1">
        <v>6</v>
      </c>
      <c r="V2487" s="5">
        <v>43846</v>
      </c>
      <c r="W2487" s="5">
        <v>43410</v>
      </c>
      <c r="X2487" s="1">
        <v>958000</v>
      </c>
      <c r="Y2487" s="1">
        <v>958000</v>
      </c>
      <c r="Z2487" s="5">
        <v>43417</v>
      </c>
      <c r="AA2487" s="1">
        <v>958000</v>
      </c>
      <c r="AB2487" s="1" t="s">
        <v>181</v>
      </c>
      <c r="AC2487" s="5">
        <v>43775</v>
      </c>
      <c r="AF2487" s="1">
        <v>10030</v>
      </c>
      <c r="AI2487" s="1" t="s">
        <v>1839</v>
      </c>
      <c r="AJ2487" s="1">
        <v>2018</v>
      </c>
      <c r="AK2487" s="1" t="s">
        <v>77</v>
      </c>
      <c r="AL2487" s="1">
        <v>106</v>
      </c>
    </row>
    <row r="2488" spans="1:38" x14ac:dyDescent="0.2">
      <c r="A2488" s="2" t="str">
        <f>HYPERLINK("https://www.compass.com/listing/2351-adam-clayton-powell-jr-boulevard-unit-608-manhattan-ny-10030/171023388519767153/","2351 Adam Clayton Powell Jr Blvd, Unit 608")</f>
        <v>2351 Adam Clayton Powell Jr Blvd, Unit 608</v>
      </c>
      <c r="B2488" s="2" t="str">
        <f t="shared" si="350"/>
        <v>THE RENNIE</v>
      </c>
      <c r="C2488" s="1" t="s">
        <v>61</v>
      </c>
      <c r="D2488" s="1" t="s">
        <v>41</v>
      </c>
      <c r="E2488" s="3">
        <v>791689</v>
      </c>
      <c r="F2488" s="1">
        <v>1205.0066666666601</v>
      </c>
      <c r="G2488" s="1">
        <v>3</v>
      </c>
      <c r="H2488" s="1">
        <v>1</v>
      </c>
      <c r="I2488" s="1">
        <v>1</v>
      </c>
      <c r="J2488" s="1">
        <v>1</v>
      </c>
      <c r="K2488" s="1">
        <v>1</v>
      </c>
      <c r="M2488" s="1">
        <v>657</v>
      </c>
      <c r="N2488" s="1">
        <v>747</v>
      </c>
      <c r="O2488" s="1">
        <v>776</v>
      </c>
      <c r="P2488" s="1">
        <v>29</v>
      </c>
      <c r="Q2488" s="1" t="s">
        <v>42</v>
      </c>
      <c r="S2488" s="1" t="s">
        <v>42</v>
      </c>
      <c r="T2488" s="1" t="s">
        <v>170</v>
      </c>
      <c r="U2488" s="1">
        <v>216</v>
      </c>
      <c r="V2488" s="5">
        <v>43812</v>
      </c>
      <c r="W2488" s="5">
        <v>43271</v>
      </c>
      <c r="X2488" s="1">
        <v>770000</v>
      </c>
      <c r="Y2488" s="1">
        <v>770000</v>
      </c>
      <c r="Z2488" s="5">
        <v>43488</v>
      </c>
      <c r="AA2488" s="1">
        <v>791689.38</v>
      </c>
      <c r="AB2488" s="1" t="s">
        <v>1843</v>
      </c>
      <c r="AC2488" s="5">
        <v>43810</v>
      </c>
      <c r="AF2488" s="1">
        <v>10030</v>
      </c>
      <c r="AI2488" s="1" t="s">
        <v>124</v>
      </c>
      <c r="AJ2488" s="1">
        <v>2018</v>
      </c>
      <c r="AK2488" s="1" t="s">
        <v>77</v>
      </c>
      <c r="AL2488" s="1">
        <v>106</v>
      </c>
    </row>
    <row r="2489" spans="1:38" x14ac:dyDescent="0.2">
      <c r="A2489" s="2" t="str">
        <f>HYPERLINK("https://www.compass.com/listing/2351-adam-clayton-powell-jr-boulevard-unit-406-manhattan-ny-10030/176768091458460513/","2351 Adam Clayton Powell Jr Blvd, Unit 406")</f>
        <v>2351 Adam Clayton Powell Jr Blvd, Unit 406</v>
      </c>
      <c r="B2489" s="2" t="str">
        <f t="shared" si="350"/>
        <v>THE RENNIE</v>
      </c>
      <c r="C2489" s="1" t="s">
        <v>61</v>
      </c>
      <c r="D2489" s="1" t="s">
        <v>41</v>
      </c>
      <c r="E2489" s="3">
        <v>776620</v>
      </c>
      <c r="F2489" s="1">
        <v>1194.8</v>
      </c>
      <c r="G2489" s="1">
        <v>3</v>
      </c>
      <c r="H2489" s="1">
        <v>1</v>
      </c>
      <c r="I2489" s="1">
        <v>1</v>
      </c>
      <c r="J2489" s="1">
        <v>1</v>
      </c>
      <c r="K2489" s="1">
        <v>1</v>
      </c>
      <c r="M2489" s="1">
        <v>650</v>
      </c>
      <c r="N2489" s="1">
        <v>739</v>
      </c>
      <c r="O2489" s="1">
        <v>768</v>
      </c>
      <c r="P2489" s="1">
        <v>29</v>
      </c>
      <c r="Q2489" s="1" t="s">
        <v>42</v>
      </c>
      <c r="S2489" s="1" t="s">
        <v>42</v>
      </c>
      <c r="T2489" s="1" t="s">
        <v>170</v>
      </c>
      <c r="U2489" s="1">
        <v>224</v>
      </c>
      <c r="V2489" s="5">
        <v>44091</v>
      </c>
      <c r="W2489" s="5">
        <v>43271</v>
      </c>
      <c r="X2489" s="1">
        <v>760000</v>
      </c>
      <c r="Y2489" s="1">
        <v>760000</v>
      </c>
      <c r="Z2489" s="5">
        <v>43496</v>
      </c>
      <c r="AA2489" s="1">
        <v>776620</v>
      </c>
      <c r="AB2489" s="1" t="s">
        <v>1844</v>
      </c>
      <c r="AC2489" s="5">
        <v>44076</v>
      </c>
      <c r="AF2489" s="1">
        <v>10030</v>
      </c>
      <c r="AI2489" s="1" t="s">
        <v>45</v>
      </c>
      <c r="AJ2489" s="1">
        <v>2018</v>
      </c>
      <c r="AK2489" s="1" t="s">
        <v>77</v>
      </c>
      <c r="AL2489" s="1">
        <v>106</v>
      </c>
    </row>
    <row r="2490" spans="1:38" x14ac:dyDescent="0.2">
      <c r="A2490" s="2" t="str">
        <f>HYPERLINK("https://www.compass.com/listing/2351-adam-clayton-powell-jr-boulevard-unit-308-manhattan-ny-10030/186832183028205633/","2351 Adam Clayton Powell Jr Blvd, Unit 308")</f>
        <v>2351 Adam Clayton Powell Jr Blvd, Unit 308</v>
      </c>
      <c r="B2490" s="2" t="str">
        <f t="shared" si="350"/>
        <v>THE RENNIE</v>
      </c>
      <c r="C2490" s="1" t="s">
        <v>61</v>
      </c>
      <c r="D2490" s="1" t="s">
        <v>41</v>
      </c>
      <c r="E2490" s="3">
        <v>765000</v>
      </c>
      <c r="F2490" s="1">
        <v>1164.38356164383</v>
      </c>
      <c r="G2490" s="1">
        <v>3</v>
      </c>
      <c r="H2490" s="1">
        <v>1</v>
      </c>
      <c r="I2490" s="1">
        <v>1</v>
      </c>
      <c r="J2490" s="1">
        <v>1</v>
      </c>
      <c r="K2490" s="1">
        <v>1</v>
      </c>
      <c r="M2490" s="1">
        <v>657</v>
      </c>
      <c r="N2490" s="1">
        <v>747</v>
      </c>
      <c r="O2490" s="1">
        <v>776</v>
      </c>
      <c r="P2490" s="1">
        <v>29</v>
      </c>
      <c r="Q2490" s="1" t="s">
        <v>42</v>
      </c>
      <c r="S2490" s="1" t="s">
        <v>42</v>
      </c>
      <c r="T2490" s="1" t="s">
        <v>170</v>
      </c>
      <c r="U2490" s="1">
        <v>238</v>
      </c>
      <c r="V2490" s="5">
        <v>43846</v>
      </c>
      <c r="W2490" s="5">
        <v>43271</v>
      </c>
      <c r="X2490" s="1">
        <v>740000</v>
      </c>
      <c r="Y2490" s="1">
        <v>740000</v>
      </c>
      <c r="Z2490" s="5">
        <v>43510</v>
      </c>
      <c r="AA2490" s="1">
        <v>765000</v>
      </c>
      <c r="AB2490" s="1" t="s">
        <v>1845</v>
      </c>
      <c r="AC2490" s="5">
        <v>43811</v>
      </c>
      <c r="AF2490" s="1">
        <v>10030</v>
      </c>
      <c r="AI2490" s="1" t="s">
        <v>45</v>
      </c>
      <c r="AJ2490" s="1">
        <v>2018</v>
      </c>
      <c r="AK2490" s="1" t="s">
        <v>77</v>
      </c>
      <c r="AL2490" s="1">
        <v>106</v>
      </c>
    </row>
    <row r="2491" spans="1:38" x14ac:dyDescent="0.2">
      <c r="A2491" s="2" t="str">
        <f>HYPERLINK("https://www.compass.com/listing/2351-adam-clayton-powell-jr-boulevard-unit-ph8-manhattan-ny-10030/227483887029205761/","2351 Adam Clayton Powell Jr Blvd, Unit PH8")</f>
        <v>2351 Adam Clayton Powell Jr Blvd, Unit PH8</v>
      </c>
      <c r="B2491" s="2" t="str">
        <f t="shared" si="350"/>
        <v>THE RENNIE</v>
      </c>
      <c r="C2491" s="1" t="s">
        <v>61</v>
      </c>
      <c r="D2491" s="1" t="s">
        <v>41</v>
      </c>
      <c r="E2491" s="3">
        <v>758000</v>
      </c>
      <c r="F2491" s="1">
        <v>1236.5415986949399</v>
      </c>
      <c r="G2491" s="1">
        <v>3</v>
      </c>
      <c r="H2491" s="1">
        <v>1</v>
      </c>
      <c r="I2491" s="1">
        <v>1</v>
      </c>
      <c r="J2491" s="1">
        <v>1</v>
      </c>
      <c r="K2491" s="1">
        <v>1</v>
      </c>
      <c r="M2491" s="1">
        <v>613</v>
      </c>
      <c r="N2491" s="1">
        <v>697</v>
      </c>
      <c r="O2491" s="1">
        <v>724</v>
      </c>
      <c r="P2491" s="1">
        <v>27</v>
      </c>
      <c r="Q2491" s="1" t="s">
        <v>42</v>
      </c>
      <c r="S2491" s="1" t="s">
        <v>42</v>
      </c>
      <c r="T2491" s="1" t="s">
        <v>170</v>
      </c>
      <c r="U2491" s="1">
        <v>93</v>
      </c>
      <c r="V2491" s="5">
        <v>44093</v>
      </c>
      <c r="W2491" s="5">
        <v>43472</v>
      </c>
      <c r="X2491" s="1">
        <v>758000</v>
      </c>
      <c r="Y2491" s="1">
        <v>758000</v>
      </c>
      <c r="Z2491" s="5">
        <v>43566</v>
      </c>
      <c r="AA2491" s="1">
        <v>758000</v>
      </c>
      <c r="AB2491" s="1" t="s">
        <v>181</v>
      </c>
      <c r="AC2491" s="5">
        <v>43924</v>
      </c>
      <c r="AF2491" s="1">
        <v>10030</v>
      </c>
      <c r="AI2491" s="1" t="s">
        <v>1846</v>
      </c>
      <c r="AJ2491" s="1">
        <v>2018</v>
      </c>
      <c r="AK2491" s="1" t="s">
        <v>77</v>
      </c>
      <c r="AL2491" s="1">
        <v>106</v>
      </c>
    </row>
    <row r="2492" spans="1:38" x14ac:dyDescent="0.2">
      <c r="A2492" s="2" t="str">
        <f>HYPERLINK("https://www.compass.com/listing/2351-adam-clayton-powell-jr-boulevard-unit-310-manhattan-ny-10030/304065779720682913/","2351 Adam Clayton Powell Jr Blvd, Unit 310")</f>
        <v>2351 Adam Clayton Powell Jr Blvd, Unit 310</v>
      </c>
      <c r="B2492" s="2" t="str">
        <f t="shared" si="350"/>
        <v>THE RENNIE</v>
      </c>
      <c r="C2492" s="1" t="s">
        <v>61</v>
      </c>
      <c r="D2492" s="1" t="s">
        <v>41</v>
      </c>
      <c r="E2492" s="3">
        <v>749432</v>
      </c>
      <c r="F2492" s="1">
        <v>1193.3630573248399</v>
      </c>
      <c r="G2492" s="1">
        <v>3</v>
      </c>
      <c r="H2492" s="1">
        <v>1</v>
      </c>
      <c r="I2492" s="1">
        <v>1</v>
      </c>
      <c r="J2492" s="1">
        <v>1</v>
      </c>
      <c r="K2492" s="1">
        <v>1</v>
      </c>
      <c r="M2492" s="1">
        <v>628</v>
      </c>
      <c r="N2492" s="1">
        <v>713</v>
      </c>
      <c r="O2492" s="1">
        <v>741</v>
      </c>
      <c r="P2492" s="1">
        <v>28</v>
      </c>
      <c r="Q2492" s="1" t="s">
        <v>42</v>
      </c>
      <c r="S2492" s="1" t="s">
        <v>42</v>
      </c>
      <c r="T2492" s="1" t="s">
        <v>170</v>
      </c>
      <c r="U2492" s="1">
        <v>400</v>
      </c>
      <c r="V2492" s="5">
        <v>43846</v>
      </c>
      <c r="W2492" s="5">
        <v>43271</v>
      </c>
      <c r="X2492" s="1">
        <v>735000</v>
      </c>
      <c r="Y2492" s="1">
        <v>735000</v>
      </c>
      <c r="Z2492" s="5">
        <v>43671</v>
      </c>
      <c r="AA2492" s="1">
        <v>749432</v>
      </c>
      <c r="AB2492" s="1" t="s">
        <v>1847</v>
      </c>
      <c r="AC2492" s="5">
        <v>43809</v>
      </c>
      <c r="AF2492" s="1">
        <v>10030</v>
      </c>
      <c r="AI2492" s="1" t="s">
        <v>124</v>
      </c>
      <c r="AJ2492" s="1">
        <v>2018</v>
      </c>
      <c r="AK2492" s="1" t="s">
        <v>77</v>
      </c>
      <c r="AL2492" s="1">
        <v>106</v>
      </c>
    </row>
    <row r="2493" spans="1:38" x14ac:dyDescent="0.2">
      <c r="A2493" s="2" t="str">
        <f>HYPERLINK("https://www.compass.com/listing/2351-adam-clayton-powell-jr-boulevard-unit-ph9-manhattan-ny-10030/71645764798938753/","2351 Adam Clayton Powell Jr Blvd, Unit PH9")</f>
        <v>2351 Adam Clayton Powell Jr Blvd, Unit PH9</v>
      </c>
      <c r="B2493" s="2" t="str">
        <f t="shared" si="350"/>
        <v>THE RENNIE</v>
      </c>
      <c r="C2493" s="1" t="s">
        <v>61</v>
      </c>
      <c r="D2493" s="1" t="s">
        <v>41</v>
      </c>
      <c r="E2493" s="3">
        <v>828000</v>
      </c>
      <c r="F2493" s="1">
        <v>1289.71962616822</v>
      </c>
      <c r="G2493" s="1">
        <v>3</v>
      </c>
      <c r="H2493" s="1">
        <v>1</v>
      </c>
      <c r="I2493" s="1">
        <v>1</v>
      </c>
      <c r="J2493" s="1">
        <v>1</v>
      </c>
      <c r="K2493" s="1">
        <v>1</v>
      </c>
      <c r="M2493" s="1">
        <v>642</v>
      </c>
      <c r="N2493" s="1">
        <v>741</v>
      </c>
      <c r="O2493" s="1">
        <v>770</v>
      </c>
      <c r="P2493" s="1">
        <v>29</v>
      </c>
      <c r="Q2493" s="1" t="s">
        <v>42</v>
      </c>
      <c r="S2493" s="1" t="s">
        <v>42</v>
      </c>
      <c r="T2493" s="1" t="s">
        <v>170</v>
      </c>
      <c r="U2493" s="1">
        <v>147</v>
      </c>
      <c r="V2493" s="5">
        <v>44154</v>
      </c>
      <c r="W2493" s="5">
        <v>43347</v>
      </c>
      <c r="X2493" s="1">
        <v>828000</v>
      </c>
      <c r="Y2493" s="1">
        <v>828000</v>
      </c>
      <c r="AA2493" s="1">
        <v>828000</v>
      </c>
      <c r="AB2493" s="1" t="s">
        <v>181</v>
      </c>
      <c r="AC2493" s="5">
        <v>43847</v>
      </c>
      <c r="AF2493" s="1">
        <v>10030</v>
      </c>
      <c r="AI2493" s="1" t="s">
        <v>1839</v>
      </c>
      <c r="AJ2493" s="1">
        <v>2018</v>
      </c>
      <c r="AK2493" s="1" t="s">
        <v>77</v>
      </c>
      <c r="AL2493" s="1">
        <v>106</v>
      </c>
    </row>
    <row r="2494" spans="1:38" x14ac:dyDescent="0.2">
      <c r="A2494" s="2" t="str">
        <f>HYPERLINK("https://www.compass.com/listing/2351-adam-clayton-powell-jr-boulevard-unit-508-manhattan-ny-10030/71645765998573505/","2351 Adam Clayton Powell Jr Blvd, Unit 508")</f>
        <v>2351 Adam Clayton Powell Jr Blvd, Unit 508</v>
      </c>
      <c r="B2494" s="2" t="str">
        <f t="shared" si="350"/>
        <v>THE RENNIE</v>
      </c>
      <c r="C2494" s="1" t="s">
        <v>61</v>
      </c>
      <c r="D2494" s="1" t="s">
        <v>41</v>
      </c>
      <c r="E2494" s="3">
        <v>768779</v>
      </c>
      <c r="F2494" s="1">
        <v>1168.3567629179299</v>
      </c>
      <c r="G2494" s="1">
        <v>3</v>
      </c>
      <c r="H2494" s="1">
        <v>1</v>
      </c>
      <c r="I2494" s="1">
        <v>1</v>
      </c>
      <c r="J2494" s="1">
        <v>1</v>
      </c>
      <c r="K2494" s="1">
        <v>1</v>
      </c>
      <c r="M2494" s="1">
        <v>658</v>
      </c>
      <c r="N2494" s="1">
        <v>747</v>
      </c>
      <c r="O2494" s="1">
        <v>776</v>
      </c>
      <c r="P2494" s="1">
        <v>29</v>
      </c>
      <c r="Q2494" s="1" t="s">
        <v>42</v>
      </c>
      <c r="S2494" s="1" t="s">
        <v>42</v>
      </c>
      <c r="T2494" s="1" t="s">
        <v>170</v>
      </c>
      <c r="U2494" s="1">
        <v>148</v>
      </c>
      <c r="V2494" s="5">
        <v>44091</v>
      </c>
      <c r="W2494" s="5">
        <v>43347</v>
      </c>
      <c r="X2494" s="1">
        <v>755000</v>
      </c>
      <c r="Y2494" s="1">
        <v>755000</v>
      </c>
      <c r="Z2494" s="5">
        <v>43496</v>
      </c>
      <c r="AA2494" s="1">
        <v>768778.75</v>
      </c>
      <c r="AB2494" s="1" t="s">
        <v>1848</v>
      </c>
      <c r="AC2494" s="5">
        <v>44041</v>
      </c>
      <c r="AF2494" s="1">
        <v>10030</v>
      </c>
      <c r="AI2494" s="1" t="s">
        <v>1849</v>
      </c>
      <c r="AJ2494" s="1">
        <v>2018</v>
      </c>
      <c r="AK2494" s="1" t="s">
        <v>77</v>
      </c>
      <c r="AL2494" s="1">
        <v>106</v>
      </c>
    </row>
    <row r="2495" spans="1:38" x14ac:dyDescent="0.2">
      <c r="A2495" s="2" t="str">
        <f>HYPERLINK("https://www.compass.com/listing/2351-adam-clayton-powell-jr-boulevard-unit-416-manhattan-ny-10030/71645766266945217/","2351 Adam Clayton Powell Jr Blvd, Unit 416")</f>
        <v>2351 Adam Clayton Powell Jr Blvd, Unit 416</v>
      </c>
      <c r="B2495" s="2" t="str">
        <f t="shared" si="350"/>
        <v>THE RENNIE</v>
      </c>
      <c r="C2495" s="1" t="s">
        <v>61</v>
      </c>
      <c r="D2495" s="1" t="s">
        <v>41</v>
      </c>
      <c r="E2495" s="3">
        <v>733854</v>
      </c>
      <c r="F2495" s="1">
        <v>1155.6748031495999</v>
      </c>
      <c r="G2495" s="1">
        <v>3</v>
      </c>
      <c r="H2495" s="1">
        <v>1</v>
      </c>
      <c r="I2495" s="1">
        <v>1</v>
      </c>
      <c r="J2495" s="1">
        <v>1</v>
      </c>
      <c r="K2495" s="1">
        <v>1</v>
      </c>
      <c r="M2495" s="1">
        <v>635</v>
      </c>
      <c r="N2495" s="1">
        <v>721</v>
      </c>
      <c r="O2495" s="1">
        <v>749</v>
      </c>
      <c r="P2495" s="1">
        <v>28</v>
      </c>
      <c r="Q2495" s="1" t="s">
        <v>42</v>
      </c>
      <c r="S2495" s="1" t="s">
        <v>42</v>
      </c>
      <c r="T2495" s="1" t="s">
        <v>170</v>
      </c>
      <c r="U2495" s="1">
        <v>21</v>
      </c>
      <c r="V2495" s="5">
        <v>43846</v>
      </c>
      <c r="W2495" s="5">
        <v>43347</v>
      </c>
      <c r="X2495" s="1">
        <v>718000</v>
      </c>
      <c r="Y2495" s="1">
        <v>718000</v>
      </c>
      <c r="Z2495" s="5">
        <v>43369</v>
      </c>
      <c r="AA2495" s="1">
        <v>733853.5</v>
      </c>
      <c r="AB2495" s="1" t="s">
        <v>1850</v>
      </c>
      <c r="AC2495" s="5">
        <v>43776</v>
      </c>
      <c r="AF2495" s="1">
        <v>10030</v>
      </c>
      <c r="AI2495" s="1" t="s">
        <v>1839</v>
      </c>
      <c r="AJ2495" s="1">
        <v>2018</v>
      </c>
      <c r="AK2495" s="1" t="s">
        <v>77</v>
      </c>
      <c r="AL2495" s="1">
        <v>106</v>
      </c>
    </row>
    <row r="2496" spans="1:38" x14ac:dyDescent="0.2">
      <c r="A2496" s="2" t="str">
        <f>HYPERLINK("https://www.compass.com/listing/2351-adam-clayton-powell-jr-boulevard-unit-606-manhattan-ny-10030/96869484295407825/","2351 Adam Clayton Powell Jr Blvd, Unit 606")</f>
        <v>2351 Adam Clayton Powell Jr Blvd, Unit 606</v>
      </c>
      <c r="B2496" s="2" t="str">
        <f t="shared" si="350"/>
        <v>THE RENNIE</v>
      </c>
      <c r="C2496" s="1" t="s">
        <v>61</v>
      </c>
      <c r="D2496" s="1" t="s">
        <v>41</v>
      </c>
      <c r="E2496" s="3">
        <v>794235</v>
      </c>
      <c r="F2496" s="1">
        <v>1221.9000000000001</v>
      </c>
      <c r="G2496" s="1">
        <v>3</v>
      </c>
      <c r="H2496" s="1">
        <v>1</v>
      </c>
      <c r="I2496" s="1">
        <v>1</v>
      </c>
      <c r="J2496" s="1">
        <v>1</v>
      </c>
      <c r="K2496" s="1">
        <v>1</v>
      </c>
      <c r="M2496" s="1">
        <v>650</v>
      </c>
      <c r="N2496" s="1">
        <v>739</v>
      </c>
      <c r="O2496" s="1">
        <v>768</v>
      </c>
      <c r="P2496" s="1">
        <v>29</v>
      </c>
      <c r="Q2496" s="1" t="s">
        <v>42</v>
      </c>
      <c r="S2496" s="1" t="s">
        <v>42</v>
      </c>
      <c r="T2496" s="1" t="s">
        <v>170</v>
      </c>
      <c r="U2496" s="1">
        <v>14</v>
      </c>
      <c r="V2496" s="5">
        <v>43846</v>
      </c>
      <c r="W2496" s="5">
        <v>43385</v>
      </c>
      <c r="X2496" s="1">
        <v>780000</v>
      </c>
      <c r="Y2496" s="1">
        <v>780000</v>
      </c>
      <c r="Z2496" s="5">
        <v>43400</v>
      </c>
      <c r="AA2496" s="1">
        <v>794235</v>
      </c>
      <c r="AB2496" s="1" t="s">
        <v>1851</v>
      </c>
      <c r="AC2496" s="5">
        <v>43811</v>
      </c>
      <c r="AF2496" s="1">
        <v>10030</v>
      </c>
      <c r="AI2496" s="1" t="s">
        <v>1852</v>
      </c>
      <c r="AJ2496" s="1">
        <v>2018</v>
      </c>
      <c r="AK2496" s="1" t="s">
        <v>77</v>
      </c>
      <c r="AL2496" s="1">
        <v>106</v>
      </c>
    </row>
    <row r="2497" spans="1:38" x14ac:dyDescent="0.2">
      <c r="A2497" s="2" t="str">
        <f>HYPERLINK("https://www.compass.com/listing/555-main-street-unit-1105-manhattan-ny-10044/192574353370558625/","555 Main St, Unit 1105")</f>
        <v>555 Main St, Unit 1105</v>
      </c>
      <c r="B2497" s="2" t="str">
        <f>HYPERLINK("https://www.compass.com/building/island-house-manhattan-ny/282034908468103317/","Island House")</f>
        <v>Island House</v>
      </c>
      <c r="C2497" s="1" t="s">
        <v>128</v>
      </c>
      <c r="D2497" s="1" t="s">
        <v>41</v>
      </c>
      <c r="E2497" s="3">
        <v>1040000</v>
      </c>
      <c r="F2497" s="1">
        <v>939.47606142728</v>
      </c>
      <c r="G2497" s="1">
        <v>4</v>
      </c>
      <c r="H2497" s="1">
        <v>2</v>
      </c>
      <c r="I2497" s="1">
        <v>2</v>
      </c>
      <c r="J2497" s="1">
        <v>2</v>
      </c>
      <c r="K2497" s="1">
        <v>2</v>
      </c>
      <c r="M2497" s="4">
        <v>1107</v>
      </c>
      <c r="N2497" s="1">
        <v>1330</v>
      </c>
      <c r="O2497" s="1">
        <v>1330</v>
      </c>
      <c r="Q2497" s="1" t="s">
        <v>129</v>
      </c>
      <c r="S2497" s="1" t="s">
        <v>129</v>
      </c>
      <c r="T2497" s="1" t="s">
        <v>170</v>
      </c>
      <c r="V2497" s="5">
        <v>43673</v>
      </c>
      <c r="W2497" s="5">
        <v>42612</v>
      </c>
      <c r="X2497" s="1">
        <v>1040000</v>
      </c>
      <c r="Y2497" s="1">
        <v>1040000</v>
      </c>
      <c r="Z2497" s="5">
        <v>42612</v>
      </c>
      <c r="AA2497" s="1">
        <v>1040000</v>
      </c>
      <c r="AB2497" s="1" t="s">
        <v>181</v>
      </c>
      <c r="AC2497" s="5">
        <v>42621</v>
      </c>
      <c r="AF2497" s="1">
        <v>10044</v>
      </c>
      <c r="AJ2497" s="1">
        <v>1975</v>
      </c>
      <c r="AK2497" s="1" t="s">
        <v>253</v>
      </c>
      <c r="AL2497" s="1">
        <v>400</v>
      </c>
    </row>
    <row r="2498" spans="1:38" x14ac:dyDescent="0.2">
      <c r="A2498" s="2" t="str">
        <f>HYPERLINK("https://www.compass.com/listing/2351-adam-clayton-powell-jr-boulevard-unit-ph26-manhattan-ny-10030/438651887575750265/","2351 Adam Clayton Powell Jr Blvd, Unit PH26")</f>
        <v>2351 Adam Clayton Powell Jr Blvd, Unit PH26</v>
      </c>
      <c r="B2498" s="2" t="str">
        <f t="shared" ref="B2498:B2502" si="351">HYPERLINK("https://www.compass.com/building/the-rennie-manhattan-ny/307439143554395509/","THE RENNIE")</f>
        <v>THE RENNIE</v>
      </c>
      <c r="C2498" s="1" t="s">
        <v>61</v>
      </c>
      <c r="D2498" s="1" t="s">
        <v>41</v>
      </c>
      <c r="E2498" s="3">
        <v>1890000</v>
      </c>
      <c r="F2498" s="1">
        <v>1440.5487804878001</v>
      </c>
      <c r="G2498" s="1">
        <v>5</v>
      </c>
      <c r="H2498" s="1">
        <v>3</v>
      </c>
      <c r="I2498" s="1">
        <v>2</v>
      </c>
      <c r="J2498" s="1">
        <v>2</v>
      </c>
      <c r="K2498" s="1">
        <v>2</v>
      </c>
      <c r="M2498" s="4">
        <v>1312</v>
      </c>
      <c r="N2498" s="1">
        <v>1490</v>
      </c>
      <c r="O2498" s="1">
        <v>1548</v>
      </c>
      <c r="P2498" s="1">
        <v>58</v>
      </c>
      <c r="Q2498" s="1" t="s">
        <v>42</v>
      </c>
      <c r="S2498" s="1" t="s">
        <v>42</v>
      </c>
      <c r="T2498" s="1" t="s">
        <v>170</v>
      </c>
      <c r="V2498" s="5">
        <v>43923</v>
      </c>
      <c r="AA2498" s="1">
        <v>1890000</v>
      </c>
      <c r="AB2498" s="1" t="s">
        <v>181</v>
      </c>
      <c r="AC2498" s="5">
        <v>43533</v>
      </c>
      <c r="AF2498" s="1">
        <v>10030</v>
      </c>
      <c r="AI2498" s="1" t="s">
        <v>74</v>
      </c>
      <c r="AJ2498" s="1">
        <v>2018</v>
      </c>
      <c r="AK2498" s="1" t="s">
        <v>77</v>
      </c>
      <c r="AL2498" s="1">
        <v>106</v>
      </c>
    </row>
    <row r="2499" spans="1:38" x14ac:dyDescent="0.2">
      <c r="A2499" s="2" t="str">
        <f>HYPERLINK("https://www.compass.com/listing/2351-adam-clayton-powell-jr-boulevard-unit-ph10-manhattan-ny-10030/71645765268764577/","2351 Adam Clayton Powell Jr Blvd, Unit PH10")</f>
        <v>2351 Adam Clayton Powell Jr Blvd, Unit PH10</v>
      </c>
      <c r="B2499" s="2" t="str">
        <f t="shared" si="351"/>
        <v>THE RENNIE</v>
      </c>
      <c r="C2499" s="1" t="s">
        <v>61</v>
      </c>
      <c r="D2499" s="1" t="s">
        <v>41</v>
      </c>
      <c r="E2499" s="3">
        <v>1400000</v>
      </c>
      <c r="F2499" s="1">
        <v>1157.98180314309</v>
      </c>
      <c r="G2499" s="1">
        <v>6</v>
      </c>
      <c r="H2499" s="1">
        <v>3</v>
      </c>
      <c r="I2499" s="1">
        <v>2</v>
      </c>
      <c r="J2499" s="1">
        <v>2</v>
      </c>
      <c r="K2499" s="1">
        <v>2</v>
      </c>
      <c r="M2499" s="4">
        <v>1209</v>
      </c>
      <c r="N2499" s="1">
        <v>1374</v>
      </c>
      <c r="O2499" s="1">
        <v>1444</v>
      </c>
      <c r="P2499" s="1">
        <v>70</v>
      </c>
      <c r="Q2499" s="1" t="s">
        <v>42</v>
      </c>
      <c r="S2499" s="1" t="s">
        <v>42</v>
      </c>
      <c r="T2499" s="1" t="s">
        <v>170</v>
      </c>
      <c r="U2499" s="1">
        <v>37</v>
      </c>
      <c r="V2499" s="5">
        <v>44414</v>
      </c>
      <c r="W2499" s="5">
        <v>43857</v>
      </c>
      <c r="Y2499" s="1">
        <v>1495000</v>
      </c>
      <c r="Z2499" s="5">
        <v>43895</v>
      </c>
      <c r="AA2499" s="1">
        <v>1400000</v>
      </c>
      <c r="AB2499" s="1" t="s">
        <v>181</v>
      </c>
      <c r="AC2499" s="5">
        <v>44404</v>
      </c>
      <c r="AF2499" s="1">
        <v>10030</v>
      </c>
      <c r="AI2499" s="1" t="s">
        <v>1839</v>
      </c>
      <c r="AJ2499" s="1">
        <v>2018</v>
      </c>
      <c r="AK2499" s="1" t="s">
        <v>77</v>
      </c>
      <c r="AL2499" s="1">
        <v>106</v>
      </c>
    </row>
    <row r="2500" spans="1:38" x14ac:dyDescent="0.2">
      <c r="A2500" s="2" t="str">
        <f>HYPERLINK("https://www.compass.com/listing/2351-adam-clayton-powell-jr-boulevard-unit-ph31-manhattan-ny-10030/71645765738502321/","2351 Adam Clayton Powell Jr Blvd, Unit PH31")</f>
        <v>2351 Adam Clayton Powell Jr Blvd, Unit PH31</v>
      </c>
      <c r="B2500" s="2" t="str">
        <f t="shared" si="351"/>
        <v>THE RENNIE</v>
      </c>
      <c r="C2500" s="1" t="s">
        <v>61</v>
      </c>
      <c r="D2500" s="1" t="s">
        <v>41</v>
      </c>
      <c r="E2500" s="3">
        <v>1515000</v>
      </c>
      <c r="F2500" s="1">
        <v>1318.5378590078301</v>
      </c>
      <c r="G2500" s="1">
        <v>6</v>
      </c>
      <c r="H2500" s="1">
        <v>3</v>
      </c>
      <c r="I2500" s="1">
        <v>2</v>
      </c>
      <c r="J2500" s="1">
        <v>2</v>
      </c>
      <c r="K2500" s="1">
        <v>2</v>
      </c>
      <c r="M2500" s="4">
        <v>1149</v>
      </c>
      <c r="N2500" s="1">
        <v>1305</v>
      </c>
      <c r="O2500" s="1">
        <v>1356</v>
      </c>
      <c r="P2500" s="1">
        <v>51</v>
      </c>
      <c r="Q2500" s="1" t="s">
        <v>42</v>
      </c>
      <c r="S2500" s="1" t="s">
        <v>42</v>
      </c>
      <c r="T2500" s="1" t="s">
        <v>170</v>
      </c>
      <c r="U2500" s="1">
        <v>94</v>
      </c>
      <c r="V2500" s="5">
        <v>44154</v>
      </c>
      <c r="W2500" s="5">
        <v>43347</v>
      </c>
      <c r="X2500" s="1">
        <v>1600000</v>
      </c>
      <c r="Y2500" s="1">
        <v>1600000</v>
      </c>
      <c r="AA2500" s="1">
        <v>1515000</v>
      </c>
      <c r="AB2500" s="1" t="s">
        <v>181</v>
      </c>
      <c r="AC2500" s="5">
        <v>43853</v>
      </c>
      <c r="AF2500" s="1">
        <v>10030</v>
      </c>
      <c r="AI2500" s="1" t="s">
        <v>1839</v>
      </c>
      <c r="AJ2500" s="1">
        <v>2018</v>
      </c>
      <c r="AK2500" s="1" t="s">
        <v>77</v>
      </c>
      <c r="AL2500" s="1">
        <v>106</v>
      </c>
    </row>
    <row r="2501" spans="1:38" x14ac:dyDescent="0.2">
      <c r="A2501" s="2" t="str">
        <f>HYPERLINK("https://www.compass.com/listing/2351-adam-clayton-powell-jr-boulevard-unit-309-manhattan-ny-10030/340425936713085809/","2351 Adam Clayton Powell Jr Blvd, Unit 309")</f>
        <v>2351 Adam Clayton Powell Jr Blvd, Unit 309</v>
      </c>
      <c r="B2501" s="2" t="str">
        <f t="shared" si="351"/>
        <v>THE RENNIE</v>
      </c>
      <c r="C2501" s="1" t="s">
        <v>61</v>
      </c>
      <c r="D2501" s="1" t="s">
        <v>41</v>
      </c>
      <c r="E2501" s="3">
        <v>1150000</v>
      </c>
      <c r="F2501" s="1">
        <v>1087.9848628192999</v>
      </c>
      <c r="G2501" s="1">
        <v>4</v>
      </c>
      <c r="H2501" s="1">
        <v>2</v>
      </c>
      <c r="I2501" s="1">
        <v>2</v>
      </c>
      <c r="J2501" s="1">
        <v>2</v>
      </c>
      <c r="K2501" s="1">
        <v>2</v>
      </c>
      <c r="M2501" s="4">
        <v>1057</v>
      </c>
      <c r="N2501" s="1">
        <v>1200</v>
      </c>
      <c r="O2501" s="1">
        <v>1247</v>
      </c>
      <c r="P2501" s="1">
        <v>47</v>
      </c>
      <c r="Q2501" s="1" t="s">
        <v>42</v>
      </c>
      <c r="S2501" s="1" t="s">
        <v>42</v>
      </c>
      <c r="T2501" s="1" t="s">
        <v>170</v>
      </c>
      <c r="U2501" s="1">
        <v>189</v>
      </c>
      <c r="V2501" s="5">
        <v>44154</v>
      </c>
      <c r="W2501" s="5">
        <v>43721</v>
      </c>
      <c r="X2501" s="1">
        <v>1</v>
      </c>
      <c r="Y2501" s="1">
        <v>1</v>
      </c>
      <c r="Z2501" s="5">
        <v>43923</v>
      </c>
      <c r="AA2501" s="1">
        <v>1150000</v>
      </c>
      <c r="AB2501" s="1" t="s">
        <v>1853</v>
      </c>
      <c r="AC2501" s="5">
        <v>43994</v>
      </c>
      <c r="AF2501" s="1">
        <v>10030</v>
      </c>
      <c r="AI2501" s="1" t="s">
        <v>1839</v>
      </c>
      <c r="AJ2501" s="1">
        <v>2018</v>
      </c>
      <c r="AK2501" s="1" t="s">
        <v>77</v>
      </c>
      <c r="AL2501" s="1">
        <v>106</v>
      </c>
    </row>
    <row r="2502" spans="1:38" x14ac:dyDescent="0.2">
      <c r="A2502" s="2" t="str">
        <f>HYPERLINK("https://www.compass.com/listing/2351-adam-clayton-powell-jr-boulevard-unit-813-manhattan-ny-10030/159932413814861569/","2351 Adam Clayton Powell Jr Blvd, Unit 813")</f>
        <v>2351 Adam Clayton Powell Jr Blvd, Unit 813</v>
      </c>
      <c r="B2502" s="2" t="str">
        <f t="shared" si="351"/>
        <v>THE RENNIE</v>
      </c>
      <c r="C2502" s="1" t="s">
        <v>61</v>
      </c>
      <c r="D2502" s="1" t="s">
        <v>41</v>
      </c>
      <c r="E2502" s="3">
        <v>645000</v>
      </c>
      <c r="F2502" s="1">
        <v>1166.36528028933</v>
      </c>
      <c r="G2502" s="1">
        <v>2</v>
      </c>
      <c r="H2502" s="1" t="s">
        <v>79</v>
      </c>
      <c r="I2502" s="1">
        <v>1</v>
      </c>
      <c r="J2502" s="1">
        <v>1</v>
      </c>
      <c r="K2502" s="1">
        <v>1</v>
      </c>
      <c r="M2502" s="1">
        <v>553</v>
      </c>
      <c r="N2502" s="1">
        <v>541</v>
      </c>
      <c r="O2502" s="1">
        <v>562</v>
      </c>
      <c r="P2502" s="1">
        <v>21</v>
      </c>
      <c r="Q2502" s="1" t="s">
        <v>42</v>
      </c>
      <c r="S2502" s="1" t="s">
        <v>42</v>
      </c>
      <c r="T2502" s="1" t="s">
        <v>170</v>
      </c>
      <c r="U2502" s="1">
        <v>210</v>
      </c>
      <c r="V2502" s="5">
        <v>43857</v>
      </c>
      <c r="W2502" s="5">
        <v>43472</v>
      </c>
      <c r="X2502" s="1">
        <v>588000</v>
      </c>
      <c r="Y2502" s="1">
        <v>588000</v>
      </c>
      <c r="Z2502" s="5">
        <v>43682</v>
      </c>
      <c r="AA2502" s="1">
        <v>645000</v>
      </c>
      <c r="AB2502" s="1" t="s">
        <v>181</v>
      </c>
      <c r="AC2502" s="5">
        <v>43763</v>
      </c>
      <c r="AF2502" s="1">
        <v>10030</v>
      </c>
      <c r="AI2502" s="1" t="s">
        <v>246</v>
      </c>
      <c r="AJ2502" s="1">
        <v>2018</v>
      </c>
      <c r="AK2502" s="1" t="s">
        <v>77</v>
      </c>
      <c r="AL2502" s="1">
        <v>106</v>
      </c>
    </row>
    <row r="2503" spans="1:38" x14ac:dyDescent="0.2">
      <c r="A2503" s="2" t="str">
        <f>HYPERLINK("https://www.compass.com/listing/555-main-street-unit-1113-manhattan-ny-10044/192573898724808625/","555 Main St, Unit 1113")</f>
        <v>555 Main St, Unit 1113</v>
      </c>
      <c r="B2503" s="2" t="str">
        <f t="shared" ref="B2503:B2506" si="352">HYPERLINK("https://www.compass.com/building/island-house-manhattan-ny/282034908468103317/","Island House")</f>
        <v>Island House</v>
      </c>
      <c r="C2503" s="1" t="s">
        <v>128</v>
      </c>
      <c r="D2503" s="1" t="s">
        <v>41</v>
      </c>
      <c r="E2503" s="3">
        <v>1125000</v>
      </c>
      <c r="F2503" s="1">
        <v>705.32915360501499</v>
      </c>
      <c r="G2503" s="1">
        <v>5</v>
      </c>
      <c r="H2503" s="1">
        <v>3</v>
      </c>
      <c r="I2503" s="1">
        <v>2</v>
      </c>
      <c r="J2503" s="1">
        <v>2</v>
      </c>
      <c r="K2503" s="1">
        <v>2</v>
      </c>
      <c r="M2503" s="4">
        <v>1595</v>
      </c>
      <c r="N2503" s="1">
        <v>1676</v>
      </c>
      <c r="O2503" s="1">
        <v>1676</v>
      </c>
      <c r="Q2503" s="1" t="s">
        <v>129</v>
      </c>
      <c r="S2503" s="1" t="s">
        <v>129</v>
      </c>
      <c r="T2503" s="1" t="s">
        <v>170</v>
      </c>
      <c r="U2503" s="1">
        <v>108</v>
      </c>
      <c r="V2503" s="5">
        <v>43664</v>
      </c>
      <c r="W2503" s="5">
        <v>42175</v>
      </c>
      <c r="X2503" s="1">
        <v>1125000</v>
      </c>
      <c r="Y2503" s="1">
        <v>1125000</v>
      </c>
      <c r="Z2503" s="5">
        <v>42283</v>
      </c>
      <c r="AA2503" s="1">
        <v>1125000</v>
      </c>
      <c r="AB2503" s="1" t="s">
        <v>181</v>
      </c>
      <c r="AC2503" s="5">
        <v>42523</v>
      </c>
      <c r="AF2503" s="1">
        <v>10044</v>
      </c>
      <c r="AJ2503" s="1">
        <v>1975</v>
      </c>
      <c r="AK2503" s="1" t="s">
        <v>253</v>
      </c>
      <c r="AL2503" s="1">
        <v>400</v>
      </c>
    </row>
    <row r="2504" spans="1:38" x14ac:dyDescent="0.2">
      <c r="A2504" s="2" t="str">
        <f>HYPERLINK("https://www.compass.com/listing/555-main-street-unit-712-manhattan-ny-10044/783489465257744961/","555 Main St, Unit 712")</f>
        <v>555 Main St, Unit 712</v>
      </c>
      <c r="B2504" s="2" t="str">
        <f t="shared" si="352"/>
        <v>Island House</v>
      </c>
      <c r="C2504" s="1" t="s">
        <v>128</v>
      </c>
      <c r="D2504" s="1" t="s">
        <v>41</v>
      </c>
      <c r="E2504" s="3">
        <v>1165000</v>
      </c>
      <c r="F2504" s="1">
        <v>726.76232064878297</v>
      </c>
      <c r="G2504" s="1">
        <v>5</v>
      </c>
      <c r="H2504" s="1">
        <v>3</v>
      </c>
      <c r="I2504" s="1">
        <v>2</v>
      </c>
      <c r="J2504" s="1">
        <v>2.5</v>
      </c>
      <c r="K2504" s="1">
        <v>2</v>
      </c>
      <c r="L2504" s="1">
        <v>1</v>
      </c>
      <c r="M2504" s="4">
        <v>1603</v>
      </c>
      <c r="N2504" s="1">
        <v>1538</v>
      </c>
      <c r="O2504" s="1">
        <v>1538</v>
      </c>
      <c r="Q2504" s="1" t="s">
        <v>129</v>
      </c>
      <c r="S2504" s="1" t="s">
        <v>129</v>
      </c>
      <c r="T2504" s="1" t="s">
        <v>170</v>
      </c>
      <c r="U2504" s="1">
        <v>166</v>
      </c>
      <c r="V2504" s="5">
        <v>43263</v>
      </c>
      <c r="W2504" s="5">
        <v>42510</v>
      </c>
      <c r="X2504" s="1">
        <v>1165000</v>
      </c>
      <c r="Y2504" s="1">
        <v>1165000</v>
      </c>
      <c r="AA2504" s="1">
        <v>1165000</v>
      </c>
      <c r="AB2504" s="1" t="s">
        <v>181</v>
      </c>
      <c r="AC2504" s="5">
        <v>42885</v>
      </c>
      <c r="AF2504" s="1">
        <v>10044</v>
      </c>
      <c r="AJ2504" s="1">
        <v>1975</v>
      </c>
      <c r="AK2504" s="1" t="s">
        <v>253</v>
      </c>
      <c r="AL2504" s="1">
        <v>400</v>
      </c>
    </row>
    <row r="2505" spans="1:38" x14ac:dyDescent="0.2">
      <c r="A2505" s="2" t="str">
        <f>HYPERLINK("https://www.compass.com/listing/555-main-street-unit-910-manhattan-ny-10044/4852307784273768097/","555 Main St, Unit 910")</f>
        <v>555 Main St, Unit 910</v>
      </c>
      <c r="B2505" s="2" t="str">
        <f t="shared" si="352"/>
        <v>Island House</v>
      </c>
      <c r="C2505" s="1" t="s">
        <v>128</v>
      </c>
      <c r="D2505" s="1" t="s">
        <v>41</v>
      </c>
      <c r="E2505" s="3">
        <v>1245000</v>
      </c>
      <c r="F2505" s="1">
        <v>780.56426332288402</v>
      </c>
      <c r="G2505" s="1">
        <v>6</v>
      </c>
      <c r="H2505" s="1">
        <v>3</v>
      </c>
      <c r="I2505" s="1">
        <v>2</v>
      </c>
      <c r="J2505" s="1">
        <v>2</v>
      </c>
      <c r="K2505" s="1">
        <v>2</v>
      </c>
      <c r="M2505" s="4">
        <v>1595</v>
      </c>
      <c r="N2505" s="1">
        <v>2074</v>
      </c>
      <c r="O2505" s="1">
        <v>2074</v>
      </c>
      <c r="Q2505" s="1" t="s">
        <v>129</v>
      </c>
      <c r="S2505" s="1" t="s">
        <v>129</v>
      </c>
      <c r="T2505" s="1" t="s">
        <v>170</v>
      </c>
      <c r="U2505" s="1">
        <v>100</v>
      </c>
      <c r="V2505" s="5">
        <v>43672</v>
      </c>
      <c r="W2505" s="5">
        <v>42579</v>
      </c>
      <c r="X2505" s="1">
        <v>1245000</v>
      </c>
      <c r="Y2505" s="1">
        <v>1245000</v>
      </c>
      <c r="Z2505" s="5">
        <v>42579</v>
      </c>
      <c r="AA2505" s="1">
        <v>1245000</v>
      </c>
      <c r="AB2505" s="1" t="s">
        <v>181</v>
      </c>
      <c r="AC2505" s="5">
        <v>42682</v>
      </c>
      <c r="AF2505" s="1">
        <v>10044</v>
      </c>
      <c r="AJ2505" s="1">
        <v>1975</v>
      </c>
      <c r="AK2505" s="1" t="s">
        <v>253</v>
      </c>
      <c r="AL2505" s="1">
        <v>400</v>
      </c>
    </row>
    <row r="2506" spans="1:38" x14ac:dyDescent="0.2">
      <c r="A2506" s="2" t="str">
        <f>HYPERLINK("https://www.compass.com/listing/555-main-street-unit-513-manhattan-ny-10044/4874158872287258577/","555 Main St, Unit 513")</f>
        <v>555 Main St, Unit 513</v>
      </c>
      <c r="B2506" s="2" t="str">
        <f t="shared" si="352"/>
        <v>Island House</v>
      </c>
      <c r="C2506" s="1" t="s">
        <v>128</v>
      </c>
      <c r="D2506" s="1" t="s">
        <v>41</v>
      </c>
      <c r="E2506" s="3">
        <v>1175000</v>
      </c>
      <c r="F2506" s="1">
        <v>733.00062383031798</v>
      </c>
      <c r="G2506" s="1">
        <v>5.5</v>
      </c>
      <c r="H2506" s="1">
        <v>3</v>
      </c>
      <c r="I2506" s="1">
        <v>2</v>
      </c>
      <c r="J2506" s="1">
        <v>2.5</v>
      </c>
      <c r="K2506" s="1">
        <v>2</v>
      </c>
      <c r="L2506" s="1">
        <v>1</v>
      </c>
      <c r="M2506" s="4">
        <v>1603</v>
      </c>
      <c r="N2506" s="1">
        <v>1502</v>
      </c>
      <c r="O2506" s="1">
        <v>1502</v>
      </c>
      <c r="Q2506" s="1" t="s">
        <v>129</v>
      </c>
      <c r="S2506" s="1" t="s">
        <v>129</v>
      </c>
      <c r="T2506" s="1" t="s">
        <v>170</v>
      </c>
      <c r="V2506" s="5">
        <v>43694</v>
      </c>
      <c r="W2506" s="5">
        <v>43195</v>
      </c>
      <c r="X2506" s="1">
        <v>1175000</v>
      </c>
      <c r="Y2506" s="1">
        <v>1175000</v>
      </c>
      <c r="Z2506" s="5">
        <v>43195</v>
      </c>
      <c r="AA2506" s="1">
        <v>1175000</v>
      </c>
      <c r="AB2506" s="1" t="s">
        <v>181</v>
      </c>
      <c r="AC2506" s="5">
        <v>43224</v>
      </c>
      <c r="AF2506" s="1">
        <v>10044</v>
      </c>
      <c r="AJ2506" s="1">
        <v>1975</v>
      </c>
      <c r="AK2506" s="1" t="s">
        <v>77</v>
      </c>
      <c r="AL2506" s="1">
        <v>400</v>
      </c>
    </row>
    <row r="2507" spans="1:38" x14ac:dyDescent="0.2">
      <c r="A2507" s="2" t="str">
        <f>HYPERLINK("https://www.compass.com/listing/551-main-street-unit-204-manhattan-ny-10044/4852283860525784945/","551 Main St, Unit 204")</f>
        <v>551 Main St, Unit 204</v>
      </c>
      <c r="B2507" s="2" t="str">
        <f>HYPERLINK("https://www.compass.com/building/island-house-manhattan-ny/282059863998105557/","Island House")</f>
        <v>Island House</v>
      </c>
      <c r="C2507" s="1" t="s">
        <v>128</v>
      </c>
      <c r="D2507" s="1" t="s">
        <v>41</v>
      </c>
      <c r="E2507" s="3">
        <v>1675000</v>
      </c>
      <c r="F2507" s="1">
        <v>939.95510662177298</v>
      </c>
      <c r="G2507" s="1">
        <v>7.5</v>
      </c>
      <c r="H2507" s="1">
        <v>4</v>
      </c>
      <c r="I2507" s="1">
        <v>2</v>
      </c>
      <c r="J2507" s="1">
        <v>2.5</v>
      </c>
      <c r="K2507" s="1">
        <v>2</v>
      </c>
      <c r="L2507" s="1">
        <v>1</v>
      </c>
      <c r="M2507" s="4">
        <v>1782</v>
      </c>
      <c r="N2507" s="1">
        <v>2017</v>
      </c>
      <c r="O2507" s="1">
        <v>2017</v>
      </c>
      <c r="Q2507" s="1" t="s">
        <v>129</v>
      </c>
      <c r="S2507" s="1" t="s">
        <v>129</v>
      </c>
      <c r="T2507" s="1" t="s">
        <v>170</v>
      </c>
      <c r="V2507" s="5">
        <v>43649</v>
      </c>
      <c r="W2507" s="5">
        <v>42977</v>
      </c>
      <c r="X2507" s="1">
        <v>1750000</v>
      </c>
      <c r="Y2507" s="1">
        <v>1750000</v>
      </c>
      <c r="Z2507" s="5">
        <v>42977</v>
      </c>
      <c r="AA2507" s="1">
        <v>1675000</v>
      </c>
      <c r="AB2507" s="1" t="s">
        <v>181</v>
      </c>
      <c r="AC2507" s="5">
        <v>43033</v>
      </c>
      <c r="AF2507" s="1">
        <v>10044</v>
      </c>
      <c r="AJ2507" s="1">
        <v>1975</v>
      </c>
      <c r="AK2507" s="1" t="s">
        <v>1606</v>
      </c>
      <c r="AL2507" s="1">
        <v>400</v>
      </c>
    </row>
    <row r="2508" spans="1:38" x14ac:dyDescent="0.2">
      <c r="A2508" s="2" t="str">
        <f>HYPERLINK("https://www.compass.com/listing/2351-adam-clayton-powell-jr-boulevard-unit-612-manhattan-ny-10030/157923864758781985/","2351 Adam Clayton Powell Jr Blvd, Unit 612")</f>
        <v>2351 Adam Clayton Powell Jr Blvd, Unit 612</v>
      </c>
      <c r="B2508" s="2" t="str">
        <f t="shared" ref="B2508:B2514" si="353">HYPERLINK("https://www.compass.com/building/the-rennie-manhattan-ny/307439143554395509/","THE RENNIE")</f>
        <v>THE RENNIE</v>
      </c>
      <c r="C2508" s="1" t="s">
        <v>61</v>
      </c>
      <c r="D2508" s="1" t="s">
        <v>41</v>
      </c>
      <c r="E2508" s="3">
        <v>702593</v>
      </c>
      <c r="F2508" s="1">
        <v>1263.65557553956</v>
      </c>
      <c r="G2508" s="1">
        <v>3</v>
      </c>
      <c r="H2508" s="1">
        <v>1</v>
      </c>
      <c r="I2508" s="1">
        <v>1</v>
      </c>
      <c r="J2508" s="1">
        <v>1</v>
      </c>
      <c r="K2508" s="1">
        <v>1</v>
      </c>
      <c r="M2508" s="1">
        <v>556</v>
      </c>
      <c r="N2508" s="1">
        <v>632</v>
      </c>
      <c r="O2508" s="1">
        <v>657</v>
      </c>
      <c r="P2508" s="1">
        <v>25</v>
      </c>
      <c r="Q2508" s="1" t="s">
        <v>42</v>
      </c>
      <c r="S2508" s="1" t="s">
        <v>42</v>
      </c>
      <c r="T2508" s="1" t="s">
        <v>170</v>
      </c>
      <c r="U2508" s="1">
        <v>418</v>
      </c>
      <c r="V2508" s="5">
        <v>43963</v>
      </c>
      <c r="W2508" s="5">
        <v>43469</v>
      </c>
      <c r="X2508" s="1">
        <v>690000</v>
      </c>
      <c r="Y2508" s="1">
        <v>690000</v>
      </c>
      <c r="AA2508" s="1">
        <v>702592.5</v>
      </c>
      <c r="AB2508" s="1" t="s">
        <v>1854</v>
      </c>
      <c r="AC2508" s="5">
        <v>43887</v>
      </c>
      <c r="AF2508" s="1">
        <v>10030</v>
      </c>
      <c r="AI2508" s="1" t="s">
        <v>246</v>
      </c>
      <c r="AJ2508" s="1">
        <v>2018</v>
      </c>
      <c r="AK2508" s="1" t="s">
        <v>77</v>
      </c>
      <c r="AL2508" s="1">
        <v>106</v>
      </c>
    </row>
    <row r="2509" spans="1:38" x14ac:dyDescent="0.2">
      <c r="A2509" s="2" t="str">
        <f>HYPERLINK("https://www.compass.com/listing/2351-adam-clayton-powell-jr-boulevard-unit-502-manhattan-ny-10030/304065780408758993/","2351 Adam Clayton Powell Jr Blvd, Unit 502")</f>
        <v>2351 Adam Clayton Powell Jr Blvd, Unit 502</v>
      </c>
      <c r="B2509" s="2" t="str">
        <f t="shared" si="353"/>
        <v>THE RENNIE</v>
      </c>
      <c r="C2509" s="1" t="s">
        <v>61</v>
      </c>
      <c r="D2509" s="1" t="s">
        <v>41</v>
      </c>
      <c r="E2509" s="3">
        <v>718000</v>
      </c>
      <c r="F2509" s="1">
        <v>1109.7372488408</v>
      </c>
      <c r="G2509" s="1">
        <v>3</v>
      </c>
      <c r="H2509" s="1">
        <v>1</v>
      </c>
      <c r="I2509" s="1">
        <v>1</v>
      </c>
      <c r="J2509" s="1">
        <v>1</v>
      </c>
      <c r="K2509" s="1">
        <v>1</v>
      </c>
      <c r="M2509" s="1">
        <v>647</v>
      </c>
      <c r="N2509" s="1">
        <v>735</v>
      </c>
      <c r="O2509" s="1">
        <v>747</v>
      </c>
      <c r="P2509" s="1">
        <v>12</v>
      </c>
      <c r="Q2509" s="1" t="s">
        <v>42</v>
      </c>
      <c r="S2509" s="1" t="s">
        <v>42</v>
      </c>
      <c r="T2509" s="1" t="s">
        <v>170</v>
      </c>
      <c r="U2509" s="1">
        <v>400</v>
      </c>
      <c r="V2509" s="5">
        <v>44414</v>
      </c>
      <c r="W2509" s="5">
        <v>43271</v>
      </c>
      <c r="X2509" s="1">
        <v>765000</v>
      </c>
      <c r="Y2509" s="1">
        <v>765000</v>
      </c>
      <c r="Z2509" s="5">
        <v>43671</v>
      </c>
      <c r="AA2509" s="1">
        <v>718000</v>
      </c>
      <c r="AB2509" s="1" t="s">
        <v>1855</v>
      </c>
      <c r="AC2509" s="5">
        <v>44405</v>
      </c>
      <c r="AF2509" s="1">
        <v>10030</v>
      </c>
      <c r="AI2509" s="1" t="s">
        <v>123</v>
      </c>
      <c r="AJ2509" s="1">
        <v>2018</v>
      </c>
      <c r="AK2509" s="1" t="s">
        <v>77</v>
      </c>
      <c r="AL2509" s="1">
        <v>106</v>
      </c>
    </row>
    <row r="2510" spans="1:38" x14ac:dyDescent="0.2">
      <c r="A2510" s="2" t="str">
        <f>HYPERLINK("https://www.compass.com/listing/2351-adam-clayton-powell-jr-boulevard-unit-315-manhattan-ny-10030/340425936897510513/","2351 Adam Clayton Powell Jr Blvd, Unit 315")</f>
        <v>2351 Adam Clayton Powell Jr Blvd, Unit 315</v>
      </c>
      <c r="B2510" s="2" t="str">
        <f t="shared" si="353"/>
        <v>THE RENNIE</v>
      </c>
      <c r="C2510" s="1" t="s">
        <v>61</v>
      </c>
      <c r="D2510" s="1" t="s">
        <v>41</v>
      </c>
      <c r="E2510" s="3">
        <v>675000</v>
      </c>
      <c r="F2510" s="1">
        <v>1083.4670947030399</v>
      </c>
      <c r="G2510" s="1">
        <v>3</v>
      </c>
      <c r="H2510" s="1">
        <v>1</v>
      </c>
      <c r="I2510" s="1">
        <v>1</v>
      </c>
      <c r="J2510" s="1">
        <v>1</v>
      </c>
      <c r="K2510" s="1">
        <v>1</v>
      </c>
      <c r="M2510" s="1">
        <v>623</v>
      </c>
      <c r="N2510" s="1">
        <v>708</v>
      </c>
      <c r="O2510" s="1">
        <v>736</v>
      </c>
      <c r="P2510" s="1">
        <v>28</v>
      </c>
      <c r="Q2510" s="1" t="s">
        <v>42</v>
      </c>
      <c r="S2510" s="1" t="s">
        <v>42</v>
      </c>
      <c r="T2510" s="1" t="s">
        <v>170</v>
      </c>
      <c r="U2510" s="1">
        <v>168</v>
      </c>
      <c r="V2510" s="5">
        <v>44166</v>
      </c>
      <c r="W2510" s="5">
        <v>43721</v>
      </c>
      <c r="X2510" s="1">
        <v>675000</v>
      </c>
      <c r="Y2510" s="1">
        <v>675000</v>
      </c>
      <c r="Z2510" s="5">
        <v>43890</v>
      </c>
      <c r="AA2510" s="1">
        <v>675000</v>
      </c>
      <c r="AB2510" s="1" t="s">
        <v>1856</v>
      </c>
      <c r="AC2510" s="5">
        <v>43958</v>
      </c>
      <c r="AF2510" s="1">
        <v>10030</v>
      </c>
      <c r="AI2510" s="1" t="s">
        <v>45</v>
      </c>
      <c r="AJ2510" s="1">
        <v>2018</v>
      </c>
      <c r="AK2510" s="1" t="s">
        <v>77</v>
      </c>
      <c r="AL2510" s="1">
        <v>106</v>
      </c>
    </row>
    <row r="2511" spans="1:38" x14ac:dyDescent="0.2">
      <c r="A2511" s="2" t="str">
        <f>HYPERLINK("https://www.compass.com/listing/2351-adam-clayton-powell-jr-boulevard-unit-415-manhattan-ny-10030/438651888507411009/","2351 Adam Clayton Powell Jr Blvd, Unit 415")</f>
        <v>2351 Adam Clayton Powell Jr Blvd, Unit 415</v>
      </c>
      <c r="B2511" s="2" t="str">
        <f t="shared" si="353"/>
        <v>THE RENNIE</v>
      </c>
      <c r="C2511" s="1" t="s">
        <v>61</v>
      </c>
      <c r="D2511" s="1" t="s">
        <v>41</v>
      </c>
      <c r="E2511" s="3">
        <v>685000</v>
      </c>
      <c r="F2511" s="1">
        <v>1099.5184590690201</v>
      </c>
      <c r="G2511" s="1">
        <v>3</v>
      </c>
      <c r="H2511" s="1">
        <v>1</v>
      </c>
      <c r="I2511" s="1">
        <v>1</v>
      </c>
      <c r="J2511" s="1">
        <v>1</v>
      </c>
      <c r="K2511" s="1">
        <v>1</v>
      </c>
      <c r="M2511" s="1">
        <v>623</v>
      </c>
      <c r="N2511" s="1">
        <v>706</v>
      </c>
      <c r="O2511" s="1">
        <v>734</v>
      </c>
      <c r="P2511" s="1">
        <v>28</v>
      </c>
      <c r="Q2511" s="1" t="s">
        <v>42</v>
      </c>
      <c r="S2511" s="1" t="s">
        <v>42</v>
      </c>
      <c r="T2511" s="1" t="s">
        <v>170</v>
      </c>
      <c r="U2511" s="1">
        <v>4</v>
      </c>
      <c r="V2511" s="5">
        <v>43986</v>
      </c>
      <c r="W2511" s="5">
        <v>43853</v>
      </c>
      <c r="X2511" s="1">
        <v>720000</v>
      </c>
      <c r="Y2511" s="1">
        <v>720000</v>
      </c>
      <c r="Z2511" s="5">
        <v>43857</v>
      </c>
      <c r="AA2511" s="1">
        <v>685000</v>
      </c>
      <c r="AB2511" s="1" t="s">
        <v>1857</v>
      </c>
      <c r="AC2511" s="5">
        <v>43984</v>
      </c>
      <c r="AF2511" s="1">
        <v>10030</v>
      </c>
      <c r="AI2511" s="1" t="s">
        <v>123</v>
      </c>
      <c r="AJ2511" s="1">
        <v>2018</v>
      </c>
      <c r="AK2511" s="1" t="s">
        <v>77</v>
      </c>
      <c r="AL2511" s="1">
        <v>106</v>
      </c>
    </row>
    <row r="2512" spans="1:38" x14ac:dyDescent="0.2">
      <c r="A2512" s="2" t="str">
        <f>HYPERLINK("https://www.compass.com/listing/2351-adam-clayton-powell-jr-boulevard-unit-202-manhattan-ny-10030/608566666386905945/","2351 Adam Clayton Powell Jr Blvd, Unit 202")</f>
        <v>2351 Adam Clayton Powell Jr Blvd, Unit 202</v>
      </c>
      <c r="B2512" s="2" t="str">
        <f t="shared" si="353"/>
        <v>THE RENNIE</v>
      </c>
      <c r="C2512" s="1" t="s">
        <v>61</v>
      </c>
      <c r="D2512" s="1" t="s">
        <v>41</v>
      </c>
      <c r="E2512" s="3">
        <v>710000</v>
      </c>
      <c r="F2512" s="1">
        <v>1097.37248840803</v>
      </c>
      <c r="G2512" s="1">
        <v>3</v>
      </c>
      <c r="H2512" s="1">
        <v>1</v>
      </c>
      <c r="I2512" s="1">
        <v>1</v>
      </c>
      <c r="J2512" s="1">
        <v>1</v>
      </c>
      <c r="K2512" s="1">
        <v>1</v>
      </c>
      <c r="M2512" s="1">
        <v>647</v>
      </c>
      <c r="N2512" s="1">
        <v>735</v>
      </c>
      <c r="O2512" s="1">
        <v>764</v>
      </c>
      <c r="P2512" s="1">
        <v>29</v>
      </c>
      <c r="Q2512" s="1" t="s">
        <v>42</v>
      </c>
      <c r="S2512" s="1" t="s">
        <v>42</v>
      </c>
      <c r="T2512" s="1" t="s">
        <v>170</v>
      </c>
      <c r="U2512" s="1">
        <v>727</v>
      </c>
      <c r="V2512" s="5">
        <v>44154</v>
      </c>
      <c r="W2512" s="5">
        <v>43270</v>
      </c>
      <c r="X2512" s="1">
        <v>735000</v>
      </c>
      <c r="Y2512" s="1">
        <v>735000</v>
      </c>
      <c r="Z2512" s="5">
        <v>44091</v>
      </c>
      <c r="AA2512" s="1">
        <v>710000</v>
      </c>
      <c r="AB2512" s="1" t="s">
        <v>1858</v>
      </c>
      <c r="AC2512" s="5">
        <v>44137</v>
      </c>
      <c r="AF2512" s="1">
        <v>10030</v>
      </c>
      <c r="AI2512" s="1" t="s">
        <v>45</v>
      </c>
      <c r="AJ2512" s="1">
        <v>2018</v>
      </c>
      <c r="AK2512" s="1" t="s">
        <v>77</v>
      </c>
      <c r="AL2512" s="1">
        <v>106</v>
      </c>
    </row>
    <row r="2513" spans="1:38" x14ac:dyDescent="0.2">
      <c r="A2513" s="2" t="str">
        <f>HYPERLINK("https://www.compass.com/listing/2351-adam-clayton-powell-jr-boulevard-unit-607-manhattan-ny-10030/96876649114595137/","2351 Adam Clayton Powell Jr Blvd, Unit 607")</f>
        <v>2351 Adam Clayton Powell Jr Blvd, Unit 607</v>
      </c>
      <c r="B2513" s="2" t="str">
        <f t="shared" si="353"/>
        <v>THE RENNIE</v>
      </c>
      <c r="C2513" s="1" t="s">
        <v>61</v>
      </c>
      <c r="D2513" s="1" t="s">
        <v>41</v>
      </c>
      <c r="E2513" s="3">
        <v>1255752</v>
      </c>
      <c r="F2513" s="1">
        <v>1232.3378312070599</v>
      </c>
      <c r="G2513" s="1">
        <v>5</v>
      </c>
      <c r="H2513" s="1">
        <v>2</v>
      </c>
      <c r="I2513" s="1">
        <v>2</v>
      </c>
      <c r="J2513" s="1">
        <v>2</v>
      </c>
      <c r="K2513" s="1">
        <v>2</v>
      </c>
      <c r="M2513" s="4">
        <v>1019</v>
      </c>
      <c r="N2513" s="1">
        <v>1158</v>
      </c>
      <c r="O2513" s="1">
        <v>1203</v>
      </c>
      <c r="P2513" s="1">
        <v>45</v>
      </c>
      <c r="Q2513" s="1" t="s">
        <v>42</v>
      </c>
      <c r="S2513" s="1" t="s">
        <v>42</v>
      </c>
      <c r="T2513" s="1" t="s">
        <v>170</v>
      </c>
      <c r="U2513" s="1">
        <v>114</v>
      </c>
      <c r="V2513" s="5">
        <v>43846</v>
      </c>
      <c r="W2513" s="5">
        <v>43271</v>
      </c>
      <c r="X2513" s="1">
        <v>1218000</v>
      </c>
      <c r="Y2513" s="1">
        <v>1218000</v>
      </c>
      <c r="Z2513" s="5">
        <v>43385</v>
      </c>
      <c r="AA2513" s="1">
        <v>1255752.25</v>
      </c>
      <c r="AB2513" s="1" t="s">
        <v>1859</v>
      </c>
      <c r="AC2513" s="5">
        <v>43833</v>
      </c>
      <c r="AF2513" s="1">
        <v>10030</v>
      </c>
      <c r="AI2513" s="1" t="s">
        <v>109</v>
      </c>
      <c r="AJ2513" s="1">
        <v>2018</v>
      </c>
      <c r="AK2513" s="1" t="s">
        <v>77</v>
      </c>
      <c r="AL2513" s="1">
        <v>106</v>
      </c>
    </row>
    <row r="2514" spans="1:38" x14ac:dyDescent="0.2">
      <c r="A2514" s="2" t="str">
        <f>HYPERLINK("https://www.compass.com/listing/2351-adam-clayton-powell-jr-boulevard-unit-ph3-manhattan-ny-10030/465986325767029857/","2351 Adam Clayton Powell Jr Blvd, Unit PH3")</f>
        <v>2351 Adam Clayton Powell Jr Blvd, Unit PH3</v>
      </c>
      <c r="B2514" s="2" t="str">
        <f t="shared" si="353"/>
        <v>THE RENNIE</v>
      </c>
      <c r="C2514" s="1" t="s">
        <v>61</v>
      </c>
      <c r="D2514" s="1" t="s">
        <v>41</v>
      </c>
      <c r="E2514" s="3">
        <v>985000</v>
      </c>
      <c r="F2514" s="1">
        <v>1371.86629526462</v>
      </c>
      <c r="G2514" s="1">
        <v>3</v>
      </c>
      <c r="H2514" s="1">
        <v>1</v>
      </c>
      <c r="I2514" s="1">
        <v>1</v>
      </c>
      <c r="J2514" s="1">
        <v>1</v>
      </c>
      <c r="K2514" s="1">
        <v>1</v>
      </c>
      <c r="M2514" s="1">
        <v>718</v>
      </c>
      <c r="N2514" s="1">
        <v>816</v>
      </c>
      <c r="O2514" s="1">
        <v>848</v>
      </c>
      <c r="P2514" s="1">
        <v>32</v>
      </c>
      <c r="Q2514" s="1" t="s">
        <v>42</v>
      </c>
      <c r="S2514" s="1" t="s">
        <v>42</v>
      </c>
      <c r="T2514" s="1" t="s">
        <v>170</v>
      </c>
      <c r="U2514" s="1">
        <v>82</v>
      </c>
      <c r="V2514" s="5">
        <v>43923</v>
      </c>
      <c r="W2514" s="5">
        <v>43472</v>
      </c>
      <c r="X2514" s="1">
        <v>1018000</v>
      </c>
      <c r="Y2514" s="1">
        <v>1018000</v>
      </c>
      <c r="AA2514" s="1">
        <v>985000</v>
      </c>
      <c r="AB2514" s="1" t="s">
        <v>181</v>
      </c>
      <c r="AC2514" s="5">
        <v>43555</v>
      </c>
      <c r="AF2514" s="1">
        <v>10030</v>
      </c>
      <c r="AI2514" s="1" t="s">
        <v>74</v>
      </c>
      <c r="AJ2514" s="1">
        <v>2018</v>
      </c>
      <c r="AK2514" s="1" t="s">
        <v>77</v>
      </c>
      <c r="AL2514" s="1">
        <v>106</v>
      </c>
    </row>
    <row r="2515" spans="1:38" x14ac:dyDescent="0.2">
      <c r="A2515" s="2" t="str">
        <f>HYPERLINK("https://www.compass.com/listing/555-main-street-unit-1113-manhattan-ny-10044/617525069780157465/","555 Main St, Unit 1113")</f>
        <v>555 Main St, Unit 1113</v>
      </c>
      <c r="B2515" s="2" t="str">
        <f t="shared" ref="B2515:B2516" si="354">HYPERLINK("https://www.compass.com/building/island-house-manhattan-ny/282034908468103317/","Island House")</f>
        <v>Island House</v>
      </c>
      <c r="C2515" s="1" t="s">
        <v>128</v>
      </c>
      <c r="D2515" s="1" t="s">
        <v>41</v>
      </c>
      <c r="E2515" s="3">
        <v>1100000</v>
      </c>
      <c r="G2515" s="1">
        <v>6</v>
      </c>
      <c r="H2515" s="1">
        <v>3</v>
      </c>
      <c r="I2515" s="1">
        <v>3</v>
      </c>
      <c r="J2515" s="1">
        <v>2.5</v>
      </c>
      <c r="K2515" s="1">
        <v>2</v>
      </c>
      <c r="L2515" s="1">
        <v>1</v>
      </c>
      <c r="N2515" s="1">
        <v>1538</v>
      </c>
      <c r="O2515" s="1">
        <v>1538</v>
      </c>
      <c r="Q2515" s="1" t="s">
        <v>129</v>
      </c>
      <c r="S2515" s="1" t="s">
        <v>129</v>
      </c>
      <c r="T2515" s="1" t="s">
        <v>170</v>
      </c>
      <c r="U2515" s="1">
        <v>202</v>
      </c>
      <c r="V2515" s="5">
        <v>44387</v>
      </c>
      <c r="W2515" s="5">
        <v>44103</v>
      </c>
      <c r="X2515" s="1">
        <v>1199000</v>
      </c>
      <c r="Y2515" s="1">
        <v>1165000</v>
      </c>
      <c r="Z2515" s="5">
        <v>44307</v>
      </c>
      <c r="AA2515" s="1">
        <v>1100000</v>
      </c>
      <c r="AB2515" s="1" t="s">
        <v>1860</v>
      </c>
      <c r="AC2515" s="5">
        <v>44370</v>
      </c>
      <c r="AF2515" s="1">
        <v>10044</v>
      </c>
      <c r="AI2515" s="1" t="s">
        <v>84</v>
      </c>
      <c r="AJ2515" s="1">
        <v>1975</v>
      </c>
      <c r="AK2515" s="1" t="s">
        <v>77</v>
      </c>
      <c r="AL2515" s="1">
        <v>400</v>
      </c>
    </row>
    <row r="2516" spans="1:38" x14ac:dyDescent="0.2">
      <c r="A2516" s="2" t="str">
        <f>HYPERLINK("https://www.compass.com/listing/555-main-street-unit-1910-manhattan-ny-10044/4852273948177469665/","555 Main St, Unit 1910")</f>
        <v>555 Main St, Unit 1910</v>
      </c>
      <c r="B2516" s="2" t="str">
        <f t="shared" si="354"/>
        <v>Island House</v>
      </c>
      <c r="C2516" s="1" t="s">
        <v>128</v>
      </c>
      <c r="D2516" s="1" t="s">
        <v>41</v>
      </c>
      <c r="E2516" s="3">
        <v>1300000</v>
      </c>
      <c r="F2516" s="1">
        <v>815.04702194357299</v>
      </c>
      <c r="G2516" s="1">
        <v>6</v>
      </c>
      <c r="H2516" s="1">
        <v>3</v>
      </c>
      <c r="I2516" s="1">
        <v>2</v>
      </c>
      <c r="J2516" s="1">
        <v>2</v>
      </c>
      <c r="K2516" s="1">
        <v>2</v>
      </c>
      <c r="M2516" s="4">
        <v>1595</v>
      </c>
      <c r="N2516" s="1">
        <v>1865</v>
      </c>
      <c r="O2516" s="1">
        <v>1865</v>
      </c>
      <c r="Q2516" s="1" t="s">
        <v>129</v>
      </c>
      <c r="S2516" s="1" t="s">
        <v>129</v>
      </c>
      <c r="T2516" s="1" t="s">
        <v>170</v>
      </c>
      <c r="U2516" s="1">
        <v>43</v>
      </c>
      <c r="V2516" s="5">
        <v>43673</v>
      </c>
      <c r="W2516" s="5">
        <v>42502</v>
      </c>
      <c r="X2516" s="1">
        <v>1300000</v>
      </c>
      <c r="Y2516" s="1">
        <v>1300000</v>
      </c>
      <c r="Z2516" s="5">
        <v>42545</v>
      </c>
      <c r="AA2516" s="1">
        <v>1300000</v>
      </c>
      <c r="AB2516" s="1" t="s">
        <v>181</v>
      </c>
      <c r="AC2516" s="5">
        <v>42635</v>
      </c>
      <c r="AF2516" s="1">
        <v>10044</v>
      </c>
      <c r="AJ2516" s="1">
        <v>1975</v>
      </c>
      <c r="AK2516" s="1" t="s">
        <v>253</v>
      </c>
      <c r="AL2516" s="1">
        <v>400</v>
      </c>
    </row>
    <row r="2517" spans="1:38" x14ac:dyDescent="0.2">
      <c r="A2517" s="2" t="str">
        <f>HYPERLINK("https://www.compass.com/listing/2351-adam-clayton-powell-jr-boulevard-unit-617-manhattan-ny-10030/340411879293270513/","2351 Adam Clayton Powell Jr Blvd, Unit 617")</f>
        <v>2351 Adam Clayton Powell Jr Blvd, Unit 617</v>
      </c>
      <c r="B2517" s="2" t="str">
        <f>HYPERLINK("https://www.compass.com/building/the-rennie-manhattan-ny/307439143554395509/","THE RENNIE")</f>
        <v>THE RENNIE</v>
      </c>
      <c r="C2517" s="1" t="s">
        <v>61</v>
      </c>
      <c r="D2517" s="1" t="s">
        <v>41</v>
      </c>
      <c r="E2517" s="3">
        <v>575000</v>
      </c>
      <c r="F2517" s="1">
        <v>1007.00525394045</v>
      </c>
      <c r="G2517" s="1">
        <v>2.5</v>
      </c>
      <c r="H2517" s="1" t="s">
        <v>97</v>
      </c>
      <c r="I2517" s="1">
        <v>1</v>
      </c>
      <c r="J2517" s="1">
        <v>1</v>
      </c>
      <c r="K2517" s="1">
        <v>1</v>
      </c>
      <c r="M2517" s="1">
        <v>571</v>
      </c>
      <c r="N2517" s="1">
        <v>651</v>
      </c>
      <c r="O2517" s="1">
        <v>676</v>
      </c>
      <c r="P2517" s="1">
        <v>25</v>
      </c>
      <c r="Q2517" s="1" t="s">
        <v>42</v>
      </c>
      <c r="S2517" s="1" t="s">
        <v>42</v>
      </c>
      <c r="T2517" s="1" t="s">
        <v>170</v>
      </c>
      <c r="U2517" s="1">
        <v>132</v>
      </c>
      <c r="V2517" s="5">
        <v>43888</v>
      </c>
      <c r="W2517" s="5">
        <v>43721</v>
      </c>
      <c r="X2517" s="1">
        <v>575000</v>
      </c>
      <c r="Y2517" s="1">
        <v>575000</v>
      </c>
      <c r="Z2517" s="5">
        <v>43854</v>
      </c>
      <c r="AA2517" s="1">
        <v>575000</v>
      </c>
      <c r="AB2517" s="1" t="s">
        <v>1861</v>
      </c>
      <c r="AC2517" s="5">
        <v>43882</v>
      </c>
      <c r="AF2517" s="1">
        <v>10030</v>
      </c>
      <c r="AI2517" s="1" t="s">
        <v>1839</v>
      </c>
      <c r="AJ2517" s="1">
        <v>2018</v>
      </c>
      <c r="AK2517" s="1" t="s">
        <v>77</v>
      </c>
      <c r="AL2517" s="1">
        <v>106</v>
      </c>
    </row>
    <row r="2518" spans="1:38" x14ac:dyDescent="0.2">
      <c r="A2518" s="2" t="str">
        <f>HYPERLINK("https://www.compass.com/listing/555-main-street-unit-602-manhattan-ny-10044/29410503168117009/","555 Main St, Unit 602")</f>
        <v>555 Main St, Unit 602</v>
      </c>
      <c r="B2518" s="2" t="str">
        <f>HYPERLINK("https://www.compass.com/building/island-house-manhattan-ny/282034908468103317/","Island House")</f>
        <v>Island House</v>
      </c>
      <c r="C2518" s="1" t="s">
        <v>128</v>
      </c>
      <c r="D2518" s="1" t="s">
        <v>41</v>
      </c>
      <c r="E2518" s="3">
        <v>799000</v>
      </c>
      <c r="F2518" s="1">
        <v>758.78442545109203</v>
      </c>
      <c r="G2518" s="1">
        <v>4</v>
      </c>
      <c r="H2518" s="1">
        <v>2</v>
      </c>
      <c r="I2518" s="1">
        <v>2</v>
      </c>
      <c r="J2518" s="1">
        <v>2</v>
      </c>
      <c r="K2518" s="1">
        <v>2</v>
      </c>
      <c r="M2518" s="4">
        <v>1053</v>
      </c>
      <c r="N2518" s="1">
        <v>1143</v>
      </c>
      <c r="O2518" s="1">
        <v>1143</v>
      </c>
      <c r="Q2518" s="1" t="s">
        <v>129</v>
      </c>
      <c r="S2518" s="1" t="s">
        <v>129</v>
      </c>
      <c r="T2518" s="1" t="s">
        <v>170</v>
      </c>
      <c r="U2518" s="1">
        <v>86</v>
      </c>
      <c r="V2518" s="5">
        <v>43649</v>
      </c>
      <c r="W2518" s="5">
        <v>42928</v>
      </c>
      <c r="X2518" s="1">
        <v>799000</v>
      </c>
      <c r="Y2518" s="1">
        <v>799000</v>
      </c>
      <c r="AA2518" s="1">
        <v>799000</v>
      </c>
      <c r="AB2518" s="1" t="s">
        <v>1862</v>
      </c>
      <c r="AC2518" s="5">
        <v>43014</v>
      </c>
      <c r="AF2518" s="1">
        <v>10044</v>
      </c>
      <c r="AJ2518" s="1">
        <v>1975</v>
      </c>
      <c r="AK2518" s="1" t="s">
        <v>77</v>
      </c>
      <c r="AL2518" s="1">
        <v>400</v>
      </c>
    </row>
    <row r="2519" spans="1:38" x14ac:dyDescent="0.2">
      <c r="A2519" s="2" t="str">
        <f>HYPERLINK("https://www.compass.com/listing/2351-adam-clayton-powell-jr-boulevard-unit-ph25-manhattan-ny-10030/208575710061738145/","2351 Adam Clayton Powell Jr Blvd, Unit PH25")</f>
        <v>2351 Adam Clayton Powell Jr Blvd, Unit PH25</v>
      </c>
      <c r="B2519" s="2" t="str">
        <f t="shared" ref="B2519:B2524" si="355">HYPERLINK("https://www.compass.com/building/the-rennie-manhattan-ny/307439143554395509/","THE RENNIE")</f>
        <v>THE RENNIE</v>
      </c>
      <c r="C2519" s="1" t="s">
        <v>61</v>
      </c>
      <c r="D2519" s="1" t="s">
        <v>41</v>
      </c>
      <c r="E2519" s="3">
        <v>1200000</v>
      </c>
      <c r="F2519" s="1">
        <v>1302.9315960911999</v>
      </c>
      <c r="G2519" s="1">
        <v>4</v>
      </c>
      <c r="H2519" s="1">
        <v>2</v>
      </c>
      <c r="I2519" s="1">
        <v>1</v>
      </c>
      <c r="J2519" s="1">
        <v>1</v>
      </c>
      <c r="K2519" s="1">
        <v>1</v>
      </c>
      <c r="M2519" s="1">
        <v>921</v>
      </c>
      <c r="N2519" s="1">
        <v>1046</v>
      </c>
      <c r="O2519" s="1">
        <v>1087</v>
      </c>
      <c r="P2519" s="1">
        <v>41</v>
      </c>
      <c r="Q2519" s="1" t="s">
        <v>42</v>
      </c>
      <c r="S2519" s="1" t="s">
        <v>42</v>
      </c>
      <c r="T2519" s="1" t="s">
        <v>170</v>
      </c>
      <c r="V2519" s="5">
        <v>43846</v>
      </c>
      <c r="W2519" s="5">
        <v>43539</v>
      </c>
      <c r="X2519" s="1">
        <v>1200000</v>
      </c>
      <c r="Y2519" s="1">
        <v>1200000</v>
      </c>
      <c r="Z2519" s="5">
        <v>43540</v>
      </c>
      <c r="AA2519" s="1">
        <v>1200000</v>
      </c>
      <c r="AB2519" s="1" t="s">
        <v>181</v>
      </c>
      <c r="AC2519" s="5">
        <v>43770</v>
      </c>
      <c r="AF2519" s="1">
        <v>10030</v>
      </c>
      <c r="AI2519" s="1" t="s">
        <v>1485</v>
      </c>
      <c r="AJ2519" s="1">
        <v>2018</v>
      </c>
      <c r="AK2519" s="1" t="s">
        <v>77</v>
      </c>
      <c r="AL2519" s="1">
        <v>106</v>
      </c>
    </row>
    <row r="2520" spans="1:38" x14ac:dyDescent="0.2">
      <c r="A2520" s="2" t="str">
        <f>HYPERLINK("https://www.compass.com/listing/2351-adam-clayton-powell-jr-boulevard-unit-510-manhattan-ny-10030/669459643297309049/","2351 Adam Clayton Powell Jr Blvd, Unit 510")</f>
        <v>2351 Adam Clayton Powell Jr Blvd, Unit 510</v>
      </c>
      <c r="B2520" s="2" t="str">
        <f t="shared" si="355"/>
        <v>THE RENNIE</v>
      </c>
      <c r="C2520" s="1" t="s">
        <v>61</v>
      </c>
      <c r="D2520" s="1" t="s">
        <v>41</v>
      </c>
      <c r="E2520" s="3">
        <v>628614</v>
      </c>
      <c r="F2520" s="1">
        <v>1000.97837579617</v>
      </c>
      <c r="G2520" s="1">
        <v>3</v>
      </c>
      <c r="H2520" s="1">
        <v>1</v>
      </c>
      <c r="I2520" s="1">
        <v>1</v>
      </c>
      <c r="J2520" s="1">
        <v>1</v>
      </c>
      <c r="K2520" s="1">
        <v>1</v>
      </c>
      <c r="M2520" s="1">
        <v>628</v>
      </c>
      <c r="N2520" s="1">
        <v>713</v>
      </c>
      <c r="O2520" s="1">
        <v>725</v>
      </c>
      <c r="P2520" s="1">
        <v>12</v>
      </c>
      <c r="Q2520" s="1" t="s">
        <v>42</v>
      </c>
      <c r="S2520" s="1" t="s">
        <v>42</v>
      </c>
      <c r="T2520" s="1" t="s">
        <v>170</v>
      </c>
      <c r="U2520" s="1">
        <v>810</v>
      </c>
      <c r="V2520" s="5">
        <v>44421</v>
      </c>
      <c r="W2520" s="5">
        <v>43271</v>
      </c>
      <c r="X2520" s="1">
        <v>679000</v>
      </c>
      <c r="Y2520" s="1">
        <v>679000</v>
      </c>
      <c r="Z2520" s="5">
        <v>44175</v>
      </c>
      <c r="AA2520" s="1">
        <v>628614.42000000004</v>
      </c>
      <c r="AB2520" s="1" t="s">
        <v>173</v>
      </c>
      <c r="AC2520" s="5">
        <v>44417</v>
      </c>
      <c r="AF2520" s="1">
        <v>10030</v>
      </c>
      <c r="AI2520" s="1" t="s">
        <v>124</v>
      </c>
      <c r="AJ2520" s="1">
        <v>2018</v>
      </c>
      <c r="AK2520" s="1" t="s">
        <v>77</v>
      </c>
      <c r="AL2520" s="1">
        <v>106</v>
      </c>
    </row>
    <row r="2521" spans="1:38" x14ac:dyDescent="0.2">
      <c r="A2521" s="2" t="str">
        <f>HYPERLINK("https://www.compass.com/listing/2351-adam-clayton-powell-jr-boulevard-unit-420-manhattan-ny-10030/71645766770325505/","2351 Adam Clayton Powell Jr Blvd, Unit 420")</f>
        <v>2351 Adam Clayton Powell Jr Blvd, Unit 420</v>
      </c>
      <c r="B2521" s="2" t="str">
        <f t="shared" si="355"/>
        <v>THE RENNIE</v>
      </c>
      <c r="C2521" s="1" t="s">
        <v>61</v>
      </c>
      <c r="D2521" s="1" t="s">
        <v>41</v>
      </c>
      <c r="E2521" s="3">
        <v>485000</v>
      </c>
      <c r="F2521" s="1">
        <v>930.90211132437605</v>
      </c>
      <c r="G2521" s="1">
        <v>2</v>
      </c>
      <c r="H2521" s="1" t="s">
        <v>79</v>
      </c>
      <c r="I2521" s="1">
        <v>1</v>
      </c>
      <c r="J2521" s="1">
        <v>1</v>
      </c>
      <c r="K2521" s="1">
        <v>1</v>
      </c>
      <c r="M2521" s="1">
        <v>521</v>
      </c>
      <c r="N2521" s="1">
        <v>592</v>
      </c>
      <c r="O2521" s="1">
        <v>615</v>
      </c>
      <c r="P2521" s="1">
        <v>23</v>
      </c>
      <c r="Q2521" s="1" t="s">
        <v>42</v>
      </c>
      <c r="S2521" s="1" t="s">
        <v>42</v>
      </c>
      <c r="T2521" s="1" t="s">
        <v>170</v>
      </c>
      <c r="U2521" s="1">
        <v>133</v>
      </c>
      <c r="V2521" s="5">
        <v>44414</v>
      </c>
      <c r="W2521" s="5">
        <v>43347</v>
      </c>
      <c r="X2521" s="1">
        <v>589000</v>
      </c>
      <c r="Y2521" s="1">
        <v>589000</v>
      </c>
      <c r="Z2521" s="5">
        <v>43481</v>
      </c>
      <c r="AA2521" s="1">
        <v>485000</v>
      </c>
      <c r="AB2521" s="1" t="s">
        <v>181</v>
      </c>
      <c r="AC2521" s="5">
        <v>44404</v>
      </c>
      <c r="AF2521" s="1">
        <v>10030</v>
      </c>
      <c r="AI2521" s="1" t="s">
        <v>1839</v>
      </c>
      <c r="AJ2521" s="1">
        <v>2018</v>
      </c>
      <c r="AK2521" s="1" t="s">
        <v>77</v>
      </c>
      <c r="AL2521" s="1">
        <v>106</v>
      </c>
    </row>
    <row r="2522" spans="1:38" x14ac:dyDescent="0.2">
      <c r="A2522" s="2" t="str">
        <f>HYPERLINK("https://www.compass.com/listing/2351-adam-clayton-powell-jr-boulevard-unit-ph6-manhattan-ny-10030/238980993917202065/","2351 Adam Clayton Powell Jr Blvd, Unit PH6")</f>
        <v>2351 Adam Clayton Powell Jr Blvd, Unit PH6</v>
      </c>
      <c r="B2522" s="2" t="str">
        <f t="shared" si="355"/>
        <v>THE RENNIE</v>
      </c>
      <c r="C2522" s="1" t="s">
        <v>61</v>
      </c>
      <c r="D2522" s="1" t="s">
        <v>41</v>
      </c>
      <c r="E2522" s="3">
        <v>1498000</v>
      </c>
      <c r="F2522" s="1">
        <v>1272.72727272727</v>
      </c>
      <c r="G2522" s="1">
        <v>5</v>
      </c>
      <c r="H2522" s="1">
        <v>2</v>
      </c>
      <c r="I2522" s="1">
        <v>2</v>
      </c>
      <c r="J2522" s="1">
        <v>2</v>
      </c>
      <c r="K2522" s="1">
        <v>2</v>
      </c>
      <c r="M2522" s="4">
        <v>1177</v>
      </c>
      <c r="N2522" s="1">
        <v>1338</v>
      </c>
      <c r="O2522" s="1">
        <v>1390</v>
      </c>
      <c r="P2522" s="1">
        <v>52</v>
      </c>
      <c r="Q2522" s="1" t="s">
        <v>42</v>
      </c>
      <c r="S2522" s="1" t="s">
        <v>42</v>
      </c>
      <c r="T2522" s="1" t="s">
        <v>170</v>
      </c>
      <c r="U2522" s="1">
        <v>109</v>
      </c>
      <c r="V2522" s="5">
        <v>43846</v>
      </c>
      <c r="W2522" s="5">
        <v>43472</v>
      </c>
      <c r="X2522" s="1">
        <v>1498000</v>
      </c>
      <c r="Y2522" s="1">
        <v>1498000</v>
      </c>
      <c r="Z2522" s="5">
        <v>43582</v>
      </c>
      <c r="AA2522" s="1">
        <v>1498000</v>
      </c>
      <c r="AB2522" s="1" t="s">
        <v>181</v>
      </c>
      <c r="AC2522" s="5">
        <v>43812</v>
      </c>
      <c r="AF2522" s="1">
        <v>10030</v>
      </c>
      <c r="AI2522" s="1" t="s">
        <v>1485</v>
      </c>
      <c r="AJ2522" s="1">
        <v>2018</v>
      </c>
      <c r="AK2522" s="1" t="s">
        <v>77</v>
      </c>
      <c r="AL2522" s="1">
        <v>106</v>
      </c>
    </row>
    <row r="2523" spans="1:38" x14ac:dyDescent="0.2">
      <c r="A2523" s="2" t="str">
        <f>HYPERLINK("https://www.compass.com/listing/2351-adam-clayton-powell-jr-boulevard-unit-714-p-manhattan-ny-10030/850522484368220953/","2351 Adam Clayton Powell Jr Blvd, Unit 714/P")</f>
        <v>2351 Adam Clayton Powell Jr Blvd, Unit 714/P</v>
      </c>
      <c r="B2523" s="2" t="str">
        <f t="shared" si="355"/>
        <v>THE RENNIE</v>
      </c>
      <c r="C2523" s="1" t="s">
        <v>61</v>
      </c>
      <c r="D2523" s="1" t="s">
        <v>41</v>
      </c>
      <c r="E2523" s="3">
        <v>920000</v>
      </c>
      <c r="F2523" s="1">
        <v>1064.81481481481</v>
      </c>
      <c r="M2523" s="1">
        <v>864</v>
      </c>
      <c r="Q2523" s="1" t="s">
        <v>42</v>
      </c>
      <c r="S2523" s="1" t="s">
        <v>42</v>
      </c>
      <c r="T2523" s="1" t="s">
        <v>170</v>
      </c>
      <c r="AA2523" s="1">
        <v>920000</v>
      </c>
      <c r="AB2523" s="1" t="s">
        <v>1863</v>
      </c>
      <c r="AC2523" s="5">
        <v>44403</v>
      </c>
      <c r="AF2523" s="1">
        <v>10030</v>
      </c>
      <c r="AI2523" s="1" t="s">
        <v>45</v>
      </c>
      <c r="AJ2523" s="1">
        <v>2018</v>
      </c>
      <c r="AK2523" s="1" t="s">
        <v>49</v>
      </c>
      <c r="AL2523" s="1">
        <v>106</v>
      </c>
    </row>
    <row r="2524" spans="1:38" x14ac:dyDescent="0.2">
      <c r="A2524" s="2" t="str">
        <f>HYPERLINK("https://www.compass.com/listing/2351-adam-clayton-powell-jr-boulevard-unit-411-manhattan-ny-10030/851174527883811009/","2351 Adam Clayton Powell Jr Blvd, Unit 411")</f>
        <v>2351 Adam Clayton Powell Jr Blvd, Unit 411</v>
      </c>
      <c r="B2524" s="2" t="str">
        <f t="shared" si="355"/>
        <v>THE RENNIE</v>
      </c>
      <c r="C2524" s="1" t="s">
        <v>61</v>
      </c>
      <c r="D2524" s="1" t="s">
        <v>41</v>
      </c>
      <c r="E2524" s="3">
        <v>326000</v>
      </c>
      <c r="F2524" s="1">
        <v>370.03405221339301</v>
      </c>
      <c r="M2524" s="1">
        <v>881</v>
      </c>
      <c r="Q2524" s="1" t="s">
        <v>42</v>
      </c>
      <c r="S2524" s="1" t="s">
        <v>42</v>
      </c>
      <c r="T2524" s="1" t="s">
        <v>170</v>
      </c>
      <c r="AA2524" s="1">
        <v>326000</v>
      </c>
      <c r="AB2524" s="1" t="s">
        <v>1864</v>
      </c>
      <c r="AC2524" s="5">
        <v>44407</v>
      </c>
      <c r="AF2524" s="1">
        <v>10030</v>
      </c>
      <c r="AI2524" s="1" t="s">
        <v>45</v>
      </c>
      <c r="AJ2524" s="1">
        <v>2018</v>
      </c>
      <c r="AK2524" s="1" t="s">
        <v>49</v>
      </c>
      <c r="AL2524" s="1">
        <v>106</v>
      </c>
    </row>
    <row r="2525" spans="1:38" x14ac:dyDescent="0.2">
      <c r="A2525" s="2" t="str">
        <f>HYPERLINK("https://www.compass.com/listing/265-east-houston-street-unit-5-manhattan-ny-10002/29638559178791649/","265 E Houston St, Unit 5")</f>
        <v>265 E Houston St, Unit 5</v>
      </c>
      <c r="B2525" s="2" t="str">
        <f t="shared" ref="B2525:B2527" si="356">HYPERLINK("https://www.compass.com/building/265-e-houston-st-manhattan-ny-10002/281886808264939173/","265 E Houston St")</f>
        <v>265 E Houston St</v>
      </c>
      <c r="C2525" s="1" t="s">
        <v>66</v>
      </c>
      <c r="D2525" s="1" t="s">
        <v>41</v>
      </c>
      <c r="E2525" s="3">
        <v>1934675</v>
      </c>
      <c r="F2525" s="1">
        <v>1381.9107142857099</v>
      </c>
      <c r="G2525" s="1">
        <v>4.5</v>
      </c>
      <c r="H2525" s="1">
        <v>2</v>
      </c>
      <c r="I2525" s="1">
        <v>2</v>
      </c>
      <c r="J2525" s="1">
        <v>2</v>
      </c>
      <c r="K2525" s="1">
        <v>2</v>
      </c>
      <c r="M2525" s="4">
        <v>1400</v>
      </c>
      <c r="N2525" s="1">
        <v>1328</v>
      </c>
      <c r="O2525" s="1">
        <v>2347</v>
      </c>
      <c r="P2525" s="1">
        <v>1019</v>
      </c>
      <c r="Q2525" s="1" t="s">
        <v>42</v>
      </c>
      <c r="S2525" s="1" t="s">
        <v>42</v>
      </c>
      <c r="T2525" s="1" t="s">
        <v>170</v>
      </c>
      <c r="U2525" s="1">
        <v>56</v>
      </c>
      <c r="V2525" s="5">
        <v>43717</v>
      </c>
      <c r="W2525" s="5">
        <v>43616</v>
      </c>
      <c r="X2525" s="1">
        <v>1995000</v>
      </c>
      <c r="Y2525" s="1">
        <v>1995000</v>
      </c>
      <c r="Z2525" s="5">
        <v>43672</v>
      </c>
      <c r="AA2525" s="1">
        <v>1934675</v>
      </c>
      <c r="AB2525" s="1" t="s">
        <v>1865</v>
      </c>
      <c r="AC2525" s="5">
        <v>43707</v>
      </c>
      <c r="AF2525" s="1">
        <v>10002</v>
      </c>
      <c r="AI2525" s="1" t="s">
        <v>160</v>
      </c>
      <c r="AJ2525" s="1">
        <v>2015</v>
      </c>
      <c r="AK2525" s="1" t="s">
        <v>63</v>
      </c>
      <c r="AL2525" s="1">
        <v>7</v>
      </c>
    </row>
    <row r="2526" spans="1:38" x14ac:dyDescent="0.2">
      <c r="A2526" s="2" t="str">
        <f>HYPERLINK("https://www.compass.com/listing/265-east-houston-street-unit-6-manhattan-ny-10002/192741041428780241/","265 E Houston St, Unit 6")</f>
        <v>265 E Houston St, Unit 6</v>
      </c>
      <c r="B2526" s="2" t="str">
        <f t="shared" si="356"/>
        <v>265 E Houston St</v>
      </c>
      <c r="C2526" s="1" t="s">
        <v>66</v>
      </c>
      <c r="D2526" s="1" t="s">
        <v>41</v>
      </c>
      <c r="E2526" s="3">
        <v>2195000</v>
      </c>
      <c r="F2526" s="1">
        <v>1567.8571428571399</v>
      </c>
      <c r="G2526" s="1">
        <v>4</v>
      </c>
      <c r="H2526" s="1">
        <v>2</v>
      </c>
      <c r="I2526" s="1">
        <v>2</v>
      </c>
      <c r="J2526" s="1">
        <v>2</v>
      </c>
      <c r="K2526" s="1">
        <v>2</v>
      </c>
      <c r="M2526" s="4">
        <v>1400</v>
      </c>
      <c r="N2526" s="1">
        <v>1399</v>
      </c>
      <c r="O2526" s="1">
        <v>2418</v>
      </c>
      <c r="P2526" s="1">
        <v>1019</v>
      </c>
      <c r="Q2526" s="1" t="s">
        <v>42</v>
      </c>
      <c r="S2526" s="1" t="s">
        <v>42</v>
      </c>
      <c r="T2526" s="1" t="s">
        <v>170</v>
      </c>
      <c r="U2526" s="1">
        <v>243</v>
      </c>
      <c r="V2526" s="5">
        <v>43879</v>
      </c>
      <c r="W2526" s="5">
        <v>43518</v>
      </c>
      <c r="X2526" s="1">
        <v>2195000</v>
      </c>
      <c r="Y2526" s="1">
        <v>2195000</v>
      </c>
      <c r="Z2526" s="5">
        <v>43817</v>
      </c>
      <c r="AA2526" s="1">
        <v>2195000</v>
      </c>
      <c r="AB2526" s="1" t="s">
        <v>181</v>
      </c>
      <c r="AC2526" s="5">
        <v>43866</v>
      </c>
      <c r="AF2526" s="1">
        <v>10002</v>
      </c>
      <c r="AI2526" s="1" t="s">
        <v>96</v>
      </c>
      <c r="AJ2526" s="1">
        <v>2015</v>
      </c>
      <c r="AK2526" s="1" t="s">
        <v>63</v>
      </c>
      <c r="AL2526" s="1">
        <v>7</v>
      </c>
    </row>
    <row r="2527" spans="1:38" x14ac:dyDescent="0.2">
      <c r="A2527" s="2" t="str">
        <f>HYPERLINK("https://www.compass.com/listing/265-east-houston-street-unit-7-manhattan-ny-10002/233598101833665089/","265 E Houston St, Unit 7")</f>
        <v>265 E Houston St, Unit 7</v>
      </c>
      <c r="B2527" s="2" t="str">
        <f t="shared" si="356"/>
        <v>265 E Houston St</v>
      </c>
      <c r="C2527" s="1" t="s">
        <v>66</v>
      </c>
      <c r="D2527" s="1" t="s">
        <v>41</v>
      </c>
      <c r="E2527" s="3">
        <v>2250000</v>
      </c>
      <c r="F2527" s="1">
        <v>1607.1428571428501</v>
      </c>
      <c r="G2527" s="1">
        <v>5</v>
      </c>
      <c r="H2527" s="1">
        <v>2</v>
      </c>
      <c r="I2527" s="1">
        <v>2</v>
      </c>
      <c r="J2527" s="1">
        <v>2</v>
      </c>
      <c r="K2527" s="1">
        <v>2</v>
      </c>
      <c r="M2527" s="4">
        <v>1400</v>
      </c>
      <c r="N2527" s="1">
        <v>1459</v>
      </c>
      <c r="O2527" s="1">
        <v>2478</v>
      </c>
      <c r="P2527" s="1">
        <v>1019</v>
      </c>
      <c r="Q2527" s="1" t="s">
        <v>42</v>
      </c>
      <c r="S2527" s="1" t="s">
        <v>42</v>
      </c>
      <c r="T2527" s="1" t="s">
        <v>170</v>
      </c>
      <c r="U2527" s="1">
        <v>11</v>
      </c>
      <c r="V2527" s="5">
        <v>44225</v>
      </c>
      <c r="W2527" s="5">
        <v>43573</v>
      </c>
      <c r="X2527" s="1">
        <v>2395000</v>
      </c>
      <c r="Y2527" s="1">
        <v>2395000</v>
      </c>
      <c r="Z2527" s="5">
        <v>43585</v>
      </c>
      <c r="AA2527" s="1">
        <v>2250000</v>
      </c>
      <c r="AB2527" s="1" t="s">
        <v>1866</v>
      </c>
      <c r="AC2527" s="5">
        <v>43677</v>
      </c>
      <c r="AF2527" s="1">
        <v>10002</v>
      </c>
      <c r="AI2527" s="1" t="s">
        <v>160</v>
      </c>
      <c r="AJ2527" s="1">
        <v>2015</v>
      </c>
      <c r="AK2527" s="1" t="s">
        <v>1867</v>
      </c>
      <c r="AL2527" s="1">
        <v>7</v>
      </c>
    </row>
    <row r="2528" spans="1:38" x14ac:dyDescent="0.2">
      <c r="A2528" s="2" t="str">
        <f>HYPERLINK("https://www.compass.com/listing/25-park-row-unit-33b-manhattan-ny-10038/662789948908757929/","25 Park Row, Unit 33B")</f>
        <v>25 Park Row, Unit 33B</v>
      </c>
      <c r="B2528" s="2" t="str">
        <f t="shared" ref="B2528:B2545" si="357">HYPERLINK("https://www.compass.com/building/25-park-row-manhattan-ny-10038/292920743539264837/","25 Park Row")</f>
        <v>25 Park Row</v>
      </c>
      <c r="C2528" s="1" t="s">
        <v>117</v>
      </c>
      <c r="D2528" s="1" t="s">
        <v>41</v>
      </c>
      <c r="E2528" s="3">
        <v>2300000</v>
      </c>
      <c r="F2528" s="1">
        <v>2059.08683974932</v>
      </c>
      <c r="M2528" s="4">
        <v>1117</v>
      </c>
      <c r="Q2528" s="1" t="s">
        <v>42</v>
      </c>
      <c r="S2528" s="1" t="s">
        <v>42</v>
      </c>
      <c r="T2528" s="1" t="s">
        <v>170</v>
      </c>
      <c r="AA2528" s="1">
        <v>2300000</v>
      </c>
      <c r="AB2528" s="1" t="s">
        <v>1868</v>
      </c>
      <c r="AC2528" s="5">
        <v>44154</v>
      </c>
      <c r="AF2528" s="1">
        <v>10038</v>
      </c>
      <c r="AI2528" s="1" t="s">
        <v>84</v>
      </c>
      <c r="AJ2528" s="1">
        <v>2019</v>
      </c>
      <c r="AK2528" s="1" t="s">
        <v>49</v>
      </c>
      <c r="AL2528" s="1">
        <v>110</v>
      </c>
    </row>
    <row r="2529" spans="1:38" x14ac:dyDescent="0.2">
      <c r="A2529" s="2" t="str">
        <f>HYPERLINK("https://www.compass.com/listing/25-park-row-unit-10b-manhattan-ny-10038/841496308597978241/","25 Park Row, Unit 10B")</f>
        <v>25 Park Row, Unit 10B</v>
      </c>
      <c r="B2529" s="2" t="str">
        <f t="shared" si="357"/>
        <v>25 Park Row</v>
      </c>
      <c r="C2529" s="1" t="s">
        <v>117</v>
      </c>
      <c r="D2529" s="1" t="s">
        <v>41</v>
      </c>
      <c r="E2529" s="3">
        <v>1850000</v>
      </c>
      <c r="F2529" s="1">
        <v>1848.1518481518401</v>
      </c>
      <c r="H2529" s="1">
        <v>1</v>
      </c>
      <c r="J2529" s="1">
        <v>1.5</v>
      </c>
      <c r="K2529" s="1">
        <v>1</v>
      </c>
      <c r="L2529" s="1">
        <v>1</v>
      </c>
      <c r="M2529" s="4">
        <v>1001</v>
      </c>
      <c r="N2529" s="1">
        <v>1227.07</v>
      </c>
      <c r="O2529" s="1">
        <v>2454.3000000000002</v>
      </c>
      <c r="P2529" s="1">
        <v>1227.25</v>
      </c>
      <c r="Q2529" s="1" t="s">
        <v>42</v>
      </c>
      <c r="S2529" s="1" t="s">
        <v>42</v>
      </c>
      <c r="T2529" s="1" t="s">
        <v>170</v>
      </c>
      <c r="AA2529" s="1">
        <v>1850000</v>
      </c>
      <c r="AB2529" s="1" t="s">
        <v>1869</v>
      </c>
      <c r="AC2529" s="5">
        <v>44042</v>
      </c>
      <c r="AF2529" s="1">
        <v>10038</v>
      </c>
      <c r="AI2529" s="1" t="s">
        <v>84</v>
      </c>
      <c r="AJ2529" s="1">
        <v>2019</v>
      </c>
      <c r="AK2529" s="1" t="s">
        <v>49</v>
      </c>
      <c r="AL2529" s="1">
        <v>110</v>
      </c>
    </row>
    <row r="2530" spans="1:38" x14ac:dyDescent="0.2">
      <c r="A2530" s="2" t="str">
        <f>HYPERLINK("https://www.compass.com/listing/25-park-row-unit-8b-manhattan-ny-10038/841496314671361873/","25 Park Row, Unit 8B")</f>
        <v>25 Park Row, Unit 8B</v>
      </c>
      <c r="B2530" s="2" t="str">
        <f t="shared" si="357"/>
        <v>25 Park Row</v>
      </c>
      <c r="C2530" s="1" t="s">
        <v>117</v>
      </c>
      <c r="D2530" s="1" t="s">
        <v>41</v>
      </c>
      <c r="E2530" s="3">
        <v>1820000</v>
      </c>
      <c r="F2530" s="1">
        <v>1818.1818181818101</v>
      </c>
      <c r="H2530" s="1">
        <v>1</v>
      </c>
      <c r="J2530" s="1">
        <v>1.5</v>
      </c>
      <c r="K2530" s="1">
        <v>1</v>
      </c>
      <c r="L2530" s="1">
        <v>1</v>
      </c>
      <c r="M2530" s="4">
        <v>1001</v>
      </c>
      <c r="N2530" s="1">
        <v>1215.0999999999999</v>
      </c>
      <c r="O2530" s="1">
        <v>2430.3599999999901</v>
      </c>
      <c r="P2530" s="1">
        <v>1215.25</v>
      </c>
      <c r="Q2530" s="1" t="s">
        <v>42</v>
      </c>
      <c r="S2530" s="1" t="s">
        <v>42</v>
      </c>
      <c r="T2530" s="1" t="s">
        <v>170</v>
      </c>
      <c r="AA2530" s="1">
        <v>1820000</v>
      </c>
      <c r="AB2530" s="1" t="s">
        <v>1870</v>
      </c>
      <c r="AC2530" s="5">
        <v>44040</v>
      </c>
      <c r="AF2530" s="1">
        <v>10038</v>
      </c>
      <c r="AI2530" s="1" t="s">
        <v>84</v>
      </c>
      <c r="AJ2530" s="1">
        <v>2019</v>
      </c>
      <c r="AK2530" s="1" t="s">
        <v>49</v>
      </c>
      <c r="AL2530" s="1">
        <v>110</v>
      </c>
    </row>
    <row r="2531" spans="1:38" x14ac:dyDescent="0.2">
      <c r="A2531" s="2" t="str">
        <f>HYPERLINK("https://www.compass.com/listing/25-park-row-unit-7d-manhattan-ny-10038/841496314772806105/","25 Park Row, Unit 7D")</f>
        <v>25 Park Row, Unit 7D</v>
      </c>
      <c r="B2531" s="2" t="str">
        <f t="shared" si="357"/>
        <v>25 Park Row</v>
      </c>
      <c r="C2531" s="1" t="s">
        <v>117</v>
      </c>
      <c r="D2531" s="1" t="s">
        <v>41</v>
      </c>
      <c r="E2531" s="3">
        <v>1617750</v>
      </c>
      <c r="F2531" s="1">
        <v>1768.0327868852401</v>
      </c>
      <c r="H2531" s="1">
        <v>1</v>
      </c>
      <c r="J2531" s="1">
        <v>1.5</v>
      </c>
      <c r="K2531" s="1">
        <v>1</v>
      </c>
      <c r="L2531" s="1">
        <v>1</v>
      </c>
      <c r="M2531" s="1">
        <v>915</v>
      </c>
      <c r="N2531" s="1">
        <v>1105.23</v>
      </c>
      <c r="O2531" s="1">
        <v>2210.61</v>
      </c>
      <c r="P2531" s="1">
        <v>1105.4166666666599</v>
      </c>
      <c r="Q2531" s="1" t="s">
        <v>42</v>
      </c>
      <c r="S2531" s="1" t="s">
        <v>42</v>
      </c>
      <c r="T2531" s="1" t="s">
        <v>170</v>
      </c>
      <c r="AA2531" s="1">
        <v>1617750</v>
      </c>
      <c r="AB2531" s="1" t="s">
        <v>1871</v>
      </c>
      <c r="AC2531" s="5">
        <v>44141</v>
      </c>
      <c r="AF2531" s="1">
        <v>10038</v>
      </c>
      <c r="AI2531" s="1" t="s">
        <v>84</v>
      </c>
      <c r="AJ2531" s="1">
        <v>2019</v>
      </c>
      <c r="AK2531" s="1" t="s">
        <v>49</v>
      </c>
      <c r="AL2531" s="1">
        <v>110</v>
      </c>
    </row>
    <row r="2532" spans="1:38" x14ac:dyDescent="0.2">
      <c r="A2532" s="2" t="str">
        <f>HYPERLINK("https://www.compass.com/listing/25-park-row-unit-7b-manhattan-ny-10038/841538309293278329/","25 Park Row, Unit 7B")</f>
        <v>25 Park Row, Unit 7B</v>
      </c>
      <c r="B2532" s="2" t="str">
        <f t="shared" si="357"/>
        <v>25 Park Row</v>
      </c>
      <c r="C2532" s="1" t="s">
        <v>117</v>
      </c>
      <c r="D2532" s="1" t="s">
        <v>41</v>
      </c>
      <c r="E2532" s="3">
        <v>1865000</v>
      </c>
      <c r="F2532" s="1">
        <v>1863.13686313686</v>
      </c>
      <c r="H2532" s="1">
        <v>1</v>
      </c>
      <c r="J2532" s="1">
        <v>1.5</v>
      </c>
      <c r="K2532" s="1">
        <v>1</v>
      </c>
      <c r="L2532" s="1">
        <v>1</v>
      </c>
      <c r="M2532" s="4">
        <v>1001</v>
      </c>
      <c r="N2532" s="1">
        <v>1209.1099999999999</v>
      </c>
      <c r="O2532" s="1">
        <v>2418.38</v>
      </c>
      <c r="P2532" s="1">
        <v>1209.25</v>
      </c>
      <c r="Q2532" s="1" t="s">
        <v>42</v>
      </c>
      <c r="S2532" s="1" t="s">
        <v>42</v>
      </c>
      <c r="T2532" s="1" t="s">
        <v>170</v>
      </c>
      <c r="AA2532" s="1">
        <v>1865000</v>
      </c>
      <c r="AB2532" s="1" t="s">
        <v>1872</v>
      </c>
      <c r="AC2532" s="5">
        <v>44040</v>
      </c>
      <c r="AF2532" s="1">
        <v>10038</v>
      </c>
      <c r="AI2532" s="1" t="s">
        <v>84</v>
      </c>
      <c r="AJ2532" s="1">
        <v>2019</v>
      </c>
      <c r="AK2532" s="1" t="s">
        <v>49</v>
      </c>
      <c r="AL2532" s="1">
        <v>110</v>
      </c>
    </row>
    <row r="2533" spans="1:38" x14ac:dyDescent="0.2">
      <c r="A2533" s="2" t="str">
        <f>HYPERLINK("https://www.compass.com/listing/25-park-row-unit-9b-manhattan-ny-10038/841541849487198321/","25 Park Row, Unit 9B")</f>
        <v>25 Park Row, Unit 9B</v>
      </c>
      <c r="B2533" s="2" t="str">
        <f t="shared" si="357"/>
        <v>25 Park Row</v>
      </c>
      <c r="C2533" s="1" t="s">
        <v>117</v>
      </c>
      <c r="D2533" s="1" t="s">
        <v>41</v>
      </c>
      <c r="E2533" s="3">
        <v>1920488</v>
      </c>
      <c r="F2533" s="1">
        <v>1918.5689310689299</v>
      </c>
      <c r="H2533" s="1">
        <v>1</v>
      </c>
      <c r="J2533" s="1">
        <v>1.5</v>
      </c>
      <c r="K2533" s="1">
        <v>1</v>
      </c>
      <c r="L2533" s="1">
        <v>1</v>
      </c>
      <c r="M2533" s="4">
        <v>1001</v>
      </c>
      <c r="N2533" s="1">
        <v>1221.08</v>
      </c>
      <c r="O2533" s="1">
        <v>2442.33</v>
      </c>
      <c r="P2533" s="1">
        <v>1221.25</v>
      </c>
      <c r="Q2533" s="1" t="s">
        <v>42</v>
      </c>
      <c r="S2533" s="1" t="s">
        <v>42</v>
      </c>
      <c r="T2533" s="1" t="s">
        <v>170</v>
      </c>
      <c r="AB2533" s="1" t="s">
        <v>44</v>
      </c>
      <c r="AF2533" s="1">
        <v>10038</v>
      </c>
      <c r="AI2533" s="1" t="s">
        <v>84</v>
      </c>
      <c r="AJ2533" s="1">
        <v>2019</v>
      </c>
      <c r="AK2533" s="1" t="s">
        <v>49</v>
      </c>
      <c r="AL2533" s="1">
        <v>110</v>
      </c>
    </row>
    <row r="2534" spans="1:38" x14ac:dyDescent="0.2">
      <c r="A2534" s="2" t="str">
        <f>HYPERLINK("https://www.compass.com/listing/25-park-row-unit-20a-manhattan-ny-10038/841496300200981097/","25 Park Row, Unit 20A")</f>
        <v>25 Park Row, Unit 20A</v>
      </c>
      <c r="B2534" s="2" t="str">
        <f t="shared" si="357"/>
        <v>25 Park Row</v>
      </c>
      <c r="C2534" s="1" t="s">
        <v>117</v>
      </c>
      <c r="D2534" s="1" t="s">
        <v>41</v>
      </c>
      <c r="E2534" s="3">
        <v>2850000</v>
      </c>
      <c r="F2534" s="1">
        <v>1829.26829268292</v>
      </c>
      <c r="H2534" s="1">
        <v>2</v>
      </c>
      <c r="J2534" s="1">
        <v>2.5</v>
      </c>
      <c r="K2534" s="1">
        <v>2</v>
      </c>
      <c r="L2534" s="1">
        <v>1</v>
      </c>
      <c r="M2534" s="4">
        <v>1558</v>
      </c>
      <c r="N2534" s="1">
        <v>1993.71</v>
      </c>
      <c r="O2534" s="1">
        <v>3987.69</v>
      </c>
      <c r="P2534" s="1">
        <v>1994</v>
      </c>
      <c r="Q2534" s="1" t="s">
        <v>42</v>
      </c>
      <c r="S2534" s="1" t="s">
        <v>42</v>
      </c>
      <c r="T2534" s="1" t="s">
        <v>170</v>
      </c>
      <c r="AA2534" s="1">
        <v>2850000</v>
      </c>
      <c r="AB2534" s="1" t="s">
        <v>1873</v>
      </c>
      <c r="AC2534" s="5">
        <v>44368</v>
      </c>
      <c r="AF2534" s="1">
        <v>10038</v>
      </c>
      <c r="AI2534" s="1" t="s">
        <v>84</v>
      </c>
      <c r="AJ2534" s="1">
        <v>2019</v>
      </c>
      <c r="AK2534" s="1" t="s">
        <v>49</v>
      </c>
      <c r="AL2534" s="1">
        <v>110</v>
      </c>
    </row>
    <row r="2535" spans="1:38" x14ac:dyDescent="0.2">
      <c r="A2535" s="2" t="str">
        <f>HYPERLINK("https://www.compass.com/listing/25-park-row-unit-9a-manhattan-ny-10038/841496303028269913/","25 Park Row, Unit 9A")</f>
        <v>25 Park Row, Unit 9A</v>
      </c>
      <c r="B2535" s="2" t="str">
        <f t="shared" si="357"/>
        <v>25 Park Row</v>
      </c>
      <c r="C2535" s="1" t="s">
        <v>117</v>
      </c>
      <c r="D2535" s="1" t="s">
        <v>41</v>
      </c>
      <c r="E2535" s="3">
        <v>2550000</v>
      </c>
      <c r="F2535" s="1">
        <v>1659.0761223162001</v>
      </c>
      <c r="H2535" s="1">
        <v>2</v>
      </c>
      <c r="J2535" s="1">
        <v>2.5</v>
      </c>
      <c r="K2535" s="1">
        <v>2</v>
      </c>
      <c r="L2535" s="1">
        <v>1</v>
      </c>
      <c r="M2535" s="4">
        <v>1537</v>
      </c>
      <c r="N2535" s="1">
        <v>1875.93</v>
      </c>
      <c r="O2535" s="1">
        <v>3751.11</v>
      </c>
      <c r="P2535" s="1">
        <v>1875.1666666666599</v>
      </c>
      <c r="Q2535" s="1" t="s">
        <v>42</v>
      </c>
      <c r="S2535" s="1" t="s">
        <v>42</v>
      </c>
      <c r="T2535" s="1" t="s">
        <v>170</v>
      </c>
      <c r="AA2535" s="1">
        <v>2550000</v>
      </c>
      <c r="AB2535" s="1" t="s">
        <v>1874</v>
      </c>
      <c r="AC2535" s="5">
        <v>44245</v>
      </c>
      <c r="AF2535" s="1">
        <v>10038</v>
      </c>
      <c r="AI2535" s="1" t="s">
        <v>84</v>
      </c>
      <c r="AJ2535" s="1">
        <v>2019</v>
      </c>
      <c r="AK2535" s="1" t="s">
        <v>49</v>
      </c>
      <c r="AL2535" s="1">
        <v>110</v>
      </c>
    </row>
    <row r="2536" spans="1:38" x14ac:dyDescent="0.2">
      <c r="A2536" s="2" t="str">
        <f>HYPERLINK("https://www.compass.com/listing/25-park-row-unit-10c-manhattan-ny-10038/841496308229454225/","25 Park Row, Unit 10C")</f>
        <v>25 Park Row, Unit 10C</v>
      </c>
      <c r="B2536" s="2" t="str">
        <f t="shared" si="357"/>
        <v>25 Park Row</v>
      </c>
      <c r="C2536" s="1" t="s">
        <v>117</v>
      </c>
      <c r="D2536" s="1" t="s">
        <v>41</v>
      </c>
      <c r="E2536" s="3">
        <v>2430000</v>
      </c>
      <c r="F2536" s="1">
        <v>1805.3491827637399</v>
      </c>
      <c r="H2536" s="1">
        <v>2</v>
      </c>
      <c r="J2536" s="1">
        <v>2.5</v>
      </c>
      <c r="K2536" s="1">
        <v>2</v>
      </c>
      <c r="L2536" s="1">
        <v>1</v>
      </c>
      <c r="M2536" s="4">
        <v>1346</v>
      </c>
      <c r="N2536" s="1">
        <v>1649.99</v>
      </c>
      <c r="O2536" s="1">
        <v>3300.2</v>
      </c>
      <c r="P2536" s="1">
        <v>1650.25</v>
      </c>
      <c r="Q2536" s="1" t="s">
        <v>42</v>
      </c>
      <c r="S2536" s="1" t="s">
        <v>42</v>
      </c>
      <c r="T2536" s="1" t="s">
        <v>170</v>
      </c>
      <c r="AA2536" s="1">
        <v>2430000</v>
      </c>
      <c r="AB2536" s="1" t="s">
        <v>1875</v>
      </c>
      <c r="AC2536" s="5">
        <v>44046</v>
      </c>
      <c r="AF2536" s="1">
        <v>10038</v>
      </c>
      <c r="AI2536" s="1" t="s">
        <v>84</v>
      </c>
      <c r="AJ2536" s="1">
        <v>2019</v>
      </c>
      <c r="AK2536" s="1" t="s">
        <v>49</v>
      </c>
      <c r="AL2536" s="1">
        <v>110</v>
      </c>
    </row>
    <row r="2537" spans="1:38" x14ac:dyDescent="0.2">
      <c r="A2537" s="2" t="str">
        <f>HYPERLINK("https://www.compass.com/listing/25-park-row-unit-18b-manhattan-ny-10038/841496308322229105/","25 Park Row, Unit 18B")</f>
        <v>25 Park Row, Unit 18B</v>
      </c>
      <c r="B2537" s="2" t="str">
        <f t="shared" si="357"/>
        <v>25 Park Row</v>
      </c>
      <c r="C2537" s="1" t="s">
        <v>117</v>
      </c>
      <c r="D2537" s="1" t="s">
        <v>41</v>
      </c>
      <c r="E2537" s="3">
        <v>2175000</v>
      </c>
      <c r="F2537" s="1">
        <v>1961.2263300270499</v>
      </c>
      <c r="H2537" s="1">
        <v>2</v>
      </c>
      <c r="J2537" s="1">
        <v>2</v>
      </c>
      <c r="K2537" s="1">
        <v>2</v>
      </c>
      <c r="M2537" s="4">
        <v>1109</v>
      </c>
      <c r="N2537" s="1">
        <v>1374.05</v>
      </c>
      <c r="O2537" s="1">
        <v>2748.2799999999902</v>
      </c>
      <c r="P2537" s="1">
        <v>1374.25</v>
      </c>
      <c r="Q2537" s="1" t="s">
        <v>42</v>
      </c>
      <c r="S2537" s="1" t="s">
        <v>42</v>
      </c>
      <c r="T2537" s="1" t="s">
        <v>170</v>
      </c>
      <c r="AA2537" s="1">
        <v>2175000</v>
      </c>
      <c r="AB2537" s="1" t="s">
        <v>1876</v>
      </c>
      <c r="AC2537" s="5">
        <v>44035</v>
      </c>
      <c r="AF2537" s="1">
        <v>10038</v>
      </c>
      <c r="AI2537" s="1" t="s">
        <v>84</v>
      </c>
      <c r="AJ2537" s="1">
        <v>2019</v>
      </c>
      <c r="AK2537" s="1" t="s">
        <v>49</v>
      </c>
      <c r="AL2537" s="1">
        <v>110</v>
      </c>
    </row>
    <row r="2538" spans="1:38" x14ac:dyDescent="0.2">
      <c r="A2538" s="2" t="str">
        <f>HYPERLINK("https://www.compass.com/listing/25-park-row-unit-5c-manhattan-ny-10038/841496309185671433/","25 Park Row, Unit 5C")</f>
        <v>25 Park Row, Unit 5C</v>
      </c>
      <c r="B2538" s="2" t="str">
        <f t="shared" si="357"/>
        <v>25 Park Row</v>
      </c>
      <c r="C2538" s="1" t="s">
        <v>117</v>
      </c>
      <c r="D2538" s="1" t="s">
        <v>41</v>
      </c>
      <c r="E2538" s="3">
        <v>2325000</v>
      </c>
      <c r="F2538" s="1">
        <v>1727.34026745913</v>
      </c>
      <c r="H2538" s="1">
        <v>2</v>
      </c>
      <c r="J2538" s="1">
        <v>2.5</v>
      </c>
      <c r="K2538" s="1">
        <v>2</v>
      </c>
      <c r="L2538" s="1">
        <v>1</v>
      </c>
      <c r="M2538" s="4">
        <v>1346</v>
      </c>
      <c r="N2538" s="1">
        <v>1609.74</v>
      </c>
      <c r="O2538" s="1">
        <v>3219.7</v>
      </c>
      <c r="P2538" s="1">
        <v>1610</v>
      </c>
      <c r="Q2538" s="1" t="s">
        <v>42</v>
      </c>
      <c r="S2538" s="1" t="s">
        <v>42</v>
      </c>
      <c r="T2538" s="1" t="s">
        <v>170</v>
      </c>
      <c r="AA2538" s="1">
        <v>2325000</v>
      </c>
      <c r="AB2538" s="1" t="s">
        <v>1877</v>
      </c>
      <c r="AC2538" s="5">
        <v>44195</v>
      </c>
      <c r="AF2538" s="1">
        <v>10038</v>
      </c>
      <c r="AI2538" s="1" t="s">
        <v>84</v>
      </c>
      <c r="AJ2538" s="1">
        <v>2019</v>
      </c>
      <c r="AK2538" s="1" t="s">
        <v>49</v>
      </c>
      <c r="AL2538" s="1">
        <v>110</v>
      </c>
    </row>
    <row r="2539" spans="1:38" x14ac:dyDescent="0.2">
      <c r="A2539" s="2" t="str">
        <f>HYPERLINK("https://www.compass.com/listing/25-park-row-unit-20b-manhattan-ny-10038/841517530257991249/","25 Park Row, Unit 20B")</f>
        <v>25 Park Row, Unit 20B</v>
      </c>
      <c r="B2539" s="2" t="str">
        <f t="shared" si="357"/>
        <v>25 Park Row</v>
      </c>
      <c r="C2539" s="1" t="s">
        <v>117</v>
      </c>
      <c r="D2539" s="1" t="s">
        <v>41</v>
      </c>
      <c r="E2539" s="3">
        <v>2275000</v>
      </c>
      <c r="F2539" s="1">
        <v>2051.3976555455301</v>
      </c>
      <c r="H2539" s="1">
        <v>2</v>
      </c>
      <c r="J2539" s="1">
        <v>2</v>
      </c>
      <c r="K2539" s="1">
        <v>2</v>
      </c>
      <c r="M2539" s="4">
        <v>1109</v>
      </c>
      <c r="N2539" s="1">
        <v>1382.01</v>
      </c>
      <c r="O2539" s="1">
        <v>2764.2</v>
      </c>
      <c r="P2539" s="1">
        <v>1382.1666666666599</v>
      </c>
      <c r="Q2539" s="1" t="s">
        <v>42</v>
      </c>
      <c r="S2539" s="1" t="s">
        <v>42</v>
      </c>
      <c r="T2539" s="1" t="s">
        <v>170</v>
      </c>
      <c r="AA2539" s="1">
        <v>2275000</v>
      </c>
      <c r="AB2539" s="1" t="s">
        <v>1878</v>
      </c>
      <c r="AC2539" s="5">
        <v>44043</v>
      </c>
      <c r="AF2539" s="1">
        <v>10038</v>
      </c>
      <c r="AI2539" s="1" t="s">
        <v>84</v>
      </c>
      <c r="AJ2539" s="1">
        <v>2019</v>
      </c>
      <c r="AK2539" s="1" t="s">
        <v>49</v>
      </c>
      <c r="AL2539" s="1">
        <v>110</v>
      </c>
    </row>
    <row r="2540" spans="1:38" x14ac:dyDescent="0.2">
      <c r="A2540" s="2" t="str">
        <f>HYPERLINK("https://www.compass.com/listing/25-park-row-unit-17b-manhattan-ny-10038/841517530392029489/","25 Park Row, Unit 17B")</f>
        <v>25 Park Row, Unit 17B</v>
      </c>
      <c r="B2540" s="2" t="str">
        <f t="shared" si="357"/>
        <v>25 Park Row</v>
      </c>
      <c r="C2540" s="1" t="s">
        <v>117</v>
      </c>
      <c r="D2540" s="1" t="s">
        <v>41</v>
      </c>
      <c r="E2540" s="3">
        <v>2225000</v>
      </c>
      <c r="F2540" s="1">
        <v>2006.3119927862899</v>
      </c>
      <c r="G2540" s="1">
        <v>4</v>
      </c>
      <c r="H2540" s="1">
        <v>2</v>
      </c>
      <c r="I2540" s="1">
        <v>2</v>
      </c>
      <c r="J2540" s="1">
        <v>2</v>
      </c>
      <c r="K2540" s="1">
        <v>2</v>
      </c>
      <c r="M2540" s="4">
        <v>1109</v>
      </c>
      <c r="N2540" s="1">
        <v>1370</v>
      </c>
      <c r="O2540" s="1">
        <v>2740</v>
      </c>
      <c r="P2540" s="1">
        <v>1370</v>
      </c>
      <c r="Q2540" s="1" t="s">
        <v>42</v>
      </c>
      <c r="S2540" s="1" t="s">
        <v>42</v>
      </c>
      <c r="T2540" s="1" t="s">
        <v>170</v>
      </c>
      <c r="U2540" s="1">
        <v>202</v>
      </c>
      <c r="V2540" s="5">
        <v>43744</v>
      </c>
      <c r="W2540" s="5">
        <v>43744</v>
      </c>
      <c r="X2540" s="1">
        <v>2270000</v>
      </c>
      <c r="Y2540" s="1">
        <v>2270000</v>
      </c>
      <c r="AA2540" s="1">
        <v>2225000</v>
      </c>
      <c r="AB2540" s="1" t="s">
        <v>1879</v>
      </c>
      <c r="AC2540" s="5">
        <v>44040</v>
      </c>
      <c r="AF2540" s="1">
        <v>10038</v>
      </c>
      <c r="AI2540" s="1" t="s">
        <v>84</v>
      </c>
      <c r="AJ2540" s="1">
        <v>2019</v>
      </c>
      <c r="AK2540" s="1" t="s">
        <v>49</v>
      </c>
      <c r="AL2540" s="1">
        <v>110</v>
      </c>
    </row>
    <row r="2541" spans="1:38" x14ac:dyDescent="0.2">
      <c r="A2541" s="2" t="str">
        <f>HYPERLINK("https://www.compass.com/listing/25-park-row-unit-7c-manhattan-ny-10038/841517530795227833/","25 Park Row, Unit 7C")</f>
        <v>25 Park Row, Unit 7C</v>
      </c>
      <c r="B2541" s="2" t="str">
        <f t="shared" si="357"/>
        <v>25 Park Row</v>
      </c>
      <c r="C2541" s="1" t="s">
        <v>117</v>
      </c>
      <c r="D2541" s="1" t="s">
        <v>41</v>
      </c>
      <c r="E2541" s="3">
        <v>2400000</v>
      </c>
      <c r="F2541" s="1">
        <v>1783.0609212481399</v>
      </c>
      <c r="H2541" s="1">
        <v>2</v>
      </c>
      <c r="J2541" s="1">
        <v>2.5</v>
      </c>
      <c r="K2541" s="1">
        <v>2</v>
      </c>
      <c r="L2541" s="1">
        <v>1</v>
      </c>
      <c r="M2541" s="4">
        <v>1346</v>
      </c>
      <c r="N2541" s="1">
        <v>1625.84</v>
      </c>
      <c r="O2541" s="1">
        <v>3251.8999999999901</v>
      </c>
      <c r="P2541" s="1">
        <v>1626.0833333333301</v>
      </c>
      <c r="Q2541" s="1" t="s">
        <v>42</v>
      </c>
      <c r="S2541" s="1" t="s">
        <v>42</v>
      </c>
      <c r="T2541" s="1" t="s">
        <v>170</v>
      </c>
      <c r="AA2541" s="1">
        <v>2400000</v>
      </c>
      <c r="AB2541" s="1" t="s">
        <v>1880</v>
      </c>
      <c r="AC2541" s="5">
        <v>44039</v>
      </c>
      <c r="AF2541" s="1">
        <v>10038</v>
      </c>
      <c r="AI2541" s="1" t="s">
        <v>84</v>
      </c>
      <c r="AJ2541" s="1">
        <v>2019</v>
      </c>
      <c r="AK2541" s="1" t="s">
        <v>49</v>
      </c>
      <c r="AL2541" s="1">
        <v>110</v>
      </c>
    </row>
    <row r="2542" spans="1:38" x14ac:dyDescent="0.2">
      <c r="A2542" s="2" t="str">
        <f>HYPERLINK("https://www.compass.com/listing/25-park-row-unit-31b-manhattan-ny-10038/841517530795476105/","25 Park Row, Unit 31B")</f>
        <v>25 Park Row, Unit 31B</v>
      </c>
      <c r="B2542" s="2" t="str">
        <f t="shared" si="357"/>
        <v>25 Park Row</v>
      </c>
      <c r="C2542" s="1" t="s">
        <v>117</v>
      </c>
      <c r="D2542" s="1" t="s">
        <v>41</v>
      </c>
      <c r="E2542" s="3">
        <v>2275000</v>
      </c>
      <c r="F2542" s="1">
        <v>2036.7054610564001</v>
      </c>
      <c r="H2542" s="1">
        <v>2</v>
      </c>
      <c r="J2542" s="1">
        <v>2</v>
      </c>
      <c r="K2542" s="1">
        <v>2</v>
      </c>
      <c r="M2542" s="4">
        <v>1117</v>
      </c>
      <c r="N2542" s="1">
        <v>1436.06</v>
      </c>
      <c r="O2542" s="1">
        <v>2872.31</v>
      </c>
      <c r="P2542" s="1">
        <v>1436.25</v>
      </c>
      <c r="Q2542" s="1" t="s">
        <v>42</v>
      </c>
      <c r="S2542" s="1" t="s">
        <v>42</v>
      </c>
      <c r="T2542" s="1" t="s">
        <v>170</v>
      </c>
      <c r="AA2542" s="1">
        <v>2275000</v>
      </c>
      <c r="AB2542" s="1" t="s">
        <v>1881</v>
      </c>
      <c r="AC2542" s="5">
        <v>44054</v>
      </c>
      <c r="AF2542" s="1">
        <v>10038</v>
      </c>
      <c r="AI2542" s="1" t="s">
        <v>84</v>
      </c>
      <c r="AJ2542" s="1">
        <v>2019</v>
      </c>
      <c r="AK2542" s="1" t="s">
        <v>49</v>
      </c>
      <c r="AL2542" s="1">
        <v>110</v>
      </c>
    </row>
    <row r="2543" spans="1:38" x14ac:dyDescent="0.2">
      <c r="A2543" s="2" t="str">
        <f>HYPERLINK("https://www.compass.com/listing/25-park-row-unit-30b-manhattan-ny-10038/841524033778495793/","25 Park Row, Unit 30B")</f>
        <v>25 Park Row, Unit 30B</v>
      </c>
      <c r="B2543" s="2" t="str">
        <f t="shared" si="357"/>
        <v>25 Park Row</v>
      </c>
      <c r="C2543" s="1" t="s">
        <v>117</v>
      </c>
      <c r="D2543" s="1" t="s">
        <v>41</v>
      </c>
      <c r="E2543" s="3">
        <v>2300000</v>
      </c>
      <c r="F2543" s="1">
        <v>2059.08683974932</v>
      </c>
      <c r="H2543" s="1">
        <v>2</v>
      </c>
      <c r="J2543" s="1">
        <v>2</v>
      </c>
      <c r="K2543" s="1">
        <v>2</v>
      </c>
      <c r="M2543" s="4">
        <v>1117</v>
      </c>
      <c r="N2543" s="1">
        <v>1432.05</v>
      </c>
      <c r="O2543" s="1">
        <v>2864.3</v>
      </c>
      <c r="P2543" s="1">
        <v>1432.25</v>
      </c>
      <c r="Q2543" s="1" t="s">
        <v>42</v>
      </c>
      <c r="S2543" s="1" t="s">
        <v>42</v>
      </c>
      <c r="T2543" s="1" t="s">
        <v>170</v>
      </c>
      <c r="AA2543" s="1">
        <v>2300000</v>
      </c>
      <c r="AB2543" s="1" t="s">
        <v>1882</v>
      </c>
      <c r="AC2543" s="5">
        <v>44068</v>
      </c>
      <c r="AF2543" s="1">
        <v>10038</v>
      </c>
      <c r="AI2543" s="1" t="s">
        <v>84</v>
      </c>
      <c r="AJ2543" s="1">
        <v>2019</v>
      </c>
      <c r="AK2543" s="1" t="s">
        <v>49</v>
      </c>
      <c r="AL2543" s="1">
        <v>110</v>
      </c>
    </row>
    <row r="2544" spans="1:38" x14ac:dyDescent="0.2">
      <c r="A2544" s="2" t="str">
        <f>HYPERLINK("https://www.compass.com/listing/25-park-row-unit-8c-manhattan-ny-10038/841524036605789409/","25 Park Row, Unit 8C")</f>
        <v>25 Park Row, Unit 8C</v>
      </c>
      <c r="B2544" s="2" t="str">
        <f t="shared" si="357"/>
        <v>25 Park Row</v>
      </c>
      <c r="C2544" s="1" t="s">
        <v>117</v>
      </c>
      <c r="D2544" s="1" t="s">
        <v>41</v>
      </c>
      <c r="E2544" s="3">
        <v>2500000</v>
      </c>
      <c r="F2544" s="1">
        <v>1857.35512630014</v>
      </c>
      <c r="H2544" s="1">
        <v>2</v>
      </c>
      <c r="J2544" s="1">
        <v>2.5</v>
      </c>
      <c r="K2544" s="1">
        <v>2</v>
      </c>
      <c r="L2544" s="1">
        <v>1</v>
      </c>
      <c r="M2544" s="4">
        <v>1346</v>
      </c>
      <c r="N2544" s="1">
        <v>1633.89</v>
      </c>
      <c r="O2544" s="1">
        <v>3268</v>
      </c>
      <c r="P2544" s="1">
        <v>1634.0833333333301</v>
      </c>
      <c r="Q2544" s="1" t="s">
        <v>42</v>
      </c>
      <c r="S2544" s="1" t="s">
        <v>42</v>
      </c>
      <c r="T2544" s="1" t="s">
        <v>170</v>
      </c>
      <c r="AA2544" s="1">
        <v>2500000</v>
      </c>
      <c r="AB2544" s="1" t="s">
        <v>1883</v>
      </c>
      <c r="AC2544" s="5">
        <v>44040</v>
      </c>
      <c r="AF2544" s="1">
        <v>10038</v>
      </c>
      <c r="AI2544" s="1" t="s">
        <v>84</v>
      </c>
      <c r="AJ2544" s="1">
        <v>2019</v>
      </c>
      <c r="AK2544" s="1" t="s">
        <v>49</v>
      </c>
      <c r="AL2544" s="1">
        <v>110</v>
      </c>
    </row>
    <row r="2545" spans="1:38" x14ac:dyDescent="0.2">
      <c r="A2545" s="2" t="str">
        <f>HYPERLINK("https://www.compass.com/listing/25-park-row-unit-11c-manhattan-ny-10038/841538309377078865/","25 Park Row, Unit 11C")</f>
        <v>25 Park Row, Unit 11C</v>
      </c>
      <c r="B2545" s="2" t="str">
        <f t="shared" si="357"/>
        <v>25 Park Row</v>
      </c>
      <c r="C2545" s="1" t="s">
        <v>117</v>
      </c>
      <c r="D2545" s="1" t="s">
        <v>41</v>
      </c>
      <c r="E2545" s="3">
        <v>2550000</v>
      </c>
      <c r="F2545" s="1">
        <v>1942.11728865194</v>
      </c>
      <c r="H2545" s="1">
        <v>2</v>
      </c>
      <c r="J2545" s="1">
        <v>2.5</v>
      </c>
      <c r="M2545" s="4">
        <v>1313</v>
      </c>
      <c r="N2545" s="1">
        <v>1617</v>
      </c>
      <c r="O2545" s="1">
        <v>3234</v>
      </c>
      <c r="P2545" s="1">
        <v>1617</v>
      </c>
      <c r="Q2545" s="1" t="s">
        <v>42</v>
      </c>
      <c r="S2545" s="1" t="s">
        <v>42</v>
      </c>
      <c r="T2545" s="1" t="s">
        <v>170</v>
      </c>
      <c r="AA2545" s="1">
        <v>2550000</v>
      </c>
      <c r="AB2545" s="1" t="s">
        <v>1884</v>
      </c>
      <c r="AC2545" s="5">
        <v>44043</v>
      </c>
      <c r="AF2545" s="1">
        <v>10038</v>
      </c>
      <c r="AI2545" s="1" t="s">
        <v>84</v>
      </c>
      <c r="AJ2545" s="1">
        <v>2019</v>
      </c>
      <c r="AK2545" s="1" t="s">
        <v>49</v>
      </c>
      <c r="AL2545" s="1">
        <v>110</v>
      </c>
    </row>
    <row r="2546" spans="1:38" x14ac:dyDescent="0.2">
      <c r="A2546" s="2" t="str">
        <f>HYPERLINK("https://www.compass.com/listing/148-attorney-street-unit-ph5-manhattan-ny-10002/470714762838773041/","148 Attorney St, Unit PH5")</f>
        <v>148 Attorney St, Unit PH5</v>
      </c>
      <c r="B2546" s="2" t="str">
        <f>HYPERLINK("https://www.compass.com/building/148-attorney-st-manhattan-ny-10002/281885295740194149/","148 Attorney St")</f>
        <v>148 Attorney St</v>
      </c>
      <c r="C2546" s="1" t="s">
        <v>66</v>
      </c>
      <c r="D2546" s="1" t="s">
        <v>41</v>
      </c>
      <c r="E2546" s="3">
        <v>2050000</v>
      </c>
      <c r="F2546" s="1">
        <v>1633.4661354581599</v>
      </c>
      <c r="M2546" s="4">
        <v>1255</v>
      </c>
      <c r="Q2546" s="1" t="s">
        <v>42</v>
      </c>
      <c r="S2546" s="1" t="s">
        <v>42</v>
      </c>
      <c r="T2546" s="1" t="s">
        <v>170</v>
      </c>
      <c r="AA2546" s="1">
        <v>2050000</v>
      </c>
      <c r="AB2546" s="1" t="s">
        <v>1885</v>
      </c>
      <c r="AC2546" s="5">
        <v>43896</v>
      </c>
      <c r="AF2546" s="1">
        <v>10002</v>
      </c>
      <c r="AI2546" s="1" t="s">
        <v>1605</v>
      </c>
      <c r="AJ2546" s="1">
        <v>2019</v>
      </c>
      <c r="AL2546" s="1">
        <v>6</v>
      </c>
    </row>
    <row r="2547" spans="1:38" x14ac:dyDescent="0.2">
      <c r="A2547" s="2" t="str">
        <f>HYPERLINK("https://www.compass.com/listing/25-park-row-unit-28c-manhattan-ny-10038/776516980281821993/","25 Park Row, Unit 28C")</f>
        <v>25 Park Row, Unit 28C</v>
      </c>
      <c r="B2547" s="2" t="str">
        <f t="shared" ref="B2547:B2551" si="358">HYPERLINK("https://www.compass.com/building/25-park-row-manhattan-ny-10038/292920743539264837/","25 Park Row")</f>
        <v>25 Park Row</v>
      </c>
      <c r="C2547" s="1" t="s">
        <v>117</v>
      </c>
      <c r="D2547" s="1" t="s">
        <v>41</v>
      </c>
      <c r="E2547" s="3">
        <v>3550000</v>
      </c>
      <c r="F2547" s="1">
        <v>2057.9710144927499</v>
      </c>
      <c r="M2547" s="4">
        <v>1725</v>
      </c>
      <c r="Q2547" s="1" t="s">
        <v>42</v>
      </c>
      <c r="S2547" s="1" t="s">
        <v>42</v>
      </c>
      <c r="T2547" s="1" t="s">
        <v>170</v>
      </c>
      <c r="AA2547" s="1">
        <v>3550000</v>
      </c>
      <c r="AB2547" s="1" t="s">
        <v>1886</v>
      </c>
      <c r="AC2547" s="5">
        <v>44307</v>
      </c>
      <c r="AF2547" s="1">
        <v>10038</v>
      </c>
      <c r="AI2547" s="1" t="s">
        <v>84</v>
      </c>
      <c r="AJ2547" s="1">
        <v>2019</v>
      </c>
      <c r="AK2547" s="1" t="s">
        <v>49</v>
      </c>
      <c r="AL2547" s="1">
        <v>110</v>
      </c>
    </row>
    <row r="2548" spans="1:38" x14ac:dyDescent="0.2">
      <c r="A2548" s="2" t="str">
        <f>HYPERLINK("https://www.compass.com/listing/25-park-row-unit-35b-manhattan-ny-10038/799728057764162217/","25 Park Row, Unit 35B")</f>
        <v>25 Park Row, Unit 35B</v>
      </c>
      <c r="B2548" s="2" t="str">
        <f t="shared" si="358"/>
        <v>25 Park Row</v>
      </c>
      <c r="C2548" s="1" t="s">
        <v>117</v>
      </c>
      <c r="D2548" s="1" t="s">
        <v>41</v>
      </c>
      <c r="E2548" s="3">
        <v>5200000</v>
      </c>
      <c r="F2548" s="1">
        <v>2377.68632830361</v>
      </c>
      <c r="M2548" s="4">
        <v>2187</v>
      </c>
      <c r="Q2548" s="1" t="s">
        <v>42</v>
      </c>
      <c r="S2548" s="1" t="s">
        <v>42</v>
      </c>
      <c r="T2548" s="1" t="s">
        <v>170</v>
      </c>
      <c r="AA2548" s="1">
        <v>5200000</v>
      </c>
      <c r="AB2548" s="1" t="s">
        <v>1887</v>
      </c>
      <c r="AC2548" s="5">
        <v>44335</v>
      </c>
      <c r="AF2548" s="1">
        <v>10038</v>
      </c>
      <c r="AI2548" s="1" t="s">
        <v>84</v>
      </c>
      <c r="AJ2548" s="1">
        <v>2019</v>
      </c>
      <c r="AK2548" s="1" t="s">
        <v>49</v>
      </c>
      <c r="AL2548" s="1">
        <v>110</v>
      </c>
    </row>
    <row r="2549" spans="1:38" x14ac:dyDescent="0.2">
      <c r="A2549" s="2" t="str">
        <f>HYPERLINK("https://www.compass.com/listing/25-park-row-unit-37b-manhattan-ny-10038/841496296343197017/","25 Park Row, Unit 37B")</f>
        <v>25 Park Row, Unit 37B</v>
      </c>
      <c r="B2549" s="2" t="str">
        <f t="shared" si="358"/>
        <v>25 Park Row</v>
      </c>
      <c r="C2549" s="1" t="s">
        <v>117</v>
      </c>
      <c r="D2549" s="1" t="s">
        <v>41</v>
      </c>
      <c r="E2549" s="3">
        <v>5299000</v>
      </c>
      <c r="F2549" s="1">
        <v>2422.95381801554</v>
      </c>
      <c r="H2549" s="1">
        <v>3</v>
      </c>
      <c r="J2549" s="1">
        <v>3.5</v>
      </c>
      <c r="K2549" s="1">
        <v>3</v>
      </c>
      <c r="L2549" s="1">
        <v>1</v>
      </c>
      <c r="M2549" s="4">
        <v>2187</v>
      </c>
      <c r="N2549" s="1">
        <v>3190.93</v>
      </c>
      <c r="O2549" s="1">
        <v>6381.28</v>
      </c>
      <c r="P2549" s="1">
        <v>3190.3333333333298</v>
      </c>
      <c r="Q2549" s="1" t="s">
        <v>42</v>
      </c>
      <c r="S2549" s="1" t="s">
        <v>42</v>
      </c>
      <c r="T2549" s="1" t="s">
        <v>170</v>
      </c>
      <c r="AA2549" s="1">
        <v>5299000</v>
      </c>
      <c r="AB2549" s="1" t="s">
        <v>1888</v>
      </c>
      <c r="AC2549" s="5">
        <v>44182</v>
      </c>
      <c r="AF2549" s="1">
        <v>10038</v>
      </c>
      <c r="AI2549" s="1" t="s">
        <v>84</v>
      </c>
      <c r="AJ2549" s="1">
        <v>2019</v>
      </c>
      <c r="AK2549" s="1" t="s">
        <v>49</v>
      </c>
      <c r="AL2549" s="1">
        <v>110</v>
      </c>
    </row>
    <row r="2550" spans="1:38" x14ac:dyDescent="0.2">
      <c r="A2550" s="2" t="str">
        <f>HYPERLINK("https://www.compass.com/listing/25-park-row-unit-17a-manhattan-ny-10038/841517524001045081/","25 Park Row, Unit 17A")</f>
        <v>25 Park Row, Unit 17A</v>
      </c>
      <c r="B2550" s="2" t="str">
        <f t="shared" si="358"/>
        <v>25 Park Row</v>
      </c>
      <c r="C2550" s="1" t="s">
        <v>117</v>
      </c>
      <c r="D2550" s="1" t="s">
        <v>41</v>
      </c>
      <c r="E2550" s="3">
        <v>3500000</v>
      </c>
      <c r="F2550" s="1">
        <v>2246.4698331193799</v>
      </c>
      <c r="H2550" s="1">
        <v>2</v>
      </c>
      <c r="J2550" s="1">
        <v>2.5</v>
      </c>
      <c r="K2550" s="1">
        <v>2</v>
      </c>
      <c r="L2550" s="1">
        <v>1</v>
      </c>
      <c r="M2550" s="4">
        <v>1558</v>
      </c>
      <c r="N2550" s="1">
        <v>2256.48</v>
      </c>
      <c r="O2550" s="1">
        <v>4513.26</v>
      </c>
      <c r="P2550" s="1">
        <v>2256.75</v>
      </c>
      <c r="Q2550" s="1" t="s">
        <v>42</v>
      </c>
      <c r="S2550" s="1" t="s">
        <v>42</v>
      </c>
      <c r="T2550" s="1" t="s">
        <v>170</v>
      </c>
      <c r="AA2550" s="1">
        <v>3500000</v>
      </c>
      <c r="AB2550" s="1" t="s">
        <v>1889</v>
      </c>
      <c r="AC2550" s="5">
        <v>44075</v>
      </c>
      <c r="AF2550" s="1">
        <v>10038</v>
      </c>
      <c r="AI2550" s="1" t="s">
        <v>84</v>
      </c>
      <c r="AJ2550" s="1">
        <v>2019</v>
      </c>
      <c r="AK2550" s="1" t="s">
        <v>49</v>
      </c>
      <c r="AL2550" s="1">
        <v>110</v>
      </c>
    </row>
    <row r="2551" spans="1:38" x14ac:dyDescent="0.2">
      <c r="A2551" s="2" t="str">
        <f>HYPERLINK("https://www.compass.com/listing/25-park-row-unit-5e-manhattan-ny-10038/841524036680366177/","25 Park Row, Unit 5E")</f>
        <v>25 Park Row, Unit 5E</v>
      </c>
      <c r="B2551" s="2" t="str">
        <f t="shared" si="358"/>
        <v>25 Park Row</v>
      </c>
      <c r="C2551" s="1" t="s">
        <v>117</v>
      </c>
      <c r="D2551" s="1" t="s">
        <v>41</v>
      </c>
      <c r="E2551" s="3">
        <v>3750000</v>
      </c>
      <c r="F2551" s="1">
        <v>2012.88244766505</v>
      </c>
      <c r="H2551" s="1">
        <v>3</v>
      </c>
      <c r="J2551" s="1">
        <v>3</v>
      </c>
      <c r="K2551" s="1">
        <v>3</v>
      </c>
      <c r="M2551" s="4">
        <v>1863</v>
      </c>
      <c r="N2551" s="1">
        <v>2375.4499999999998</v>
      </c>
      <c r="O2551" s="1">
        <v>4751.21</v>
      </c>
      <c r="P2551" s="1">
        <v>2375.75</v>
      </c>
      <c r="Q2551" s="1" t="s">
        <v>42</v>
      </c>
      <c r="S2551" s="1" t="s">
        <v>42</v>
      </c>
      <c r="T2551" s="1" t="s">
        <v>170</v>
      </c>
      <c r="AA2551" s="1">
        <v>3750000</v>
      </c>
      <c r="AB2551" s="1" t="s">
        <v>1890</v>
      </c>
      <c r="AC2551" s="5">
        <v>44159</v>
      </c>
      <c r="AF2551" s="1">
        <v>10038</v>
      </c>
      <c r="AI2551" s="1" t="s">
        <v>84</v>
      </c>
      <c r="AJ2551" s="1">
        <v>2019</v>
      </c>
      <c r="AK2551" s="1" t="s">
        <v>49</v>
      </c>
      <c r="AL2551" s="1">
        <v>110</v>
      </c>
    </row>
    <row r="2552" spans="1:38" x14ac:dyDescent="0.2">
      <c r="A2552" s="2" t="str">
        <f>HYPERLINK("https://www.compass.com/listing/265-east-houston-street-unit-ph-manhattan-ny-10002/586832483868666689/","265 E Houston St, Unit PH")</f>
        <v>265 E Houston St, Unit PH</v>
      </c>
      <c r="B2552" s="2" t="str">
        <f>HYPERLINK("https://www.compass.com/building/265-e-houston-st-manhattan-ny-10002/281886808264939173/","265 E Houston St")</f>
        <v>265 E Houston St</v>
      </c>
      <c r="C2552" s="1" t="s">
        <v>66</v>
      </c>
      <c r="D2552" s="1" t="s">
        <v>41</v>
      </c>
      <c r="E2552" s="3">
        <v>2850000</v>
      </c>
      <c r="F2552" s="1">
        <v>1662.77712952158</v>
      </c>
      <c r="G2552" s="1">
        <v>5</v>
      </c>
      <c r="H2552" s="1">
        <v>3</v>
      </c>
      <c r="I2552" s="1">
        <v>3</v>
      </c>
      <c r="J2552" s="1">
        <v>3</v>
      </c>
      <c r="K2552" s="1">
        <v>3</v>
      </c>
      <c r="M2552" s="4">
        <v>1714</v>
      </c>
      <c r="N2552" s="1">
        <v>2381</v>
      </c>
      <c r="O2552" s="1">
        <v>4799</v>
      </c>
      <c r="P2552" s="1">
        <v>2418</v>
      </c>
      <c r="Q2552" s="1" t="s">
        <v>42</v>
      </c>
      <c r="S2552" s="1" t="s">
        <v>42</v>
      </c>
      <c r="T2552" s="1" t="s">
        <v>170</v>
      </c>
      <c r="U2552" s="1">
        <v>186</v>
      </c>
      <c r="V2552" s="5">
        <v>44316</v>
      </c>
      <c r="W2552" s="5">
        <v>44057</v>
      </c>
      <c r="X2552" s="1">
        <v>3295000</v>
      </c>
      <c r="Y2552" s="1">
        <v>2950000</v>
      </c>
      <c r="Z2552" s="5">
        <v>44244</v>
      </c>
      <c r="AA2552" s="1">
        <v>2850000</v>
      </c>
      <c r="AB2552" s="1" t="s">
        <v>1891</v>
      </c>
      <c r="AC2552" s="5">
        <v>44313</v>
      </c>
      <c r="AF2552" s="1">
        <v>10002</v>
      </c>
      <c r="AI2552" s="1" t="s">
        <v>1892</v>
      </c>
      <c r="AJ2552" s="1">
        <v>2015</v>
      </c>
      <c r="AL2552" s="1">
        <v>7</v>
      </c>
    </row>
    <row r="2553" spans="1:38" x14ac:dyDescent="0.2">
      <c r="A2553" s="2" t="str">
        <f>HYPERLINK("https://www.compass.com/listing/252-south-street-unit-8n-manhattan-ny-10002/218533623094179297/","252 South St, Unit 8N")</f>
        <v>252 South St, Unit 8N</v>
      </c>
      <c r="B2553" s="2" t="str">
        <f t="shared" ref="B2553:B2554" si="359">HYPERLINK("https://www.compass.com/building/one-manhattan-square-manhattan-ny/294844950218926165/","One Manhattan Square")</f>
        <v>One Manhattan Square</v>
      </c>
      <c r="C2553" s="1" t="s">
        <v>66</v>
      </c>
      <c r="D2553" s="1" t="s">
        <v>41</v>
      </c>
      <c r="E2553" s="3">
        <v>1239586</v>
      </c>
      <c r="F2553" s="1">
        <v>1783.57628776978</v>
      </c>
      <c r="M2553" s="1">
        <v>695</v>
      </c>
      <c r="Q2553" s="1" t="s">
        <v>42</v>
      </c>
      <c r="S2553" s="1" t="s">
        <v>42</v>
      </c>
      <c r="T2553" s="1" t="s">
        <v>170</v>
      </c>
      <c r="AA2553" s="1">
        <v>1239585.52</v>
      </c>
      <c r="AB2553" s="1" t="s">
        <v>1893</v>
      </c>
      <c r="AC2553" s="5">
        <v>43544</v>
      </c>
      <c r="AF2553" s="1">
        <v>10002</v>
      </c>
      <c r="AI2553" s="1" t="s">
        <v>55</v>
      </c>
      <c r="AJ2553" s="1">
        <v>2019</v>
      </c>
      <c r="AK2553" s="1" t="s">
        <v>46</v>
      </c>
      <c r="AL2553" s="1">
        <v>787</v>
      </c>
    </row>
    <row r="2554" spans="1:38" x14ac:dyDescent="0.2">
      <c r="A2554" s="2" t="str">
        <f>HYPERLINK("https://www.compass.com/listing/252-south-street-unit-25j-manhattan-ny-10002/29513540566084705/","252 South St, Unit 25J")</f>
        <v>252 South St, Unit 25J</v>
      </c>
      <c r="B2554" s="2" t="str">
        <f t="shared" si="359"/>
        <v>One Manhattan Square</v>
      </c>
      <c r="C2554" s="1" t="s">
        <v>66</v>
      </c>
      <c r="D2554" s="1" t="s">
        <v>41</v>
      </c>
      <c r="E2554" s="3">
        <v>1306037</v>
      </c>
      <c r="F2554" s="1">
        <v>1876.4906321839001</v>
      </c>
      <c r="G2554" s="1">
        <v>3</v>
      </c>
      <c r="H2554" s="1">
        <v>1</v>
      </c>
      <c r="I2554" s="1">
        <v>1</v>
      </c>
      <c r="J2554" s="1">
        <v>1</v>
      </c>
      <c r="M2554" s="1">
        <v>696</v>
      </c>
      <c r="N2554" s="1">
        <v>793</v>
      </c>
      <c r="O2554" s="1">
        <v>806</v>
      </c>
      <c r="P2554" s="1">
        <v>13</v>
      </c>
      <c r="Q2554" s="1" t="s">
        <v>42</v>
      </c>
      <c r="S2554" s="1" t="s">
        <v>42</v>
      </c>
      <c r="T2554" s="1" t="s">
        <v>170</v>
      </c>
      <c r="U2554" s="1">
        <v>2</v>
      </c>
      <c r="V2554" s="5">
        <v>43680</v>
      </c>
      <c r="W2554" s="5">
        <v>42879</v>
      </c>
      <c r="X2554" s="1">
        <v>1346000</v>
      </c>
      <c r="Y2554" s="1">
        <v>1346000</v>
      </c>
      <c r="Z2554" s="5">
        <v>42881</v>
      </c>
      <c r="AA2554" s="1">
        <v>1306037.48</v>
      </c>
      <c r="AB2554" s="1" t="s">
        <v>1894</v>
      </c>
      <c r="AC2554" s="5">
        <v>43585</v>
      </c>
      <c r="AF2554" s="1">
        <v>10002</v>
      </c>
      <c r="AI2554" s="1" t="s">
        <v>55</v>
      </c>
      <c r="AJ2554" s="1">
        <v>2019</v>
      </c>
      <c r="AK2554" s="1" t="s">
        <v>73</v>
      </c>
      <c r="AL2554" s="1">
        <v>787</v>
      </c>
    </row>
    <row r="2555" spans="1:38" x14ac:dyDescent="0.2">
      <c r="A2555" s="2" t="str">
        <f>HYPERLINK("https://www.compass.com/listing/265-east-houston-street-unit-3-manhattan-ny-10002/238385066248566129/","265 E Houston St, Unit 3")</f>
        <v>265 E Houston St, Unit 3</v>
      </c>
      <c r="B2555" s="2" t="str">
        <f>HYPERLINK("https://www.compass.com/building/265-e-houston-st-manhattan-ny-10002/281886808264939173/","265 E Houston St")</f>
        <v>265 E Houston St</v>
      </c>
      <c r="C2555" s="1" t="s">
        <v>66</v>
      </c>
      <c r="D2555" s="1" t="s">
        <v>41</v>
      </c>
      <c r="E2555" s="3">
        <v>1995000</v>
      </c>
      <c r="F2555" s="1">
        <v>1425</v>
      </c>
      <c r="G2555" s="1">
        <v>4</v>
      </c>
      <c r="H2555" s="1">
        <v>2</v>
      </c>
      <c r="I2555" s="1">
        <v>2</v>
      </c>
      <c r="J2555" s="1">
        <v>2</v>
      </c>
      <c r="K2555" s="1">
        <v>2</v>
      </c>
      <c r="M2555" s="4">
        <v>1400</v>
      </c>
      <c r="N2555" s="1">
        <v>1491</v>
      </c>
      <c r="O2555" s="1">
        <v>2714</v>
      </c>
      <c r="P2555" s="1">
        <v>1223</v>
      </c>
      <c r="Q2555" s="1" t="s">
        <v>42</v>
      </c>
      <c r="S2555" s="1" t="s">
        <v>42</v>
      </c>
      <c r="T2555" s="1" t="s">
        <v>170</v>
      </c>
      <c r="V2555" s="5">
        <v>43670</v>
      </c>
      <c r="W2555" s="5">
        <v>43162</v>
      </c>
      <c r="X2555" s="1">
        <v>1995000</v>
      </c>
      <c r="Y2555" s="1">
        <v>1995000</v>
      </c>
      <c r="Z2555" s="5">
        <v>43162</v>
      </c>
      <c r="AA2555" s="1">
        <v>1995000</v>
      </c>
      <c r="AB2555" s="1" t="s">
        <v>181</v>
      </c>
      <c r="AC2555" s="5">
        <v>43490</v>
      </c>
      <c r="AF2555" s="1">
        <v>10002</v>
      </c>
      <c r="AI2555" s="1" t="s">
        <v>96</v>
      </c>
      <c r="AJ2555" s="1">
        <v>2015</v>
      </c>
      <c r="AL2555" s="1">
        <v>7</v>
      </c>
    </row>
    <row r="2556" spans="1:38" x14ac:dyDescent="0.2">
      <c r="A2556" s="2" t="str">
        <f>HYPERLINK("https://www.compass.com/listing/25-park-row-unit-10b-manhattan-ny-10038/178475003535186209/","25 Park Row, Unit 10B")</f>
        <v>25 Park Row, Unit 10B</v>
      </c>
      <c r="B2556" s="2" t="str">
        <f t="shared" ref="B2556:B2563" si="360">HYPERLINK("https://www.compass.com/building/25-park-row-manhattan-ny-10038/292920743539264837/","25 Park Row")</f>
        <v>25 Park Row</v>
      </c>
      <c r="C2556" s="1" t="s">
        <v>117</v>
      </c>
      <c r="D2556" s="1" t="s">
        <v>41</v>
      </c>
      <c r="E2556" s="3">
        <v>1850000</v>
      </c>
      <c r="F2556" s="1">
        <v>1848.1518481518401</v>
      </c>
      <c r="G2556" s="1">
        <v>3</v>
      </c>
      <c r="H2556" s="1">
        <v>1</v>
      </c>
      <c r="I2556" s="1">
        <v>2</v>
      </c>
      <c r="J2556" s="1">
        <v>1.5</v>
      </c>
      <c r="K2556" s="1">
        <v>1</v>
      </c>
      <c r="L2556" s="1">
        <v>1</v>
      </c>
      <c r="M2556" s="4">
        <v>1001</v>
      </c>
      <c r="N2556" s="1">
        <v>1227.07</v>
      </c>
      <c r="O2556" s="1">
        <v>2454.3000000000002</v>
      </c>
      <c r="P2556" s="1">
        <v>1227.25</v>
      </c>
      <c r="Q2556" s="1" t="s">
        <v>42</v>
      </c>
      <c r="S2556" s="1" t="s">
        <v>42</v>
      </c>
      <c r="T2556" s="1" t="s">
        <v>170</v>
      </c>
      <c r="U2556" s="1">
        <v>66</v>
      </c>
      <c r="V2556" s="5">
        <v>44067</v>
      </c>
      <c r="W2556" s="5">
        <v>43493</v>
      </c>
      <c r="X2556" s="1">
        <v>1910000</v>
      </c>
      <c r="AB2556" s="1" t="s">
        <v>181</v>
      </c>
      <c r="AF2556" s="1">
        <v>10038</v>
      </c>
      <c r="AI2556" s="1" t="s">
        <v>144</v>
      </c>
      <c r="AJ2556" s="1">
        <v>2019</v>
      </c>
      <c r="AK2556" s="1" t="s">
        <v>77</v>
      </c>
      <c r="AL2556" s="1">
        <v>110</v>
      </c>
    </row>
    <row r="2557" spans="1:38" x14ac:dyDescent="0.2">
      <c r="A2557" s="2" t="str">
        <f>HYPERLINK("https://www.compass.com/listing/25-park-row-unit-8b-manhattan-ny-10038/178476505758713921/","25 Park Row, Unit 8B")</f>
        <v>25 Park Row, Unit 8B</v>
      </c>
      <c r="B2557" s="2" t="str">
        <f t="shared" si="360"/>
        <v>25 Park Row</v>
      </c>
      <c r="C2557" s="1" t="s">
        <v>117</v>
      </c>
      <c r="D2557" s="1" t="s">
        <v>41</v>
      </c>
      <c r="E2557" s="3">
        <v>1820000</v>
      </c>
      <c r="F2557" s="1">
        <v>1818.1818181818101</v>
      </c>
      <c r="G2557" s="1">
        <v>3</v>
      </c>
      <c r="H2557" s="1">
        <v>1</v>
      </c>
      <c r="I2557" s="1">
        <v>2</v>
      </c>
      <c r="J2557" s="1">
        <v>1.5</v>
      </c>
      <c r="K2557" s="1">
        <v>1</v>
      </c>
      <c r="L2557" s="1">
        <v>1</v>
      </c>
      <c r="M2557" s="4">
        <v>1001</v>
      </c>
      <c r="N2557" s="1">
        <v>1215.0999999999999</v>
      </c>
      <c r="O2557" s="1">
        <v>2430.3599999999901</v>
      </c>
      <c r="P2557" s="1">
        <v>1215.25</v>
      </c>
      <c r="Q2557" s="1" t="s">
        <v>42</v>
      </c>
      <c r="S2557" s="1" t="s">
        <v>42</v>
      </c>
      <c r="T2557" s="1" t="s">
        <v>170</v>
      </c>
      <c r="U2557" s="1">
        <v>247</v>
      </c>
      <c r="V2557" s="5">
        <v>44067</v>
      </c>
      <c r="W2557" s="5">
        <v>43493</v>
      </c>
      <c r="X2557" s="1">
        <v>1870000</v>
      </c>
      <c r="AB2557" s="1" t="s">
        <v>181</v>
      </c>
      <c r="AF2557" s="1">
        <v>10038</v>
      </c>
      <c r="AI2557" s="1" t="s">
        <v>144</v>
      </c>
      <c r="AJ2557" s="1">
        <v>2019</v>
      </c>
      <c r="AK2557" s="1" t="s">
        <v>77</v>
      </c>
      <c r="AL2557" s="1">
        <v>110</v>
      </c>
    </row>
    <row r="2558" spans="1:38" x14ac:dyDescent="0.2">
      <c r="A2558" s="2" t="str">
        <f>HYPERLINK("https://www.compass.com/listing/25-park-row-unit-6b-manhattan-ny-10038/178478811090803025/","25 Park Row, Unit 6B")</f>
        <v>25 Park Row, Unit 6B</v>
      </c>
      <c r="B2558" s="2" t="str">
        <f t="shared" si="360"/>
        <v>25 Park Row</v>
      </c>
      <c r="C2558" s="1" t="s">
        <v>117</v>
      </c>
      <c r="D2558" s="1" t="s">
        <v>41</v>
      </c>
      <c r="E2558" s="3">
        <v>1725000</v>
      </c>
      <c r="F2558" s="1">
        <v>1723.2767232767201</v>
      </c>
      <c r="G2558" s="1">
        <v>3</v>
      </c>
      <c r="H2558" s="1">
        <v>1</v>
      </c>
      <c r="I2558" s="1">
        <v>2</v>
      </c>
      <c r="J2558" s="1">
        <v>1.5</v>
      </c>
      <c r="K2558" s="1">
        <v>1</v>
      </c>
      <c r="L2558" s="1">
        <v>1</v>
      </c>
      <c r="M2558" s="4">
        <v>1001</v>
      </c>
      <c r="N2558" s="1">
        <v>1203.1300000000001</v>
      </c>
      <c r="O2558" s="1">
        <v>2406.42</v>
      </c>
      <c r="P2558" s="1">
        <v>1203.25</v>
      </c>
      <c r="Q2558" s="1" t="s">
        <v>42</v>
      </c>
      <c r="S2558" s="1" t="s">
        <v>42</v>
      </c>
      <c r="T2558" s="1" t="s">
        <v>170</v>
      </c>
      <c r="U2558" s="1">
        <v>66</v>
      </c>
      <c r="V2558" s="5">
        <v>44057</v>
      </c>
      <c r="W2558" s="5">
        <v>43493</v>
      </c>
      <c r="X2558" s="1">
        <v>1830000</v>
      </c>
      <c r="Y2558" s="1">
        <v>1860000</v>
      </c>
      <c r="AA2558" s="1">
        <v>1725000</v>
      </c>
      <c r="AB2558" s="1" t="s">
        <v>1895</v>
      </c>
      <c r="AC2558" s="5">
        <v>44056</v>
      </c>
      <c r="AF2558" s="1">
        <v>10038</v>
      </c>
      <c r="AI2558" s="1" t="s">
        <v>147</v>
      </c>
      <c r="AJ2558" s="1">
        <v>2019</v>
      </c>
      <c r="AK2558" s="1" t="s">
        <v>73</v>
      </c>
      <c r="AL2558" s="1">
        <v>110</v>
      </c>
    </row>
    <row r="2559" spans="1:38" x14ac:dyDescent="0.2">
      <c r="A2559" s="2" t="str">
        <f>HYPERLINK("https://www.compass.com/listing/25-park-row-unit-7d-manhattan-ny-10038/178480219949123745/","25 Park Row, Unit 7D")</f>
        <v>25 Park Row, Unit 7D</v>
      </c>
      <c r="B2559" s="2" t="str">
        <f t="shared" si="360"/>
        <v>25 Park Row</v>
      </c>
      <c r="C2559" s="1" t="s">
        <v>117</v>
      </c>
      <c r="D2559" s="1" t="s">
        <v>41</v>
      </c>
      <c r="E2559" s="3">
        <v>1617750</v>
      </c>
      <c r="F2559" s="1">
        <v>1768.0327868852401</v>
      </c>
      <c r="G2559" s="1">
        <v>3</v>
      </c>
      <c r="H2559" s="1">
        <v>1</v>
      </c>
      <c r="I2559" s="1">
        <v>2</v>
      </c>
      <c r="J2559" s="1">
        <v>1.5</v>
      </c>
      <c r="K2559" s="1">
        <v>1</v>
      </c>
      <c r="L2559" s="1">
        <v>1</v>
      </c>
      <c r="M2559" s="1">
        <v>915</v>
      </c>
      <c r="N2559" s="1">
        <v>1105.23</v>
      </c>
      <c r="O2559" s="1">
        <v>2210.61</v>
      </c>
      <c r="P2559" s="1">
        <v>1105.4166666666599</v>
      </c>
      <c r="Q2559" s="1" t="s">
        <v>42</v>
      </c>
      <c r="S2559" s="1" t="s">
        <v>42</v>
      </c>
      <c r="T2559" s="1" t="s">
        <v>170</v>
      </c>
      <c r="U2559" s="1">
        <v>66</v>
      </c>
      <c r="V2559" s="5">
        <v>44322</v>
      </c>
      <c r="W2559" s="5">
        <v>43493</v>
      </c>
      <c r="X2559" s="1">
        <v>1695000</v>
      </c>
      <c r="AB2559" s="1" t="s">
        <v>181</v>
      </c>
      <c r="AF2559" s="1">
        <v>10038</v>
      </c>
      <c r="AI2559" s="1" t="s">
        <v>144</v>
      </c>
      <c r="AJ2559" s="1">
        <v>2019</v>
      </c>
      <c r="AK2559" s="1" t="s">
        <v>77</v>
      </c>
      <c r="AL2559" s="1">
        <v>110</v>
      </c>
    </row>
    <row r="2560" spans="1:38" x14ac:dyDescent="0.2">
      <c r="A2560" s="2" t="str">
        <f>HYPERLINK("https://www.compass.com/listing/25-park-row-unit-5b-manhattan-ny-10038/223044027493161473/","25 Park Row, Unit 5B")</f>
        <v>25 Park Row, Unit 5B</v>
      </c>
      <c r="B2560" s="2" t="str">
        <f t="shared" si="360"/>
        <v>25 Park Row</v>
      </c>
      <c r="C2560" s="1" t="s">
        <v>117</v>
      </c>
      <c r="D2560" s="1" t="s">
        <v>41</v>
      </c>
      <c r="E2560" s="3">
        <v>1815000</v>
      </c>
      <c r="F2560" s="1">
        <v>1816.8168168168099</v>
      </c>
      <c r="G2560" s="1">
        <v>3.5</v>
      </c>
      <c r="H2560" s="1">
        <v>1</v>
      </c>
      <c r="I2560" s="1">
        <v>2</v>
      </c>
      <c r="J2560" s="1">
        <v>1.5</v>
      </c>
      <c r="K2560" s="1">
        <v>1</v>
      </c>
      <c r="L2560" s="1">
        <v>1</v>
      </c>
      <c r="M2560" s="1">
        <v>999</v>
      </c>
      <c r="N2560" s="1">
        <v>1194.75</v>
      </c>
      <c r="O2560" s="1">
        <v>2389.66</v>
      </c>
      <c r="P2560" s="1">
        <v>1194.9166666666599</v>
      </c>
      <c r="Q2560" s="1" t="s">
        <v>42</v>
      </c>
      <c r="S2560" s="1" t="s">
        <v>42</v>
      </c>
      <c r="T2560" s="1" t="s">
        <v>170</v>
      </c>
      <c r="U2560" s="1">
        <v>254</v>
      </c>
      <c r="V2560" s="5">
        <v>44176</v>
      </c>
      <c r="W2560" s="5">
        <v>43559</v>
      </c>
      <c r="X2560" s="1">
        <v>1800000</v>
      </c>
      <c r="Y2560" s="1">
        <v>1830000</v>
      </c>
      <c r="AA2560" s="1">
        <v>1815000</v>
      </c>
      <c r="AB2560" s="1" t="s">
        <v>1896</v>
      </c>
      <c r="AC2560" s="5">
        <v>44174</v>
      </c>
      <c r="AF2560" s="1">
        <v>10038</v>
      </c>
      <c r="AI2560" s="1" t="s">
        <v>144</v>
      </c>
      <c r="AJ2560" s="1">
        <v>2019</v>
      </c>
      <c r="AK2560" s="1" t="s">
        <v>77</v>
      </c>
      <c r="AL2560" s="1">
        <v>110</v>
      </c>
    </row>
    <row r="2561" spans="1:38" x14ac:dyDescent="0.2">
      <c r="A2561" s="2" t="str">
        <f>HYPERLINK("https://www.compass.com/listing/25-park-row-unit-5d-manhattan-ny-10038/223044027719616545/","25 Park Row, Unit 5D")</f>
        <v>25 Park Row, Unit 5D</v>
      </c>
      <c r="B2561" s="2" t="str">
        <f t="shared" si="360"/>
        <v>25 Park Row</v>
      </c>
      <c r="C2561" s="1" t="s">
        <v>117</v>
      </c>
      <c r="D2561" s="1" t="s">
        <v>41</v>
      </c>
      <c r="E2561" s="3">
        <v>1705000</v>
      </c>
      <c r="F2561" s="1">
        <v>1863.3879781420701</v>
      </c>
      <c r="G2561" s="1">
        <v>3</v>
      </c>
      <c r="H2561" s="1">
        <v>1</v>
      </c>
      <c r="I2561" s="1">
        <v>2</v>
      </c>
      <c r="J2561" s="1">
        <v>1.5</v>
      </c>
      <c r="K2561" s="1">
        <v>1</v>
      </c>
      <c r="L2561" s="1">
        <v>1</v>
      </c>
      <c r="M2561" s="1">
        <v>915</v>
      </c>
      <c r="N2561" s="1">
        <v>1094.29</v>
      </c>
      <c r="O2561" s="1">
        <v>2188.73</v>
      </c>
      <c r="P2561" s="1">
        <v>1094.4166666666599</v>
      </c>
      <c r="Q2561" s="1" t="s">
        <v>42</v>
      </c>
      <c r="S2561" s="1" t="s">
        <v>42</v>
      </c>
      <c r="T2561" s="1" t="s">
        <v>170</v>
      </c>
      <c r="U2561" s="1">
        <v>69</v>
      </c>
      <c r="V2561" s="5">
        <v>44135</v>
      </c>
      <c r="W2561" s="5">
        <v>43740</v>
      </c>
      <c r="X2561" s="1">
        <v>1725000</v>
      </c>
      <c r="Y2561" s="1">
        <v>1725000</v>
      </c>
      <c r="AA2561" s="1">
        <v>1705000</v>
      </c>
      <c r="AB2561" s="1" t="s">
        <v>1897</v>
      </c>
      <c r="AC2561" s="5">
        <v>44134</v>
      </c>
      <c r="AF2561" s="1">
        <v>10038</v>
      </c>
      <c r="AI2561" s="1" t="s">
        <v>144</v>
      </c>
      <c r="AJ2561" s="1">
        <v>2019</v>
      </c>
      <c r="AK2561" s="1" t="s">
        <v>77</v>
      </c>
      <c r="AL2561" s="1">
        <v>110</v>
      </c>
    </row>
    <row r="2562" spans="1:38" x14ac:dyDescent="0.2">
      <c r="A2562" s="2" t="str">
        <f>HYPERLINK("https://www.compass.com/listing/25-park-row-unit-7b-manhattan-ny-10038/354172839252331537/","25 Park Row, Unit 7B")</f>
        <v>25 Park Row, Unit 7B</v>
      </c>
      <c r="B2562" s="2" t="str">
        <f t="shared" si="360"/>
        <v>25 Park Row</v>
      </c>
      <c r="C2562" s="1" t="s">
        <v>117</v>
      </c>
      <c r="D2562" s="1" t="s">
        <v>41</v>
      </c>
      <c r="E2562" s="3">
        <v>1865000</v>
      </c>
      <c r="F2562" s="1">
        <v>1863.13686313686</v>
      </c>
      <c r="G2562" s="1">
        <v>3.5</v>
      </c>
      <c r="H2562" s="1">
        <v>1</v>
      </c>
      <c r="I2562" s="1">
        <v>2</v>
      </c>
      <c r="J2562" s="1">
        <v>1.5</v>
      </c>
      <c r="K2562" s="1">
        <v>1</v>
      </c>
      <c r="L2562" s="1">
        <v>1</v>
      </c>
      <c r="M2562" s="4">
        <v>1001</v>
      </c>
      <c r="N2562" s="1">
        <v>1209.1099999999999</v>
      </c>
      <c r="O2562" s="1">
        <v>2418.38</v>
      </c>
      <c r="P2562" s="1">
        <v>1209.25</v>
      </c>
      <c r="Q2562" s="1" t="s">
        <v>42</v>
      </c>
      <c r="S2562" s="1" t="s">
        <v>42</v>
      </c>
      <c r="T2562" s="1" t="s">
        <v>170</v>
      </c>
      <c r="U2562" s="1">
        <v>43</v>
      </c>
      <c r="V2562" s="5">
        <v>44067</v>
      </c>
      <c r="W2562" s="5">
        <v>43740</v>
      </c>
      <c r="X2562" s="1">
        <v>1850000</v>
      </c>
      <c r="AB2562" s="1" t="s">
        <v>181</v>
      </c>
      <c r="AF2562" s="1">
        <v>10038</v>
      </c>
      <c r="AI2562" s="1" t="s">
        <v>144</v>
      </c>
      <c r="AJ2562" s="1">
        <v>2019</v>
      </c>
      <c r="AK2562" s="1" t="s">
        <v>77</v>
      </c>
      <c r="AL2562" s="1">
        <v>110</v>
      </c>
    </row>
    <row r="2563" spans="1:38" x14ac:dyDescent="0.2">
      <c r="A2563" s="2" t="str">
        <f>HYPERLINK("https://www.compass.com/listing/25-park-row-unit-9b-manhattan-ny-10038/385425630893159153/","25 Park Row, Unit 9B")</f>
        <v>25 Park Row, Unit 9B</v>
      </c>
      <c r="B2563" s="2" t="str">
        <f t="shared" si="360"/>
        <v>25 Park Row</v>
      </c>
      <c r="C2563" s="1" t="s">
        <v>117</v>
      </c>
      <c r="D2563" s="1" t="s">
        <v>41</v>
      </c>
      <c r="E2563" s="3">
        <v>1920488</v>
      </c>
      <c r="F2563" s="1">
        <v>1918.5689310689299</v>
      </c>
      <c r="G2563" s="1">
        <v>3</v>
      </c>
      <c r="H2563" s="1">
        <v>1</v>
      </c>
      <c r="I2563" s="1">
        <v>2</v>
      </c>
      <c r="J2563" s="1">
        <v>1.5</v>
      </c>
      <c r="K2563" s="1">
        <v>1</v>
      </c>
      <c r="L2563" s="1">
        <v>1</v>
      </c>
      <c r="M2563" s="4">
        <v>1001</v>
      </c>
      <c r="N2563" s="1">
        <v>1221.08</v>
      </c>
      <c r="O2563" s="1">
        <v>2442.33</v>
      </c>
      <c r="P2563" s="1">
        <v>1221.25</v>
      </c>
      <c r="Q2563" s="1" t="s">
        <v>42</v>
      </c>
      <c r="S2563" s="1" t="s">
        <v>42</v>
      </c>
      <c r="T2563" s="1" t="s">
        <v>170</v>
      </c>
      <c r="U2563" s="1">
        <v>12</v>
      </c>
      <c r="V2563" s="5">
        <v>44067</v>
      </c>
      <c r="W2563" s="5">
        <v>43783</v>
      </c>
      <c r="X2563" s="1">
        <v>1920000</v>
      </c>
      <c r="Y2563" s="1">
        <v>1920000</v>
      </c>
      <c r="AA2563" s="1">
        <v>1920487.5</v>
      </c>
      <c r="AB2563" s="1" t="s">
        <v>1898</v>
      </c>
      <c r="AC2563" s="5">
        <v>44025</v>
      </c>
      <c r="AF2563" s="1">
        <v>10038</v>
      </c>
      <c r="AI2563" s="1" t="s">
        <v>144</v>
      </c>
      <c r="AJ2563" s="1">
        <v>2019</v>
      </c>
      <c r="AK2563" s="1" t="s">
        <v>77</v>
      </c>
      <c r="AL2563" s="1">
        <v>110</v>
      </c>
    </row>
    <row r="2564" spans="1:38" x14ac:dyDescent="0.2">
      <c r="A2564" s="2" t="str">
        <f>HYPERLINK("https://www.compass.com/listing/265-east-houston-street-unit-4a-manhattan-ny-10002/4850179619069895537/","265 E Houston St, Unit 4A")</f>
        <v>265 E Houston St, Unit 4A</v>
      </c>
      <c r="B2564" s="2" t="str">
        <f>HYPERLINK("https://www.compass.com/building/265-e-houston-st-manhattan-ny-10002/281886808264939173/","265 E Houston St")</f>
        <v>265 E Houston St</v>
      </c>
      <c r="C2564" s="1" t="s">
        <v>66</v>
      </c>
      <c r="D2564" s="1" t="s">
        <v>41</v>
      </c>
      <c r="E2564" s="3">
        <v>1925000</v>
      </c>
      <c r="F2564" s="1">
        <v>1375</v>
      </c>
      <c r="G2564" s="1">
        <v>4</v>
      </c>
      <c r="H2564" s="1">
        <v>2</v>
      </c>
      <c r="J2564" s="1">
        <v>2</v>
      </c>
      <c r="M2564" s="4">
        <v>1400</v>
      </c>
      <c r="N2564" s="1">
        <v>1328</v>
      </c>
      <c r="O2564" s="1">
        <v>2347</v>
      </c>
      <c r="P2564" s="1">
        <v>1019</v>
      </c>
      <c r="Q2564" s="1" t="s">
        <v>42</v>
      </c>
      <c r="S2564" s="1" t="s">
        <v>42</v>
      </c>
      <c r="T2564" s="1" t="s">
        <v>170</v>
      </c>
      <c r="U2564" s="1">
        <v>525</v>
      </c>
      <c r="V2564" s="5">
        <v>44248</v>
      </c>
      <c r="W2564" s="5">
        <v>42874</v>
      </c>
      <c r="X2564" s="1">
        <v>2450000</v>
      </c>
      <c r="Y2564" s="1">
        <v>2150000</v>
      </c>
      <c r="AA2564" s="1">
        <v>1925000</v>
      </c>
      <c r="AB2564" s="1" t="s">
        <v>1899</v>
      </c>
      <c r="AC2564" s="5">
        <v>43399</v>
      </c>
      <c r="AF2564" s="1">
        <v>10002</v>
      </c>
      <c r="AI2564" s="1" t="s">
        <v>96</v>
      </c>
      <c r="AJ2564" s="1">
        <v>2015</v>
      </c>
      <c r="AL2564" s="1">
        <v>7</v>
      </c>
    </row>
    <row r="2565" spans="1:38" x14ac:dyDescent="0.2">
      <c r="A2565" s="2" t="str">
        <f>HYPERLINK("https://www.compass.com/listing/25-park-row-unit-11b-manhattan-ny-10038/562927754599901753/","25 Park Row, Unit 11B")</f>
        <v>25 Park Row, Unit 11B</v>
      </c>
      <c r="B2565" s="2" t="str">
        <f t="shared" ref="B2565:B2567" si="361">HYPERLINK("https://www.compass.com/building/25-park-row-manhattan-ny-10038/292920743539264837/","25 Park Row")</f>
        <v>25 Park Row</v>
      </c>
      <c r="C2565" s="1" t="s">
        <v>117</v>
      </c>
      <c r="D2565" s="1" t="s">
        <v>41</v>
      </c>
      <c r="E2565" s="3">
        <v>1915442</v>
      </c>
      <c r="F2565" s="1">
        <v>1913.5283516483501</v>
      </c>
      <c r="G2565" s="1">
        <v>3</v>
      </c>
      <c r="H2565" s="1">
        <v>1</v>
      </c>
      <c r="I2565" s="1">
        <v>2</v>
      </c>
      <c r="J2565" s="1">
        <v>1.5</v>
      </c>
      <c r="K2565" s="1">
        <v>1</v>
      </c>
      <c r="L2565" s="1">
        <v>1</v>
      </c>
      <c r="M2565" s="4">
        <v>1001</v>
      </c>
      <c r="N2565" s="1">
        <v>1233.05</v>
      </c>
      <c r="O2565" s="1">
        <v>2466.27</v>
      </c>
      <c r="P2565" s="1">
        <v>1233.25</v>
      </c>
      <c r="Q2565" s="1" t="s">
        <v>42</v>
      </c>
      <c r="S2565" s="1" t="s">
        <v>42</v>
      </c>
      <c r="T2565" s="1" t="s">
        <v>170</v>
      </c>
      <c r="U2565" s="1">
        <v>438</v>
      </c>
      <c r="V2565" s="5">
        <v>44029</v>
      </c>
      <c r="W2565" s="5">
        <v>43494</v>
      </c>
      <c r="X2565" s="1">
        <v>1895000</v>
      </c>
      <c r="Y2565" s="1">
        <v>1895000</v>
      </c>
      <c r="AA2565" s="1">
        <v>1915441.88</v>
      </c>
      <c r="AB2565" s="1" t="s">
        <v>1900</v>
      </c>
      <c r="AC2565" s="5">
        <v>44027</v>
      </c>
      <c r="AF2565" s="1">
        <v>10038</v>
      </c>
      <c r="AI2565" s="1" t="s">
        <v>144</v>
      </c>
      <c r="AJ2565" s="1">
        <v>2019</v>
      </c>
      <c r="AK2565" s="1" t="s">
        <v>77</v>
      </c>
      <c r="AL2565" s="1">
        <v>110</v>
      </c>
    </row>
    <row r="2566" spans="1:38" x14ac:dyDescent="0.2">
      <c r="A2566" s="2" t="str">
        <f>HYPERLINK("https://www.compass.com/listing/25-park-row-unit-9c-manhattan-ny-10038/568905365117528033/","25 Park Row, Unit 9C")</f>
        <v>25 Park Row, Unit 9C</v>
      </c>
      <c r="B2566" s="2" t="str">
        <f t="shared" si="361"/>
        <v>25 Park Row</v>
      </c>
      <c r="C2566" s="1" t="s">
        <v>117</v>
      </c>
      <c r="D2566" s="1" t="s">
        <v>41</v>
      </c>
      <c r="E2566" s="3">
        <v>2500000</v>
      </c>
      <c r="F2566" s="1">
        <v>1857.35512630014</v>
      </c>
      <c r="G2566" s="1">
        <v>4</v>
      </c>
      <c r="H2566" s="1">
        <v>2</v>
      </c>
      <c r="I2566" s="1">
        <v>3</v>
      </c>
      <c r="J2566" s="1">
        <v>2.5</v>
      </c>
      <c r="K2566" s="1">
        <v>2</v>
      </c>
      <c r="L2566" s="1">
        <v>1</v>
      </c>
      <c r="M2566" s="4">
        <v>1346</v>
      </c>
      <c r="N2566" s="1">
        <v>1641.94</v>
      </c>
      <c r="O2566" s="1">
        <v>3284.1</v>
      </c>
      <c r="P2566" s="1">
        <v>1642.1666666666599</v>
      </c>
      <c r="Q2566" s="1" t="s">
        <v>42</v>
      </c>
      <c r="S2566" s="1" t="s">
        <v>42</v>
      </c>
      <c r="T2566" s="1" t="s">
        <v>170</v>
      </c>
      <c r="U2566" s="1">
        <v>426</v>
      </c>
      <c r="V2566" s="5">
        <v>44037</v>
      </c>
      <c r="W2566" s="5">
        <v>43515</v>
      </c>
      <c r="X2566" s="1">
        <v>2500000</v>
      </c>
      <c r="Y2566" s="1">
        <v>2500000</v>
      </c>
      <c r="AA2566" s="1">
        <v>2500000</v>
      </c>
      <c r="AB2566" s="1" t="s">
        <v>1901</v>
      </c>
      <c r="AC2566" s="5">
        <v>44036</v>
      </c>
      <c r="AF2566" s="1">
        <v>10038</v>
      </c>
      <c r="AI2566" s="1" t="s">
        <v>144</v>
      </c>
      <c r="AJ2566" s="1">
        <v>2019</v>
      </c>
      <c r="AK2566" s="1" t="s">
        <v>77</v>
      </c>
      <c r="AL2566" s="1">
        <v>110</v>
      </c>
    </row>
    <row r="2567" spans="1:38" x14ac:dyDescent="0.2">
      <c r="A2567" s="2" t="str">
        <f>HYPERLINK("https://www.compass.com/listing/25-park-row-unit-17b-manhattan-ny-10038/223044029204400321/","25 Park Row, Unit 17B")</f>
        <v>25 Park Row, Unit 17B</v>
      </c>
      <c r="B2567" s="2" t="str">
        <f t="shared" si="361"/>
        <v>25 Park Row</v>
      </c>
      <c r="C2567" s="1" t="s">
        <v>117</v>
      </c>
      <c r="D2567" s="1" t="s">
        <v>41</v>
      </c>
      <c r="E2567" s="3">
        <v>2225000</v>
      </c>
      <c r="F2567" s="1">
        <v>2006.3119927862899</v>
      </c>
      <c r="G2567" s="1">
        <v>4</v>
      </c>
      <c r="H2567" s="1">
        <v>2</v>
      </c>
      <c r="I2567" s="1">
        <v>2</v>
      </c>
      <c r="J2567" s="1">
        <v>2</v>
      </c>
      <c r="K2567" s="1">
        <v>2</v>
      </c>
      <c r="M2567" s="4">
        <v>1109</v>
      </c>
      <c r="N2567" s="1">
        <v>1370.07</v>
      </c>
      <c r="O2567" s="1">
        <v>2740.3199999999902</v>
      </c>
      <c r="P2567" s="1">
        <v>1370.25</v>
      </c>
      <c r="Q2567" s="1" t="s">
        <v>42</v>
      </c>
      <c r="S2567" s="1" t="s">
        <v>42</v>
      </c>
      <c r="T2567" s="1" t="s">
        <v>170</v>
      </c>
      <c r="U2567" s="1">
        <v>35</v>
      </c>
      <c r="V2567" s="5">
        <v>44067</v>
      </c>
      <c r="W2567" s="5">
        <v>43559</v>
      </c>
      <c r="X2567" s="1">
        <v>2200000</v>
      </c>
      <c r="AB2567" s="1" t="s">
        <v>181</v>
      </c>
      <c r="AF2567" s="1">
        <v>10038</v>
      </c>
      <c r="AI2567" s="1" t="s">
        <v>144</v>
      </c>
      <c r="AJ2567" s="1">
        <v>2019</v>
      </c>
      <c r="AK2567" s="1" t="s">
        <v>77</v>
      </c>
      <c r="AL2567" s="1">
        <v>110</v>
      </c>
    </row>
    <row r="2568" spans="1:38" x14ac:dyDescent="0.2">
      <c r="A2568" s="2" t="str">
        <f>HYPERLINK("https://www.compass.com/listing/252-south-street-unit-41b-manhattan-ny-10002/814562335567902681/","252 South St, Unit 41B")</f>
        <v>252 South St, Unit 41B</v>
      </c>
      <c r="B2568" s="2" t="str">
        <f>HYPERLINK("https://www.compass.com/building/one-manhattan-square-manhattan-ny/294844950218926165/","One Manhattan Square")</f>
        <v>One Manhattan Square</v>
      </c>
      <c r="C2568" s="1" t="s">
        <v>66</v>
      </c>
      <c r="D2568" s="1" t="s">
        <v>41</v>
      </c>
      <c r="E2568" s="3">
        <v>1923401</v>
      </c>
      <c r="F2568" s="1">
        <v>1840.57535885167</v>
      </c>
      <c r="G2568" s="1">
        <v>4</v>
      </c>
      <c r="H2568" s="1">
        <v>2</v>
      </c>
      <c r="I2568" s="1">
        <v>2</v>
      </c>
      <c r="J2568" s="1">
        <v>2</v>
      </c>
      <c r="K2568" s="1">
        <v>2</v>
      </c>
      <c r="M2568" s="4">
        <v>1045</v>
      </c>
      <c r="N2568" s="1">
        <v>1299</v>
      </c>
      <c r="O2568" s="1">
        <v>1319</v>
      </c>
      <c r="P2568" s="1">
        <v>20</v>
      </c>
      <c r="Q2568" s="1" t="s">
        <v>42</v>
      </c>
      <c r="S2568" s="1" t="s">
        <v>42</v>
      </c>
      <c r="T2568" s="1" t="s">
        <v>170</v>
      </c>
      <c r="U2568" s="1">
        <v>4</v>
      </c>
      <c r="V2568" s="5">
        <v>44376</v>
      </c>
      <c r="W2568" s="5">
        <v>44372</v>
      </c>
      <c r="X2568" s="1">
        <v>2344000</v>
      </c>
      <c r="Y2568" s="1">
        <v>2344000</v>
      </c>
      <c r="Z2568" s="5">
        <v>44376</v>
      </c>
      <c r="AA2568" s="1">
        <v>1923401.25</v>
      </c>
      <c r="AB2568" s="1" t="s">
        <v>1902</v>
      </c>
      <c r="AC2568" s="5">
        <v>44400</v>
      </c>
      <c r="AF2568" s="1">
        <v>10002</v>
      </c>
      <c r="AI2568" s="1" t="s">
        <v>163</v>
      </c>
      <c r="AJ2568" s="1">
        <v>2019</v>
      </c>
      <c r="AK2568" s="1" t="s">
        <v>73</v>
      </c>
      <c r="AL2568" s="1">
        <v>787</v>
      </c>
    </row>
    <row r="2569" spans="1:38" x14ac:dyDescent="0.2">
      <c r="A2569" s="2" t="str">
        <f>HYPERLINK("https://www.compass.com/listing/25-park-row-unit-10c-manhattan-ny-10038/178467156923537489/","25 Park Row, Unit 10C")</f>
        <v>25 Park Row, Unit 10C</v>
      </c>
      <c r="B2569" s="2" t="str">
        <f t="shared" ref="B2569:B2581" si="362">HYPERLINK("https://www.compass.com/building/25-park-row-manhattan-ny-10038/292920743539264837/","25 Park Row")</f>
        <v>25 Park Row</v>
      </c>
      <c r="C2569" s="1" t="s">
        <v>117</v>
      </c>
      <c r="D2569" s="1" t="s">
        <v>41</v>
      </c>
      <c r="E2569" s="3">
        <v>2430000</v>
      </c>
      <c r="F2569" s="1">
        <v>1805.3491827637399</v>
      </c>
      <c r="G2569" s="1">
        <v>4.5</v>
      </c>
      <c r="H2569" s="1">
        <v>2</v>
      </c>
      <c r="I2569" s="1">
        <v>3</v>
      </c>
      <c r="J2569" s="1">
        <v>2.5</v>
      </c>
      <c r="K2569" s="1">
        <v>2</v>
      </c>
      <c r="L2569" s="1">
        <v>1</v>
      </c>
      <c r="M2569" s="4">
        <v>1346</v>
      </c>
      <c r="N2569" s="1">
        <v>1649.99</v>
      </c>
      <c r="O2569" s="1">
        <v>3300.2</v>
      </c>
      <c r="P2569" s="1">
        <v>1650.25</v>
      </c>
      <c r="Q2569" s="1" t="s">
        <v>42</v>
      </c>
      <c r="S2569" s="1" t="s">
        <v>42</v>
      </c>
      <c r="T2569" s="1" t="s">
        <v>170</v>
      </c>
      <c r="U2569" s="1">
        <v>66</v>
      </c>
      <c r="V2569" s="5">
        <v>44049</v>
      </c>
      <c r="W2569" s="5">
        <v>43493</v>
      </c>
      <c r="X2569" s="1">
        <v>2500000</v>
      </c>
      <c r="AB2569" s="1" t="s">
        <v>181</v>
      </c>
      <c r="AF2569" s="1">
        <v>10038</v>
      </c>
      <c r="AI2569" s="1" t="s">
        <v>1903</v>
      </c>
      <c r="AJ2569" s="1">
        <v>2019</v>
      </c>
      <c r="AK2569" s="1" t="s">
        <v>77</v>
      </c>
      <c r="AL2569" s="1">
        <v>110</v>
      </c>
    </row>
    <row r="2570" spans="1:38" x14ac:dyDescent="0.2">
      <c r="A2570" s="2" t="str">
        <f>HYPERLINK("https://www.compass.com/listing/25-park-row-unit-5c-manhattan-ny-10038/178469107769821025/","25 Park Row, Unit 5C")</f>
        <v>25 Park Row, Unit 5C</v>
      </c>
      <c r="B2570" s="2" t="str">
        <f t="shared" si="362"/>
        <v>25 Park Row</v>
      </c>
      <c r="C2570" s="1" t="s">
        <v>117</v>
      </c>
      <c r="D2570" s="1" t="s">
        <v>41</v>
      </c>
      <c r="E2570" s="3">
        <v>2325000</v>
      </c>
      <c r="F2570" s="1">
        <v>1727.34026745913</v>
      </c>
      <c r="G2570" s="1">
        <v>4.5</v>
      </c>
      <c r="H2570" s="1">
        <v>2</v>
      </c>
      <c r="I2570" s="1">
        <v>3</v>
      </c>
      <c r="J2570" s="1">
        <v>2.5</v>
      </c>
      <c r="K2570" s="1">
        <v>2</v>
      </c>
      <c r="L2570" s="1">
        <v>1</v>
      </c>
      <c r="M2570" s="4">
        <v>1346</v>
      </c>
      <c r="N2570" s="1">
        <v>1609.74</v>
      </c>
      <c r="O2570" s="1">
        <v>3219.7</v>
      </c>
      <c r="P2570" s="1">
        <v>1610</v>
      </c>
      <c r="Q2570" s="1" t="s">
        <v>42</v>
      </c>
      <c r="S2570" s="1" t="s">
        <v>42</v>
      </c>
      <c r="T2570" s="1" t="s">
        <v>170</v>
      </c>
      <c r="U2570" s="1">
        <v>52</v>
      </c>
      <c r="V2570" s="5">
        <v>44230</v>
      </c>
      <c r="W2570" s="5">
        <v>43493</v>
      </c>
      <c r="X2570" s="1">
        <v>2375000</v>
      </c>
      <c r="Z2570" s="5">
        <v>43522</v>
      </c>
      <c r="AB2570" s="1" t="s">
        <v>181</v>
      </c>
      <c r="AF2570" s="1">
        <v>10038</v>
      </c>
      <c r="AI2570" s="1" t="s">
        <v>144</v>
      </c>
      <c r="AJ2570" s="1">
        <v>2019</v>
      </c>
      <c r="AK2570" s="1" t="s">
        <v>77</v>
      </c>
      <c r="AL2570" s="1">
        <v>110</v>
      </c>
    </row>
    <row r="2571" spans="1:38" x14ac:dyDescent="0.2">
      <c r="A2571" s="2" t="str">
        <f>HYPERLINK("https://www.compass.com/listing/25-park-row-unit-29b-manhattan-ny-10038/178471553485265073/","25 Park Row, Unit 29B")</f>
        <v>25 Park Row, Unit 29B</v>
      </c>
      <c r="B2571" s="2" t="str">
        <f t="shared" si="362"/>
        <v>25 Park Row</v>
      </c>
      <c r="C2571" s="1" t="s">
        <v>117</v>
      </c>
      <c r="D2571" s="1" t="s">
        <v>41</v>
      </c>
      <c r="E2571" s="3">
        <v>2180000</v>
      </c>
      <c r="F2571" s="1">
        <v>1951.6562220232699</v>
      </c>
      <c r="G2571" s="1">
        <v>4</v>
      </c>
      <c r="H2571" s="1">
        <v>2</v>
      </c>
      <c r="I2571" s="1">
        <v>2</v>
      </c>
      <c r="J2571" s="1">
        <v>2</v>
      </c>
      <c r="K2571" s="1">
        <v>2</v>
      </c>
      <c r="M2571" s="4">
        <v>1117</v>
      </c>
      <c r="N2571" s="1">
        <v>1428.05</v>
      </c>
      <c r="O2571" s="1">
        <v>2856.29</v>
      </c>
      <c r="P2571" s="1">
        <v>1428.25</v>
      </c>
      <c r="Q2571" s="1" t="s">
        <v>42</v>
      </c>
      <c r="S2571" s="1" t="s">
        <v>42</v>
      </c>
      <c r="T2571" s="1" t="s">
        <v>170</v>
      </c>
      <c r="U2571" s="1">
        <v>66</v>
      </c>
      <c r="V2571" s="5">
        <v>44230</v>
      </c>
      <c r="W2571" s="5">
        <v>43493</v>
      </c>
      <c r="X2571" s="1">
        <v>2270000</v>
      </c>
      <c r="Y2571" s="1">
        <v>2270000</v>
      </c>
      <c r="Z2571" s="5">
        <v>44113</v>
      </c>
      <c r="AA2571" s="1">
        <v>2180000</v>
      </c>
      <c r="AB2571" s="1" t="s">
        <v>1904</v>
      </c>
      <c r="AC2571" s="5">
        <v>44225</v>
      </c>
      <c r="AF2571" s="1">
        <v>10038</v>
      </c>
      <c r="AI2571" s="1" t="s">
        <v>144</v>
      </c>
      <c r="AJ2571" s="1">
        <v>2019</v>
      </c>
      <c r="AK2571" s="1" t="s">
        <v>77</v>
      </c>
      <c r="AL2571" s="1">
        <v>110</v>
      </c>
    </row>
    <row r="2572" spans="1:38" x14ac:dyDescent="0.2">
      <c r="A2572" s="2" t="str">
        <f>HYPERLINK("https://www.compass.com/listing/25-park-row-unit-18b-manhattan-ny-10038/178473242263046129/","25 Park Row, Unit 18B")</f>
        <v>25 Park Row, Unit 18B</v>
      </c>
      <c r="B2572" s="2" t="str">
        <f t="shared" si="362"/>
        <v>25 Park Row</v>
      </c>
      <c r="C2572" s="1" t="s">
        <v>117</v>
      </c>
      <c r="D2572" s="1" t="s">
        <v>41</v>
      </c>
      <c r="E2572" s="3">
        <v>2175000</v>
      </c>
      <c r="F2572" s="1">
        <v>1961.2263300270499</v>
      </c>
      <c r="G2572" s="1">
        <v>4</v>
      </c>
      <c r="H2572" s="1">
        <v>2</v>
      </c>
      <c r="I2572" s="1">
        <v>2</v>
      </c>
      <c r="J2572" s="1">
        <v>2</v>
      </c>
      <c r="K2572" s="1">
        <v>2</v>
      </c>
      <c r="M2572" s="4">
        <v>1109</v>
      </c>
      <c r="N2572" s="1">
        <v>1374.05</v>
      </c>
      <c r="O2572" s="1">
        <v>2748.2799999999902</v>
      </c>
      <c r="P2572" s="1">
        <v>1374.25</v>
      </c>
      <c r="Q2572" s="1" t="s">
        <v>42</v>
      </c>
      <c r="S2572" s="1" t="s">
        <v>42</v>
      </c>
      <c r="T2572" s="1" t="s">
        <v>170</v>
      </c>
      <c r="U2572" s="1">
        <v>66</v>
      </c>
      <c r="V2572" s="5">
        <v>44067</v>
      </c>
      <c r="W2572" s="5">
        <v>43493</v>
      </c>
      <c r="X2572" s="1">
        <v>2225000</v>
      </c>
      <c r="AB2572" s="1" t="s">
        <v>181</v>
      </c>
      <c r="AF2572" s="1">
        <v>10038</v>
      </c>
      <c r="AI2572" s="1" t="s">
        <v>144</v>
      </c>
      <c r="AJ2572" s="1">
        <v>2019</v>
      </c>
      <c r="AK2572" s="1" t="s">
        <v>77</v>
      </c>
      <c r="AL2572" s="1">
        <v>110</v>
      </c>
    </row>
    <row r="2573" spans="1:38" x14ac:dyDescent="0.2">
      <c r="A2573" s="2" t="str">
        <f>HYPERLINK("https://www.compass.com/listing/25-park-row-unit-20b-manhattan-ny-10038/223044029447747585/","25 Park Row, Unit 20B")</f>
        <v>25 Park Row, Unit 20B</v>
      </c>
      <c r="B2573" s="2" t="str">
        <f t="shared" si="362"/>
        <v>25 Park Row</v>
      </c>
      <c r="C2573" s="1" t="s">
        <v>117</v>
      </c>
      <c r="D2573" s="1" t="s">
        <v>41</v>
      </c>
      <c r="E2573" s="3">
        <v>2275000</v>
      </c>
      <c r="F2573" s="1">
        <v>2051.3976555455301</v>
      </c>
      <c r="G2573" s="1">
        <v>4</v>
      </c>
      <c r="H2573" s="1">
        <v>2</v>
      </c>
      <c r="I2573" s="1">
        <v>2</v>
      </c>
      <c r="J2573" s="1">
        <v>2</v>
      </c>
      <c r="K2573" s="1">
        <v>2</v>
      </c>
      <c r="M2573" s="4">
        <v>1109</v>
      </c>
      <c r="N2573" s="1">
        <v>1382.01</v>
      </c>
      <c r="O2573" s="1">
        <v>2764.2</v>
      </c>
      <c r="P2573" s="1">
        <v>1382.1666666666599</v>
      </c>
      <c r="Q2573" s="1" t="s">
        <v>42</v>
      </c>
      <c r="S2573" s="1" t="s">
        <v>42</v>
      </c>
      <c r="T2573" s="1" t="s">
        <v>170</v>
      </c>
      <c r="U2573" s="1">
        <v>28</v>
      </c>
      <c r="V2573" s="5">
        <v>44047</v>
      </c>
      <c r="W2573" s="5">
        <v>43559</v>
      </c>
      <c r="X2573" s="1">
        <v>2275000</v>
      </c>
      <c r="AB2573" s="1" t="s">
        <v>181</v>
      </c>
      <c r="AF2573" s="1">
        <v>10038</v>
      </c>
      <c r="AI2573" s="1" t="s">
        <v>144</v>
      </c>
      <c r="AJ2573" s="1">
        <v>2019</v>
      </c>
      <c r="AK2573" s="1" t="s">
        <v>77</v>
      </c>
      <c r="AL2573" s="1">
        <v>110</v>
      </c>
    </row>
    <row r="2574" spans="1:38" x14ac:dyDescent="0.2">
      <c r="A2574" s="2" t="str">
        <f>HYPERLINK("https://www.compass.com/listing/25-park-row-unit-26b-manhattan-ny-10038/223044029724531537/","25 Park Row, Unit 26B")</f>
        <v>25 Park Row, Unit 26B</v>
      </c>
      <c r="B2574" s="2" t="str">
        <f t="shared" si="362"/>
        <v>25 Park Row</v>
      </c>
      <c r="C2574" s="1" t="s">
        <v>117</v>
      </c>
      <c r="D2574" s="1" t="s">
        <v>41</v>
      </c>
      <c r="E2574" s="3">
        <v>2225000</v>
      </c>
      <c r="F2574" s="1">
        <v>1991.9427036705399</v>
      </c>
      <c r="G2574" s="1">
        <v>4</v>
      </c>
      <c r="H2574" s="1">
        <v>2</v>
      </c>
      <c r="I2574" s="1">
        <v>2</v>
      </c>
      <c r="J2574" s="1">
        <v>2</v>
      </c>
      <c r="K2574" s="1">
        <v>2</v>
      </c>
      <c r="M2574" s="4">
        <v>1117</v>
      </c>
      <c r="N2574" s="1">
        <v>1416.02</v>
      </c>
      <c r="O2574" s="1">
        <v>2832.23</v>
      </c>
      <c r="P2574" s="1">
        <v>1416.25</v>
      </c>
      <c r="Q2574" s="1" t="s">
        <v>42</v>
      </c>
      <c r="S2574" s="1" t="s">
        <v>42</v>
      </c>
      <c r="T2574" s="1" t="s">
        <v>170</v>
      </c>
      <c r="U2574" s="1">
        <v>60</v>
      </c>
      <c r="V2574" s="5">
        <v>44087</v>
      </c>
      <c r="W2574" s="5">
        <v>43559</v>
      </c>
      <c r="X2574" s="1">
        <v>2210000</v>
      </c>
      <c r="Y2574" s="1">
        <v>2260000</v>
      </c>
      <c r="AA2574" s="1">
        <v>2225000</v>
      </c>
      <c r="AB2574" s="1" t="s">
        <v>1905</v>
      </c>
      <c r="AC2574" s="5">
        <v>44085</v>
      </c>
      <c r="AF2574" s="1">
        <v>10038</v>
      </c>
      <c r="AI2574" s="1" t="s">
        <v>144</v>
      </c>
      <c r="AJ2574" s="1">
        <v>2019</v>
      </c>
      <c r="AK2574" s="1" t="s">
        <v>77</v>
      </c>
      <c r="AL2574" s="1">
        <v>110</v>
      </c>
    </row>
    <row r="2575" spans="1:38" x14ac:dyDescent="0.2">
      <c r="A2575" s="2" t="str">
        <f>HYPERLINK("https://www.compass.com/listing/25-park-row-unit-31b-manhattan-ny-10038/223044029925820753/","25 Park Row, Unit 31B")</f>
        <v>25 Park Row, Unit 31B</v>
      </c>
      <c r="B2575" s="2" t="str">
        <f t="shared" si="362"/>
        <v>25 Park Row</v>
      </c>
      <c r="C2575" s="1" t="s">
        <v>117</v>
      </c>
      <c r="D2575" s="1" t="s">
        <v>41</v>
      </c>
      <c r="E2575" s="3">
        <v>2275000</v>
      </c>
      <c r="F2575" s="1">
        <v>2036.7054610564001</v>
      </c>
      <c r="G2575" s="1">
        <v>4</v>
      </c>
      <c r="H2575" s="1">
        <v>2</v>
      </c>
      <c r="I2575" s="1">
        <v>2</v>
      </c>
      <c r="J2575" s="1">
        <v>2</v>
      </c>
      <c r="K2575" s="1">
        <v>2</v>
      </c>
      <c r="M2575" s="4">
        <v>1117</v>
      </c>
      <c r="N2575" s="1">
        <v>1436.06</v>
      </c>
      <c r="O2575" s="1">
        <v>2872.31</v>
      </c>
      <c r="P2575" s="1">
        <v>1436.25</v>
      </c>
      <c r="Q2575" s="1" t="s">
        <v>42</v>
      </c>
      <c r="S2575" s="1" t="s">
        <v>42</v>
      </c>
      <c r="T2575" s="1" t="s">
        <v>170</v>
      </c>
      <c r="U2575" s="1">
        <v>28</v>
      </c>
      <c r="V2575" s="5">
        <v>44056</v>
      </c>
      <c r="W2575" s="5">
        <v>43559</v>
      </c>
      <c r="X2575" s="1">
        <v>2310000</v>
      </c>
      <c r="AB2575" s="1" t="s">
        <v>181</v>
      </c>
      <c r="AF2575" s="1">
        <v>10038</v>
      </c>
      <c r="AI2575" s="1" t="s">
        <v>144</v>
      </c>
      <c r="AJ2575" s="1">
        <v>2019</v>
      </c>
      <c r="AK2575" s="1" t="s">
        <v>77</v>
      </c>
      <c r="AL2575" s="1">
        <v>110</v>
      </c>
    </row>
    <row r="2576" spans="1:38" x14ac:dyDescent="0.2">
      <c r="A2576" s="2" t="str">
        <f>HYPERLINK("https://www.compass.com/listing/25-park-row-unit-7c-manhattan-ny-10038/223044030278220033/","25 Park Row, Unit 7C")</f>
        <v>25 Park Row, Unit 7C</v>
      </c>
      <c r="B2576" s="2" t="str">
        <f t="shared" si="362"/>
        <v>25 Park Row</v>
      </c>
      <c r="C2576" s="1" t="s">
        <v>117</v>
      </c>
      <c r="D2576" s="1" t="s">
        <v>41</v>
      </c>
      <c r="E2576" s="3">
        <v>2400000</v>
      </c>
      <c r="F2576" s="1">
        <v>1783.0609212481399</v>
      </c>
      <c r="G2576" s="1">
        <v>4.5</v>
      </c>
      <c r="H2576" s="1">
        <v>2</v>
      </c>
      <c r="I2576" s="1">
        <v>3</v>
      </c>
      <c r="J2576" s="1">
        <v>2.5</v>
      </c>
      <c r="K2576" s="1">
        <v>2</v>
      </c>
      <c r="L2576" s="1">
        <v>1</v>
      </c>
      <c r="M2576" s="4">
        <v>1346</v>
      </c>
      <c r="N2576" s="1">
        <v>1625.84</v>
      </c>
      <c r="O2576" s="1">
        <v>3251.8999999999901</v>
      </c>
      <c r="P2576" s="1">
        <v>1626.0833333333301</v>
      </c>
      <c r="Q2576" s="1" t="s">
        <v>42</v>
      </c>
      <c r="S2576" s="1" t="s">
        <v>42</v>
      </c>
      <c r="T2576" s="1" t="s">
        <v>170</v>
      </c>
      <c r="U2576" s="1">
        <v>28</v>
      </c>
      <c r="V2576" s="5">
        <v>44045</v>
      </c>
      <c r="W2576" s="5">
        <v>43559</v>
      </c>
      <c r="X2576" s="1">
        <v>2425000</v>
      </c>
      <c r="AB2576" s="1" t="s">
        <v>181</v>
      </c>
      <c r="AF2576" s="1">
        <v>10038</v>
      </c>
      <c r="AI2576" s="1" t="s">
        <v>1903</v>
      </c>
      <c r="AJ2576" s="1">
        <v>2019</v>
      </c>
      <c r="AK2576" s="1" t="s">
        <v>77</v>
      </c>
      <c r="AL2576" s="1">
        <v>110</v>
      </c>
    </row>
    <row r="2577" spans="1:38" x14ac:dyDescent="0.2">
      <c r="A2577" s="2" t="str">
        <f>HYPERLINK("https://www.compass.com/listing/25-park-row-unit-30b-manhattan-ny-10038/243338150854801377/","25 Park Row, Unit 30B")</f>
        <v>25 Park Row, Unit 30B</v>
      </c>
      <c r="B2577" s="2" t="str">
        <f t="shared" si="362"/>
        <v>25 Park Row</v>
      </c>
      <c r="C2577" s="1" t="s">
        <v>117</v>
      </c>
      <c r="D2577" s="1" t="s">
        <v>41</v>
      </c>
      <c r="E2577" s="3">
        <v>2300000</v>
      </c>
      <c r="F2577" s="1">
        <v>2059.08683974932</v>
      </c>
      <c r="G2577" s="1">
        <v>4</v>
      </c>
      <c r="H2577" s="1">
        <v>2</v>
      </c>
      <c r="I2577" s="1">
        <v>2</v>
      </c>
      <c r="J2577" s="1">
        <v>2</v>
      </c>
      <c r="K2577" s="1">
        <v>2</v>
      </c>
      <c r="M2577" s="4">
        <v>1117</v>
      </c>
      <c r="N2577" s="1">
        <v>1432.05</v>
      </c>
      <c r="O2577" s="1">
        <v>2864.3</v>
      </c>
      <c r="P2577" s="1">
        <v>1432.25</v>
      </c>
      <c r="Q2577" s="1" t="s">
        <v>42</v>
      </c>
      <c r="S2577" s="1" t="s">
        <v>42</v>
      </c>
      <c r="T2577" s="1" t="s">
        <v>170</v>
      </c>
      <c r="U2577" s="1">
        <v>32</v>
      </c>
      <c r="V2577" s="5">
        <v>44069</v>
      </c>
      <c r="W2577" s="5">
        <v>43587</v>
      </c>
      <c r="X2577" s="1">
        <v>2340000</v>
      </c>
      <c r="AB2577" s="1" t="s">
        <v>181</v>
      </c>
      <c r="AF2577" s="1">
        <v>10038</v>
      </c>
      <c r="AI2577" s="1" t="s">
        <v>144</v>
      </c>
      <c r="AJ2577" s="1">
        <v>2019</v>
      </c>
      <c r="AK2577" s="1" t="s">
        <v>77</v>
      </c>
      <c r="AL2577" s="1">
        <v>110</v>
      </c>
    </row>
    <row r="2578" spans="1:38" x14ac:dyDescent="0.2">
      <c r="A2578" s="2" t="str">
        <f>HYPERLINK("https://www.compass.com/listing/25-park-row-unit-8c-manhattan-ny-10038/243338151123294241/","25 Park Row, Unit 8C")</f>
        <v>25 Park Row, Unit 8C</v>
      </c>
      <c r="B2578" s="2" t="str">
        <f t="shared" si="362"/>
        <v>25 Park Row</v>
      </c>
      <c r="C2578" s="1" t="s">
        <v>117</v>
      </c>
      <c r="D2578" s="1" t="s">
        <v>41</v>
      </c>
      <c r="E2578" s="3">
        <v>2500000</v>
      </c>
      <c r="F2578" s="1">
        <v>1857.35512630014</v>
      </c>
      <c r="G2578" s="1">
        <v>4</v>
      </c>
      <c r="H2578" s="1">
        <v>2</v>
      </c>
      <c r="I2578" s="1">
        <v>3</v>
      </c>
      <c r="J2578" s="1">
        <v>2.5</v>
      </c>
      <c r="K2578" s="1">
        <v>2</v>
      </c>
      <c r="L2578" s="1">
        <v>1</v>
      </c>
      <c r="M2578" s="4">
        <v>1346</v>
      </c>
      <c r="N2578" s="1">
        <v>1633.89</v>
      </c>
      <c r="O2578" s="1">
        <v>3268</v>
      </c>
      <c r="P2578" s="1">
        <v>1634.0833333333301</v>
      </c>
      <c r="Q2578" s="1" t="s">
        <v>42</v>
      </c>
      <c r="S2578" s="1" t="s">
        <v>42</v>
      </c>
      <c r="T2578" s="1" t="s">
        <v>170</v>
      </c>
      <c r="U2578" s="1">
        <v>153</v>
      </c>
      <c r="V2578" s="5">
        <v>44067</v>
      </c>
      <c r="W2578" s="5">
        <v>43587</v>
      </c>
      <c r="X2578" s="1">
        <v>2510000</v>
      </c>
      <c r="AB2578" s="1" t="s">
        <v>181</v>
      </c>
      <c r="AF2578" s="1">
        <v>10038</v>
      </c>
      <c r="AI2578" s="1" t="s">
        <v>144</v>
      </c>
      <c r="AJ2578" s="1">
        <v>2019</v>
      </c>
      <c r="AK2578" s="1" t="s">
        <v>77</v>
      </c>
      <c r="AL2578" s="1">
        <v>110</v>
      </c>
    </row>
    <row r="2579" spans="1:38" x14ac:dyDescent="0.2">
      <c r="A2579" s="2" t="str">
        <f>HYPERLINK("https://www.compass.com/listing/25-park-row-unit-7a-manhattan-ny-10038/266602880763456929/","25 Park Row, Unit 7A")</f>
        <v>25 Park Row, Unit 7A</v>
      </c>
      <c r="B2579" s="2" t="str">
        <f t="shared" si="362"/>
        <v>25 Park Row</v>
      </c>
      <c r="C2579" s="1" t="s">
        <v>117</v>
      </c>
      <c r="D2579" s="1" t="s">
        <v>41</v>
      </c>
      <c r="E2579" s="3">
        <v>2675000</v>
      </c>
      <c r="F2579" s="1">
        <v>1740.4033832140501</v>
      </c>
      <c r="G2579" s="1">
        <v>4</v>
      </c>
      <c r="H2579" s="1">
        <v>2</v>
      </c>
      <c r="I2579" s="1">
        <v>3</v>
      </c>
      <c r="J2579" s="1">
        <v>2.5</v>
      </c>
      <c r="K2579" s="1">
        <v>2</v>
      </c>
      <c r="L2579" s="1">
        <v>1</v>
      </c>
      <c r="M2579" s="4">
        <v>1537</v>
      </c>
      <c r="N2579" s="1">
        <v>1856.55</v>
      </c>
      <c r="O2579" s="1">
        <v>3713.35</v>
      </c>
      <c r="P2579" s="1">
        <v>1856.8333333333301</v>
      </c>
      <c r="Q2579" s="1" t="s">
        <v>42</v>
      </c>
      <c r="S2579" s="1" t="s">
        <v>42</v>
      </c>
      <c r="T2579" s="1" t="s">
        <v>170</v>
      </c>
      <c r="U2579" s="1">
        <v>50</v>
      </c>
      <c r="V2579" s="5">
        <v>44071</v>
      </c>
      <c r="W2579" s="5">
        <v>43860</v>
      </c>
      <c r="Y2579" s="1">
        <v>2740000</v>
      </c>
      <c r="AA2579" s="1">
        <v>2675000</v>
      </c>
      <c r="AB2579" s="1" t="s">
        <v>1906</v>
      </c>
      <c r="AC2579" s="5">
        <v>44070</v>
      </c>
      <c r="AF2579" s="1">
        <v>10038</v>
      </c>
      <c r="AI2579" s="1" t="s">
        <v>144</v>
      </c>
      <c r="AJ2579" s="1">
        <v>2019</v>
      </c>
      <c r="AK2579" s="1" t="s">
        <v>77</v>
      </c>
      <c r="AL2579" s="1">
        <v>110</v>
      </c>
    </row>
    <row r="2580" spans="1:38" x14ac:dyDescent="0.2">
      <c r="A2580" s="2" t="str">
        <f>HYPERLINK("https://www.compass.com/listing/25-park-row-unit-11c-manhattan-ny-10038/354172839897727729/","25 Park Row, Unit 11C")</f>
        <v>25 Park Row, Unit 11C</v>
      </c>
      <c r="B2580" s="2" t="str">
        <f t="shared" si="362"/>
        <v>25 Park Row</v>
      </c>
      <c r="C2580" s="1" t="s">
        <v>117</v>
      </c>
      <c r="D2580" s="1" t="s">
        <v>41</v>
      </c>
      <c r="E2580" s="3">
        <v>2550000</v>
      </c>
      <c r="F2580" s="1">
        <v>1942.11728865194</v>
      </c>
      <c r="G2580" s="1">
        <v>4.5</v>
      </c>
      <c r="H2580" s="1">
        <v>2</v>
      </c>
      <c r="I2580" s="1">
        <v>2</v>
      </c>
      <c r="J2580" s="1">
        <v>2</v>
      </c>
      <c r="K2580" s="1">
        <v>2</v>
      </c>
      <c r="M2580" s="4">
        <v>1313</v>
      </c>
      <c r="N2580" s="1">
        <v>1617.38</v>
      </c>
      <c r="O2580" s="1">
        <v>3234.98</v>
      </c>
      <c r="P2580" s="1">
        <v>1617.5833333333301</v>
      </c>
      <c r="Q2580" s="1" t="s">
        <v>42</v>
      </c>
      <c r="S2580" s="1" t="s">
        <v>42</v>
      </c>
      <c r="T2580" s="1" t="s">
        <v>170</v>
      </c>
      <c r="U2580" s="1">
        <v>55</v>
      </c>
      <c r="V2580" s="5">
        <v>44047</v>
      </c>
      <c r="W2580" s="5">
        <v>43740</v>
      </c>
      <c r="X2580" s="1">
        <v>2560000</v>
      </c>
      <c r="AB2580" s="1" t="s">
        <v>181</v>
      </c>
      <c r="AF2580" s="1">
        <v>10038</v>
      </c>
      <c r="AI2580" s="1" t="s">
        <v>144</v>
      </c>
      <c r="AJ2580" s="1">
        <v>2019</v>
      </c>
      <c r="AK2580" s="1" t="s">
        <v>77</v>
      </c>
      <c r="AL2580" s="1">
        <v>110</v>
      </c>
    </row>
    <row r="2581" spans="1:38" x14ac:dyDescent="0.2">
      <c r="A2581" s="2" t="str">
        <f>HYPERLINK("https://www.compass.com/listing/25-park-row-unit-14c-manhattan-ny-10038/440512061190119561/","25 Park Row, Unit 14C")</f>
        <v>25 Park Row, Unit 14C</v>
      </c>
      <c r="B2581" s="2" t="str">
        <f t="shared" si="362"/>
        <v>25 Park Row</v>
      </c>
      <c r="C2581" s="1" t="s">
        <v>117</v>
      </c>
      <c r="D2581" s="1" t="s">
        <v>41</v>
      </c>
      <c r="E2581" s="3">
        <v>2600000</v>
      </c>
      <c r="F2581" s="1">
        <v>2029.66432474629</v>
      </c>
      <c r="G2581" s="1">
        <v>4</v>
      </c>
      <c r="H2581" s="1">
        <v>2</v>
      </c>
      <c r="I2581" s="1">
        <v>2</v>
      </c>
      <c r="J2581" s="1">
        <v>2</v>
      </c>
      <c r="K2581" s="1">
        <v>2</v>
      </c>
      <c r="M2581" s="4">
        <v>1281</v>
      </c>
      <c r="N2581" s="1">
        <v>1593.29</v>
      </c>
      <c r="O2581" s="1">
        <v>3186.79</v>
      </c>
      <c r="P2581" s="1">
        <v>1593.5</v>
      </c>
      <c r="Q2581" s="1" t="s">
        <v>42</v>
      </c>
      <c r="S2581" s="1" t="s">
        <v>42</v>
      </c>
      <c r="T2581" s="1" t="s">
        <v>170</v>
      </c>
      <c r="U2581" s="1">
        <v>22</v>
      </c>
      <c r="V2581" s="5">
        <v>44093</v>
      </c>
      <c r="W2581" s="5">
        <v>43859</v>
      </c>
      <c r="X2581" s="1">
        <v>2610000</v>
      </c>
      <c r="Y2581" s="1">
        <v>2610000</v>
      </c>
      <c r="AA2581" s="1">
        <v>2600000</v>
      </c>
      <c r="AB2581" s="1" t="s">
        <v>1907</v>
      </c>
      <c r="AC2581" s="5">
        <v>44091</v>
      </c>
      <c r="AF2581" s="1">
        <v>10038</v>
      </c>
      <c r="AI2581" s="1" t="s">
        <v>1903</v>
      </c>
      <c r="AJ2581" s="1">
        <v>2019</v>
      </c>
      <c r="AK2581" s="1" t="s">
        <v>77</v>
      </c>
      <c r="AL2581" s="1">
        <v>110</v>
      </c>
    </row>
    <row r="2582" spans="1:38" x14ac:dyDescent="0.2">
      <c r="A2582" s="2" t="str">
        <f>HYPERLINK("https://www.compass.com/listing/252-south-street-unit-11g-manhattan-ny-10002/29513548082313361/","252 South St, Unit 11G")</f>
        <v>252 South St, Unit 11G</v>
      </c>
      <c r="B2582" s="2" t="str">
        <f t="shared" ref="B2582:B2585" si="363">HYPERLINK("https://www.compass.com/building/one-manhattan-square-manhattan-ny/294844950218926165/","One Manhattan Square")</f>
        <v>One Manhattan Square</v>
      </c>
      <c r="C2582" s="1" t="s">
        <v>66</v>
      </c>
      <c r="D2582" s="1" t="s">
        <v>41</v>
      </c>
      <c r="E2582" s="3">
        <v>1192513</v>
      </c>
      <c r="F2582" s="1">
        <v>1649.3952143844999</v>
      </c>
      <c r="G2582" s="1">
        <v>3</v>
      </c>
      <c r="H2582" s="1">
        <v>1</v>
      </c>
      <c r="I2582" s="1">
        <v>1</v>
      </c>
      <c r="J2582" s="1">
        <v>1</v>
      </c>
      <c r="M2582" s="1">
        <v>723</v>
      </c>
      <c r="N2582" s="1">
        <v>775</v>
      </c>
      <c r="O2582" s="1">
        <v>788</v>
      </c>
      <c r="P2582" s="1">
        <v>13</v>
      </c>
      <c r="Q2582" s="1" t="s">
        <v>42</v>
      </c>
      <c r="S2582" s="1" t="s">
        <v>42</v>
      </c>
      <c r="T2582" s="1" t="s">
        <v>170</v>
      </c>
      <c r="U2582" s="1">
        <v>32</v>
      </c>
      <c r="V2582" s="5">
        <v>43724</v>
      </c>
      <c r="W2582" s="5">
        <v>42693</v>
      </c>
      <c r="X2582" s="1">
        <v>1179000</v>
      </c>
      <c r="Y2582" s="1">
        <v>1179000</v>
      </c>
      <c r="Z2582" s="5">
        <v>42774</v>
      </c>
      <c r="AA2582" s="1">
        <v>1192512.74</v>
      </c>
      <c r="AB2582" s="1" t="s">
        <v>1908</v>
      </c>
      <c r="AC2582" s="5">
        <v>43714</v>
      </c>
      <c r="AF2582" s="1">
        <v>10002</v>
      </c>
      <c r="AI2582" s="1" t="s">
        <v>55</v>
      </c>
      <c r="AJ2582" s="1">
        <v>2019</v>
      </c>
      <c r="AK2582" s="1" t="s">
        <v>73</v>
      </c>
      <c r="AL2582" s="1">
        <v>787</v>
      </c>
    </row>
    <row r="2583" spans="1:38" x14ac:dyDescent="0.2">
      <c r="A2583" s="2" t="str">
        <f>HYPERLINK("https://www.compass.com/listing/252-south-street-unit-10f-manhattan-ny-10002/29513549969714705/","252 South St, Unit 10F")</f>
        <v>252 South St, Unit 10F</v>
      </c>
      <c r="B2583" s="2" t="str">
        <f t="shared" si="363"/>
        <v>One Manhattan Square</v>
      </c>
      <c r="C2583" s="1" t="s">
        <v>66</v>
      </c>
      <c r="D2583" s="1" t="s">
        <v>41</v>
      </c>
      <c r="E2583" s="3">
        <v>1165896</v>
      </c>
      <c r="F2583" s="1">
        <v>1677.5485611510701</v>
      </c>
      <c r="G2583" s="1">
        <v>3</v>
      </c>
      <c r="H2583" s="1">
        <v>1</v>
      </c>
      <c r="I2583" s="1">
        <v>1</v>
      </c>
      <c r="J2583" s="1">
        <v>1</v>
      </c>
      <c r="K2583" s="1">
        <v>1</v>
      </c>
      <c r="M2583" s="1">
        <v>695</v>
      </c>
      <c r="N2583" s="1">
        <v>741</v>
      </c>
      <c r="O2583" s="1">
        <v>753</v>
      </c>
      <c r="P2583" s="1">
        <v>12</v>
      </c>
      <c r="Q2583" s="1" t="s">
        <v>42</v>
      </c>
      <c r="S2583" s="1" t="s">
        <v>42</v>
      </c>
      <c r="T2583" s="1" t="s">
        <v>170</v>
      </c>
      <c r="U2583" s="1">
        <v>5</v>
      </c>
      <c r="V2583" s="5">
        <v>43683</v>
      </c>
      <c r="W2583" s="5">
        <v>43279</v>
      </c>
      <c r="X2583" s="1">
        <v>1209000</v>
      </c>
      <c r="Y2583" s="1">
        <v>1209000</v>
      </c>
      <c r="Z2583" s="5">
        <v>43284</v>
      </c>
      <c r="AA2583" s="1">
        <v>1165896.25</v>
      </c>
      <c r="AB2583" s="1" t="s">
        <v>1909</v>
      </c>
      <c r="AC2583" s="5">
        <v>43598</v>
      </c>
      <c r="AF2583" s="1">
        <v>10002</v>
      </c>
      <c r="AI2583" s="1" t="s">
        <v>55</v>
      </c>
      <c r="AJ2583" s="1">
        <v>2019</v>
      </c>
      <c r="AK2583" s="1" t="s">
        <v>73</v>
      </c>
      <c r="AL2583" s="1">
        <v>787</v>
      </c>
    </row>
    <row r="2584" spans="1:38" x14ac:dyDescent="0.2">
      <c r="A2584" s="2" t="str">
        <f>HYPERLINK("https://www.compass.com/listing/252-south-street-unit-17g-manhattan-ny-10002/29513555581729233/","252 South St, Unit 17G")</f>
        <v>252 South St, Unit 17G</v>
      </c>
      <c r="B2584" s="2" t="str">
        <f t="shared" si="363"/>
        <v>One Manhattan Square</v>
      </c>
      <c r="C2584" s="1" t="s">
        <v>66</v>
      </c>
      <c r="D2584" s="1" t="s">
        <v>41</v>
      </c>
      <c r="E2584" s="3">
        <v>1150295</v>
      </c>
      <c r="F2584" s="1">
        <v>1591.00276625172</v>
      </c>
      <c r="G2584" s="1">
        <v>3</v>
      </c>
      <c r="H2584" s="1">
        <v>1</v>
      </c>
      <c r="I2584" s="1">
        <v>1</v>
      </c>
      <c r="J2584" s="1">
        <v>1</v>
      </c>
      <c r="M2584" s="1">
        <v>723</v>
      </c>
      <c r="N2584" s="1">
        <v>790</v>
      </c>
      <c r="O2584" s="1">
        <v>803</v>
      </c>
      <c r="P2584" s="1">
        <v>13</v>
      </c>
      <c r="Q2584" s="1" t="s">
        <v>42</v>
      </c>
      <c r="S2584" s="1" t="s">
        <v>42</v>
      </c>
      <c r="T2584" s="1" t="s">
        <v>170</v>
      </c>
      <c r="U2584" s="1">
        <v>5</v>
      </c>
      <c r="V2584" s="5">
        <v>43696</v>
      </c>
      <c r="W2584" s="5">
        <v>42797</v>
      </c>
      <c r="X2584" s="1">
        <v>1202000</v>
      </c>
      <c r="Y2584" s="1">
        <v>1202000</v>
      </c>
      <c r="Z2584" s="5">
        <v>42802</v>
      </c>
      <c r="AA2584" s="1">
        <v>1150295</v>
      </c>
      <c r="AB2584" s="1" t="s">
        <v>1910</v>
      </c>
      <c r="AC2584" s="5">
        <v>43631</v>
      </c>
      <c r="AF2584" s="1">
        <v>10002</v>
      </c>
      <c r="AI2584" s="1" t="s">
        <v>55</v>
      </c>
      <c r="AJ2584" s="1">
        <v>2019</v>
      </c>
      <c r="AK2584" s="1" t="s">
        <v>73</v>
      </c>
      <c r="AL2584" s="1">
        <v>787</v>
      </c>
    </row>
    <row r="2585" spans="1:38" x14ac:dyDescent="0.2">
      <c r="A2585" s="2" t="str">
        <f>HYPERLINK("https://www.compass.com/listing/252-south-street-unit-26g-manhattan-ny-10002/822515466889919481/","252 South St, Unit 26G")</f>
        <v>252 South St, Unit 26G</v>
      </c>
      <c r="B2585" s="2" t="str">
        <f t="shared" si="363"/>
        <v>One Manhattan Square</v>
      </c>
      <c r="C2585" s="1" t="s">
        <v>66</v>
      </c>
      <c r="D2585" s="1" t="s">
        <v>41</v>
      </c>
      <c r="E2585" s="3">
        <v>1125000</v>
      </c>
      <c r="F2585" s="1">
        <v>1556.01659751037</v>
      </c>
      <c r="H2585" s="1">
        <v>1</v>
      </c>
      <c r="J2585" s="1">
        <v>1</v>
      </c>
      <c r="K2585" s="1">
        <v>1</v>
      </c>
      <c r="M2585" s="1">
        <v>723</v>
      </c>
      <c r="N2585" s="1">
        <v>1</v>
      </c>
      <c r="O2585" s="1">
        <v>13</v>
      </c>
      <c r="P2585" s="1">
        <v>12</v>
      </c>
      <c r="Q2585" s="1" t="s">
        <v>42</v>
      </c>
      <c r="S2585" s="1" t="s">
        <v>42</v>
      </c>
      <c r="T2585" s="1" t="s">
        <v>170</v>
      </c>
      <c r="AA2585" s="1">
        <v>1125000</v>
      </c>
      <c r="AB2585" s="1" t="s">
        <v>1911</v>
      </c>
      <c r="AC2585" s="5">
        <v>44265</v>
      </c>
      <c r="AF2585" s="1">
        <v>10002</v>
      </c>
      <c r="AI2585" s="1" t="s">
        <v>55</v>
      </c>
      <c r="AJ2585" s="1">
        <v>2019</v>
      </c>
      <c r="AK2585" s="1" t="s">
        <v>46</v>
      </c>
      <c r="AL2585" s="1">
        <v>787</v>
      </c>
    </row>
    <row r="2586" spans="1:38" x14ac:dyDescent="0.2">
      <c r="A2586" s="2" t="str">
        <f>HYPERLINK("https://www.compass.com/listing/25-park-row-unit-17a-manhattan-ny-10038/223044028902447809/","25 Park Row, Unit 17A")</f>
        <v>25 Park Row, Unit 17A</v>
      </c>
      <c r="B2586" s="2" t="str">
        <f t="shared" ref="B2586:B2589" si="364">HYPERLINK("https://www.compass.com/building/25-park-row-manhattan-ny-10038/292920743539264837/","25 Park Row")</f>
        <v>25 Park Row</v>
      </c>
      <c r="C2586" s="1" t="s">
        <v>117</v>
      </c>
      <c r="D2586" s="1" t="s">
        <v>41</v>
      </c>
      <c r="E2586" s="3">
        <v>3500000</v>
      </c>
      <c r="F2586" s="1">
        <v>2246.4698331193799</v>
      </c>
      <c r="G2586" s="1">
        <v>4.5</v>
      </c>
      <c r="H2586" s="1">
        <v>2</v>
      </c>
      <c r="I2586" s="1">
        <v>3</v>
      </c>
      <c r="J2586" s="1">
        <v>2.5</v>
      </c>
      <c r="K2586" s="1">
        <v>2</v>
      </c>
      <c r="L2586" s="1">
        <v>1</v>
      </c>
      <c r="M2586" s="4">
        <v>1558</v>
      </c>
      <c r="N2586" s="1">
        <v>2256.48</v>
      </c>
      <c r="O2586" s="1">
        <v>4513.26</v>
      </c>
      <c r="P2586" s="1">
        <v>2256.75</v>
      </c>
      <c r="Q2586" s="1" t="s">
        <v>42</v>
      </c>
      <c r="S2586" s="1" t="s">
        <v>42</v>
      </c>
      <c r="T2586" s="1" t="s">
        <v>170</v>
      </c>
      <c r="U2586" s="1">
        <v>60</v>
      </c>
      <c r="V2586" s="5">
        <v>44076</v>
      </c>
      <c r="W2586" s="5">
        <v>43559</v>
      </c>
      <c r="X2586" s="1">
        <v>3550000</v>
      </c>
      <c r="AB2586" s="1" t="s">
        <v>181</v>
      </c>
      <c r="AF2586" s="1">
        <v>10038</v>
      </c>
      <c r="AI2586" s="1" t="s">
        <v>1832</v>
      </c>
      <c r="AJ2586" s="1">
        <v>2019</v>
      </c>
      <c r="AK2586" s="1" t="s">
        <v>77</v>
      </c>
      <c r="AL2586" s="1">
        <v>110</v>
      </c>
    </row>
    <row r="2587" spans="1:38" x14ac:dyDescent="0.2">
      <c r="A2587" s="2" t="str">
        <f>HYPERLINK("https://www.compass.com/listing/25-park-row-unit-35a-manhattan-ny-10038/354193255370994945/","25 Park Row, Unit 35A")</f>
        <v>25 Park Row, Unit 35A</v>
      </c>
      <c r="B2587" s="2" t="str">
        <f t="shared" si="364"/>
        <v>25 Park Row</v>
      </c>
      <c r="C2587" s="1" t="s">
        <v>117</v>
      </c>
      <c r="D2587" s="1" t="s">
        <v>41</v>
      </c>
      <c r="E2587" s="3">
        <v>3650000</v>
      </c>
      <c r="F2587" s="1">
        <v>2260.0619195046402</v>
      </c>
      <c r="G2587" s="1">
        <v>4.5</v>
      </c>
      <c r="H2587" s="1">
        <v>2</v>
      </c>
      <c r="I2587" s="1">
        <v>3</v>
      </c>
      <c r="J2587" s="1">
        <v>2.5</v>
      </c>
      <c r="K2587" s="1">
        <v>2</v>
      </c>
      <c r="L2587" s="1">
        <v>1</v>
      </c>
      <c r="M2587" s="4">
        <v>1615</v>
      </c>
      <c r="N2587" s="1">
        <v>2295.66</v>
      </c>
      <c r="O2587" s="1">
        <v>4591.6299999999901</v>
      </c>
      <c r="P2587" s="1">
        <v>2296</v>
      </c>
      <c r="Q2587" s="1" t="s">
        <v>42</v>
      </c>
      <c r="S2587" s="1" t="s">
        <v>42</v>
      </c>
      <c r="T2587" s="1" t="s">
        <v>170</v>
      </c>
      <c r="U2587" s="1">
        <v>170</v>
      </c>
      <c r="V2587" s="5">
        <v>44145</v>
      </c>
      <c r="W2587" s="5">
        <v>43740</v>
      </c>
      <c r="X2587" s="1">
        <v>3855000</v>
      </c>
      <c r="Y2587" s="1">
        <v>3855000</v>
      </c>
      <c r="Z2587" s="5">
        <v>43998</v>
      </c>
      <c r="AA2587" s="1">
        <v>3650000</v>
      </c>
      <c r="AB2587" s="1" t="s">
        <v>1912</v>
      </c>
      <c r="AC2587" s="5">
        <v>44139</v>
      </c>
      <c r="AF2587" s="1">
        <v>10038</v>
      </c>
      <c r="AI2587" s="1" t="s">
        <v>116</v>
      </c>
      <c r="AJ2587" s="1">
        <v>2019</v>
      </c>
      <c r="AK2587" s="1" t="s">
        <v>77</v>
      </c>
      <c r="AL2587" s="1">
        <v>110</v>
      </c>
    </row>
    <row r="2588" spans="1:38" x14ac:dyDescent="0.2">
      <c r="A2588" s="2" t="str">
        <f>HYPERLINK("https://www.compass.com/listing/25-park-row-unit-30a-manhattan-ny-10038/385425631639876257/","25 Park Row, Unit 30A")</f>
        <v>25 Park Row, Unit 30A</v>
      </c>
      <c r="B2588" s="2" t="str">
        <f t="shared" si="364"/>
        <v>25 Park Row</v>
      </c>
      <c r="C2588" s="1" t="s">
        <v>117</v>
      </c>
      <c r="D2588" s="1" t="s">
        <v>41</v>
      </c>
      <c r="E2588" s="3">
        <v>4260000</v>
      </c>
      <c r="F2588" s="1">
        <v>2356.1946902654799</v>
      </c>
      <c r="G2588" s="1">
        <v>5</v>
      </c>
      <c r="H2588" s="1">
        <v>3</v>
      </c>
      <c r="I2588" s="1">
        <v>3</v>
      </c>
      <c r="J2588" s="1">
        <v>3</v>
      </c>
      <c r="K2588" s="1">
        <v>3</v>
      </c>
      <c r="M2588" s="4">
        <v>1808</v>
      </c>
      <c r="N2588" s="1">
        <v>2485.36</v>
      </c>
      <c r="O2588" s="1">
        <v>4971.0599999999904</v>
      </c>
      <c r="P2588" s="1">
        <v>2485.6666666666601</v>
      </c>
      <c r="Q2588" s="1" t="s">
        <v>42</v>
      </c>
      <c r="S2588" s="1" t="s">
        <v>42</v>
      </c>
      <c r="T2588" s="1" t="s">
        <v>170</v>
      </c>
      <c r="U2588" s="1">
        <v>76</v>
      </c>
      <c r="V2588" s="5">
        <v>44065</v>
      </c>
      <c r="W2588" s="5">
        <v>43783</v>
      </c>
      <c r="X2588" s="1">
        <v>4295000</v>
      </c>
      <c r="Y2588" s="1">
        <v>4295000</v>
      </c>
      <c r="AA2588" s="1">
        <v>4260000</v>
      </c>
      <c r="AB2588" s="1" t="s">
        <v>1913</v>
      </c>
      <c r="AC2588" s="5">
        <v>44064</v>
      </c>
      <c r="AF2588" s="1">
        <v>10038</v>
      </c>
      <c r="AI2588" s="1" t="s">
        <v>116</v>
      </c>
      <c r="AJ2588" s="1">
        <v>2019</v>
      </c>
      <c r="AK2588" s="1" t="s">
        <v>77</v>
      </c>
      <c r="AL2588" s="1">
        <v>110</v>
      </c>
    </row>
    <row r="2589" spans="1:38" x14ac:dyDescent="0.2">
      <c r="A2589" s="2" t="str">
        <f>HYPERLINK("https://www.compass.com/listing/25-park-row-unit-12b-manhattan-ny-10038/354172839619428257/","25 Park Row, Unit 12B")</f>
        <v>25 Park Row, Unit 12B</v>
      </c>
      <c r="B2589" s="2" t="str">
        <f t="shared" si="364"/>
        <v>25 Park Row</v>
      </c>
      <c r="C2589" s="1" t="s">
        <v>117</v>
      </c>
      <c r="D2589" s="1" t="s">
        <v>41</v>
      </c>
      <c r="E2589" s="3">
        <v>1850000</v>
      </c>
      <c r="F2589" s="1">
        <v>1848.1518481518401</v>
      </c>
      <c r="G2589" s="1">
        <v>3</v>
      </c>
      <c r="H2589" s="1">
        <v>1</v>
      </c>
      <c r="I2589" s="1">
        <v>1</v>
      </c>
      <c r="J2589" s="1">
        <v>1</v>
      </c>
      <c r="K2589" s="1">
        <v>1</v>
      </c>
      <c r="M2589" s="4">
        <v>1001</v>
      </c>
      <c r="N2589" s="1">
        <v>1239.04</v>
      </c>
      <c r="O2589" s="1">
        <v>2478.25</v>
      </c>
      <c r="P2589" s="1">
        <v>1239.25</v>
      </c>
      <c r="Q2589" s="1" t="s">
        <v>42</v>
      </c>
      <c r="S2589" s="1" t="s">
        <v>42</v>
      </c>
      <c r="T2589" s="1" t="s">
        <v>170</v>
      </c>
      <c r="U2589" s="1">
        <v>60</v>
      </c>
      <c r="V2589" s="5">
        <v>44201</v>
      </c>
      <c r="W2589" s="5">
        <v>44045</v>
      </c>
      <c r="Y2589" s="1">
        <v>1980000</v>
      </c>
      <c r="AA2589" s="1">
        <v>1850000</v>
      </c>
      <c r="AB2589" s="1" t="s">
        <v>1914</v>
      </c>
      <c r="AC2589" s="5">
        <v>44195</v>
      </c>
      <c r="AF2589" s="1">
        <v>10038</v>
      </c>
      <c r="AI2589" s="1" t="s">
        <v>1915</v>
      </c>
      <c r="AJ2589" s="1">
        <v>2019</v>
      </c>
      <c r="AK2589" s="1" t="s">
        <v>77</v>
      </c>
      <c r="AL2589" s="1">
        <v>110</v>
      </c>
    </row>
    <row r="2590" spans="1:38" x14ac:dyDescent="0.2">
      <c r="A2590" s="2" t="str">
        <f>HYPERLINK("https://www.compass.com/listing/252-south-street-unit-26g-manhattan-ny-10002/157033391689114849/","252 South St, Unit 26G")</f>
        <v>252 South St, Unit 26G</v>
      </c>
      <c r="B2590" s="2" t="str">
        <f t="shared" ref="B2590:B2594" si="365">HYPERLINK("https://www.compass.com/building/one-manhattan-square-manhattan-ny/294844950218926165/","One Manhattan Square")</f>
        <v>One Manhattan Square</v>
      </c>
      <c r="C2590" s="1" t="s">
        <v>66</v>
      </c>
      <c r="D2590" s="1" t="s">
        <v>41</v>
      </c>
      <c r="E2590" s="3">
        <v>1249356</v>
      </c>
      <c r="F2590" s="1">
        <v>1728.01659751037</v>
      </c>
      <c r="G2590" s="1">
        <v>3</v>
      </c>
      <c r="H2590" s="1">
        <v>1</v>
      </c>
      <c r="I2590" s="1">
        <v>1</v>
      </c>
      <c r="J2590" s="1">
        <v>1</v>
      </c>
      <c r="K2590" s="1">
        <v>1</v>
      </c>
      <c r="M2590" s="1">
        <v>723</v>
      </c>
      <c r="N2590" s="1">
        <v>828</v>
      </c>
      <c r="O2590" s="1">
        <v>841.94</v>
      </c>
      <c r="P2590" s="1">
        <v>13.9166666666666</v>
      </c>
      <c r="Q2590" s="1" t="s">
        <v>42</v>
      </c>
      <c r="S2590" s="1" t="s">
        <v>42</v>
      </c>
      <c r="T2590" s="1" t="s">
        <v>170</v>
      </c>
      <c r="U2590" s="1">
        <v>1</v>
      </c>
      <c r="V2590" s="5">
        <v>43696</v>
      </c>
      <c r="W2590" s="5">
        <v>43469</v>
      </c>
      <c r="X2590" s="1">
        <v>1336000</v>
      </c>
      <c r="Y2590" s="1">
        <v>1336000</v>
      </c>
      <c r="Z2590" s="5">
        <v>43470</v>
      </c>
      <c r="AA2590" s="1">
        <v>1249356</v>
      </c>
      <c r="AB2590" s="1" t="s">
        <v>1916</v>
      </c>
      <c r="AC2590" s="5">
        <v>43532</v>
      </c>
      <c r="AF2590" s="1">
        <v>10002</v>
      </c>
      <c r="AI2590" s="1" t="s">
        <v>55</v>
      </c>
      <c r="AJ2590" s="1">
        <v>2019</v>
      </c>
      <c r="AK2590" s="1" t="s">
        <v>73</v>
      </c>
      <c r="AL2590" s="1">
        <v>787</v>
      </c>
    </row>
    <row r="2591" spans="1:38" x14ac:dyDescent="0.2">
      <c r="A2591" s="2" t="str">
        <f>HYPERLINK("https://www.compass.com/listing/252-south-street-unit-25f-manhattan-ny-10002/29513526448005937/","252 South St, Unit 25F")</f>
        <v>252 South St, Unit 25F</v>
      </c>
      <c r="B2591" s="2" t="str">
        <f t="shared" si="365"/>
        <v>One Manhattan Square</v>
      </c>
      <c r="C2591" s="1" t="s">
        <v>66</v>
      </c>
      <c r="D2591" s="1" t="s">
        <v>41</v>
      </c>
      <c r="E2591" s="3">
        <v>1281903</v>
      </c>
      <c r="F2591" s="1">
        <v>1844.46474820143</v>
      </c>
      <c r="G2591" s="1">
        <v>3</v>
      </c>
      <c r="H2591" s="1">
        <v>1</v>
      </c>
      <c r="I2591" s="1">
        <v>1</v>
      </c>
      <c r="J2591" s="1">
        <v>1</v>
      </c>
      <c r="M2591" s="1">
        <v>695</v>
      </c>
      <c r="N2591" s="1">
        <v>792</v>
      </c>
      <c r="O2591" s="1">
        <v>805</v>
      </c>
      <c r="P2591" s="1">
        <v>13</v>
      </c>
      <c r="Q2591" s="1" t="s">
        <v>42</v>
      </c>
      <c r="S2591" s="1" t="s">
        <v>42</v>
      </c>
      <c r="T2591" s="1" t="s">
        <v>170</v>
      </c>
      <c r="U2591" s="1">
        <v>3</v>
      </c>
      <c r="V2591" s="5">
        <v>43696</v>
      </c>
      <c r="W2591" s="5">
        <v>42899</v>
      </c>
      <c r="X2591" s="1">
        <v>1329000</v>
      </c>
      <c r="Y2591" s="1">
        <v>1329000</v>
      </c>
      <c r="Z2591" s="5">
        <v>42902</v>
      </c>
      <c r="AA2591" s="1">
        <v>1281903</v>
      </c>
      <c r="AB2591" s="1" t="s">
        <v>1917</v>
      </c>
      <c r="AC2591" s="5">
        <v>43657</v>
      </c>
      <c r="AF2591" s="1">
        <v>10002</v>
      </c>
      <c r="AI2591" s="1" t="s">
        <v>55</v>
      </c>
      <c r="AJ2591" s="1">
        <v>2019</v>
      </c>
      <c r="AK2591" s="1" t="s">
        <v>73</v>
      </c>
      <c r="AL2591" s="1">
        <v>787</v>
      </c>
    </row>
    <row r="2592" spans="1:38" x14ac:dyDescent="0.2">
      <c r="A2592" s="2" t="str">
        <f>HYPERLINK("https://www.compass.com/listing/252-south-street-unit-12n-manhattan-ny-10002/29513552998037873/","252 South St, Unit 12N")</f>
        <v>252 South St, Unit 12N</v>
      </c>
      <c r="B2592" s="2" t="str">
        <f t="shared" si="365"/>
        <v>One Manhattan Square</v>
      </c>
      <c r="C2592" s="1" t="s">
        <v>66</v>
      </c>
      <c r="D2592" s="1" t="s">
        <v>41</v>
      </c>
      <c r="E2592" s="3">
        <v>1250338</v>
      </c>
      <c r="F2592" s="1">
        <v>1799.04748201438</v>
      </c>
      <c r="G2592" s="1">
        <v>3</v>
      </c>
      <c r="H2592" s="1">
        <v>1</v>
      </c>
      <c r="I2592" s="1">
        <v>1</v>
      </c>
      <c r="J2592" s="1">
        <v>1</v>
      </c>
      <c r="M2592" s="1">
        <v>695</v>
      </c>
      <c r="N2592" s="1">
        <v>749</v>
      </c>
      <c r="O2592" s="1">
        <v>762</v>
      </c>
      <c r="P2592" s="1">
        <v>13</v>
      </c>
      <c r="Q2592" s="1" t="s">
        <v>42</v>
      </c>
      <c r="S2592" s="1" t="s">
        <v>42</v>
      </c>
      <c r="T2592" s="1" t="s">
        <v>170</v>
      </c>
      <c r="U2592" s="1">
        <v>1</v>
      </c>
      <c r="V2592" s="5">
        <v>43680</v>
      </c>
      <c r="W2592" s="5">
        <v>42768</v>
      </c>
      <c r="X2592" s="1">
        <v>1335000</v>
      </c>
      <c r="Y2592" s="1">
        <v>1335000</v>
      </c>
      <c r="Z2592" s="5">
        <v>42770</v>
      </c>
      <c r="AA2592" s="1">
        <v>1250338</v>
      </c>
      <c r="AB2592" s="1" t="s">
        <v>1918</v>
      </c>
      <c r="AC2592" s="5">
        <v>43553</v>
      </c>
      <c r="AF2592" s="1">
        <v>10002</v>
      </c>
      <c r="AI2592" s="1" t="s">
        <v>55</v>
      </c>
      <c r="AJ2592" s="1">
        <v>2019</v>
      </c>
      <c r="AK2592" s="1" t="s">
        <v>73</v>
      </c>
      <c r="AL2592" s="1">
        <v>787</v>
      </c>
    </row>
    <row r="2593" spans="1:38" x14ac:dyDescent="0.2">
      <c r="A2593" s="2" t="str">
        <f>HYPERLINK("https://www.compass.com/listing/252-south-street-unit-28g-manhattan-ny-10002/650202248371155401/","252 South St, Unit 28G")</f>
        <v>252 South St, Unit 28G</v>
      </c>
      <c r="B2593" s="2" t="str">
        <f t="shared" si="365"/>
        <v>One Manhattan Square</v>
      </c>
      <c r="C2593" s="1" t="s">
        <v>66</v>
      </c>
      <c r="D2593" s="1" t="s">
        <v>41</v>
      </c>
      <c r="E2593" s="3">
        <v>1260237</v>
      </c>
      <c r="F2593" s="1">
        <v>1743.0657123098199</v>
      </c>
      <c r="H2593" s="1">
        <v>1</v>
      </c>
      <c r="J2593" s="1">
        <v>1</v>
      </c>
      <c r="K2593" s="1">
        <v>1</v>
      </c>
      <c r="M2593" s="1">
        <v>723</v>
      </c>
      <c r="N2593" s="1">
        <v>848</v>
      </c>
      <c r="O2593" s="1">
        <v>861</v>
      </c>
      <c r="P2593" s="1">
        <v>13</v>
      </c>
      <c r="Q2593" s="1" t="s">
        <v>42</v>
      </c>
      <c r="S2593" s="1" t="s">
        <v>42</v>
      </c>
      <c r="T2593" s="1" t="s">
        <v>170</v>
      </c>
      <c r="AA2593" s="1">
        <v>1260236.51</v>
      </c>
      <c r="AB2593" s="1" t="s">
        <v>1919</v>
      </c>
      <c r="AC2593" s="5">
        <v>44124</v>
      </c>
      <c r="AF2593" s="1">
        <v>10002</v>
      </c>
      <c r="AI2593" s="1" t="s">
        <v>55</v>
      </c>
      <c r="AJ2593" s="1">
        <v>2019</v>
      </c>
      <c r="AK2593" s="1" t="s">
        <v>46</v>
      </c>
      <c r="AL2593" s="1">
        <v>787</v>
      </c>
    </row>
    <row r="2594" spans="1:38" x14ac:dyDescent="0.2">
      <c r="A2594" s="2" t="str">
        <f>HYPERLINK("https://www.compass.com/listing/252-south-street-unit-26k-manhattan-ny-10002/29513553283164273/","252 South St, Unit 26K")</f>
        <v>252 South St, Unit 26K</v>
      </c>
      <c r="B2594" s="2" t="str">
        <f t="shared" si="365"/>
        <v>One Manhattan Square</v>
      </c>
      <c r="C2594" s="1" t="s">
        <v>66</v>
      </c>
      <c r="D2594" s="1" t="s">
        <v>41</v>
      </c>
      <c r="E2594" s="3">
        <v>1304102</v>
      </c>
      <c r="F2594" s="1">
        <v>1876.40575539568</v>
      </c>
      <c r="G2594" s="1">
        <v>3</v>
      </c>
      <c r="H2594" s="1">
        <v>1</v>
      </c>
      <c r="I2594" s="1">
        <v>1</v>
      </c>
      <c r="J2594" s="1">
        <v>1</v>
      </c>
      <c r="M2594" s="1">
        <v>695</v>
      </c>
      <c r="N2594" s="1">
        <v>796</v>
      </c>
      <c r="O2594" s="1">
        <v>810</v>
      </c>
      <c r="P2594" s="1">
        <v>14</v>
      </c>
      <c r="Q2594" s="1" t="s">
        <v>42</v>
      </c>
      <c r="S2594" s="1" t="s">
        <v>42</v>
      </c>
      <c r="T2594" s="1" t="s">
        <v>170</v>
      </c>
      <c r="U2594" s="1">
        <v>4</v>
      </c>
      <c r="V2594" s="5">
        <v>43892</v>
      </c>
      <c r="W2594" s="5">
        <v>42749</v>
      </c>
      <c r="X2594" s="1">
        <v>1357000</v>
      </c>
      <c r="Y2594" s="1">
        <v>1357000</v>
      </c>
      <c r="Z2594" s="5">
        <v>42753</v>
      </c>
      <c r="AA2594" s="1">
        <v>1304102</v>
      </c>
      <c r="AB2594" s="1" t="s">
        <v>1920</v>
      </c>
      <c r="AC2594" s="5">
        <v>43873</v>
      </c>
      <c r="AF2594" s="1">
        <v>10002</v>
      </c>
      <c r="AI2594" s="1" t="s">
        <v>1921</v>
      </c>
      <c r="AJ2594" s="1">
        <v>2019</v>
      </c>
      <c r="AK2594" s="1" t="s">
        <v>73</v>
      </c>
      <c r="AL2594" s="1">
        <v>787</v>
      </c>
    </row>
    <row r="2595" spans="1:38" x14ac:dyDescent="0.2">
      <c r="A2595" s="2" t="str">
        <f>HYPERLINK("https://www.compass.com/listing/25-park-row-unit-5e-manhattan-ny-10038/243338152582912385/","25 Park Row, Unit 5E")</f>
        <v>25 Park Row, Unit 5E</v>
      </c>
      <c r="B2595" s="2" t="str">
        <f>HYPERLINK("https://www.compass.com/building/25-park-row-manhattan-ny-10038/292920743539264837/","25 Park Row")</f>
        <v>25 Park Row</v>
      </c>
      <c r="C2595" s="1" t="s">
        <v>117</v>
      </c>
      <c r="D2595" s="1" t="s">
        <v>41</v>
      </c>
      <c r="E2595" s="3">
        <v>3750000</v>
      </c>
      <c r="F2595" s="1">
        <v>2012.88244766505</v>
      </c>
      <c r="G2595" s="1">
        <v>5</v>
      </c>
      <c r="H2595" s="1">
        <v>3</v>
      </c>
      <c r="I2595" s="1">
        <v>3</v>
      </c>
      <c r="J2595" s="1">
        <v>3</v>
      </c>
      <c r="K2595" s="1">
        <v>3</v>
      </c>
      <c r="M2595" s="4">
        <v>1863</v>
      </c>
      <c r="N2595" s="1">
        <v>2375.4499999999998</v>
      </c>
      <c r="O2595" s="1">
        <v>4751.21</v>
      </c>
      <c r="P2595" s="1">
        <v>2375.75</v>
      </c>
      <c r="Q2595" s="1" t="s">
        <v>42</v>
      </c>
      <c r="S2595" s="1" t="s">
        <v>42</v>
      </c>
      <c r="T2595" s="1" t="s">
        <v>170</v>
      </c>
      <c r="U2595" s="1">
        <v>153</v>
      </c>
      <c r="V2595" s="5">
        <v>44166</v>
      </c>
      <c r="W2595" s="5">
        <v>43587</v>
      </c>
      <c r="X2595" s="1">
        <v>3750000</v>
      </c>
      <c r="AB2595" s="1" t="s">
        <v>181</v>
      </c>
      <c r="AF2595" s="1">
        <v>10038</v>
      </c>
      <c r="AI2595" s="1" t="s">
        <v>150</v>
      </c>
      <c r="AJ2595" s="1">
        <v>2019</v>
      </c>
      <c r="AK2595" s="1" t="s">
        <v>77</v>
      </c>
      <c r="AL2595" s="1">
        <v>110</v>
      </c>
    </row>
    <row r="2596" spans="1:38" x14ac:dyDescent="0.2">
      <c r="A2596" s="2" t="str">
        <f>HYPERLINK("https://www.compass.com/listing/252-south-street-unit-29j-manhattan-ny-10002/29513541077739105/","252 South St, Unit 29J")</f>
        <v>252 South St, Unit 29J</v>
      </c>
      <c r="B2596" s="2" t="str">
        <f t="shared" ref="B2596:B2599" si="366">HYPERLINK("https://www.compass.com/building/one-manhattan-square-manhattan-ny/294844950218926165/","One Manhattan Square")</f>
        <v>One Manhattan Square</v>
      </c>
      <c r="C2596" s="1" t="s">
        <v>66</v>
      </c>
      <c r="D2596" s="1" t="s">
        <v>41</v>
      </c>
      <c r="E2596" s="3">
        <v>1317542</v>
      </c>
      <c r="F2596" s="1">
        <v>1893.02011494252</v>
      </c>
      <c r="G2596" s="1">
        <v>3</v>
      </c>
      <c r="H2596" s="1">
        <v>1</v>
      </c>
      <c r="I2596" s="1">
        <v>1</v>
      </c>
      <c r="J2596" s="1">
        <v>1</v>
      </c>
      <c r="M2596" s="1">
        <v>696</v>
      </c>
      <c r="N2596" s="1">
        <v>808</v>
      </c>
      <c r="O2596" s="1">
        <v>822</v>
      </c>
      <c r="P2596" s="1">
        <v>14</v>
      </c>
      <c r="Q2596" s="1" t="s">
        <v>42</v>
      </c>
      <c r="S2596" s="1" t="s">
        <v>42</v>
      </c>
      <c r="T2596" s="1" t="s">
        <v>170</v>
      </c>
      <c r="U2596" s="1">
        <v>3</v>
      </c>
      <c r="V2596" s="5">
        <v>43696</v>
      </c>
      <c r="W2596" s="5">
        <v>42886</v>
      </c>
      <c r="X2596" s="1">
        <v>1365000</v>
      </c>
      <c r="Y2596" s="1">
        <v>1365000</v>
      </c>
      <c r="Z2596" s="5">
        <v>42889</v>
      </c>
      <c r="AA2596" s="1">
        <v>1317542</v>
      </c>
      <c r="AB2596" s="1" t="s">
        <v>1922</v>
      </c>
      <c r="AC2596" s="5">
        <v>43634</v>
      </c>
      <c r="AF2596" s="1">
        <v>10002</v>
      </c>
      <c r="AI2596" s="1" t="s">
        <v>55</v>
      </c>
      <c r="AJ2596" s="1">
        <v>2019</v>
      </c>
      <c r="AK2596" s="1" t="s">
        <v>73</v>
      </c>
      <c r="AL2596" s="1">
        <v>787</v>
      </c>
    </row>
    <row r="2597" spans="1:38" x14ac:dyDescent="0.2">
      <c r="A2597" s="2" t="str">
        <f>HYPERLINK("https://www.compass.com/listing/252-south-street-unit-25k-manhattan-ny-10002/29513541866268273/","252 South St, Unit 25K")</f>
        <v>252 South St, Unit 25K</v>
      </c>
      <c r="B2597" s="2" t="str">
        <f t="shared" si="366"/>
        <v>One Manhattan Square</v>
      </c>
      <c r="C2597" s="1" t="s">
        <v>66</v>
      </c>
      <c r="D2597" s="1" t="s">
        <v>41</v>
      </c>
      <c r="E2597" s="3">
        <v>1342998</v>
      </c>
      <c r="F2597" s="1">
        <v>1932.3712230215799</v>
      </c>
      <c r="G2597" s="1">
        <v>3</v>
      </c>
      <c r="H2597" s="1">
        <v>1</v>
      </c>
      <c r="I2597" s="1">
        <v>1</v>
      </c>
      <c r="J2597" s="1">
        <v>1</v>
      </c>
      <c r="M2597" s="1">
        <v>695</v>
      </c>
      <c r="N2597" s="1">
        <v>792</v>
      </c>
      <c r="O2597" s="1">
        <v>805</v>
      </c>
      <c r="P2597" s="1">
        <v>13</v>
      </c>
      <c r="Q2597" s="1" t="s">
        <v>42</v>
      </c>
      <c r="S2597" s="1" t="s">
        <v>42</v>
      </c>
      <c r="T2597" s="1" t="s">
        <v>170</v>
      </c>
      <c r="U2597" s="1">
        <v>3</v>
      </c>
      <c r="V2597" s="5">
        <v>43696</v>
      </c>
      <c r="W2597" s="5">
        <v>42854</v>
      </c>
      <c r="X2597" s="1">
        <v>1365000</v>
      </c>
      <c r="Y2597" s="1">
        <v>1365000</v>
      </c>
      <c r="Z2597" s="5">
        <v>42857</v>
      </c>
      <c r="AA2597" s="1">
        <v>1342998.75</v>
      </c>
      <c r="AB2597" s="1" t="s">
        <v>1923</v>
      </c>
      <c r="AC2597" s="5">
        <v>43608</v>
      </c>
      <c r="AF2597" s="1">
        <v>10002</v>
      </c>
      <c r="AI2597" s="1" t="s">
        <v>55</v>
      </c>
      <c r="AJ2597" s="1">
        <v>2019</v>
      </c>
      <c r="AK2597" s="1" t="s">
        <v>73</v>
      </c>
      <c r="AL2597" s="1">
        <v>787</v>
      </c>
    </row>
    <row r="2598" spans="1:38" x14ac:dyDescent="0.2">
      <c r="A2598" s="2" t="str">
        <f>HYPERLINK("https://www.compass.com/listing/252-south-street-unit-38f-manhattan-ny-10002/29513552721178257/","252 South St, Unit 38F")</f>
        <v>252 South St, Unit 38F</v>
      </c>
      <c r="B2598" s="2" t="str">
        <f t="shared" si="366"/>
        <v>One Manhattan Square</v>
      </c>
      <c r="C2598" s="1" t="s">
        <v>66</v>
      </c>
      <c r="D2598" s="1" t="s">
        <v>41</v>
      </c>
      <c r="E2598" s="3">
        <v>1318613</v>
      </c>
      <c r="F2598" s="1">
        <v>1826.33379501385</v>
      </c>
      <c r="G2598" s="1">
        <v>3</v>
      </c>
      <c r="H2598" s="1">
        <v>1</v>
      </c>
      <c r="I2598" s="1">
        <v>1</v>
      </c>
      <c r="J2598" s="1">
        <v>1</v>
      </c>
      <c r="M2598" s="1">
        <v>722</v>
      </c>
      <c r="N2598" s="1">
        <v>869</v>
      </c>
      <c r="O2598" s="1">
        <v>884</v>
      </c>
      <c r="P2598" s="1">
        <v>15</v>
      </c>
      <c r="Q2598" s="1" t="s">
        <v>42</v>
      </c>
      <c r="S2598" s="1" t="s">
        <v>42</v>
      </c>
      <c r="T2598" s="1" t="s">
        <v>170</v>
      </c>
      <c r="U2598" s="1">
        <v>3</v>
      </c>
      <c r="V2598" s="5">
        <v>43696</v>
      </c>
      <c r="W2598" s="5">
        <v>42693</v>
      </c>
      <c r="X2598" s="1">
        <v>1359000</v>
      </c>
      <c r="Y2598" s="1">
        <v>1359000</v>
      </c>
      <c r="Z2598" s="5">
        <v>42696</v>
      </c>
      <c r="AA2598" s="1">
        <v>1318613</v>
      </c>
      <c r="AB2598" s="1" t="s">
        <v>1924</v>
      </c>
      <c r="AC2598" s="5">
        <v>43641</v>
      </c>
      <c r="AF2598" s="1">
        <v>10002</v>
      </c>
      <c r="AI2598" s="1" t="s">
        <v>55</v>
      </c>
      <c r="AJ2598" s="1">
        <v>2019</v>
      </c>
      <c r="AK2598" s="1" t="s">
        <v>73</v>
      </c>
      <c r="AL2598" s="1">
        <v>787</v>
      </c>
    </row>
    <row r="2599" spans="1:38" x14ac:dyDescent="0.2">
      <c r="A2599" s="2" t="str">
        <f>HYPERLINK("https://www.compass.com/listing/252-south-street-unit-48f-manhattan-ny-10002/368009595449425585/","252 South St, Unit 48F")</f>
        <v>252 South St, Unit 48F</v>
      </c>
      <c r="B2599" s="2" t="str">
        <f t="shared" si="366"/>
        <v>One Manhattan Square</v>
      </c>
      <c r="C2599" s="1" t="s">
        <v>66</v>
      </c>
      <c r="D2599" s="1" t="s">
        <v>41</v>
      </c>
      <c r="E2599" s="3">
        <v>1343763</v>
      </c>
      <c r="F2599" s="1">
        <v>1861.16819944598</v>
      </c>
      <c r="H2599" s="1">
        <v>1</v>
      </c>
      <c r="J2599" s="1">
        <v>1</v>
      </c>
      <c r="K2599" s="1">
        <v>1</v>
      </c>
      <c r="M2599" s="1">
        <v>722</v>
      </c>
      <c r="N2599" s="1">
        <v>550</v>
      </c>
      <c r="O2599" s="1">
        <v>570</v>
      </c>
      <c r="P2599" s="1">
        <v>20</v>
      </c>
      <c r="Q2599" s="1" t="s">
        <v>42</v>
      </c>
      <c r="S2599" s="1" t="s">
        <v>42</v>
      </c>
      <c r="T2599" s="1" t="s">
        <v>170</v>
      </c>
      <c r="AA2599" s="1">
        <v>1343763.44</v>
      </c>
      <c r="AB2599" s="1" t="s">
        <v>1925</v>
      </c>
      <c r="AC2599" s="5">
        <v>43745</v>
      </c>
      <c r="AF2599" s="1">
        <v>10002</v>
      </c>
      <c r="AI2599" s="1" t="s">
        <v>55</v>
      </c>
      <c r="AJ2599" s="1">
        <v>2019</v>
      </c>
      <c r="AK2599" s="1" t="s">
        <v>46</v>
      </c>
      <c r="AL2599" s="1">
        <v>787</v>
      </c>
    </row>
    <row r="2600" spans="1:38" x14ac:dyDescent="0.2">
      <c r="A2600" s="2" t="str">
        <f>HYPERLINK("https://www.compass.com/listing/215-chrystie-street-unit-28e-manhattan-ny-10002/80707989052379969/","215 Chrystie St, Unit 28E")</f>
        <v>215 Chrystie St, Unit 28E</v>
      </c>
      <c r="B2600" s="2" t="str">
        <f t="shared" ref="B2600:B2602" si="367">HYPERLINK("https://www.compass.com/building/215-chrystie-st-manhattan-ny-10002/281886398615655237/","215 Chrystie St")</f>
        <v>215 Chrystie St</v>
      </c>
      <c r="C2600" s="1" t="s">
        <v>66</v>
      </c>
      <c r="D2600" s="1" t="s">
        <v>41</v>
      </c>
      <c r="E2600" s="3">
        <v>7750000</v>
      </c>
      <c r="F2600" s="1">
        <v>3455.19393669193</v>
      </c>
      <c r="H2600" s="1">
        <v>3</v>
      </c>
      <c r="J2600" s="1">
        <v>3</v>
      </c>
      <c r="K2600" s="1">
        <v>3</v>
      </c>
      <c r="M2600" s="4">
        <v>2243</v>
      </c>
      <c r="N2600" s="1">
        <v>4264</v>
      </c>
      <c r="O2600" s="1">
        <v>9126</v>
      </c>
      <c r="P2600" s="1">
        <v>4862</v>
      </c>
      <c r="Q2600" s="1" t="s">
        <v>42</v>
      </c>
      <c r="S2600" s="1" t="s">
        <v>42</v>
      </c>
      <c r="T2600" s="1" t="s">
        <v>170</v>
      </c>
      <c r="AA2600" s="1">
        <v>7750000</v>
      </c>
      <c r="AB2600" s="1" t="s">
        <v>1926</v>
      </c>
      <c r="AC2600" s="5">
        <v>43077</v>
      </c>
      <c r="AF2600" s="1">
        <v>10002</v>
      </c>
      <c r="AJ2600" s="1">
        <v>2016</v>
      </c>
      <c r="AK2600" s="1" t="s">
        <v>49</v>
      </c>
      <c r="AL2600" s="1">
        <v>11</v>
      </c>
    </row>
    <row r="2601" spans="1:38" x14ac:dyDescent="0.2">
      <c r="A2601" s="2" t="str">
        <f>HYPERLINK("https://www.compass.com/listing/215-chrystie-street-unit-28w-manhattan-ny-10002/167430483934766337/","215 Chrystie St, Unit 28W")</f>
        <v>215 Chrystie St, Unit 28W</v>
      </c>
      <c r="B2601" s="2" t="str">
        <f t="shared" si="367"/>
        <v>215 Chrystie St</v>
      </c>
      <c r="C2601" s="1" t="s">
        <v>66</v>
      </c>
      <c r="D2601" s="1" t="s">
        <v>41</v>
      </c>
      <c r="E2601" s="3">
        <v>7280488</v>
      </c>
      <c r="F2601" s="1">
        <v>3682.59357612544</v>
      </c>
      <c r="H2601" s="1">
        <v>2</v>
      </c>
      <c r="J2601" s="1">
        <v>2.5</v>
      </c>
      <c r="K2601" s="1">
        <v>2</v>
      </c>
      <c r="L2601" s="1">
        <v>1</v>
      </c>
      <c r="M2601" s="4">
        <v>1977</v>
      </c>
      <c r="N2601" s="1">
        <v>3760</v>
      </c>
      <c r="O2601" s="1">
        <v>8734</v>
      </c>
      <c r="P2601" s="1">
        <v>4974</v>
      </c>
      <c r="Q2601" s="1" t="s">
        <v>42</v>
      </c>
      <c r="S2601" s="1" t="s">
        <v>42</v>
      </c>
      <c r="T2601" s="1" t="s">
        <v>170</v>
      </c>
      <c r="AA2601" s="1">
        <v>7280487.5</v>
      </c>
      <c r="AB2601" s="1" t="s">
        <v>1927</v>
      </c>
      <c r="AC2601" s="5">
        <v>43075</v>
      </c>
      <c r="AF2601" s="1">
        <v>10002</v>
      </c>
      <c r="AJ2601" s="1">
        <v>2016</v>
      </c>
      <c r="AK2601" s="1" t="s">
        <v>49</v>
      </c>
      <c r="AL2601" s="1">
        <v>11</v>
      </c>
    </row>
    <row r="2602" spans="1:38" x14ac:dyDescent="0.2">
      <c r="A2602" s="2" t="str">
        <f>HYPERLINK("https://www.compass.com/listing/215-chrystie-street-unit-29w-manhattan-ny-10002/29361560396887937/","215 Chrystie St, Unit 29W")</f>
        <v>215 Chrystie St, Unit 29W</v>
      </c>
      <c r="B2602" s="2" t="str">
        <f t="shared" si="367"/>
        <v>215 Chrystie St</v>
      </c>
      <c r="C2602" s="1" t="s">
        <v>66</v>
      </c>
      <c r="D2602" s="1" t="s">
        <v>41</v>
      </c>
      <c r="E2602" s="3">
        <v>7127750</v>
      </c>
      <c r="F2602" s="1">
        <v>3605.3363682346899</v>
      </c>
      <c r="H2602" s="1">
        <v>2</v>
      </c>
      <c r="J2602" s="1">
        <v>2.5</v>
      </c>
      <c r="M2602" s="4">
        <v>1977</v>
      </c>
      <c r="N2602" s="1">
        <v>3800</v>
      </c>
      <c r="O2602" s="1">
        <v>8116</v>
      </c>
      <c r="P2602" s="1">
        <v>4316</v>
      </c>
      <c r="Q2602" s="1" t="s">
        <v>42</v>
      </c>
      <c r="S2602" s="1" t="s">
        <v>42</v>
      </c>
      <c r="T2602" s="1" t="s">
        <v>170</v>
      </c>
      <c r="AA2602" s="1">
        <v>7127750</v>
      </c>
      <c r="AB2602" s="1" t="s">
        <v>1928</v>
      </c>
      <c r="AC2602" s="5">
        <v>42991</v>
      </c>
      <c r="AF2602" s="1">
        <v>10002</v>
      </c>
      <c r="AJ2602" s="1">
        <v>2016</v>
      </c>
      <c r="AK2602" s="1" t="s">
        <v>49</v>
      </c>
      <c r="AL2602" s="1">
        <v>11</v>
      </c>
    </row>
    <row r="2603" spans="1:38" x14ac:dyDescent="0.2">
      <c r="A2603" s="2" t="str">
        <f>HYPERLINK("https://www.compass.com/listing/252-south-street-unit-51f-manhattan-ny-10002/29513546656163617/","252 South St, Unit 51F")</f>
        <v>252 South St, Unit 51F</v>
      </c>
      <c r="B2603" s="2" t="str">
        <f>HYPERLINK("https://www.compass.com/building/one-manhattan-square-manhattan-ny/294844950218926165/","One Manhattan Square")</f>
        <v>One Manhattan Square</v>
      </c>
      <c r="C2603" s="1" t="s">
        <v>66</v>
      </c>
      <c r="D2603" s="1" t="s">
        <v>41</v>
      </c>
      <c r="E2603" s="3">
        <v>1360208</v>
      </c>
      <c r="F2603" s="1">
        <v>1883.9440166204899</v>
      </c>
      <c r="G2603" s="1">
        <v>3</v>
      </c>
      <c r="H2603" s="1">
        <v>1</v>
      </c>
      <c r="I2603" s="1">
        <v>1</v>
      </c>
      <c r="J2603" s="1">
        <v>1</v>
      </c>
      <c r="M2603" s="1">
        <v>722</v>
      </c>
      <c r="N2603" s="1">
        <v>922</v>
      </c>
      <c r="O2603" s="1">
        <v>1108</v>
      </c>
      <c r="P2603" s="1">
        <v>186</v>
      </c>
      <c r="Q2603" s="1" t="s">
        <v>42</v>
      </c>
      <c r="S2603" s="1" t="s">
        <v>42</v>
      </c>
      <c r="T2603" s="1" t="s">
        <v>170</v>
      </c>
      <c r="U2603" s="1">
        <v>77</v>
      </c>
      <c r="V2603" s="5">
        <v>43686</v>
      </c>
      <c r="W2603" s="5">
        <v>42698</v>
      </c>
      <c r="X2603" s="1">
        <v>1402000</v>
      </c>
      <c r="Y2603" s="1">
        <v>1402000</v>
      </c>
      <c r="Z2603" s="5">
        <v>42776</v>
      </c>
      <c r="AA2603" s="1">
        <v>1360207.58</v>
      </c>
      <c r="AB2603" s="1" t="s">
        <v>1929</v>
      </c>
      <c r="AC2603" s="5">
        <v>43677</v>
      </c>
      <c r="AF2603" s="1">
        <v>10002</v>
      </c>
      <c r="AI2603" s="1" t="s">
        <v>1921</v>
      </c>
      <c r="AJ2603" s="1">
        <v>2019</v>
      </c>
      <c r="AK2603" s="1" t="s">
        <v>73</v>
      </c>
      <c r="AL2603" s="1">
        <v>787</v>
      </c>
    </row>
    <row r="2604" spans="1:38" x14ac:dyDescent="0.2">
      <c r="A2604" s="2" t="str">
        <f>HYPERLINK("https://www.compass.com/listing/25-park-row-unit-14b-manhattan-ny-10038/440512060460618081/","25 Park Row, Unit 14B")</f>
        <v>25 Park Row, Unit 14B</v>
      </c>
      <c r="B2604" s="2" t="str">
        <f t="shared" ref="B2604:B2611" si="368">HYPERLINK("https://www.compass.com/building/25-park-row-manhattan-ny-10038/292920743539264837/","25 Park Row")</f>
        <v>25 Park Row</v>
      </c>
      <c r="C2604" s="1" t="s">
        <v>117</v>
      </c>
      <c r="D2604" s="1" t="s">
        <v>41</v>
      </c>
      <c r="E2604" s="3">
        <v>1975000</v>
      </c>
      <c r="F2604" s="1">
        <v>1973.0269730269699</v>
      </c>
      <c r="G2604" s="1">
        <v>3</v>
      </c>
      <c r="H2604" s="1">
        <v>1</v>
      </c>
      <c r="I2604" s="1">
        <v>2</v>
      </c>
      <c r="J2604" s="1">
        <v>1.5</v>
      </c>
      <c r="K2604" s="1">
        <v>1</v>
      </c>
      <c r="L2604" s="1">
        <v>1</v>
      </c>
      <c r="M2604" s="4">
        <v>1001</v>
      </c>
      <c r="N2604" s="1">
        <v>1245.03</v>
      </c>
      <c r="O2604" s="1">
        <v>2490.2199999999998</v>
      </c>
      <c r="P2604" s="1">
        <v>1245.1666666666599</v>
      </c>
      <c r="Q2604" s="1" t="s">
        <v>42</v>
      </c>
      <c r="S2604" s="1" t="s">
        <v>42</v>
      </c>
      <c r="T2604" s="1" t="s">
        <v>170</v>
      </c>
      <c r="U2604" s="1">
        <v>152</v>
      </c>
      <c r="V2604" s="5">
        <v>44187</v>
      </c>
      <c r="W2604" s="5">
        <v>43859</v>
      </c>
      <c r="X2604" s="1">
        <v>2000000</v>
      </c>
      <c r="Y2604" s="1">
        <v>2000000</v>
      </c>
      <c r="AA2604" s="1">
        <v>1975000</v>
      </c>
      <c r="AB2604" s="1" t="s">
        <v>1930</v>
      </c>
      <c r="AC2604" s="5">
        <v>44186</v>
      </c>
      <c r="AF2604" s="1">
        <v>10038</v>
      </c>
      <c r="AI2604" s="1" t="s">
        <v>144</v>
      </c>
      <c r="AJ2604" s="1">
        <v>2019</v>
      </c>
      <c r="AK2604" s="1" t="s">
        <v>77</v>
      </c>
      <c r="AL2604" s="1">
        <v>110</v>
      </c>
    </row>
    <row r="2605" spans="1:38" x14ac:dyDescent="0.2">
      <c r="A2605" s="2" t="str">
        <f>HYPERLINK("https://www.compass.com/listing/25-park-row-unit-19a-manhattan-ny-10038/324479993723460657/","25 Park Row, Unit 19A")</f>
        <v>25 Park Row, Unit 19A</v>
      </c>
      <c r="B2605" s="2" t="str">
        <f t="shared" si="368"/>
        <v>25 Park Row</v>
      </c>
      <c r="C2605" s="1" t="s">
        <v>117</v>
      </c>
      <c r="D2605" s="1" t="s">
        <v>41</v>
      </c>
      <c r="E2605" s="3">
        <v>2775000</v>
      </c>
      <c r="F2605" s="1">
        <v>1781.1296534017899</v>
      </c>
      <c r="G2605" s="1">
        <v>4</v>
      </c>
      <c r="H2605" s="1">
        <v>2</v>
      </c>
      <c r="I2605" s="1">
        <v>3</v>
      </c>
      <c r="J2605" s="1">
        <v>2.5</v>
      </c>
      <c r="K2605" s="1">
        <v>2</v>
      </c>
      <c r="L2605" s="1">
        <v>1</v>
      </c>
      <c r="M2605" s="4">
        <v>1558</v>
      </c>
      <c r="N2605" s="1">
        <v>1984.4</v>
      </c>
      <c r="O2605" s="1">
        <v>3969.06</v>
      </c>
      <c r="P2605" s="1">
        <v>1984.6666666666599</v>
      </c>
      <c r="Q2605" s="1" t="s">
        <v>42</v>
      </c>
      <c r="S2605" s="1" t="s">
        <v>42</v>
      </c>
      <c r="T2605" s="1" t="s">
        <v>170</v>
      </c>
      <c r="U2605" s="1">
        <v>113</v>
      </c>
      <c r="V2605" s="5">
        <v>44315</v>
      </c>
      <c r="W2605" s="5">
        <v>44132</v>
      </c>
      <c r="Y2605" s="1">
        <v>2975000</v>
      </c>
      <c r="AA2605" s="1">
        <v>2775000</v>
      </c>
      <c r="AB2605" s="1" t="s">
        <v>1931</v>
      </c>
      <c r="AC2605" s="5">
        <v>44314</v>
      </c>
      <c r="AF2605" s="1">
        <v>10038</v>
      </c>
      <c r="AI2605" s="1" t="s">
        <v>144</v>
      </c>
      <c r="AJ2605" s="1">
        <v>2019</v>
      </c>
      <c r="AK2605" s="1" t="s">
        <v>77</v>
      </c>
      <c r="AL2605" s="1">
        <v>110</v>
      </c>
    </row>
    <row r="2606" spans="1:38" x14ac:dyDescent="0.2">
      <c r="A2606" s="2" t="str">
        <f>HYPERLINK("https://www.compass.com/listing/25-park-row-unit-16a-manhattan-ny-10038/266602881115793537/","25 Park Row, Unit 16A")</f>
        <v>25 Park Row, Unit 16A</v>
      </c>
      <c r="B2606" s="2" t="str">
        <f t="shared" si="368"/>
        <v>25 Park Row</v>
      </c>
      <c r="C2606" s="1" t="s">
        <v>117</v>
      </c>
      <c r="D2606" s="1" t="s">
        <v>41</v>
      </c>
      <c r="E2606" s="3">
        <v>2755000</v>
      </c>
      <c r="F2606" s="1">
        <v>1717.58104738154</v>
      </c>
      <c r="G2606" s="1">
        <v>4</v>
      </c>
      <c r="H2606" s="1">
        <v>2</v>
      </c>
      <c r="I2606" s="1">
        <v>3</v>
      </c>
      <c r="J2606" s="1">
        <v>2.5</v>
      </c>
      <c r="K2606" s="1">
        <v>2</v>
      </c>
      <c r="L2606" s="1">
        <v>1</v>
      </c>
      <c r="M2606" s="4">
        <v>1604</v>
      </c>
      <c r="N2606" s="1">
        <v>3018.92</v>
      </c>
      <c r="O2606" s="1">
        <v>5033.3999999999996</v>
      </c>
      <c r="P2606" s="1">
        <v>2014.5</v>
      </c>
      <c r="Q2606" s="1" t="s">
        <v>42</v>
      </c>
      <c r="S2606" s="1" t="s">
        <v>42</v>
      </c>
      <c r="T2606" s="1" t="s">
        <v>170</v>
      </c>
      <c r="U2606" s="1">
        <v>307</v>
      </c>
      <c r="V2606" s="5">
        <v>44426</v>
      </c>
      <c r="W2606" s="5">
        <v>44105</v>
      </c>
      <c r="Y2606" s="1">
        <v>2900000</v>
      </c>
      <c r="Z2606" s="5">
        <v>44413</v>
      </c>
      <c r="AA2606" s="1">
        <v>2755000</v>
      </c>
      <c r="AB2606" s="1" t="s">
        <v>181</v>
      </c>
      <c r="AC2606" s="5">
        <v>44425</v>
      </c>
      <c r="AF2606" s="1">
        <v>10038</v>
      </c>
      <c r="AI2606" s="1" t="s">
        <v>143</v>
      </c>
      <c r="AJ2606" s="1">
        <v>2019</v>
      </c>
      <c r="AK2606" s="1" t="s">
        <v>77</v>
      </c>
      <c r="AL2606" s="1">
        <v>110</v>
      </c>
    </row>
    <row r="2607" spans="1:38" x14ac:dyDescent="0.2">
      <c r="A2607" s="2" t="str">
        <f>HYPERLINK("https://www.compass.com/listing/25-park-row-unit-8a-manhattan-ny-10038/354153289599250177/","25 Park Row, Unit 8A")</f>
        <v>25 Park Row, Unit 8A</v>
      </c>
      <c r="B2607" s="2" t="str">
        <f t="shared" si="368"/>
        <v>25 Park Row</v>
      </c>
      <c r="C2607" s="1" t="s">
        <v>117</v>
      </c>
      <c r="D2607" s="1" t="s">
        <v>41</v>
      </c>
      <c r="E2607" s="3">
        <v>2550000</v>
      </c>
      <c r="F2607" s="1">
        <v>1659.0761223162001</v>
      </c>
      <c r="G2607" s="1">
        <v>4</v>
      </c>
      <c r="H2607" s="1">
        <v>2</v>
      </c>
      <c r="I2607" s="1">
        <v>3</v>
      </c>
      <c r="J2607" s="1">
        <v>2.5</v>
      </c>
      <c r="K2607" s="1">
        <v>2</v>
      </c>
      <c r="L2607" s="1">
        <v>1</v>
      </c>
      <c r="M2607" s="4">
        <v>1537</v>
      </c>
      <c r="N2607" s="1">
        <v>1865.74</v>
      </c>
      <c r="O2607" s="1">
        <v>3731.73</v>
      </c>
      <c r="P2607" s="1">
        <v>1866</v>
      </c>
      <c r="Q2607" s="1" t="s">
        <v>42</v>
      </c>
      <c r="S2607" s="1" t="s">
        <v>42</v>
      </c>
      <c r="T2607" s="1" t="s">
        <v>170</v>
      </c>
      <c r="U2607" s="1">
        <v>199</v>
      </c>
      <c r="V2607" s="5">
        <v>44293</v>
      </c>
      <c r="W2607" s="5">
        <v>43950</v>
      </c>
      <c r="Y2607" s="1">
        <v>2765000</v>
      </c>
      <c r="AA2607" s="1">
        <v>2550000</v>
      </c>
      <c r="AB2607" s="1" t="s">
        <v>1932</v>
      </c>
      <c r="AC2607" s="5">
        <v>44361</v>
      </c>
      <c r="AF2607" s="1">
        <v>10038</v>
      </c>
      <c r="AI2607" s="1" t="s">
        <v>144</v>
      </c>
      <c r="AJ2607" s="1">
        <v>2019</v>
      </c>
      <c r="AK2607" s="1" t="s">
        <v>77</v>
      </c>
      <c r="AL2607" s="1">
        <v>110</v>
      </c>
    </row>
    <row r="2608" spans="1:38" x14ac:dyDescent="0.2">
      <c r="A2608" s="2" t="str">
        <f>HYPERLINK("https://www.compass.com/listing/25-park-row-unit-25c-manhattan-ny-10038/354172840174723361/","25 Park Row, Unit 25C")</f>
        <v>25 Park Row, Unit 25C</v>
      </c>
      <c r="B2608" s="2" t="str">
        <f t="shared" si="368"/>
        <v>25 Park Row</v>
      </c>
      <c r="C2608" s="1" t="s">
        <v>117</v>
      </c>
      <c r="D2608" s="1" t="s">
        <v>41</v>
      </c>
      <c r="E2608" s="3">
        <v>3325000</v>
      </c>
      <c r="F2608" s="1">
        <v>1927.53623188405</v>
      </c>
      <c r="G2608" s="1">
        <v>4.5</v>
      </c>
      <c r="H2608" s="1">
        <v>2</v>
      </c>
      <c r="I2608" s="1">
        <v>3</v>
      </c>
      <c r="J2608" s="1">
        <v>2.5</v>
      </c>
      <c r="K2608" s="1">
        <v>2</v>
      </c>
      <c r="L2608" s="1">
        <v>1</v>
      </c>
      <c r="M2608" s="4">
        <v>1725</v>
      </c>
      <c r="N2608" s="1">
        <v>2354.2600000000002</v>
      </c>
      <c r="O2608" s="1">
        <v>4708.84</v>
      </c>
      <c r="P2608" s="1">
        <v>2354.5833333333298</v>
      </c>
      <c r="Q2608" s="1" t="s">
        <v>42</v>
      </c>
      <c r="S2608" s="1" t="s">
        <v>42</v>
      </c>
      <c r="T2608" s="1" t="s">
        <v>170</v>
      </c>
      <c r="U2608" s="1">
        <v>271</v>
      </c>
      <c r="V2608" s="5">
        <v>44176</v>
      </c>
      <c r="W2608" s="5">
        <v>43740</v>
      </c>
      <c r="X2608" s="1">
        <v>3695000</v>
      </c>
      <c r="Y2608" s="1">
        <v>3695000</v>
      </c>
      <c r="AA2608" s="1">
        <v>3325000</v>
      </c>
      <c r="AB2608" s="1" t="s">
        <v>1933</v>
      </c>
      <c r="AC2608" s="5">
        <v>44175</v>
      </c>
      <c r="AF2608" s="1">
        <v>10038</v>
      </c>
      <c r="AI2608" s="1" t="s">
        <v>150</v>
      </c>
      <c r="AJ2608" s="1">
        <v>2019</v>
      </c>
      <c r="AK2608" s="1" t="s">
        <v>77</v>
      </c>
      <c r="AL2608" s="1">
        <v>110</v>
      </c>
    </row>
    <row r="2609" spans="1:38" x14ac:dyDescent="0.2">
      <c r="A2609" s="2" t="str">
        <f>HYPERLINK("https://www.compass.com/listing/25-park-row-unit-12c-manhattan-ny-10038/394052013491570881/","25 Park Row, Unit 12C")</f>
        <v>25 Park Row, Unit 12C</v>
      </c>
      <c r="B2609" s="2" t="str">
        <f t="shared" si="368"/>
        <v>25 Park Row</v>
      </c>
      <c r="C2609" s="1" t="s">
        <v>117</v>
      </c>
      <c r="D2609" s="1" t="s">
        <v>41</v>
      </c>
      <c r="E2609" s="3">
        <v>2425000</v>
      </c>
      <c r="F2609" s="1">
        <v>1893.0523028883599</v>
      </c>
      <c r="G2609" s="1">
        <v>4</v>
      </c>
      <c r="H2609" s="1">
        <v>2</v>
      </c>
      <c r="I2609" s="1">
        <v>2</v>
      </c>
      <c r="J2609" s="1">
        <v>2</v>
      </c>
      <c r="K2609" s="1">
        <v>2</v>
      </c>
      <c r="M2609" s="4">
        <v>1281</v>
      </c>
      <c r="N2609" s="1">
        <v>1585.63</v>
      </c>
      <c r="O2609" s="1">
        <v>3171.47</v>
      </c>
      <c r="P2609" s="1">
        <v>1585.8333333333301</v>
      </c>
      <c r="Q2609" s="1" t="s">
        <v>42</v>
      </c>
      <c r="S2609" s="1" t="s">
        <v>42</v>
      </c>
      <c r="T2609" s="1" t="s">
        <v>170</v>
      </c>
      <c r="U2609" s="1">
        <v>139</v>
      </c>
      <c r="V2609" s="5">
        <v>44062</v>
      </c>
      <c r="W2609" s="5">
        <v>43795</v>
      </c>
      <c r="X2609" s="1">
        <v>2585000</v>
      </c>
      <c r="Y2609" s="1">
        <v>2585000</v>
      </c>
      <c r="AA2609" s="1">
        <v>2425000</v>
      </c>
      <c r="AB2609" s="1" t="s">
        <v>1934</v>
      </c>
      <c r="AC2609" s="5">
        <v>44061</v>
      </c>
      <c r="AF2609" s="1">
        <v>10038</v>
      </c>
      <c r="AI2609" s="1" t="s">
        <v>144</v>
      </c>
      <c r="AJ2609" s="1">
        <v>2019</v>
      </c>
      <c r="AK2609" s="1" t="s">
        <v>77</v>
      </c>
      <c r="AL2609" s="1">
        <v>110</v>
      </c>
    </row>
    <row r="2610" spans="1:38" x14ac:dyDescent="0.2">
      <c r="A2610" s="2" t="str">
        <f>HYPERLINK("https://www.compass.com/listing/25-park-row-unit-27b-manhattan-ny-10038/482442789911727345/","25 Park Row, Unit 27B")</f>
        <v>25 Park Row, Unit 27B</v>
      </c>
      <c r="B2610" s="2" t="str">
        <f t="shared" si="368"/>
        <v>25 Park Row</v>
      </c>
      <c r="C2610" s="1" t="s">
        <v>117</v>
      </c>
      <c r="D2610" s="1" t="s">
        <v>41</v>
      </c>
      <c r="E2610" s="3">
        <v>2215000</v>
      </c>
      <c r="F2610" s="1">
        <v>1982.99015219337</v>
      </c>
      <c r="G2610" s="1">
        <v>4</v>
      </c>
      <c r="H2610" s="1">
        <v>2</v>
      </c>
      <c r="I2610" s="1">
        <v>2</v>
      </c>
      <c r="J2610" s="1">
        <v>2</v>
      </c>
      <c r="K2610" s="1">
        <v>2</v>
      </c>
      <c r="M2610" s="4">
        <v>1117</v>
      </c>
      <c r="N2610" s="1">
        <v>1420.03</v>
      </c>
      <c r="O2610" s="1">
        <v>2840.25</v>
      </c>
      <c r="P2610" s="1">
        <v>1420.25</v>
      </c>
      <c r="Q2610" s="1" t="s">
        <v>42</v>
      </c>
      <c r="S2610" s="1" t="s">
        <v>42</v>
      </c>
      <c r="T2610" s="1" t="s">
        <v>170</v>
      </c>
      <c r="U2610" s="1">
        <v>23</v>
      </c>
      <c r="V2610" s="5">
        <v>44095</v>
      </c>
      <c r="W2610" s="5">
        <v>43917</v>
      </c>
      <c r="X2610" s="1">
        <v>2280000</v>
      </c>
      <c r="Y2610" s="1">
        <v>2280000</v>
      </c>
      <c r="AA2610" s="1">
        <v>2215000</v>
      </c>
      <c r="AB2610" s="1" t="s">
        <v>1935</v>
      </c>
      <c r="AC2610" s="5">
        <v>44092</v>
      </c>
      <c r="AF2610" s="1">
        <v>10038</v>
      </c>
      <c r="AI2610" s="1" t="s">
        <v>144</v>
      </c>
      <c r="AJ2610" s="1">
        <v>2019</v>
      </c>
      <c r="AK2610" s="1" t="s">
        <v>77</v>
      </c>
      <c r="AL2610" s="1">
        <v>110</v>
      </c>
    </row>
    <row r="2611" spans="1:38" x14ac:dyDescent="0.2">
      <c r="A2611" s="2" t="str">
        <f>HYPERLINK("https://www.compass.com/listing/25-park-row-unit-22a-manhattan-ny-10038/812458629908740545/","25 Park Row, Unit 22A")</f>
        <v>25 Park Row, Unit 22A</v>
      </c>
      <c r="B2611" s="2" t="str">
        <f t="shared" si="368"/>
        <v>25 Park Row</v>
      </c>
      <c r="C2611" s="1" t="s">
        <v>117</v>
      </c>
      <c r="D2611" s="1" t="s">
        <v>41</v>
      </c>
      <c r="E2611" s="3">
        <v>3050000</v>
      </c>
      <c r="F2611" s="1">
        <v>1957.6379974326001</v>
      </c>
      <c r="G2611" s="1">
        <v>4.5</v>
      </c>
      <c r="H2611" s="1">
        <v>2</v>
      </c>
      <c r="I2611" s="1">
        <v>3</v>
      </c>
      <c r="J2611" s="1">
        <v>2.5</v>
      </c>
      <c r="K2611" s="1">
        <v>2</v>
      </c>
      <c r="L2611" s="1">
        <v>1</v>
      </c>
      <c r="M2611" s="4">
        <v>1558</v>
      </c>
      <c r="N2611" s="1">
        <v>2012.34</v>
      </c>
      <c r="O2611" s="1">
        <v>4024.96</v>
      </c>
      <c r="P2611" s="1">
        <v>2012.5833333333301</v>
      </c>
      <c r="Q2611" s="1" t="s">
        <v>42</v>
      </c>
      <c r="S2611" s="1" t="s">
        <v>42</v>
      </c>
      <c r="T2611" s="1" t="s">
        <v>170</v>
      </c>
      <c r="U2611" s="1">
        <v>784</v>
      </c>
      <c r="V2611" s="5">
        <v>44402</v>
      </c>
      <c r="W2611" s="5">
        <v>43494</v>
      </c>
      <c r="X2611" s="1">
        <v>3150000</v>
      </c>
      <c r="Y2611" s="1">
        <v>3150000</v>
      </c>
      <c r="Z2611" s="5">
        <v>44373</v>
      </c>
      <c r="AA2611" s="1">
        <v>3050000</v>
      </c>
      <c r="AB2611" s="1" t="s">
        <v>1936</v>
      </c>
      <c r="AC2611" s="5">
        <v>44407</v>
      </c>
      <c r="AF2611" s="1">
        <v>10038</v>
      </c>
      <c r="AI2611" s="1" t="s">
        <v>144</v>
      </c>
      <c r="AJ2611" s="1">
        <v>2019</v>
      </c>
      <c r="AK2611" s="1" t="s">
        <v>77</v>
      </c>
      <c r="AL2611" s="1">
        <v>110</v>
      </c>
    </row>
    <row r="2612" spans="1:38" x14ac:dyDescent="0.2">
      <c r="A2612" s="2" t="str">
        <f>HYPERLINK("https://www.compass.com/listing/252-south-street-unit-9n-manhattan-ny-10002/29513514385187153/","252 South St, Unit 9N")</f>
        <v>252 South St, Unit 9N</v>
      </c>
      <c r="B2612" s="2" t="str">
        <f t="shared" ref="B2612:B2616" si="369">HYPERLINK("https://www.compass.com/building/one-manhattan-square-manhattan-ny/294844950218926165/","One Manhattan Square")</f>
        <v>One Manhattan Square</v>
      </c>
      <c r="C2612" s="1" t="s">
        <v>66</v>
      </c>
      <c r="D2612" s="1" t="s">
        <v>41</v>
      </c>
      <c r="E2612" s="3">
        <v>1419367</v>
      </c>
      <c r="F2612" s="1">
        <v>2042.25467625899</v>
      </c>
      <c r="G2612" s="1">
        <v>3</v>
      </c>
      <c r="H2612" s="1">
        <v>1</v>
      </c>
      <c r="I2612" s="1">
        <v>1</v>
      </c>
      <c r="J2612" s="1">
        <v>1</v>
      </c>
      <c r="K2612" s="1">
        <v>1</v>
      </c>
      <c r="M2612" s="1">
        <v>695</v>
      </c>
      <c r="N2612" s="1">
        <v>738</v>
      </c>
      <c r="O2612" s="1">
        <v>750</v>
      </c>
      <c r="P2612" s="1">
        <v>12</v>
      </c>
      <c r="Q2612" s="1" t="s">
        <v>42</v>
      </c>
      <c r="S2612" s="1" t="s">
        <v>42</v>
      </c>
      <c r="T2612" s="1" t="s">
        <v>170</v>
      </c>
      <c r="U2612" s="1">
        <v>2</v>
      </c>
      <c r="V2612" s="5">
        <v>43683</v>
      </c>
      <c r="W2612" s="5">
        <v>43194</v>
      </c>
      <c r="X2612" s="1">
        <v>1390000</v>
      </c>
      <c r="Y2612" s="1">
        <v>1390000</v>
      </c>
      <c r="Z2612" s="5">
        <v>43196</v>
      </c>
      <c r="AA2612" s="1">
        <v>1419367</v>
      </c>
      <c r="AB2612" s="1" t="s">
        <v>1937</v>
      </c>
      <c r="AC2612" s="5">
        <v>43554</v>
      </c>
      <c r="AF2612" s="1">
        <v>10002</v>
      </c>
      <c r="AI2612" s="1" t="s">
        <v>1921</v>
      </c>
      <c r="AJ2612" s="1">
        <v>2019</v>
      </c>
      <c r="AK2612" s="1" t="s">
        <v>73</v>
      </c>
      <c r="AL2612" s="1">
        <v>787</v>
      </c>
    </row>
    <row r="2613" spans="1:38" x14ac:dyDescent="0.2">
      <c r="A2613" s="2" t="str">
        <f>HYPERLINK("https://www.compass.com/listing/252-south-street-unit-8b-manhattan-ny-10002/29513515190544193/","252 South St, Unit 8B")</f>
        <v>252 South St, Unit 8B</v>
      </c>
      <c r="B2613" s="2" t="str">
        <f t="shared" si="369"/>
        <v>One Manhattan Square</v>
      </c>
      <c r="C2613" s="1" t="s">
        <v>66</v>
      </c>
      <c r="D2613" s="1" t="s">
        <v>41</v>
      </c>
      <c r="E2613" s="3">
        <v>1404093</v>
      </c>
      <c r="F2613" s="1">
        <v>2017.375</v>
      </c>
      <c r="G2613" s="1">
        <v>3</v>
      </c>
      <c r="H2613" s="1">
        <v>1</v>
      </c>
      <c r="I2613" s="1">
        <v>1</v>
      </c>
      <c r="J2613" s="1">
        <v>1</v>
      </c>
      <c r="K2613" s="1">
        <v>1</v>
      </c>
      <c r="M2613" s="1">
        <v>696</v>
      </c>
      <c r="N2613" s="1">
        <v>735</v>
      </c>
      <c r="O2613" s="1">
        <v>747</v>
      </c>
      <c r="P2613" s="1">
        <v>12</v>
      </c>
      <c r="Q2613" s="1" t="s">
        <v>42</v>
      </c>
      <c r="S2613" s="1" t="s">
        <v>42</v>
      </c>
      <c r="T2613" s="1" t="s">
        <v>170</v>
      </c>
      <c r="U2613" s="1">
        <v>2</v>
      </c>
      <c r="V2613" s="5">
        <v>43670</v>
      </c>
      <c r="W2613" s="5">
        <v>43194</v>
      </c>
      <c r="X2613" s="1">
        <v>1415000</v>
      </c>
      <c r="Y2613" s="1">
        <v>1415000</v>
      </c>
      <c r="Z2613" s="5">
        <v>43196</v>
      </c>
      <c r="AA2613" s="1">
        <v>1404093</v>
      </c>
      <c r="AB2613" s="1" t="s">
        <v>1938</v>
      </c>
      <c r="AC2613" s="5">
        <v>43529</v>
      </c>
      <c r="AF2613" s="1">
        <v>10002</v>
      </c>
      <c r="AI2613" s="1" t="s">
        <v>55</v>
      </c>
      <c r="AJ2613" s="1">
        <v>2019</v>
      </c>
      <c r="AK2613" s="1" t="s">
        <v>73</v>
      </c>
      <c r="AL2613" s="1">
        <v>787</v>
      </c>
    </row>
    <row r="2614" spans="1:38" x14ac:dyDescent="0.2">
      <c r="A2614" s="2" t="str">
        <f>HYPERLINK("https://www.compass.com/listing/252-south-street-unit-28p-manhattan-ny-10002/29513553576816305/","252 South St, Unit 28P")</f>
        <v>252 South St, Unit 28P</v>
      </c>
      <c r="B2614" s="2" t="str">
        <f t="shared" si="369"/>
        <v>One Manhattan Square</v>
      </c>
      <c r="C2614" s="1" t="s">
        <v>66</v>
      </c>
      <c r="D2614" s="1" t="s">
        <v>41</v>
      </c>
      <c r="E2614" s="3">
        <v>1409185</v>
      </c>
      <c r="F2614" s="1">
        <v>1949.08022130013</v>
      </c>
      <c r="G2614" s="1">
        <v>3</v>
      </c>
      <c r="H2614" s="1">
        <v>1</v>
      </c>
      <c r="I2614" s="1">
        <v>1</v>
      </c>
      <c r="J2614" s="1">
        <v>1</v>
      </c>
      <c r="M2614" s="1">
        <v>723</v>
      </c>
      <c r="N2614" s="1">
        <v>836</v>
      </c>
      <c r="O2614" s="1">
        <v>850</v>
      </c>
      <c r="P2614" s="1">
        <v>14</v>
      </c>
      <c r="Q2614" s="1" t="s">
        <v>42</v>
      </c>
      <c r="S2614" s="1" t="s">
        <v>42</v>
      </c>
      <c r="T2614" s="1" t="s">
        <v>170</v>
      </c>
      <c r="U2614" s="1">
        <v>3</v>
      </c>
      <c r="V2614" s="5">
        <v>43696</v>
      </c>
      <c r="W2614" s="5">
        <v>42693</v>
      </c>
      <c r="X2614" s="1">
        <v>1456000</v>
      </c>
      <c r="Y2614" s="1">
        <v>1456000</v>
      </c>
      <c r="Z2614" s="5">
        <v>42696</v>
      </c>
      <c r="AA2614" s="1">
        <v>1409185</v>
      </c>
      <c r="AB2614" s="1" t="s">
        <v>1939</v>
      </c>
      <c r="AC2614" s="5">
        <v>43633</v>
      </c>
      <c r="AF2614" s="1">
        <v>10002</v>
      </c>
      <c r="AI2614" s="1" t="s">
        <v>1921</v>
      </c>
      <c r="AJ2614" s="1">
        <v>2019</v>
      </c>
      <c r="AK2614" s="1" t="s">
        <v>73</v>
      </c>
      <c r="AL2614" s="1">
        <v>787</v>
      </c>
    </row>
    <row r="2615" spans="1:38" x14ac:dyDescent="0.2">
      <c r="A2615" s="2" t="str">
        <f>HYPERLINK("https://www.compass.com/listing/252-south-street-unit-35j-manhattan-ny-10002/29513555262926577/","252 South St, Unit 35J")</f>
        <v>252 South St, Unit 35J</v>
      </c>
      <c r="B2615" s="2" t="str">
        <f t="shared" si="369"/>
        <v>One Manhattan Square</v>
      </c>
      <c r="C2615" s="1" t="s">
        <v>66</v>
      </c>
      <c r="D2615" s="1" t="s">
        <v>41</v>
      </c>
      <c r="E2615" s="3">
        <v>1407149</v>
      </c>
      <c r="F2615" s="1">
        <v>2024.67410071942</v>
      </c>
      <c r="G2615" s="1">
        <v>3</v>
      </c>
      <c r="H2615" s="1">
        <v>1</v>
      </c>
      <c r="I2615" s="1">
        <v>1</v>
      </c>
      <c r="J2615" s="1">
        <v>1</v>
      </c>
      <c r="M2615" s="1">
        <v>695</v>
      </c>
      <c r="N2615" s="1">
        <v>825</v>
      </c>
      <c r="O2615" s="1">
        <v>839</v>
      </c>
      <c r="P2615" s="1">
        <v>14</v>
      </c>
      <c r="Q2615" s="1" t="s">
        <v>42</v>
      </c>
      <c r="S2615" s="1" t="s">
        <v>42</v>
      </c>
      <c r="T2615" s="1" t="s">
        <v>170</v>
      </c>
      <c r="U2615" s="1">
        <v>3</v>
      </c>
      <c r="V2615" s="5">
        <v>43704</v>
      </c>
      <c r="W2615" s="5">
        <v>42791</v>
      </c>
      <c r="X2615" s="1">
        <v>1420000</v>
      </c>
      <c r="Y2615" s="1">
        <v>1420000</v>
      </c>
      <c r="Z2615" s="5">
        <v>42794</v>
      </c>
      <c r="AA2615" s="1">
        <v>1407148.5</v>
      </c>
      <c r="AB2615" s="1" t="s">
        <v>1940</v>
      </c>
      <c r="AC2615" s="5">
        <v>43686</v>
      </c>
      <c r="AF2615" s="1">
        <v>10002</v>
      </c>
      <c r="AI2615" s="1" t="s">
        <v>55</v>
      </c>
      <c r="AJ2615" s="1">
        <v>2019</v>
      </c>
      <c r="AK2615" s="1" t="s">
        <v>73</v>
      </c>
      <c r="AL2615" s="1">
        <v>787</v>
      </c>
    </row>
    <row r="2616" spans="1:38" x14ac:dyDescent="0.2">
      <c r="A2616" s="2" t="str">
        <f>HYPERLINK("https://www.compass.com/listing/252-south-street-unit-36j-manhattan-ny-10002/465140589026022273/","252 South St, Unit 36J")</f>
        <v>252 South St, Unit 36J</v>
      </c>
      <c r="B2616" s="2" t="str">
        <f t="shared" si="369"/>
        <v>One Manhattan Square</v>
      </c>
      <c r="C2616" s="1" t="s">
        <v>66</v>
      </c>
      <c r="D2616" s="1" t="s">
        <v>41</v>
      </c>
      <c r="E2616" s="3">
        <v>1432964</v>
      </c>
      <c r="F2616" s="1">
        <v>2061.8183741007101</v>
      </c>
      <c r="G2616" s="1">
        <v>3</v>
      </c>
      <c r="H2616" s="1">
        <v>1</v>
      </c>
      <c r="I2616" s="1">
        <v>1</v>
      </c>
      <c r="J2616" s="1">
        <v>1</v>
      </c>
      <c r="K2616" s="1">
        <v>1</v>
      </c>
      <c r="M2616" s="1">
        <v>695</v>
      </c>
      <c r="N2616" s="1">
        <v>841</v>
      </c>
      <c r="O2616" s="1">
        <v>854</v>
      </c>
      <c r="P2616" s="1">
        <v>13</v>
      </c>
      <c r="Q2616" s="1" t="s">
        <v>42</v>
      </c>
      <c r="S2616" s="1" t="s">
        <v>42</v>
      </c>
      <c r="T2616" s="1" t="s">
        <v>170</v>
      </c>
      <c r="U2616" s="1">
        <v>2</v>
      </c>
      <c r="V2616" s="5">
        <v>43938</v>
      </c>
      <c r="W2616" s="5">
        <v>43894</v>
      </c>
      <c r="X2616" s="1">
        <v>1440000</v>
      </c>
      <c r="Y2616" s="1">
        <v>1418400</v>
      </c>
      <c r="Z2616" s="5">
        <v>43897</v>
      </c>
      <c r="AA2616" s="1">
        <v>1432963.77</v>
      </c>
      <c r="AB2616" s="1" t="s">
        <v>1941</v>
      </c>
      <c r="AC2616" s="5">
        <v>43934</v>
      </c>
      <c r="AF2616" s="1">
        <v>10002</v>
      </c>
      <c r="AI2616" s="1" t="s">
        <v>55</v>
      </c>
      <c r="AJ2616" s="1">
        <v>2019</v>
      </c>
      <c r="AK2616" s="1" t="s">
        <v>73</v>
      </c>
      <c r="AL2616" s="1">
        <v>787</v>
      </c>
    </row>
    <row r="2617" spans="1:38" x14ac:dyDescent="0.2">
      <c r="A2617" s="2" t="str">
        <f>HYPERLINK("https://www.compass.com/listing/25-park-row-unit-28a-manhattan-ny-10038/178432625797514913/","25 Park Row, Unit 28A")</f>
        <v>25 Park Row, Unit 28A</v>
      </c>
      <c r="B2617" s="2" t="str">
        <f>HYPERLINK("https://www.compass.com/building/25-park-row-manhattan-ny-10038/292920743539264837/","25 Park Row")</f>
        <v>25 Park Row</v>
      </c>
      <c r="C2617" s="1" t="s">
        <v>117</v>
      </c>
      <c r="D2617" s="1" t="s">
        <v>41</v>
      </c>
      <c r="E2617" s="3">
        <v>4150000</v>
      </c>
      <c r="F2617" s="1">
        <v>2295.35398230088</v>
      </c>
      <c r="G2617" s="1">
        <v>5</v>
      </c>
      <c r="H2617" s="1">
        <v>3</v>
      </c>
      <c r="I2617" s="1">
        <v>3</v>
      </c>
      <c r="J2617" s="1">
        <v>3</v>
      </c>
      <c r="K2617" s="1">
        <v>3</v>
      </c>
      <c r="M2617" s="4">
        <v>1808</v>
      </c>
      <c r="N2617" s="1">
        <v>2463.17</v>
      </c>
      <c r="O2617" s="1">
        <v>4926.68</v>
      </c>
      <c r="P2617" s="1">
        <v>2463.5</v>
      </c>
      <c r="Q2617" s="1" t="s">
        <v>42</v>
      </c>
      <c r="S2617" s="1" t="s">
        <v>42</v>
      </c>
      <c r="T2617" s="1" t="s">
        <v>170</v>
      </c>
      <c r="U2617" s="1">
        <v>70</v>
      </c>
      <c r="V2617" s="5">
        <v>44397</v>
      </c>
      <c r="W2617" s="5">
        <v>44245</v>
      </c>
      <c r="Y2617" s="1">
        <v>4275000</v>
      </c>
      <c r="AA2617" s="1">
        <v>4150000</v>
      </c>
      <c r="AB2617" s="1" t="s">
        <v>1942</v>
      </c>
      <c r="AC2617" s="5">
        <v>44396</v>
      </c>
      <c r="AF2617" s="1">
        <v>10038</v>
      </c>
      <c r="AI2617" s="1" t="s">
        <v>116</v>
      </c>
      <c r="AJ2617" s="1">
        <v>2019</v>
      </c>
      <c r="AK2617" s="1" t="s">
        <v>77</v>
      </c>
      <c r="AL2617" s="1">
        <v>110</v>
      </c>
    </row>
    <row r="2618" spans="1:38" x14ac:dyDescent="0.2">
      <c r="A2618" s="2" t="str">
        <f>HYPERLINK("https://www.compass.com/listing/252-south-street-unit-21f-manhattan-ny-10002/746815789381893137/","252 South St, Unit 21F")</f>
        <v>252 South St, Unit 21F</v>
      </c>
      <c r="B2618" s="2" t="str">
        <f t="shared" ref="B2618:B2635" si="370">HYPERLINK("https://www.compass.com/building/one-manhattan-square-manhattan-ny/294844950218926165/","One Manhattan Square")</f>
        <v>One Manhattan Square</v>
      </c>
      <c r="C2618" s="1" t="s">
        <v>66</v>
      </c>
      <c r="D2618" s="1" t="s">
        <v>41</v>
      </c>
      <c r="E2618" s="3">
        <v>1080000</v>
      </c>
      <c r="F2618" s="1">
        <v>1553.9568345323701</v>
      </c>
      <c r="H2618" s="1">
        <v>1</v>
      </c>
      <c r="J2618" s="1">
        <v>1</v>
      </c>
      <c r="M2618" s="1">
        <v>695</v>
      </c>
      <c r="N2618" s="1">
        <v>778</v>
      </c>
      <c r="O2618" s="1">
        <v>791</v>
      </c>
      <c r="P2618" s="1">
        <v>13</v>
      </c>
      <c r="Q2618" s="1" t="s">
        <v>42</v>
      </c>
      <c r="S2618" s="1" t="s">
        <v>42</v>
      </c>
      <c r="T2618" s="1" t="s">
        <v>170</v>
      </c>
      <c r="AA2618" s="1">
        <v>1080000</v>
      </c>
      <c r="AB2618" s="1" t="s">
        <v>1943</v>
      </c>
      <c r="AC2618" s="5">
        <v>44243</v>
      </c>
      <c r="AF2618" s="1">
        <v>10002</v>
      </c>
      <c r="AI2618" s="1" t="s">
        <v>55</v>
      </c>
      <c r="AJ2618" s="1">
        <v>2019</v>
      </c>
      <c r="AK2618" s="1" t="s">
        <v>46</v>
      </c>
      <c r="AL2618" s="1">
        <v>787</v>
      </c>
    </row>
    <row r="2619" spans="1:38" x14ac:dyDescent="0.2">
      <c r="A2619" s="2" t="str">
        <f>HYPERLINK("https://www.compass.com/listing/252-south-street-unit-18g-manhattan-ny-10002/4849516397073539329/","252 South St, Unit 18G")</f>
        <v>252 South St, Unit 18G</v>
      </c>
      <c r="B2619" s="2" t="str">
        <f t="shared" si="370"/>
        <v>One Manhattan Square</v>
      </c>
      <c r="C2619" s="1" t="s">
        <v>66</v>
      </c>
      <c r="D2619" s="1" t="s">
        <v>41</v>
      </c>
      <c r="E2619" s="3">
        <v>1150295</v>
      </c>
      <c r="F2619" s="1">
        <v>1591.00276625172</v>
      </c>
      <c r="G2619" s="1">
        <v>3</v>
      </c>
      <c r="H2619" s="1">
        <v>1</v>
      </c>
      <c r="I2619" s="1">
        <v>1</v>
      </c>
      <c r="J2619" s="1">
        <v>1</v>
      </c>
      <c r="M2619" s="1">
        <v>723</v>
      </c>
      <c r="N2619" s="1">
        <v>794</v>
      </c>
      <c r="O2619" s="1">
        <v>808</v>
      </c>
      <c r="P2619" s="1">
        <v>14</v>
      </c>
      <c r="Q2619" s="1" t="s">
        <v>42</v>
      </c>
      <c r="S2619" s="1" t="s">
        <v>42</v>
      </c>
      <c r="T2619" s="1" t="s">
        <v>170</v>
      </c>
      <c r="U2619" s="1">
        <v>4</v>
      </c>
      <c r="V2619" s="5">
        <v>43696</v>
      </c>
      <c r="W2619" s="5">
        <v>42749</v>
      </c>
      <c r="X2619" s="1">
        <v>1185000</v>
      </c>
      <c r="Y2619" s="1">
        <v>1185000</v>
      </c>
      <c r="Z2619" s="5">
        <v>42753</v>
      </c>
      <c r="AA2619" s="1">
        <v>1150295.94</v>
      </c>
      <c r="AB2619" s="1" t="s">
        <v>1944</v>
      </c>
      <c r="AC2619" s="5">
        <v>43579</v>
      </c>
      <c r="AF2619" s="1">
        <v>10002</v>
      </c>
      <c r="AI2619" s="1" t="s">
        <v>1921</v>
      </c>
      <c r="AJ2619" s="1">
        <v>2019</v>
      </c>
      <c r="AK2619" s="1" t="s">
        <v>73</v>
      </c>
      <c r="AL2619" s="1">
        <v>787</v>
      </c>
    </row>
    <row r="2620" spans="1:38" x14ac:dyDescent="0.2">
      <c r="A2620" s="2" t="str">
        <f>HYPERLINK("https://www.compass.com/listing/252-south-street-unit-41k-manhattan-ny-10002/224489174777036817/","252 South St, Unit 41K")</f>
        <v>252 South St, Unit 41K</v>
      </c>
      <c r="B2620" s="2" t="str">
        <f t="shared" si="370"/>
        <v>One Manhattan Square</v>
      </c>
      <c r="C2620" s="1" t="s">
        <v>66</v>
      </c>
      <c r="D2620" s="1" t="s">
        <v>41</v>
      </c>
      <c r="E2620" s="3">
        <v>2559020</v>
      </c>
      <c r="F2620" s="1">
        <v>2278.7355298308098</v>
      </c>
      <c r="G2620" s="1">
        <v>4</v>
      </c>
      <c r="H2620" s="1">
        <v>2</v>
      </c>
      <c r="I2620" s="1">
        <v>2</v>
      </c>
      <c r="J2620" s="1">
        <v>2</v>
      </c>
      <c r="K2620" s="1">
        <v>2</v>
      </c>
      <c r="M2620" s="4">
        <v>1123</v>
      </c>
      <c r="N2620" s="1">
        <v>1374</v>
      </c>
      <c r="O2620" s="1">
        <v>1397.14</v>
      </c>
      <c r="P2620" s="1">
        <v>23.1666666666666</v>
      </c>
      <c r="Q2620" s="1" t="s">
        <v>42</v>
      </c>
      <c r="S2620" s="1" t="s">
        <v>42</v>
      </c>
      <c r="T2620" s="1" t="s">
        <v>170</v>
      </c>
      <c r="V2620" s="5">
        <v>43696</v>
      </c>
      <c r="W2620" s="5">
        <v>43562</v>
      </c>
      <c r="X2620" s="1">
        <v>2566000</v>
      </c>
      <c r="Y2620" s="1">
        <v>2566000</v>
      </c>
      <c r="Z2620" s="5">
        <v>43562</v>
      </c>
      <c r="AA2620" s="1">
        <v>2559020</v>
      </c>
      <c r="AB2620" s="1" t="s">
        <v>1945</v>
      </c>
      <c r="AC2620" s="5">
        <v>43630</v>
      </c>
      <c r="AF2620" s="1">
        <v>10002</v>
      </c>
      <c r="AI2620" s="1" t="s">
        <v>55</v>
      </c>
      <c r="AJ2620" s="1">
        <v>2019</v>
      </c>
      <c r="AK2620" s="1" t="s">
        <v>73</v>
      </c>
      <c r="AL2620" s="1">
        <v>787</v>
      </c>
    </row>
    <row r="2621" spans="1:38" x14ac:dyDescent="0.2">
      <c r="A2621" s="2" t="str">
        <f>HYPERLINK("https://www.compass.com/listing/252-south-street-unit-47k-manhattan-ny-10002/292793945568576177/","252 South St, Unit 47K")</f>
        <v>252 South St, Unit 47K</v>
      </c>
      <c r="B2621" s="2" t="str">
        <f t="shared" si="370"/>
        <v>One Manhattan Square</v>
      </c>
      <c r="C2621" s="1" t="s">
        <v>66</v>
      </c>
      <c r="D2621" s="1" t="s">
        <v>41</v>
      </c>
      <c r="E2621" s="3">
        <v>2549625</v>
      </c>
      <c r="F2621" s="1">
        <v>2270.3695458593002</v>
      </c>
      <c r="G2621" s="1">
        <v>4</v>
      </c>
      <c r="H2621" s="1">
        <v>2</v>
      </c>
      <c r="I2621" s="1">
        <v>2</v>
      </c>
      <c r="J2621" s="1">
        <v>2</v>
      </c>
      <c r="K2621" s="1">
        <v>2</v>
      </c>
      <c r="M2621" s="4">
        <v>1123</v>
      </c>
      <c r="N2621" s="1">
        <v>1425</v>
      </c>
      <c r="O2621" s="1">
        <v>1448</v>
      </c>
      <c r="P2621" s="1">
        <v>23</v>
      </c>
      <c r="Q2621" s="1" t="s">
        <v>42</v>
      </c>
      <c r="S2621" s="1" t="s">
        <v>42</v>
      </c>
      <c r="T2621" s="1" t="s">
        <v>170</v>
      </c>
      <c r="U2621" s="1">
        <v>2</v>
      </c>
      <c r="V2621" s="5">
        <v>43715</v>
      </c>
      <c r="W2621" s="5">
        <v>43656</v>
      </c>
      <c r="X2621" s="1">
        <v>2587000</v>
      </c>
      <c r="Y2621" s="1">
        <v>2587000</v>
      </c>
      <c r="Z2621" s="5">
        <v>43659</v>
      </c>
      <c r="AA2621" s="1">
        <v>2549625</v>
      </c>
      <c r="AB2621" s="1" t="s">
        <v>1946</v>
      </c>
      <c r="AC2621" s="5">
        <v>43707</v>
      </c>
      <c r="AF2621" s="1">
        <v>10002</v>
      </c>
      <c r="AI2621" s="1" t="s">
        <v>55</v>
      </c>
      <c r="AJ2621" s="1">
        <v>2019</v>
      </c>
      <c r="AK2621" s="1" t="s">
        <v>73</v>
      </c>
      <c r="AL2621" s="1">
        <v>787</v>
      </c>
    </row>
    <row r="2622" spans="1:38" x14ac:dyDescent="0.2">
      <c r="A2622" s="2" t="str">
        <f>HYPERLINK("https://www.compass.com/listing/252-south-street-unit-63d-manhattan-ny-10002/29513551823597169/","252 South St, Unit 63D")</f>
        <v>252 South St, Unit 63D</v>
      </c>
      <c r="B2622" s="2" t="str">
        <f t="shared" si="370"/>
        <v>One Manhattan Square</v>
      </c>
      <c r="C2622" s="1" t="s">
        <v>66</v>
      </c>
      <c r="D2622" s="1" t="s">
        <v>41</v>
      </c>
      <c r="E2622" s="3">
        <v>2855100</v>
      </c>
      <c r="F2622" s="1">
        <v>2440.2564102564102</v>
      </c>
      <c r="G2622" s="1">
        <v>4</v>
      </c>
      <c r="H2622" s="1">
        <v>2</v>
      </c>
      <c r="I2622" s="1">
        <v>2</v>
      </c>
      <c r="J2622" s="1">
        <v>2</v>
      </c>
      <c r="M2622" s="4">
        <v>1170</v>
      </c>
      <c r="N2622" s="1">
        <v>1567.48</v>
      </c>
      <c r="O2622" s="1">
        <v>1593.87</v>
      </c>
      <c r="P2622" s="1">
        <v>26.4166666666666</v>
      </c>
      <c r="Q2622" s="1" t="s">
        <v>42</v>
      </c>
      <c r="S2622" s="1" t="s">
        <v>42</v>
      </c>
      <c r="T2622" s="1" t="s">
        <v>170</v>
      </c>
      <c r="U2622" s="1">
        <v>83</v>
      </c>
      <c r="V2622" s="5">
        <v>43938</v>
      </c>
      <c r="W2622" s="5">
        <v>42684</v>
      </c>
      <c r="Y2622" s="1">
        <v>3336000</v>
      </c>
      <c r="Z2622" s="5">
        <v>42768</v>
      </c>
      <c r="AA2622" s="1">
        <v>2855100</v>
      </c>
      <c r="AB2622" s="1" t="s">
        <v>1947</v>
      </c>
      <c r="AC2622" s="5">
        <v>43740</v>
      </c>
      <c r="AF2622" s="1">
        <v>10002</v>
      </c>
      <c r="AI2622" s="1" t="s">
        <v>55</v>
      </c>
      <c r="AJ2622" s="1">
        <v>2019</v>
      </c>
      <c r="AK2622" s="1" t="s">
        <v>73</v>
      </c>
      <c r="AL2622" s="1">
        <v>787</v>
      </c>
    </row>
    <row r="2623" spans="1:38" x14ac:dyDescent="0.2">
      <c r="A2623" s="2" t="str">
        <f>HYPERLINK("https://www.compass.com/listing/252-south-street-unit-25a-manhattan-ny-10002/29513554382122705/","252 South St, Unit 25A")</f>
        <v>252 South St, Unit 25A</v>
      </c>
      <c r="B2623" s="2" t="str">
        <f t="shared" si="370"/>
        <v>One Manhattan Square</v>
      </c>
      <c r="C2623" s="1" t="s">
        <v>66</v>
      </c>
      <c r="D2623" s="1" t="s">
        <v>41</v>
      </c>
      <c r="E2623" s="3">
        <v>2442708</v>
      </c>
      <c r="F2623" s="1">
        <v>2102.1583476764199</v>
      </c>
      <c r="G2623" s="1">
        <v>4</v>
      </c>
      <c r="H2623" s="1">
        <v>2</v>
      </c>
      <c r="I2623" s="1">
        <v>2</v>
      </c>
      <c r="J2623" s="1">
        <v>2</v>
      </c>
      <c r="M2623" s="4">
        <v>1162</v>
      </c>
      <c r="N2623" s="1">
        <v>1325</v>
      </c>
      <c r="O2623" s="1">
        <v>1347</v>
      </c>
      <c r="P2623" s="1">
        <v>22</v>
      </c>
      <c r="Q2623" s="1" t="s">
        <v>42</v>
      </c>
      <c r="S2623" s="1" t="s">
        <v>42</v>
      </c>
      <c r="T2623" s="1" t="s">
        <v>170</v>
      </c>
      <c r="U2623" s="1">
        <v>7</v>
      </c>
      <c r="V2623" s="5">
        <v>43696</v>
      </c>
      <c r="W2623" s="5">
        <v>42727</v>
      </c>
      <c r="X2623" s="1">
        <v>2521000</v>
      </c>
      <c r="Y2623" s="1">
        <v>2521000</v>
      </c>
      <c r="Z2623" s="5">
        <v>42734</v>
      </c>
      <c r="AA2623" s="1">
        <v>2442708.75</v>
      </c>
      <c r="AB2623" s="1" t="s">
        <v>1948</v>
      </c>
      <c r="AC2623" s="5">
        <v>43593</v>
      </c>
      <c r="AF2623" s="1">
        <v>10002</v>
      </c>
      <c r="AI2623" s="1" t="s">
        <v>1921</v>
      </c>
      <c r="AJ2623" s="1">
        <v>2019</v>
      </c>
      <c r="AK2623" s="1" t="s">
        <v>73</v>
      </c>
      <c r="AL2623" s="1">
        <v>787</v>
      </c>
    </row>
    <row r="2624" spans="1:38" x14ac:dyDescent="0.2">
      <c r="A2624" s="2" t="str">
        <f>HYPERLINK("https://www.compass.com/listing/252-south-street-unit-43k-manhattan-ny-10002/384075226156655921/","252 South St, Unit 43K")</f>
        <v>252 South St, Unit 43K</v>
      </c>
      <c r="B2624" s="2" t="str">
        <f t="shared" si="370"/>
        <v>One Manhattan Square</v>
      </c>
      <c r="C2624" s="1" t="s">
        <v>66</v>
      </c>
      <c r="D2624" s="1" t="s">
        <v>41</v>
      </c>
      <c r="E2624" s="3">
        <v>2468674</v>
      </c>
      <c r="F2624" s="1">
        <v>2198.28506678539</v>
      </c>
      <c r="G2624" s="1">
        <v>4</v>
      </c>
      <c r="H2624" s="1">
        <v>2</v>
      </c>
      <c r="I2624" s="1">
        <v>2</v>
      </c>
      <c r="J2624" s="1">
        <v>2</v>
      </c>
      <c r="K2624" s="1">
        <v>2</v>
      </c>
      <c r="M2624" s="4">
        <v>1123</v>
      </c>
      <c r="N2624" s="1">
        <v>1406.69</v>
      </c>
      <c r="O2624" s="1">
        <v>1428.9</v>
      </c>
      <c r="P2624" s="1">
        <v>22.25</v>
      </c>
      <c r="Q2624" s="1" t="s">
        <v>42</v>
      </c>
      <c r="S2624" s="1" t="s">
        <v>42</v>
      </c>
      <c r="T2624" s="1" t="s">
        <v>170</v>
      </c>
      <c r="U2624" s="1">
        <v>3</v>
      </c>
      <c r="V2624" s="5">
        <v>43830</v>
      </c>
      <c r="W2624" s="5">
        <v>43782</v>
      </c>
      <c r="X2624" s="1">
        <v>2575000</v>
      </c>
      <c r="Y2624" s="1">
        <v>2575000</v>
      </c>
      <c r="Z2624" s="5">
        <v>43785</v>
      </c>
      <c r="AA2624" s="1">
        <v>2468674.13</v>
      </c>
      <c r="AB2624" s="1" t="s">
        <v>1949</v>
      </c>
      <c r="AC2624" s="5">
        <v>43811</v>
      </c>
      <c r="AF2624" s="1">
        <v>10002</v>
      </c>
      <c r="AI2624" s="1" t="s">
        <v>55</v>
      </c>
      <c r="AJ2624" s="1">
        <v>2019</v>
      </c>
      <c r="AK2624" s="1" t="s">
        <v>73</v>
      </c>
      <c r="AL2624" s="1">
        <v>787</v>
      </c>
    </row>
    <row r="2625" spans="1:38" x14ac:dyDescent="0.2">
      <c r="A2625" s="2" t="str">
        <f>HYPERLINK("https://www.compass.com/listing/252-south-street-unit-42l-manhattan-ny-10002/4849516306568840881/","252 South St, Unit 42L")</f>
        <v>252 South St, Unit 42L</v>
      </c>
      <c r="B2625" s="2" t="str">
        <f t="shared" si="370"/>
        <v>One Manhattan Square</v>
      </c>
      <c r="C2625" s="1" t="s">
        <v>66</v>
      </c>
      <c r="D2625" s="1" t="s">
        <v>41</v>
      </c>
      <c r="E2625" s="3">
        <v>2580173</v>
      </c>
      <c r="F2625" s="1">
        <v>2297.5712377560099</v>
      </c>
      <c r="G2625" s="1">
        <v>5</v>
      </c>
      <c r="H2625" s="1">
        <v>2</v>
      </c>
      <c r="I2625" s="1">
        <v>2</v>
      </c>
      <c r="J2625" s="1">
        <v>2</v>
      </c>
      <c r="M2625" s="4">
        <v>1123</v>
      </c>
      <c r="N2625" s="1">
        <v>1381</v>
      </c>
      <c r="O2625" s="1">
        <v>1404</v>
      </c>
      <c r="P2625" s="1">
        <v>23</v>
      </c>
      <c r="Q2625" s="1" t="s">
        <v>42</v>
      </c>
      <c r="S2625" s="1" t="s">
        <v>42</v>
      </c>
      <c r="T2625" s="1" t="s">
        <v>170</v>
      </c>
      <c r="V2625" s="5">
        <v>43802</v>
      </c>
      <c r="W2625" s="5">
        <v>43169</v>
      </c>
      <c r="X2625" s="1">
        <v>2680000</v>
      </c>
      <c r="Y2625" s="1">
        <v>2680000</v>
      </c>
      <c r="Z2625" s="5">
        <v>43169</v>
      </c>
      <c r="AA2625" s="1">
        <v>2580172.5</v>
      </c>
      <c r="AB2625" s="1" t="s">
        <v>1950</v>
      </c>
      <c r="AC2625" s="5">
        <v>43789</v>
      </c>
      <c r="AF2625" s="1">
        <v>10002</v>
      </c>
      <c r="AI2625" s="1" t="s">
        <v>1921</v>
      </c>
      <c r="AJ2625" s="1">
        <v>2019</v>
      </c>
      <c r="AK2625" s="1" t="s">
        <v>73</v>
      </c>
      <c r="AL2625" s="1">
        <v>787</v>
      </c>
    </row>
    <row r="2626" spans="1:38" x14ac:dyDescent="0.2">
      <c r="A2626" s="2" t="str">
        <f>HYPERLINK("https://www.compass.com/listing/252-south-street-unit-39l-manhattan-ny-10002/674615094172059673/","252 South St, Unit 39L")</f>
        <v>252 South St, Unit 39L</v>
      </c>
      <c r="B2626" s="2" t="str">
        <f t="shared" si="370"/>
        <v>One Manhattan Square</v>
      </c>
      <c r="C2626" s="1" t="s">
        <v>66</v>
      </c>
      <c r="D2626" s="1" t="s">
        <v>41</v>
      </c>
      <c r="E2626" s="3">
        <v>2591373</v>
      </c>
      <c r="F2626" s="1">
        <v>2307.5451914514601</v>
      </c>
      <c r="H2626" s="1">
        <v>2</v>
      </c>
      <c r="J2626" s="1">
        <v>2</v>
      </c>
      <c r="K2626" s="1">
        <v>2</v>
      </c>
      <c r="M2626" s="4">
        <v>1123</v>
      </c>
      <c r="N2626" s="1">
        <v>1384</v>
      </c>
      <c r="O2626" s="1">
        <v>1406</v>
      </c>
      <c r="P2626" s="1">
        <v>22</v>
      </c>
      <c r="Q2626" s="1" t="s">
        <v>42</v>
      </c>
      <c r="S2626" s="1" t="s">
        <v>42</v>
      </c>
      <c r="T2626" s="1" t="s">
        <v>170</v>
      </c>
      <c r="AA2626" s="1">
        <v>2591373.25</v>
      </c>
      <c r="AB2626" s="1" t="s">
        <v>1951</v>
      </c>
      <c r="AC2626" s="5">
        <v>44138</v>
      </c>
      <c r="AF2626" s="1">
        <v>10002</v>
      </c>
      <c r="AI2626" s="1" t="s">
        <v>55</v>
      </c>
      <c r="AJ2626" s="1">
        <v>2019</v>
      </c>
      <c r="AK2626" s="1" t="s">
        <v>46</v>
      </c>
      <c r="AL2626" s="1">
        <v>787</v>
      </c>
    </row>
    <row r="2627" spans="1:38" x14ac:dyDescent="0.2">
      <c r="A2627" s="2" t="str">
        <f>HYPERLINK("https://www.compass.com/listing/252-south-street-unit-18l-manhattan-ny-10002/689610474874726569/","252 South St, Unit 18L")</f>
        <v>252 South St, Unit 18L</v>
      </c>
      <c r="B2627" s="2" t="str">
        <f t="shared" si="370"/>
        <v>One Manhattan Square</v>
      </c>
      <c r="C2627" s="1" t="s">
        <v>66</v>
      </c>
      <c r="D2627" s="1" t="s">
        <v>41</v>
      </c>
      <c r="E2627" s="3">
        <v>1948858</v>
      </c>
      <c r="F2627" s="1">
        <v>1735.4029385574299</v>
      </c>
      <c r="H2627" s="1">
        <v>2</v>
      </c>
      <c r="J2627" s="1">
        <v>2</v>
      </c>
      <c r="K2627" s="1">
        <v>2</v>
      </c>
      <c r="M2627" s="4">
        <v>1123</v>
      </c>
      <c r="N2627" s="1">
        <v>1251</v>
      </c>
      <c r="O2627" s="1">
        <v>1271</v>
      </c>
      <c r="P2627" s="1">
        <v>20</v>
      </c>
      <c r="Q2627" s="1" t="s">
        <v>42</v>
      </c>
      <c r="S2627" s="1" t="s">
        <v>42</v>
      </c>
      <c r="T2627" s="1" t="s">
        <v>170</v>
      </c>
      <c r="AA2627" s="1">
        <v>1948857.5</v>
      </c>
      <c r="AB2627" s="1" t="s">
        <v>1952</v>
      </c>
      <c r="AC2627" s="5">
        <v>44182</v>
      </c>
      <c r="AF2627" s="1">
        <v>10002</v>
      </c>
      <c r="AI2627" s="1" t="s">
        <v>55</v>
      </c>
      <c r="AJ2627" s="1">
        <v>2019</v>
      </c>
      <c r="AK2627" s="1" t="s">
        <v>46</v>
      </c>
      <c r="AL2627" s="1">
        <v>787</v>
      </c>
    </row>
    <row r="2628" spans="1:38" x14ac:dyDescent="0.2">
      <c r="A2628" s="2" t="str">
        <f>HYPERLINK("https://www.compass.com/listing/252-south-street-unit-8m-manhattan-ny-10002/714982172275483425/","252 South St, Unit 8M")</f>
        <v>252 South St, Unit 8M</v>
      </c>
      <c r="B2628" s="2" t="str">
        <f t="shared" si="370"/>
        <v>One Manhattan Square</v>
      </c>
      <c r="C2628" s="1" t="s">
        <v>66</v>
      </c>
      <c r="D2628" s="1" t="s">
        <v>41</v>
      </c>
      <c r="E2628" s="3">
        <v>1933584</v>
      </c>
      <c r="F2628" s="1">
        <v>1721.8020926090801</v>
      </c>
      <c r="H2628" s="1">
        <v>2</v>
      </c>
      <c r="J2628" s="1">
        <v>2</v>
      </c>
      <c r="K2628" s="1">
        <v>2</v>
      </c>
      <c r="M2628" s="4">
        <v>1123</v>
      </c>
      <c r="N2628" s="1">
        <v>1203</v>
      </c>
      <c r="O2628" s="1">
        <v>1222</v>
      </c>
      <c r="P2628" s="1">
        <v>19</v>
      </c>
      <c r="Q2628" s="1" t="s">
        <v>42</v>
      </c>
      <c r="S2628" s="1" t="s">
        <v>42</v>
      </c>
      <c r="T2628" s="1" t="s">
        <v>170</v>
      </c>
      <c r="AA2628" s="1">
        <v>1933583.75</v>
      </c>
      <c r="AB2628" s="1" t="s">
        <v>1953</v>
      </c>
      <c r="AC2628" s="5">
        <v>44224</v>
      </c>
      <c r="AF2628" s="1">
        <v>10002</v>
      </c>
      <c r="AI2628" s="1" t="s">
        <v>55</v>
      </c>
      <c r="AJ2628" s="1">
        <v>2019</v>
      </c>
      <c r="AK2628" s="1" t="s">
        <v>46</v>
      </c>
      <c r="AL2628" s="1">
        <v>787</v>
      </c>
    </row>
    <row r="2629" spans="1:38" x14ac:dyDescent="0.2">
      <c r="A2629" s="2" t="str">
        <f>HYPERLINK("https://www.compass.com/listing/252-south-street-unit-35l-manhattan-ny-10002/88202084708563345/","252 South St, Unit 35L")</f>
        <v>252 South St, Unit 35L</v>
      </c>
      <c r="B2629" s="2" t="str">
        <f t="shared" si="370"/>
        <v>One Manhattan Square</v>
      </c>
      <c r="C2629" s="1" t="s">
        <v>66</v>
      </c>
      <c r="D2629" s="1" t="s">
        <v>41</v>
      </c>
      <c r="E2629" s="3">
        <v>2641268</v>
      </c>
      <c r="F2629" s="1">
        <v>2351.9746215494201</v>
      </c>
      <c r="G2629" s="1">
        <v>4</v>
      </c>
      <c r="H2629" s="1">
        <v>2</v>
      </c>
      <c r="I2629" s="1">
        <v>2</v>
      </c>
      <c r="J2629" s="1">
        <v>2</v>
      </c>
      <c r="K2629" s="1">
        <v>2</v>
      </c>
      <c r="M2629" s="4">
        <v>1123</v>
      </c>
      <c r="N2629" s="1">
        <v>1333</v>
      </c>
      <c r="O2629" s="1">
        <v>1355</v>
      </c>
      <c r="P2629" s="1">
        <v>22</v>
      </c>
      <c r="Q2629" s="1" t="s">
        <v>42</v>
      </c>
      <c r="S2629" s="1" t="s">
        <v>42</v>
      </c>
      <c r="T2629" s="1" t="s">
        <v>170</v>
      </c>
      <c r="U2629" s="1">
        <v>3</v>
      </c>
      <c r="V2629" s="5">
        <v>43759</v>
      </c>
      <c r="W2629" s="5">
        <v>43373</v>
      </c>
      <c r="X2629" s="1">
        <v>2652000</v>
      </c>
      <c r="Y2629" s="1">
        <v>2652000</v>
      </c>
      <c r="Z2629" s="5">
        <v>43376</v>
      </c>
      <c r="AA2629" s="1">
        <v>2641267.5</v>
      </c>
      <c r="AB2629" s="1" t="s">
        <v>1954</v>
      </c>
      <c r="AC2629" s="5">
        <v>43741</v>
      </c>
      <c r="AF2629" s="1">
        <v>10002</v>
      </c>
      <c r="AI2629" s="1" t="s">
        <v>55</v>
      </c>
      <c r="AJ2629" s="1">
        <v>2019</v>
      </c>
      <c r="AK2629" s="1" t="s">
        <v>73</v>
      </c>
      <c r="AL2629" s="1">
        <v>787</v>
      </c>
    </row>
    <row r="2630" spans="1:38" x14ac:dyDescent="0.2">
      <c r="A2630" s="2" t="str">
        <f>HYPERLINK("https://www.compass.com/listing/252-south-street-unit-7d-manhattan-ny-10002/29513518478878705/","252 South St, Unit 7D")</f>
        <v>252 South St, Unit 7D</v>
      </c>
      <c r="B2630" s="2" t="str">
        <f t="shared" si="370"/>
        <v>One Manhattan Square</v>
      </c>
      <c r="C2630" s="1" t="s">
        <v>66</v>
      </c>
      <c r="D2630" s="1" t="s">
        <v>41</v>
      </c>
      <c r="E2630" s="3">
        <v>2804000</v>
      </c>
      <c r="F2630" s="1">
        <v>2496.8833481745301</v>
      </c>
      <c r="G2630" s="1">
        <v>4</v>
      </c>
      <c r="H2630" s="1">
        <v>2</v>
      </c>
      <c r="I2630" s="1">
        <v>2</v>
      </c>
      <c r="J2630" s="1">
        <v>2</v>
      </c>
      <c r="M2630" s="4">
        <v>1123</v>
      </c>
      <c r="N2630" s="1">
        <v>1348</v>
      </c>
      <c r="O2630" s="1">
        <v>1371</v>
      </c>
      <c r="P2630" s="1">
        <v>23</v>
      </c>
      <c r="Q2630" s="1" t="s">
        <v>42</v>
      </c>
      <c r="S2630" s="1" t="s">
        <v>42</v>
      </c>
      <c r="T2630" s="1" t="s">
        <v>170</v>
      </c>
      <c r="U2630" s="1">
        <v>4</v>
      </c>
      <c r="V2630" s="5">
        <v>43683</v>
      </c>
      <c r="W2630" s="5">
        <v>43112</v>
      </c>
      <c r="X2630" s="1">
        <v>2804000</v>
      </c>
      <c r="Y2630" s="1">
        <v>2804000</v>
      </c>
      <c r="Z2630" s="5">
        <v>43116</v>
      </c>
      <c r="AA2630" s="1">
        <v>2804000</v>
      </c>
      <c r="AB2630" s="1" t="s">
        <v>1955</v>
      </c>
      <c r="AC2630" s="5">
        <v>43636</v>
      </c>
      <c r="AF2630" s="1">
        <v>10002</v>
      </c>
      <c r="AI2630" s="1" t="s">
        <v>1956</v>
      </c>
      <c r="AJ2630" s="1">
        <v>2019</v>
      </c>
      <c r="AK2630" s="1" t="s">
        <v>73</v>
      </c>
      <c r="AL2630" s="1">
        <v>787</v>
      </c>
    </row>
    <row r="2631" spans="1:38" x14ac:dyDescent="0.2">
      <c r="A2631" s="2" t="str">
        <f>HYPERLINK("https://www.compass.com/listing/252-south-street-unit-45l-manhattan-ny-10002/29513549642508225/","252 South St, Unit 45L")</f>
        <v>252 South St, Unit 45L</v>
      </c>
      <c r="B2631" s="2" t="str">
        <f t="shared" si="370"/>
        <v>One Manhattan Square</v>
      </c>
      <c r="C2631" s="1" t="s">
        <v>66</v>
      </c>
      <c r="D2631" s="1" t="s">
        <v>41</v>
      </c>
      <c r="E2631" s="3">
        <v>2657235</v>
      </c>
      <c r="F2631" s="1">
        <v>2366.19317898486</v>
      </c>
      <c r="G2631" s="1">
        <v>4</v>
      </c>
      <c r="H2631" s="1">
        <v>2</v>
      </c>
      <c r="I2631" s="1">
        <v>2</v>
      </c>
      <c r="J2631" s="1">
        <v>2</v>
      </c>
      <c r="M2631" s="4">
        <v>1123</v>
      </c>
      <c r="N2631" s="1">
        <v>1392</v>
      </c>
      <c r="O2631" s="1">
        <v>1415</v>
      </c>
      <c r="P2631" s="1">
        <v>23</v>
      </c>
      <c r="Q2631" s="1" t="s">
        <v>42</v>
      </c>
      <c r="S2631" s="1" t="s">
        <v>42</v>
      </c>
      <c r="T2631" s="1" t="s">
        <v>170</v>
      </c>
      <c r="U2631" s="1">
        <v>79</v>
      </c>
      <c r="V2631" s="5">
        <v>43752</v>
      </c>
      <c r="W2631" s="5">
        <v>42762</v>
      </c>
      <c r="X2631" s="1">
        <v>2632000</v>
      </c>
      <c r="Y2631" s="1">
        <v>2690000</v>
      </c>
      <c r="Z2631" s="5">
        <v>42842</v>
      </c>
      <c r="AA2631" s="1">
        <v>2657234.94</v>
      </c>
      <c r="AB2631" s="1" t="s">
        <v>1957</v>
      </c>
      <c r="AC2631" s="5">
        <v>43742</v>
      </c>
      <c r="AF2631" s="1">
        <v>10002</v>
      </c>
      <c r="AI2631" s="1" t="s">
        <v>55</v>
      </c>
      <c r="AJ2631" s="1">
        <v>2019</v>
      </c>
      <c r="AK2631" s="1" t="s">
        <v>73</v>
      </c>
      <c r="AL2631" s="1">
        <v>787</v>
      </c>
    </row>
    <row r="2632" spans="1:38" x14ac:dyDescent="0.2">
      <c r="A2632" s="2" t="str">
        <f>HYPERLINK("https://www.compass.com/listing/252-south-street-unit-10e-manhattan-ny-10002/29513557435576113/","252 South St, Unit 10E")</f>
        <v>252 South St, Unit 10E</v>
      </c>
      <c r="B2632" s="2" t="str">
        <f t="shared" si="370"/>
        <v>One Manhattan Square</v>
      </c>
      <c r="C2632" s="1" t="s">
        <v>66</v>
      </c>
      <c r="D2632" s="1" t="s">
        <v>41</v>
      </c>
      <c r="E2632" s="3">
        <v>2061386</v>
      </c>
      <c r="F2632" s="1">
        <v>1835.6066518254599</v>
      </c>
      <c r="G2632" s="1">
        <v>4</v>
      </c>
      <c r="H2632" s="1">
        <v>2</v>
      </c>
      <c r="I2632" s="1">
        <v>2</v>
      </c>
      <c r="J2632" s="1">
        <v>2</v>
      </c>
      <c r="M2632" s="4">
        <v>1123</v>
      </c>
      <c r="N2632" s="1">
        <v>1198</v>
      </c>
      <c r="O2632" s="1">
        <v>1218</v>
      </c>
      <c r="P2632" s="1">
        <v>20</v>
      </c>
      <c r="Q2632" s="1" t="s">
        <v>42</v>
      </c>
      <c r="S2632" s="1" t="s">
        <v>42</v>
      </c>
      <c r="T2632" s="1" t="s">
        <v>170</v>
      </c>
      <c r="U2632" s="1">
        <v>15</v>
      </c>
      <c r="V2632" s="5">
        <v>43938</v>
      </c>
      <c r="W2632" s="5">
        <v>42803</v>
      </c>
      <c r="Y2632" s="1">
        <v>2125000</v>
      </c>
      <c r="Z2632" s="5">
        <v>42818</v>
      </c>
      <c r="AA2632" s="1">
        <v>2061386.27</v>
      </c>
      <c r="AB2632" s="1" t="s">
        <v>1958</v>
      </c>
      <c r="AC2632" s="5">
        <v>43705</v>
      </c>
      <c r="AF2632" s="1">
        <v>10002</v>
      </c>
      <c r="AI2632" s="1" t="s">
        <v>1959</v>
      </c>
      <c r="AJ2632" s="1">
        <v>2019</v>
      </c>
      <c r="AK2632" s="1" t="s">
        <v>73</v>
      </c>
      <c r="AL2632" s="1">
        <v>787</v>
      </c>
    </row>
    <row r="2633" spans="1:38" x14ac:dyDescent="0.2">
      <c r="A2633" s="2" t="str">
        <f>HYPERLINK("https://www.compass.com/listing/252-south-street-unit-62j-manhattan-ny-10002/157010714991534897/","252 South St, Unit 62J")</f>
        <v>252 South St, Unit 62J</v>
      </c>
      <c r="B2633" s="2" t="str">
        <f t="shared" si="370"/>
        <v>One Manhattan Square</v>
      </c>
      <c r="C2633" s="1" t="s">
        <v>66</v>
      </c>
      <c r="D2633" s="1" t="s">
        <v>41</v>
      </c>
      <c r="E2633" s="3">
        <v>6254030</v>
      </c>
      <c r="F2633" s="1">
        <v>2664.69093736685</v>
      </c>
      <c r="G2633" s="1">
        <v>5.5</v>
      </c>
      <c r="H2633" s="1">
        <v>3</v>
      </c>
      <c r="I2633" s="1">
        <v>4</v>
      </c>
      <c r="J2633" s="1">
        <v>3.5</v>
      </c>
      <c r="K2633" s="1">
        <v>3</v>
      </c>
      <c r="L2633" s="1">
        <v>1</v>
      </c>
      <c r="M2633" s="4">
        <v>2347</v>
      </c>
      <c r="N2633" s="1">
        <v>3185.1</v>
      </c>
      <c r="O2633" s="1">
        <v>3235.39</v>
      </c>
      <c r="P2633" s="1">
        <v>50.25</v>
      </c>
      <c r="Q2633" s="1" t="s">
        <v>42</v>
      </c>
      <c r="S2633" s="1" t="s">
        <v>42</v>
      </c>
      <c r="T2633" s="1" t="s">
        <v>170</v>
      </c>
      <c r="U2633" s="1">
        <v>1</v>
      </c>
      <c r="V2633" s="5">
        <v>43774</v>
      </c>
      <c r="W2633" s="5">
        <v>43469</v>
      </c>
      <c r="X2633" s="1">
        <v>5949645</v>
      </c>
      <c r="Y2633" s="1">
        <v>6645000</v>
      </c>
      <c r="Z2633" s="5">
        <v>43470</v>
      </c>
      <c r="AA2633" s="1">
        <v>6254029.6299999999</v>
      </c>
      <c r="AB2633" s="1" t="s">
        <v>1960</v>
      </c>
      <c r="AC2633" s="5">
        <v>43762</v>
      </c>
      <c r="AF2633" s="1">
        <v>10002</v>
      </c>
      <c r="AI2633" s="1" t="s">
        <v>55</v>
      </c>
      <c r="AJ2633" s="1">
        <v>2019</v>
      </c>
      <c r="AK2633" s="1" t="s">
        <v>73</v>
      </c>
      <c r="AL2633" s="1">
        <v>787</v>
      </c>
    </row>
    <row r="2634" spans="1:38" x14ac:dyDescent="0.2">
      <c r="A2634" s="2" t="str">
        <f>HYPERLINK("https://www.compass.com/listing/252-south-street-unit-34c-manhattan-ny-10002/219459040059608865/","252 South St, Unit 34C")</f>
        <v>252 South St, Unit 34C</v>
      </c>
      <c r="B2634" s="2" t="str">
        <f t="shared" si="370"/>
        <v>One Manhattan Square</v>
      </c>
      <c r="C2634" s="1" t="s">
        <v>66</v>
      </c>
      <c r="D2634" s="1" t="s">
        <v>41</v>
      </c>
      <c r="E2634" s="3">
        <v>3754000</v>
      </c>
      <c r="F2634" s="1">
        <v>2524.5460659045002</v>
      </c>
      <c r="H2634" s="1">
        <v>3</v>
      </c>
      <c r="J2634" s="1">
        <v>3</v>
      </c>
      <c r="M2634" s="4">
        <v>1487</v>
      </c>
      <c r="N2634" s="1">
        <v>1758</v>
      </c>
      <c r="O2634" s="1">
        <v>1788</v>
      </c>
      <c r="P2634" s="1">
        <v>30</v>
      </c>
      <c r="Q2634" s="1" t="s">
        <v>42</v>
      </c>
      <c r="S2634" s="1" t="s">
        <v>42</v>
      </c>
      <c r="T2634" s="1" t="s">
        <v>170</v>
      </c>
      <c r="AA2634" s="1">
        <v>3754000</v>
      </c>
      <c r="AB2634" s="1" t="s">
        <v>1961</v>
      </c>
      <c r="AC2634" s="5">
        <v>43636</v>
      </c>
      <c r="AF2634" s="1">
        <v>10002</v>
      </c>
      <c r="AI2634" s="1" t="s">
        <v>55</v>
      </c>
      <c r="AJ2634" s="1">
        <v>2019</v>
      </c>
      <c r="AK2634" s="1" t="s">
        <v>46</v>
      </c>
      <c r="AL2634" s="1">
        <v>787</v>
      </c>
    </row>
    <row r="2635" spans="1:38" x14ac:dyDescent="0.2">
      <c r="A2635" s="2" t="str">
        <f>HYPERLINK("https://www.compass.com/listing/252-south-street-unit-21f-manhattan-ny-10002/29513530029941729/","252 South St, Unit 21F")</f>
        <v>252 South St, Unit 21F</v>
      </c>
      <c r="B2635" s="2" t="str">
        <f t="shared" si="370"/>
        <v>One Manhattan Square</v>
      </c>
      <c r="C2635" s="1" t="s">
        <v>66</v>
      </c>
      <c r="D2635" s="1" t="s">
        <v>41</v>
      </c>
      <c r="E2635" s="3">
        <v>1241173</v>
      </c>
      <c r="F2635" s="1">
        <v>1785.86043165467</v>
      </c>
      <c r="G2635" s="1">
        <v>3</v>
      </c>
      <c r="H2635" s="1">
        <v>1</v>
      </c>
      <c r="I2635" s="1">
        <v>1</v>
      </c>
      <c r="J2635" s="1">
        <v>1</v>
      </c>
      <c r="M2635" s="1">
        <v>695</v>
      </c>
      <c r="N2635" s="1">
        <v>778</v>
      </c>
      <c r="O2635" s="1">
        <v>791</v>
      </c>
      <c r="P2635" s="1">
        <v>13</v>
      </c>
      <c r="Q2635" s="1" t="s">
        <v>42</v>
      </c>
      <c r="S2635" s="1" t="s">
        <v>42</v>
      </c>
      <c r="T2635" s="1" t="s">
        <v>170</v>
      </c>
      <c r="U2635" s="1">
        <v>5</v>
      </c>
      <c r="V2635" s="5">
        <v>43696</v>
      </c>
      <c r="W2635" s="5">
        <v>42931</v>
      </c>
      <c r="X2635" s="1">
        <v>1269000</v>
      </c>
      <c r="Y2635" s="1">
        <v>1269000</v>
      </c>
      <c r="Z2635" s="5">
        <v>42936</v>
      </c>
      <c r="AA2635" s="1">
        <v>1241173.75</v>
      </c>
      <c r="AB2635" s="1" t="s">
        <v>1962</v>
      </c>
      <c r="AC2635" s="5">
        <v>43594</v>
      </c>
      <c r="AF2635" s="1">
        <v>10002</v>
      </c>
      <c r="AI2635" s="1" t="s">
        <v>55</v>
      </c>
      <c r="AJ2635" s="1">
        <v>2019</v>
      </c>
      <c r="AK2635" s="1" t="s">
        <v>73</v>
      </c>
      <c r="AL2635" s="1">
        <v>787</v>
      </c>
    </row>
    <row r="2636" spans="1:38" x14ac:dyDescent="0.2">
      <c r="A2636" s="2" t="str">
        <f>HYPERLINK("https://www.compass.com/listing/25-park-row-unit-40a-manhattan-ny-10038/719618655406848721/","25 Park Row, Unit 40A")</f>
        <v>25 Park Row, Unit 40A</v>
      </c>
      <c r="B2636" s="2" t="str">
        <f t="shared" ref="B2636:B2644" si="371">HYPERLINK("https://www.compass.com/building/25-park-row-manhattan-ny-10038/292920743539264837/","25 Park Row")</f>
        <v>25 Park Row</v>
      </c>
      <c r="C2636" s="1" t="s">
        <v>117</v>
      </c>
      <c r="D2636" s="1" t="s">
        <v>41</v>
      </c>
      <c r="E2636" s="3">
        <v>3680000</v>
      </c>
      <c r="F2636" s="1">
        <v>2278.6377708978298</v>
      </c>
      <c r="G2636" s="1">
        <v>4</v>
      </c>
      <c r="H2636" s="1">
        <v>2</v>
      </c>
      <c r="I2636" s="1">
        <v>3</v>
      </c>
      <c r="J2636" s="1">
        <v>2.5</v>
      </c>
      <c r="K2636" s="1">
        <v>2</v>
      </c>
      <c r="L2636" s="1">
        <v>1</v>
      </c>
      <c r="M2636" s="4">
        <v>1615</v>
      </c>
      <c r="N2636" s="1">
        <v>2351.81</v>
      </c>
      <c r="O2636" s="1">
        <v>4703.9399999999996</v>
      </c>
      <c r="P2636" s="1">
        <v>2352.1666666666601</v>
      </c>
      <c r="Q2636" s="1" t="s">
        <v>42</v>
      </c>
      <c r="S2636" s="1" t="s">
        <v>42</v>
      </c>
      <c r="T2636" s="1" t="s">
        <v>170</v>
      </c>
      <c r="U2636" s="1">
        <v>70</v>
      </c>
      <c r="V2636" s="5">
        <v>44386</v>
      </c>
      <c r="W2636" s="5">
        <v>44244</v>
      </c>
      <c r="X2636" s="1">
        <v>4075000</v>
      </c>
      <c r="Y2636" s="1">
        <v>4075000</v>
      </c>
      <c r="AA2636" s="1">
        <v>3680000</v>
      </c>
      <c r="AB2636" s="1" t="s">
        <v>1963</v>
      </c>
      <c r="AC2636" s="5">
        <v>44384</v>
      </c>
      <c r="AF2636" s="1">
        <v>10038</v>
      </c>
      <c r="AI2636" s="1" t="s">
        <v>116</v>
      </c>
      <c r="AJ2636" s="1">
        <v>2019</v>
      </c>
      <c r="AK2636" s="1" t="s">
        <v>77</v>
      </c>
      <c r="AL2636" s="1">
        <v>110</v>
      </c>
    </row>
    <row r="2637" spans="1:38" x14ac:dyDescent="0.2">
      <c r="A2637" s="2" t="str">
        <f>HYPERLINK("https://www.compass.com/listing/25-park-row-unit-31a-manhattan-ny-10038/637736841059176185/","25 Park Row, Unit 31A")</f>
        <v>25 Park Row, Unit 31A</v>
      </c>
      <c r="B2637" s="2" t="str">
        <f t="shared" si="371"/>
        <v>25 Park Row</v>
      </c>
      <c r="C2637" s="1" t="s">
        <v>117</v>
      </c>
      <c r="D2637" s="1" t="s">
        <v>41</v>
      </c>
      <c r="E2637" s="3">
        <v>4050000</v>
      </c>
      <c r="F2637" s="1">
        <v>2240.0442477876099</v>
      </c>
      <c r="G2637" s="1">
        <v>5</v>
      </c>
      <c r="H2637" s="1">
        <v>3</v>
      </c>
      <c r="I2637" s="1">
        <v>3</v>
      </c>
      <c r="J2637" s="1">
        <v>3</v>
      </c>
      <c r="K2637" s="1">
        <v>3</v>
      </c>
      <c r="M2637" s="4">
        <v>1808</v>
      </c>
      <c r="N2637" s="1">
        <v>2496.46</v>
      </c>
      <c r="O2637" s="1">
        <v>4993.26</v>
      </c>
      <c r="P2637" s="1">
        <v>2496.8333333333298</v>
      </c>
      <c r="Q2637" s="1" t="s">
        <v>42</v>
      </c>
      <c r="S2637" s="1" t="s">
        <v>42</v>
      </c>
      <c r="T2637" s="1" t="s">
        <v>170</v>
      </c>
      <c r="V2637" s="5">
        <v>44314</v>
      </c>
      <c r="W2637" s="5">
        <v>44131</v>
      </c>
      <c r="X2637" s="1">
        <v>4380000</v>
      </c>
      <c r="Y2637" s="1">
        <v>4380000</v>
      </c>
      <c r="AA2637" s="1">
        <v>4050000</v>
      </c>
      <c r="AB2637" s="1" t="s">
        <v>1964</v>
      </c>
      <c r="AC2637" s="5">
        <v>44313</v>
      </c>
      <c r="AF2637" s="1">
        <v>10038</v>
      </c>
      <c r="AI2637" s="1" t="s">
        <v>116</v>
      </c>
      <c r="AJ2637" s="1">
        <v>2019</v>
      </c>
      <c r="AK2637" s="1" t="s">
        <v>77</v>
      </c>
      <c r="AL2637" s="1">
        <v>110</v>
      </c>
    </row>
    <row r="2638" spans="1:38" x14ac:dyDescent="0.2">
      <c r="A2638" s="2" t="str">
        <f>HYPERLINK("https://www.compass.com/listing/25-park-row-unit-27c-manhattan-ny-10038/178434626287588737/","25 Park Row, Unit 27C")</f>
        <v>25 Park Row, Unit 27C</v>
      </c>
      <c r="B2638" s="2" t="str">
        <f t="shared" si="371"/>
        <v>25 Park Row</v>
      </c>
      <c r="C2638" s="1" t="s">
        <v>117</v>
      </c>
      <c r="D2638" s="1" t="s">
        <v>41</v>
      </c>
      <c r="E2638" s="3">
        <v>3600000</v>
      </c>
      <c r="F2638" s="1">
        <v>2086.95652173913</v>
      </c>
      <c r="G2638" s="1">
        <v>4</v>
      </c>
      <c r="H2638" s="1">
        <v>2</v>
      </c>
      <c r="I2638" s="1">
        <v>3</v>
      </c>
      <c r="J2638" s="1">
        <v>2.5</v>
      </c>
      <c r="K2638" s="1">
        <v>2</v>
      </c>
      <c r="L2638" s="1">
        <v>1</v>
      </c>
      <c r="M2638" s="4">
        <v>1725</v>
      </c>
      <c r="N2638" s="1">
        <v>2371.4699999999998</v>
      </c>
      <c r="O2638" s="1">
        <v>4743.25</v>
      </c>
      <c r="P2638" s="1">
        <v>2371.75</v>
      </c>
      <c r="Q2638" s="1" t="s">
        <v>42</v>
      </c>
      <c r="S2638" s="1" t="s">
        <v>42</v>
      </c>
      <c r="T2638" s="1" t="s">
        <v>170</v>
      </c>
      <c r="U2638" s="1">
        <v>253</v>
      </c>
      <c r="V2638" s="5">
        <v>44370</v>
      </c>
      <c r="W2638" s="5">
        <v>44106</v>
      </c>
      <c r="Y2638" s="1">
        <v>3765000</v>
      </c>
      <c r="AA2638" s="1">
        <v>3600000</v>
      </c>
      <c r="AB2638" s="1" t="s">
        <v>1965</v>
      </c>
      <c r="AC2638" s="5">
        <v>44369</v>
      </c>
      <c r="AF2638" s="1">
        <v>10038</v>
      </c>
      <c r="AI2638" s="1" t="s">
        <v>1966</v>
      </c>
      <c r="AJ2638" s="1">
        <v>2019</v>
      </c>
      <c r="AK2638" s="1" t="s">
        <v>77</v>
      </c>
      <c r="AL2638" s="1">
        <v>110</v>
      </c>
    </row>
    <row r="2639" spans="1:38" x14ac:dyDescent="0.2">
      <c r="A2639" s="2" t="str">
        <f>HYPERLINK("https://www.compass.com/listing/25-park-row-unit-32c-manhattan-ny-10038/607089728887640473/","25 Park Row, Unit 32C")</f>
        <v>25 Park Row, Unit 32C</v>
      </c>
      <c r="B2639" s="2" t="str">
        <f t="shared" si="371"/>
        <v>25 Park Row</v>
      </c>
      <c r="C2639" s="1" t="s">
        <v>117</v>
      </c>
      <c r="D2639" s="1" t="s">
        <v>41</v>
      </c>
      <c r="E2639" s="3">
        <v>3650000</v>
      </c>
      <c r="F2639" s="1">
        <v>2115.9420289855002</v>
      </c>
      <c r="G2639" s="1">
        <v>4.5</v>
      </c>
      <c r="H2639" s="1">
        <v>2</v>
      </c>
      <c r="I2639" s="1">
        <v>3</v>
      </c>
      <c r="J2639" s="1">
        <v>2.5</v>
      </c>
      <c r="K2639" s="1">
        <v>2</v>
      </c>
      <c r="L2639" s="1">
        <v>1</v>
      </c>
      <c r="M2639" s="4">
        <v>1725</v>
      </c>
      <c r="N2639" s="1">
        <v>2425.44</v>
      </c>
      <c r="O2639" s="1">
        <v>4850.5599999999904</v>
      </c>
      <c r="P2639" s="1">
        <v>2425.0833333333298</v>
      </c>
      <c r="Q2639" s="1" t="s">
        <v>42</v>
      </c>
      <c r="S2639" s="1" t="s">
        <v>42</v>
      </c>
      <c r="T2639" s="1" t="s">
        <v>170</v>
      </c>
      <c r="V2639" s="5">
        <v>44281</v>
      </c>
      <c r="W2639" s="5">
        <v>44089</v>
      </c>
      <c r="X2639" s="1">
        <v>3940000</v>
      </c>
      <c r="Y2639" s="1">
        <v>3940000</v>
      </c>
      <c r="AA2639" s="1">
        <v>3650000</v>
      </c>
      <c r="AB2639" s="1" t="s">
        <v>1967</v>
      </c>
      <c r="AC2639" s="5">
        <v>44280</v>
      </c>
      <c r="AF2639" s="1">
        <v>10038</v>
      </c>
      <c r="AI2639" s="1" t="s">
        <v>150</v>
      </c>
      <c r="AJ2639" s="1">
        <v>2019</v>
      </c>
      <c r="AK2639" s="1" t="s">
        <v>77</v>
      </c>
      <c r="AL2639" s="1">
        <v>110</v>
      </c>
    </row>
    <row r="2640" spans="1:38" x14ac:dyDescent="0.2">
      <c r="A2640" s="2" t="str">
        <f>HYPERLINK("https://www.compass.com/listing/25-park-row-unit-37b-manhattan-ny-10038/178428298492138705/","25 Park Row, Unit 37B")</f>
        <v>25 Park Row, Unit 37B</v>
      </c>
      <c r="B2640" s="2" t="str">
        <f t="shared" si="371"/>
        <v>25 Park Row</v>
      </c>
      <c r="C2640" s="1" t="s">
        <v>117</v>
      </c>
      <c r="D2640" s="1" t="s">
        <v>41</v>
      </c>
      <c r="E2640" s="3">
        <v>5299000</v>
      </c>
      <c r="F2640" s="1">
        <v>2422.95381801554</v>
      </c>
      <c r="G2640" s="1">
        <v>5</v>
      </c>
      <c r="H2640" s="1">
        <v>3</v>
      </c>
      <c r="I2640" s="1">
        <v>4</v>
      </c>
      <c r="J2640" s="1">
        <v>3.5</v>
      </c>
      <c r="K2640" s="1">
        <v>3</v>
      </c>
      <c r="L2640" s="1">
        <v>1</v>
      </c>
      <c r="M2640" s="4">
        <v>2187</v>
      </c>
      <c r="N2640" s="1">
        <v>3190.93</v>
      </c>
      <c r="O2640" s="1">
        <v>6381.28</v>
      </c>
      <c r="P2640" s="1">
        <v>3190.3333333333298</v>
      </c>
      <c r="Q2640" s="1" t="s">
        <v>42</v>
      </c>
      <c r="S2640" s="1" t="s">
        <v>42</v>
      </c>
      <c r="T2640" s="1" t="s">
        <v>170</v>
      </c>
      <c r="U2640" s="1">
        <v>206</v>
      </c>
      <c r="V2640" s="5">
        <v>44183</v>
      </c>
      <c r="W2640" s="5">
        <v>43493</v>
      </c>
      <c r="X2640" s="1">
        <v>5385000</v>
      </c>
      <c r="AB2640" s="1" t="s">
        <v>181</v>
      </c>
      <c r="AF2640" s="1">
        <v>10038</v>
      </c>
      <c r="AI2640" s="1" t="s">
        <v>149</v>
      </c>
      <c r="AJ2640" s="1">
        <v>2019</v>
      </c>
      <c r="AK2640" s="1" t="s">
        <v>77</v>
      </c>
      <c r="AL2640" s="1">
        <v>110</v>
      </c>
    </row>
    <row r="2641" spans="1:38" x14ac:dyDescent="0.2">
      <c r="A2641" s="2" t="str">
        <f>HYPERLINK("https://www.compass.com/listing/25-park-row-unit-29c-manhattan-ny-10038/223044030538226753/","25 Park Row, Unit 29C")</f>
        <v>25 Park Row, Unit 29C</v>
      </c>
      <c r="B2641" s="2" t="str">
        <f t="shared" si="371"/>
        <v>25 Park Row</v>
      </c>
      <c r="C2641" s="1" t="s">
        <v>117</v>
      </c>
      <c r="D2641" s="1" t="s">
        <v>41</v>
      </c>
      <c r="E2641" s="3">
        <v>3750000</v>
      </c>
      <c r="F2641" s="1">
        <v>2173.9130434782601</v>
      </c>
      <c r="G2641" s="1">
        <v>4.5</v>
      </c>
      <c r="H2641" s="1">
        <v>2</v>
      </c>
      <c r="I2641" s="1">
        <v>3</v>
      </c>
      <c r="J2641" s="1">
        <v>2.5</v>
      </c>
      <c r="K2641" s="1">
        <v>2</v>
      </c>
      <c r="L2641" s="1">
        <v>1</v>
      </c>
      <c r="M2641" s="4">
        <v>1725</v>
      </c>
      <c r="N2641" s="1">
        <v>2392.9299999999998</v>
      </c>
      <c r="O2641" s="1">
        <v>4786.18</v>
      </c>
      <c r="P2641" s="1">
        <v>2393.25</v>
      </c>
      <c r="Q2641" s="1" t="s">
        <v>42</v>
      </c>
      <c r="S2641" s="1" t="s">
        <v>42</v>
      </c>
      <c r="T2641" s="1" t="s">
        <v>170</v>
      </c>
      <c r="U2641" s="1">
        <v>236</v>
      </c>
      <c r="V2641" s="5">
        <v>44099</v>
      </c>
      <c r="W2641" s="5">
        <v>43559</v>
      </c>
      <c r="X2641" s="1">
        <v>3835000</v>
      </c>
      <c r="Y2641" s="1">
        <v>3835000</v>
      </c>
      <c r="AA2641" s="1">
        <v>3750000</v>
      </c>
      <c r="AB2641" s="1" t="s">
        <v>1968</v>
      </c>
      <c r="AC2641" s="5">
        <v>44098</v>
      </c>
      <c r="AF2641" s="1">
        <v>10038</v>
      </c>
      <c r="AI2641" s="1" t="s">
        <v>148</v>
      </c>
      <c r="AJ2641" s="1">
        <v>2019</v>
      </c>
      <c r="AK2641" s="1" t="s">
        <v>77</v>
      </c>
      <c r="AL2641" s="1">
        <v>110</v>
      </c>
    </row>
    <row r="2642" spans="1:38" x14ac:dyDescent="0.2">
      <c r="A2642" s="2" t="str">
        <f>HYPERLINK("https://www.compass.com/listing/25-park-row-unit-7e-manhattan-ny-10038/354172840594362049/","25 Park Row, Unit 7E")</f>
        <v>25 Park Row, Unit 7E</v>
      </c>
      <c r="B2642" s="2" t="str">
        <f t="shared" si="371"/>
        <v>25 Park Row</v>
      </c>
      <c r="C2642" s="1" t="s">
        <v>117</v>
      </c>
      <c r="D2642" s="1" t="s">
        <v>41</v>
      </c>
      <c r="E2642" s="3">
        <v>3500000</v>
      </c>
      <c r="F2642" s="1">
        <v>1878.69028448738</v>
      </c>
      <c r="G2642" s="1">
        <v>5.5</v>
      </c>
      <c r="H2642" s="1">
        <v>3</v>
      </c>
      <c r="I2642" s="1">
        <v>3</v>
      </c>
      <c r="J2642" s="1">
        <v>3</v>
      </c>
      <c r="K2642" s="1">
        <v>3</v>
      </c>
      <c r="M2642" s="4">
        <v>1863</v>
      </c>
      <c r="N2642" s="1">
        <v>2250.33</v>
      </c>
      <c r="O2642" s="1">
        <v>4500.96</v>
      </c>
      <c r="P2642" s="1">
        <v>2250.6666666666601</v>
      </c>
      <c r="Q2642" s="1" t="s">
        <v>42</v>
      </c>
      <c r="S2642" s="1" t="s">
        <v>42</v>
      </c>
      <c r="T2642" s="1" t="s">
        <v>170</v>
      </c>
      <c r="V2642" s="5">
        <v>44364</v>
      </c>
      <c r="W2642" s="5">
        <v>43740</v>
      </c>
      <c r="X2642" s="1">
        <v>3610000</v>
      </c>
      <c r="Y2642" s="1">
        <v>3610000</v>
      </c>
      <c r="AA2642" s="1">
        <v>3500000</v>
      </c>
      <c r="AB2642" s="1" t="s">
        <v>1969</v>
      </c>
      <c r="AC2642" s="5">
        <v>44336</v>
      </c>
      <c r="AF2642" s="1">
        <v>10038</v>
      </c>
      <c r="AI2642" s="1" t="s">
        <v>144</v>
      </c>
      <c r="AJ2642" s="1">
        <v>2019</v>
      </c>
      <c r="AK2642" s="1" t="s">
        <v>77</v>
      </c>
      <c r="AL2642" s="1">
        <v>110</v>
      </c>
    </row>
    <row r="2643" spans="1:38" x14ac:dyDescent="0.2">
      <c r="A2643" s="2" t="str">
        <f>HYPERLINK("https://www.compass.com/listing/25-park-row-unit-31c-manhattan-ny-10038/385425631251901441/","25 Park Row, Unit 31C")</f>
        <v>25 Park Row, Unit 31C</v>
      </c>
      <c r="B2643" s="2" t="str">
        <f t="shared" si="371"/>
        <v>25 Park Row</v>
      </c>
      <c r="C2643" s="1" t="s">
        <v>117</v>
      </c>
      <c r="D2643" s="1" t="s">
        <v>41</v>
      </c>
      <c r="E2643" s="3">
        <v>3650000</v>
      </c>
      <c r="F2643" s="1">
        <v>2115.9420289855002</v>
      </c>
      <c r="G2643" s="1">
        <v>4.5</v>
      </c>
      <c r="H2643" s="1">
        <v>2</v>
      </c>
      <c r="I2643" s="1">
        <v>3</v>
      </c>
      <c r="J2643" s="1">
        <v>2.5</v>
      </c>
      <c r="K2643" s="1">
        <v>2</v>
      </c>
      <c r="L2643" s="1">
        <v>1</v>
      </c>
      <c r="M2643" s="4">
        <v>1725</v>
      </c>
      <c r="N2643" s="1">
        <v>2414.39</v>
      </c>
      <c r="O2643" s="1">
        <v>4829.1000000000004</v>
      </c>
      <c r="P2643" s="1">
        <v>2414.75</v>
      </c>
      <c r="Q2643" s="1" t="s">
        <v>42</v>
      </c>
      <c r="S2643" s="1" t="s">
        <v>42</v>
      </c>
      <c r="T2643" s="1" t="s">
        <v>170</v>
      </c>
      <c r="U2643" s="1">
        <v>212</v>
      </c>
      <c r="V2643" s="5">
        <v>44149</v>
      </c>
      <c r="W2643" s="5">
        <v>43783</v>
      </c>
      <c r="X2643" s="1">
        <v>3905000</v>
      </c>
      <c r="Y2643" s="1">
        <v>3905000</v>
      </c>
      <c r="AA2643" s="1">
        <v>3650000</v>
      </c>
      <c r="AB2643" s="1" t="s">
        <v>1970</v>
      </c>
      <c r="AC2643" s="5">
        <v>44148</v>
      </c>
      <c r="AF2643" s="1">
        <v>10038</v>
      </c>
      <c r="AI2643" s="1" t="s">
        <v>150</v>
      </c>
      <c r="AJ2643" s="1">
        <v>2019</v>
      </c>
      <c r="AK2643" s="1" t="s">
        <v>77</v>
      </c>
      <c r="AL2643" s="1">
        <v>110</v>
      </c>
    </row>
    <row r="2644" spans="1:38" x14ac:dyDescent="0.2">
      <c r="A2644" s="2" t="str">
        <f>HYPERLINK("https://www.compass.com/listing/25-park-row-unit-29a-manhattan-ny-10038/440495523427136569/","25 Park Row, Unit 29A")</f>
        <v>25 Park Row, Unit 29A</v>
      </c>
      <c r="B2644" s="2" t="str">
        <f t="shared" si="371"/>
        <v>25 Park Row</v>
      </c>
      <c r="C2644" s="1" t="s">
        <v>117</v>
      </c>
      <c r="D2644" s="1" t="s">
        <v>41</v>
      </c>
      <c r="E2644" s="3">
        <v>3950000</v>
      </c>
      <c r="F2644" s="1">
        <v>2184.7345132743299</v>
      </c>
      <c r="G2644" s="1">
        <v>5</v>
      </c>
      <c r="H2644" s="1">
        <v>3</v>
      </c>
      <c r="I2644" s="1">
        <v>3</v>
      </c>
      <c r="J2644" s="1">
        <v>3</v>
      </c>
      <c r="K2644" s="1">
        <v>3</v>
      </c>
      <c r="M2644" s="4">
        <v>1808</v>
      </c>
      <c r="N2644" s="1">
        <v>2474.27</v>
      </c>
      <c r="O2644" s="1">
        <v>4948.87</v>
      </c>
      <c r="P2644" s="1">
        <v>2474.5833333333298</v>
      </c>
      <c r="Q2644" s="1" t="s">
        <v>42</v>
      </c>
      <c r="S2644" s="1" t="s">
        <v>42</v>
      </c>
      <c r="T2644" s="1" t="s">
        <v>170</v>
      </c>
      <c r="U2644" s="1">
        <v>178</v>
      </c>
      <c r="V2644" s="5">
        <v>44252</v>
      </c>
      <c r="W2644" s="5">
        <v>43859</v>
      </c>
      <c r="X2644" s="1">
        <v>4310000</v>
      </c>
      <c r="Y2644" s="1">
        <v>4310000</v>
      </c>
      <c r="Z2644" s="5">
        <v>44236</v>
      </c>
      <c r="AA2644" s="1">
        <v>3950000</v>
      </c>
      <c r="AB2644" s="1" t="s">
        <v>1971</v>
      </c>
      <c r="AC2644" s="5">
        <v>44250</v>
      </c>
      <c r="AF2644" s="1">
        <v>10038</v>
      </c>
      <c r="AI2644" s="1" t="s">
        <v>116</v>
      </c>
      <c r="AJ2644" s="1">
        <v>2019</v>
      </c>
      <c r="AK2644" s="1" t="s">
        <v>77</v>
      </c>
      <c r="AL2644" s="1">
        <v>110</v>
      </c>
    </row>
    <row r="2645" spans="1:38" x14ac:dyDescent="0.2">
      <c r="A2645" s="2" t="str">
        <f>HYPERLINK("https://www.compass.com/listing/215-chrystie-street-unit-27e-manhattan-ny-10002/29361558635276561/","215 Chrystie St, Unit 27E")</f>
        <v>215 Chrystie St, Unit 27E</v>
      </c>
      <c r="B2645" s="2" t="str">
        <f t="shared" ref="B2645:B2647" si="372">HYPERLINK("https://www.compass.com/building/215-chrystie-st-manhattan-ny-10002/281886398615655237/","215 Chrystie St")</f>
        <v>215 Chrystie St</v>
      </c>
      <c r="C2645" s="1" t="s">
        <v>66</v>
      </c>
      <c r="D2645" s="1" t="s">
        <v>41</v>
      </c>
      <c r="E2645" s="3">
        <v>7025925</v>
      </c>
      <c r="F2645" s="1">
        <v>3132.3785109228702</v>
      </c>
      <c r="M2645" s="4">
        <v>2243</v>
      </c>
      <c r="Q2645" s="1" t="s">
        <v>42</v>
      </c>
      <c r="S2645" s="1" t="s">
        <v>42</v>
      </c>
      <c r="T2645" s="1" t="s">
        <v>170</v>
      </c>
      <c r="AA2645" s="1">
        <v>7025925</v>
      </c>
      <c r="AB2645" s="1" t="s">
        <v>1972</v>
      </c>
      <c r="AC2645" s="5">
        <v>43060</v>
      </c>
      <c r="AF2645" s="1">
        <v>10002</v>
      </c>
      <c r="AJ2645" s="1">
        <v>2016</v>
      </c>
      <c r="AK2645" s="1" t="s">
        <v>49</v>
      </c>
      <c r="AL2645" s="1">
        <v>11</v>
      </c>
    </row>
    <row r="2646" spans="1:38" x14ac:dyDescent="0.2">
      <c r="A2646" s="2" t="str">
        <f>HYPERLINK("https://www.compass.com/listing/215-chrystie-street-unit-27w-manhattan-ny-10002/29361558962395473/","215 Chrystie St, Unit 27W")</f>
        <v>215 Chrystie St, Unit 27W</v>
      </c>
      <c r="B2646" s="2" t="str">
        <f t="shared" si="372"/>
        <v>215 Chrystie St</v>
      </c>
      <c r="C2646" s="1" t="s">
        <v>66</v>
      </c>
      <c r="D2646" s="1" t="s">
        <v>41</v>
      </c>
      <c r="E2646" s="3">
        <v>6860000</v>
      </c>
      <c r="F2646" s="1">
        <v>3469.9038947900799</v>
      </c>
      <c r="M2646" s="4">
        <v>1977</v>
      </c>
      <c r="Q2646" s="1" t="s">
        <v>42</v>
      </c>
      <c r="S2646" s="1" t="s">
        <v>42</v>
      </c>
      <c r="T2646" s="1" t="s">
        <v>170</v>
      </c>
      <c r="AA2646" s="1">
        <v>6860000</v>
      </c>
      <c r="AB2646" s="1" t="s">
        <v>1973</v>
      </c>
      <c r="AC2646" s="5">
        <v>43020</v>
      </c>
      <c r="AF2646" s="1">
        <v>10002</v>
      </c>
      <c r="AJ2646" s="1">
        <v>2016</v>
      </c>
      <c r="AK2646" s="1" t="s">
        <v>49</v>
      </c>
      <c r="AL2646" s="1">
        <v>11</v>
      </c>
    </row>
    <row r="2647" spans="1:38" x14ac:dyDescent="0.2">
      <c r="A2647" s="2" t="str">
        <f>HYPERLINK("https://www.compass.com/listing/215-chrystie-street-unit-29e-manhattan-ny-10002/29361559952251233/","215 Chrystie St, Unit 29E")</f>
        <v>215 Chrystie St, Unit 29E</v>
      </c>
      <c r="B2647" s="2" t="str">
        <f t="shared" si="372"/>
        <v>215 Chrystie St</v>
      </c>
      <c r="C2647" s="1" t="s">
        <v>66</v>
      </c>
      <c r="D2647" s="1" t="s">
        <v>41</v>
      </c>
      <c r="E2647" s="3">
        <v>8146000</v>
      </c>
      <c r="F2647" s="1">
        <v>3631.7432010699899</v>
      </c>
      <c r="M2647" s="4">
        <v>2243</v>
      </c>
      <c r="Q2647" s="1" t="s">
        <v>42</v>
      </c>
      <c r="S2647" s="1" t="s">
        <v>42</v>
      </c>
      <c r="T2647" s="1" t="s">
        <v>170</v>
      </c>
      <c r="AA2647" s="1">
        <v>8146000</v>
      </c>
      <c r="AB2647" s="1" t="s">
        <v>1974</v>
      </c>
      <c r="AC2647" s="5">
        <v>43018</v>
      </c>
      <c r="AF2647" s="1">
        <v>10002</v>
      </c>
      <c r="AJ2647" s="1">
        <v>2016</v>
      </c>
      <c r="AK2647" s="1" t="s">
        <v>49</v>
      </c>
      <c r="AL2647" s="1">
        <v>11</v>
      </c>
    </row>
    <row r="2648" spans="1:38" x14ac:dyDescent="0.2">
      <c r="A2648" s="2" t="str">
        <f>HYPERLINK("https://www.compass.com/listing/25-park-row-unit-8e-manhattan-ny-10038/440512061811204633/","25 Park Row, Unit 8E")</f>
        <v>25 Park Row, Unit 8E</v>
      </c>
      <c r="B2648" s="2" t="str">
        <f>HYPERLINK("https://www.compass.com/building/25-park-row-manhattan-ny-10038/292920743539264837/","25 Park Row")</f>
        <v>25 Park Row</v>
      </c>
      <c r="C2648" s="1" t="s">
        <v>117</v>
      </c>
      <c r="D2648" s="1" t="s">
        <v>41</v>
      </c>
      <c r="E2648" s="3">
        <v>3550000</v>
      </c>
      <c r="F2648" s="1">
        <v>1905.5287171229199</v>
      </c>
      <c r="G2648" s="1">
        <v>5</v>
      </c>
      <c r="H2648" s="1">
        <v>3</v>
      </c>
      <c r="I2648" s="1">
        <v>3</v>
      </c>
      <c r="J2648" s="1">
        <v>3</v>
      </c>
      <c r="K2648" s="1">
        <v>3</v>
      </c>
      <c r="M2648" s="4">
        <v>1863</v>
      </c>
      <c r="N2648" s="1">
        <v>2261.4699999999998</v>
      </c>
      <c r="O2648" s="1">
        <v>4523.24</v>
      </c>
      <c r="P2648" s="1">
        <v>2261.75</v>
      </c>
      <c r="Q2648" s="1" t="s">
        <v>42</v>
      </c>
      <c r="S2648" s="1" t="s">
        <v>42</v>
      </c>
      <c r="T2648" s="1" t="s">
        <v>170</v>
      </c>
      <c r="U2648" s="1">
        <v>132</v>
      </c>
      <c r="V2648" s="5">
        <v>44352</v>
      </c>
      <c r="W2648" s="5">
        <v>44132</v>
      </c>
      <c r="Y2648" s="1">
        <v>3645000</v>
      </c>
      <c r="AA2648" s="1">
        <v>3550000</v>
      </c>
      <c r="AB2648" s="1" t="s">
        <v>1975</v>
      </c>
      <c r="AC2648" s="5">
        <v>44351</v>
      </c>
      <c r="AF2648" s="1">
        <v>10038</v>
      </c>
      <c r="AI2648" s="1" t="s">
        <v>144</v>
      </c>
      <c r="AJ2648" s="1">
        <v>2019</v>
      </c>
      <c r="AK2648" s="1" t="s">
        <v>77</v>
      </c>
      <c r="AL2648" s="1">
        <v>110</v>
      </c>
    </row>
    <row r="2649" spans="1:38" x14ac:dyDescent="0.2">
      <c r="A2649" s="2" t="str">
        <f>HYPERLINK("https://www.compass.com/listing/215-chrystie-street-unit-28east-manhattan-ny-10002/25252263815569841/","215 Chrystie St, Unit 28EAST")</f>
        <v>215 Chrystie St, Unit 28EAST</v>
      </c>
      <c r="B2649" s="2" t="str">
        <f t="shared" ref="B2649:B2651" si="373">HYPERLINK("https://www.compass.com/building/215-chrystie-st-manhattan-ny-10002/281886398615655237/","215 Chrystie St")</f>
        <v>215 Chrystie St</v>
      </c>
      <c r="C2649" s="1" t="s">
        <v>66</v>
      </c>
      <c r="D2649" s="1" t="s">
        <v>41</v>
      </c>
      <c r="E2649" s="3">
        <v>7750000</v>
      </c>
      <c r="F2649" s="1">
        <v>3455.19393669193</v>
      </c>
      <c r="G2649" s="1">
        <v>5</v>
      </c>
      <c r="H2649" s="1">
        <v>3</v>
      </c>
      <c r="I2649" s="1">
        <v>3</v>
      </c>
      <c r="J2649" s="1">
        <v>3</v>
      </c>
      <c r="K2649" s="1">
        <v>3</v>
      </c>
      <c r="M2649" s="4">
        <v>2243</v>
      </c>
      <c r="N2649" s="1">
        <v>3877</v>
      </c>
      <c r="O2649" s="1">
        <v>7945</v>
      </c>
      <c r="P2649" s="1">
        <v>4068</v>
      </c>
      <c r="Q2649" s="1" t="s">
        <v>42</v>
      </c>
      <c r="S2649" s="1" t="s">
        <v>42</v>
      </c>
      <c r="T2649" s="1" t="s">
        <v>170</v>
      </c>
      <c r="V2649" s="5">
        <v>44225</v>
      </c>
      <c r="W2649" s="5">
        <v>42010</v>
      </c>
      <c r="X2649" s="1">
        <v>7750000</v>
      </c>
      <c r="Y2649" s="1">
        <v>7750000</v>
      </c>
      <c r="Z2649" s="5">
        <v>42010</v>
      </c>
      <c r="AA2649" s="1">
        <v>7750000</v>
      </c>
      <c r="AB2649" s="1" t="s">
        <v>181</v>
      </c>
      <c r="AC2649" s="5">
        <v>43082</v>
      </c>
      <c r="AF2649" s="1">
        <v>10002</v>
      </c>
      <c r="AJ2649" s="1">
        <v>2016</v>
      </c>
      <c r="AK2649" s="1" t="s">
        <v>49</v>
      </c>
      <c r="AL2649" s="1">
        <v>11</v>
      </c>
    </row>
    <row r="2650" spans="1:38" x14ac:dyDescent="0.2">
      <c r="A2650" s="2" t="str">
        <f>HYPERLINK("https://www.compass.com/listing/215-chrystie-street-unit-ph2-manhattan-ny-10002/29361561017604465/","215 Chrystie St, Unit PH2")</f>
        <v>215 Chrystie St, Unit PH2</v>
      </c>
      <c r="B2650" s="2" t="str">
        <f t="shared" si="373"/>
        <v>215 Chrystie St</v>
      </c>
      <c r="C2650" s="1" t="s">
        <v>66</v>
      </c>
      <c r="D2650" s="1" t="s">
        <v>41</v>
      </c>
      <c r="E2650" s="3">
        <v>20365000</v>
      </c>
      <c r="F2650" s="1">
        <v>4807.6015108593001</v>
      </c>
      <c r="G2650" s="1">
        <v>7</v>
      </c>
      <c r="H2650" s="1">
        <v>4</v>
      </c>
      <c r="I2650" s="1">
        <v>5</v>
      </c>
      <c r="J2650" s="1">
        <v>4.5</v>
      </c>
      <c r="M2650" s="4">
        <v>4236</v>
      </c>
      <c r="N2650" s="1">
        <v>7304</v>
      </c>
      <c r="O2650" s="1">
        <v>14968</v>
      </c>
      <c r="P2650" s="1">
        <v>7664</v>
      </c>
      <c r="Q2650" s="1" t="s">
        <v>42</v>
      </c>
      <c r="S2650" s="1" t="s">
        <v>42</v>
      </c>
      <c r="T2650" s="1" t="s">
        <v>170</v>
      </c>
      <c r="U2650" s="1">
        <v>161</v>
      </c>
      <c r="V2650" s="5">
        <v>43649</v>
      </c>
      <c r="W2650" s="5">
        <v>42504</v>
      </c>
      <c r="X2650" s="1">
        <v>20000000</v>
      </c>
      <c r="Y2650" s="1">
        <v>20000000</v>
      </c>
      <c r="Z2650" s="5">
        <v>42665</v>
      </c>
      <c r="AA2650" s="1">
        <v>20365000</v>
      </c>
      <c r="AB2650" s="1" t="s">
        <v>1976</v>
      </c>
      <c r="AC2650" s="5">
        <v>43105</v>
      </c>
      <c r="AF2650" s="1">
        <v>10002</v>
      </c>
      <c r="AJ2650" s="1">
        <v>2016</v>
      </c>
      <c r="AK2650" s="1" t="s">
        <v>49</v>
      </c>
      <c r="AL2650" s="1">
        <v>11</v>
      </c>
    </row>
    <row r="2651" spans="1:38" x14ac:dyDescent="0.2">
      <c r="A2651" s="2" t="str">
        <f>HYPERLINK("https://www.compass.com/listing/215-chrystie-street-unit-ph3-manhattan-ny-10002/70924209202672417/","215 Chrystie St, Unit PH3")</f>
        <v>215 Chrystie St, Unit PH3</v>
      </c>
      <c r="B2651" s="2" t="str">
        <f t="shared" si="373"/>
        <v>215 Chrystie St</v>
      </c>
      <c r="C2651" s="1" t="s">
        <v>66</v>
      </c>
      <c r="D2651" s="1" t="s">
        <v>41</v>
      </c>
      <c r="E2651" s="3">
        <v>16000000</v>
      </c>
      <c r="F2651" s="1">
        <v>3777.14825306893</v>
      </c>
      <c r="G2651" s="1">
        <v>6</v>
      </c>
      <c r="H2651" s="1">
        <v>4</v>
      </c>
      <c r="I2651" s="1">
        <v>5</v>
      </c>
      <c r="J2651" s="1">
        <v>4.5</v>
      </c>
      <c r="M2651" s="4">
        <v>4236</v>
      </c>
      <c r="N2651" s="1">
        <v>7304</v>
      </c>
      <c r="O2651" s="1">
        <v>14969</v>
      </c>
      <c r="P2651" s="1">
        <v>7665</v>
      </c>
      <c r="Q2651" s="1" t="s">
        <v>42</v>
      </c>
      <c r="S2651" s="1" t="s">
        <v>42</v>
      </c>
      <c r="T2651" s="1" t="s">
        <v>170</v>
      </c>
      <c r="V2651" s="5">
        <v>43649</v>
      </c>
      <c r="W2651" s="5">
        <v>42649</v>
      </c>
      <c r="X2651" s="1">
        <v>18750000</v>
      </c>
      <c r="Y2651" s="1">
        <v>18750000</v>
      </c>
      <c r="Z2651" s="5">
        <v>42649</v>
      </c>
      <c r="AA2651" s="1">
        <v>16000000</v>
      </c>
      <c r="AB2651" s="1" t="s">
        <v>1977</v>
      </c>
      <c r="AC2651" s="5">
        <v>43080</v>
      </c>
      <c r="AF2651" s="1">
        <v>10002</v>
      </c>
      <c r="AJ2651" s="1">
        <v>2016</v>
      </c>
      <c r="AK2651" s="1" t="s">
        <v>49</v>
      </c>
      <c r="AL2651" s="1">
        <v>11</v>
      </c>
    </row>
    <row r="2652" spans="1:38" x14ac:dyDescent="0.2">
      <c r="A2652" s="2" t="str">
        <f>HYPERLINK("https://www.compass.com/listing/252-south-street-unit-23k-manhattan-ny-10002/265103026719646353/","252 South St, Unit 23K")</f>
        <v>252 South St, Unit 23K</v>
      </c>
      <c r="B2652" s="2" t="str">
        <f t="shared" ref="B2652:B2655" si="374">HYPERLINK("https://www.compass.com/building/one-manhattan-square-manhattan-ny/294844950218926165/","One Manhattan Square")</f>
        <v>One Manhattan Square</v>
      </c>
      <c r="C2652" s="1" t="s">
        <v>66</v>
      </c>
      <c r="D2652" s="1" t="s">
        <v>41</v>
      </c>
      <c r="E2652" s="3">
        <v>1327240</v>
      </c>
      <c r="F2652" s="1">
        <v>1909.6981151079101</v>
      </c>
      <c r="G2652" s="1">
        <v>3</v>
      </c>
      <c r="H2652" s="1">
        <v>1</v>
      </c>
      <c r="I2652" s="1">
        <v>1</v>
      </c>
      <c r="J2652" s="1">
        <v>1</v>
      </c>
      <c r="K2652" s="1">
        <v>1</v>
      </c>
      <c r="M2652" s="1">
        <v>695</v>
      </c>
      <c r="N2652" s="1">
        <v>796.48</v>
      </c>
      <c r="O2652" s="1">
        <v>809.06</v>
      </c>
      <c r="P2652" s="1">
        <v>12.5833333333333</v>
      </c>
      <c r="Q2652" s="1" t="s">
        <v>42</v>
      </c>
      <c r="S2652" s="1" t="s">
        <v>42</v>
      </c>
      <c r="T2652" s="1" t="s">
        <v>170</v>
      </c>
      <c r="V2652" s="5">
        <v>43747</v>
      </c>
      <c r="W2652" s="5">
        <v>43618</v>
      </c>
      <c r="X2652" s="1">
        <v>1352000</v>
      </c>
      <c r="Y2652" s="1">
        <v>1352000</v>
      </c>
      <c r="Z2652" s="5">
        <v>43618</v>
      </c>
      <c r="AA2652" s="1">
        <v>1327240.19</v>
      </c>
      <c r="AB2652" s="1" t="s">
        <v>1978</v>
      </c>
      <c r="AC2652" s="5">
        <v>43733</v>
      </c>
      <c r="AF2652" s="1">
        <v>10002</v>
      </c>
      <c r="AI2652" s="1" t="s">
        <v>55</v>
      </c>
      <c r="AJ2652" s="1">
        <v>2019</v>
      </c>
      <c r="AK2652" s="1" t="s">
        <v>73</v>
      </c>
      <c r="AL2652" s="1">
        <v>787</v>
      </c>
    </row>
    <row r="2653" spans="1:38" x14ac:dyDescent="0.2">
      <c r="A2653" s="2" t="str">
        <f>HYPERLINK("https://www.compass.com/listing/252-south-street-unit-37l-manhattan-ny-10002/29513547268618337/","252 South St, Unit 37L")</f>
        <v>252 South St, Unit 37L</v>
      </c>
      <c r="B2653" s="2" t="str">
        <f t="shared" si="374"/>
        <v>One Manhattan Square</v>
      </c>
      <c r="C2653" s="1" t="s">
        <v>66</v>
      </c>
      <c r="D2653" s="1" t="s">
        <v>41</v>
      </c>
      <c r="E2653" s="3">
        <v>2575081</v>
      </c>
      <c r="F2653" s="1">
        <v>2293.0376224398901</v>
      </c>
      <c r="G2653" s="1">
        <v>4</v>
      </c>
      <c r="H2653" s="1">
        <v>2</v>
      </c>
      <c r="I2653" s="1">
        <v>2</v>
      </c>
      <c r="J2653" s="1">
        <v>2</v>
      </c>
      <c r="M2653" s="4">
        <v>1123</v>
      </c>
      <c r="N2653" s="1">
        <v>1345</v>
      </c>
      <c r="O2653" s="1">
        <v>1368</v>
      </c>
      <c r="P2653" s="1">
        <v>23</v>
      </c>
      <c r="Q2653" s="1" t="s">
        <v>42</v>
      </c>
      <c r="S2653" s="1" t="s">
        <v>42</v>
      </c>
      <c r="T2653" s="1" t="s">
        <v>170</v>
      </c>
      <c r="U2653" s="1">
        <v>6</v>
      </c>
      <c r="V2653" s="5">
        <v>43808</v>
      </c>
      <c r="W2653" s="5">
        <v>42784</v>
      </c>
      <c r="X2653" s="1">
        <v>2600000</v>
      </c>
      <c r="Y2653" s="1">
        <v>2600000</v>
      </c>
      <c r="Z2653" s="5">
        <v>42790</v>
      </c>
      <c r="AA2653" s="1">
        <v>2575081.25</v>
      </c>
      <c r="AB2653" s="1" t="s">
        <v>1979</v>
      </c>
      <c r="AC2653" s="5">
        <v>43796</v>
      </c>
      <c r="AF2653" s="1">
        <v>10002</v>
      </c>
      <c r="AI2653" s="1" t="s">
        <v>55</v>
      </c>
      <c r="AJ2653" s="1">
        <v>2019</v>
      </c>
      <c r="AK2653" s="1" t="s">
        <v>73</v>
      </c>
      <c r="AL2653" s="1">
        <v>787</v>
      </c>
    </row>
    <row r="2654" spans="1:38" x14ac:dyDescent="0.2">
      <c r="A2654" s="2" t="str">
        <f>HYPERLINK("https://www.compass.com/listing/252-south-street-unit-27d-manhattan-ny-10002/29513550665918449/","252 South St, Unit 27D")</f>
        <v>252 South St, Unit 27D</v>
      </c>
      <c r="B2654" s="2" t="str">
        <f t="shared" si="374"/>
        <v>One Manhattan Square</v>
      </c>
      <c r="C2654" s="1" t="s">
        <v>66</v>
      </c>
      <c r="D2654" s="1" t="s">
        <v>41</v>
      </c>
      <c r="E2654" s="3">
        <v>2529260</v>
      </c>
      <c r="F2654" s="1">
        <v>2252.2350845948299</v>
      </c>
      <c r="G2654" s="1">
        <v>4</v>
      </c>
      <c r="H2654" s="1">
        <v>2</v>
      </c>
      <c r="I2654" s="1">
        <v>2</v>
      </c>
      <c r="J2654" s="1">
        <v>2</v>
      </c>
      <c r="M2654" s="4">
        <v>1123</v>
      </c>
      <c r="N2654" s="1">
        <v>1292</v>
      </c>
      <c r="O2654" s="1">
        <v>1314</v>
      </c>
      <c r="P2654" s="1">
        <v>22</v>
      </c>
      <c r="Q2654" s="1" t="s">
        <v>42</v>
      </c>
      <c r="S2654" s="1" t="s">
        <v>42</v>
      </c>
      <c r="T2654" s="1" t="s">
        <v>170</v>
      </c>
      <c r="U2654" s="1">
        <v>1</v>
      </c>
      <c r="V2654" s="5">
        <v>43696</v>
      </c>
      <c r="W2654" s="5">
        <v>42769</v>
      </c>
      <c r="X2654" s="1">
        <v>2629000</v>
      </c>
      <c r="Y2654" s="1">
        <v>2629000</v>
      </c>
      <c r="Z2654" s="5">
        <v>42770</v>
      </c>
      <c r="AA2654" s="1">
        <v>2529260</v>
      </c>
      <c r="AB2654" s="1" t="s">
        <v>1980</v>
      </c>
      <c r="AC2654" s="5">
        <v>43644</v>
      </c>
      <c r="AF2654" s="1">
        <v>10002</v>
      </c>
      <c r="AI2654" s="1" t="s">
        <v>55</v>
      </c>
      <c r="AJ2654" s="1">
        <v>2019</v>
      </c>
      <c r="AK2654" s="1" t="s">
        <v>73</v>
      </c>
      <c r="AL2654" s="1">
        <v>787</v>
      </c>
    </row>
    <row r="2655" spans="1:38" x14ac:dyDescent="0.2">
      <c r="A2655" s="2" t="str">
        <f>HYPERLINK("https://www.compass.com/listing/252-south-street-unit-29m-manhattan-ny-10002/29513556361869825/","252 South St, Unit 29M")</f>
        <v>252 South St, Unit 29M</v>
      </c>
      <c r="B2655" s="2" t="str">
        <f t="shared" si="374"/>
        <v>One Manhattan Square</v>
      </c>
      <c r="C2655" s="1" t="s">
        <v>66</v>
      </c>
      <c r="D2655" s="1" t="s">
        <v>41</v>
      </c>
      <c r="E2655" s="3">
        <v>2383285</v>
      </c>
      <c r="F2655" s="1">
        <v>2122.2485485307202</v>
      </c>
      <c r="G2655" s="1">
        <v>4</v>
      </c>
      <c r="H2655" s="1">
        <v>2</v>
      </c>
      <c r="I2655" s="1">
        <v>2</v>
      </c>
      <c r="J2655" s="1">
        <v>2</v>
      </c>
      <c r="M2655" s="4">
        <v>1123</v>
      </c>
      <c r="N2655" s="1">
        <v>1304</v>
      </c>
      <c r="O2655" s="1">
        <v>1326</v>
      </c>
      <c r="P2655" s="1">
        <v>22</v>
      </c>
      <c r="Q2655" s="1" t="s">
        <v>42</v>
      </c>
      <c r="S2655" s="1" t="s">
        <v>42</v>
      </c>
      <c r="T2655" s="1" t="s">
        <v>170</v>
      </c>
      <c r="U2655" s="1">
        <v>6</v>
      </c>
      <c r="V2655" s="5">
        <v>43759</v>
      </c>
      <c r="W2655" s="5">
        <v>42795</v>
      </c>
      <c r="X2655" s="1">
        <v>2499000</v>
      </c>
      <c r="Y2655" s="1">
        <v>2499000</v>
      </c>
      <c r="Z2655" s="5">
        <v>42801</v>
      </c>
      <c r="AA2655" s="1">
        <v>2383285.12</v>
      </c>
      <c r="AB2655" s="1" t="s">
        <v>1981</v>
      </c>
      <c r="AC2655" s="5">
        <v>43748</v>
      </c>
      <c r="AF2655" s="1">
        <v>10002</v>
      </c>
      <c r="AI2655" s="1" t="s">
        <v>1921</v>
      </c>
      <c r="AJ2655" s="1">
        <v>2019</v>
      </c>
      <c r="AK2655" s="1" t="s">
        <v>73</v>
      </c>
      <c r="AL2655" s="1">
        <v>787</v>
      </c>
    </row>
    <row r="2656" spans="1:38" x14ac:dyDescent="0.2">
      <c r="A2656" s="2" t="str">
        <f>HYPERLINK("https://www.compass.com/listing/215-chrystie-street-unit-28west-manhattan-ny-10002/27574655955033857/","215 Chrystie St, Unit 28WEST")</f>
        <v>215 Chrystie St, Unit 28WEST</v>
      </c>
      <c r="B2656" s="2" t="str">
        <f t="shared" ref="B2656:B2657" si="375">HYPERLINK("https://www.compass.com/building/215-chrystie-st-manhattan-ny-10002/281886398615655237/","215 Chrystie St")</f>
        <v>215 Chrystie St</v>
      </c>
      <c r="C2656" s="1" t="s">
        <v>66</v>
      </c>
      <c r="D2656" s="1" t="s">
        <v>41</v>
      </c>
      <c r="E2656" s="3">
        <v>7150000</v>
      </c>
      <c r="F2656" s="1">
        <v>3616.5907941325199</v>
      </c>
      <c r="G2656" s="1">
        <v>5</v>
      </c>
      <c r="H2656" s="1">
        <v>2</v>
      </c>
      <c r="I2656" s="1">
        <v>3</v>
      </c>
      <c r="J2656" s="1">
        <v>2.5</v>
      </c>
      <c r="K2656" s="1">
        <v>2</v>
      </c>
      <c r="L2656" s="1">
        <v>1</v>
      </c>
      <c r="M2656" s="4">
        <v>1977</v>
      </c>
      <c r="N2656" s="1">
        <v>3418</v>
      </c>
      <c r="O2656" s="1">
        <v>7005</v>
      </c>
      <c r="P2656" s="1">
        <v>3587</v>
      </c>
      <c r="Q2656" s="1" t="s">
        <v>42</v>
      </c>
      <c r="S2656" s="1" t="s">
        <v>42</v>
      </c>
      <c r="T2656" s="1" t="s">
        <v>170</v>
      </c>
      <c r="V2656" s="5">
        <v>44225</v>
      </c>
      <c r="W2656" s="5">
        <v>42010</v>
      </c>
      <c r="X2656" s="1">
        <v>7150000</v>
      </c>
      <c r="Y2656" s="1">
        <v>7150000</v>
      </c>
      <c r="Z2656" s="5">
        <v>42010</v>
      </c>
      <c r="AA2656" s="1">
        <v>7150000</v>
      </c>
      <c r="AB2656" s="1" t="s">
        <v>181</v>
      </c>
      <c r="AC2656" s="5">
        <v>43076</v>
      </c>
      <c r="AF2656" s="1">
        <v>10002</v>
      </c>
      <c r="AJ2656" s="1">
        <v>2016</v>
      </c>
      <c r="AK2656" s="1" t="s">
        <v>49</v>
      </c>
      <c r="AL2656" s="1">
        <v>11</v>
      </c>
    </row>
    <row r="2657" spans="1:38" x14ac:dyDescent="0.2">
      <c r="A2657" s="2" t="str">
        <f>HYPERLINK("https://www.compass.com/listing/215-chrystie-street-unit-29west-manhattan-ny-10002/4830121367091290769/","215 Chrystie St, Unit 29WEST")</f>
        <v>215 Chrystie St, Unit 29WEST</v>
      </c>
      <c r="B2657" s="2" t="str">
        <f t="shared" si="375"/>
        <v>215 Chrystie St</v>
      </c>
      <c r="C2657" s="1" t="s">
        <v>66</v>
      </c>
      <c r="D2657" s="1" t="s">
        <v>41</v>
      </c>
      <c r="E2657" s="3">
        <v>7000000</v>
      </c>
      <c r="F2657" s="1">
        <v>3540.7182599898802</v>
      </c>
      <c r="G2657" s="1">
        <v>4</v>
      </c>
      <c r="H2657" s="1">
        <v>2</v>
      </c>
      <c r="I2657" s="1">
        <v>3</v>
      </c>
      <c r="J2657" s="1">
        <v>2.5</v>
      </c>
      <c r="M2657" s="4">
        <v>1977</v>
      </c>
      <c r="N2657" s="1">
        <v>3420</v>
      </c>
      <c r="O2657" s="1">
        <v>7008</v>
      </c>
      <c r="P2657" s="1">
        <v>3588</v>
      </c>
      <c r="Q2657" s="1" t="s">
        <v>42</v>
      </c>
      <c r="S2657" s="1" t="s">
        <v>42</v>
      </c>
      <c r="T2657" s="1" t="s">
        <v>170</v>
      </c>
      <c r="U2657" s="1">
        <v>437</v>
      </c>
      <c r="V2657" s="5">
        <v>43650</v>
      </c>
      <c r="W2657" s="5">
        <v>41911</v>
      </c>
      <c r="X2657" s="1">
        <v>7650000</v>
      </c>
      <c r="Y2657" s="1">
        <v>7650000</v>
      </c>
      <c r="Z2657" s="5">
        <v>42670</v>
      </c>
      <c r="AA2657" s="1">
        <v>7000000</v>
      </c>
      <c r="AB2657" s="1" t="s">
        <v>181</v>
      </c>
      <c r="AC2657" s="5">
        <v>42993</v>
      </c>
      <c r="AF2657" s="1">
        <v>10002</v>
      </c>
      <c r="AJ2657" s="1">
        <v>2016</v>
      </c>
      <c r="AK2657" s="1" t="s">
        <v>49</v>
      </c>
      <c r="AL2657" s="1">
        <v>11</v>
      </c>
    </row>
    <row r="2658" spans="1:38" x14ac:dyDescent="0.2">
      <c r="A2658" s="2" t="str">
        <f>HYPERLINK("https://www.compass.com/listing/252-south-street-unit-53h-manhattan-ny-10002/29513525525259009/","252 South St, Unit 53H")</f>
        <v>252 South St, Unit 53H</v>
      </c>
      <c r="B2658" s="2" t="str">
        <f t="shared" ref="B2658:B2659" si="376">HYPERLINK("https://www.compass.com/building/one-manhattan-square-manhattan-ny/294844950218926165/","One Manhattan Square")</f>
        <v>One Manhattan Square</v>
      </c>
      <c r="C2658" s="1" t="s">
        <v>66</v>
      </c>
      <c r="D2658" s="1" t="s">
        <v>41</v>
      </c>
      <c r="E2658" s="3">
        <v>1441465</v>
      </c>
      <c r="F2658" s="1">
        <v>2071.07001436781</v>
      </c>
      <c r="G2658" s="1">
        <v>3</v>
      </c>
      <c r="H2658" s="1">
        <v>1</v>
      </c>
      <c r="I2658" s="1">
        <v>1</v>
      </c>
      <c r="J2658" s="1">
        <v>1</v>
      </c>
      <c r="M2658" s="1">
        <v>696</v>
      </c>
      <c r="N2658" s="1">
        <v>896</v>
      </c>
      <c r="O2658" s="1">
        <v>911</v>
      </c>
      <c r="P2658" s="1">
        <v>15</v>
      </c>
      <c r="Q2658" s="1" t="s">
        <v>42</v>
      </c>
      <c r="S2658" s="1" t="s">
        <v>42</v>
      </c>
      <c r="T2658" s="1" t="s">
        <v>170</v>
      </c>
      <c r="U2658" s="1">
        <v>4</v>
      </c>
      <c r="V2658" s="5">
        <v>43938</v>
      </c>
      <c r="W2658" s="5">
        <v>42902</v>
      </c>
      <c r="X2658" s="1">
        <v>1486000</v>
      </c>
      <c r="Y2658" s="1">
        <v>1486000</v>
      </c>
      <c r="Z2658" s="5">
        <v>42906</v>
      </c>
      <c r="AA2658" s="1">
        <v>1441464.73</v>
      </c>
      <c r="AB2658" s="1" t="s">
        <v>1982</v>
      </c>
      <c r="AC2658" s="5">
        <v>43689</v>
      </c>
      <c r="AF2658" s="1">
        <v>10002</v>
      </c>
      <c r="AI2658" s="1" t="s">
        <v>1959</v>
      </c>
      <c r="AJ2658" s="1">
        <v>2019</v>
      </c>
      <c r="AK2658" s="1" t="s">
        <v>73</v>
      </c>
      <c r="AL2658" s="1">
        <v>787</v>
      </c>
    </row>
    <row r="2659" spans="1:38" x14ac:dyDescent="0.2">
      <c r="A2659" s="2" t="str">
        <f>HYPERLINK("https://www.compass.com/listing/252-south-street-unit-24k-manhattan-ny-10002/157041484204451393/","252 South St, Unit 24K")</f>
        <v>252 South St, Unit 24K</v>
      </c>
      <c r="B2659" s="2" t="str">
        <f t="shared" si="376"/>
        <v>One Manhattan Square</v>
      </c>
      <c r="C2659" s="1" t="s">
        <v>66</v>
      </c>
      <c r="D2659" s="1" t="s">
        <v>41</v>
      </c>
      <c r="E2659" s="3">
        <v>1354040</v>
      </c>
      <c r="F2659" s="1">
        <v>1948.25899280575</v>
      </c>
      <c r="G2659" s="1">
        <v>3</v>
      </c>
      <c r="H2659" s="1">
        <v>1</v>
      </c>
      <c r="I2659" s="1">
        <v>1</v>
      </c>
      <c r="J2659" s="1">
        <v>1</v>
      </c>
      <c r="K2659" s="1">
        <v>1</v>
      </c>
      <c r="M2659" s="1">
        <v>695</v>
      </c>
      <c r="N2659" s="1">
        <v>791.2</v>
      </c>
      <c r="O2659" s="1">
        <v>804.48</v>
      </c>
      <c r="P2659" s="1">
        <v>13.25</v>
      </c>
      <c r="Q2659" s="1" t="s">
        <v>42</v>
      </c>
      <c r="S2659" s="1" t="s">
        <v>42</v>
      </c>
      <c r="T2659" s="1" t="s">
        <v>170</v>
      </c>
      <c r="U2659" s="1">
        <v>1</v>
      </c>
      <c r="V2659" s="5">
        <v>43683</v>
      </c>
      <c r="W2659" s="5">
        <v>43469</v>
      </c>
      <c r="X2659" s="1">
        <v>1365000</v>
      </c>
      <c r="Y2659" s="1">
        <v>1365000</v>
      </c>
      <c r="Z2659" s="5">
        <v>43470</v>
      </c>
      <c r="AA2659" s="1">
        <v>1354040</v>
      </c>
      <c r="AB2659" s="1" t="s">
        <v>1983</v>
      </c>
      <c r="AC2659" s="5">
        <v>43607</v>
      </c>
      <c r="AF2659" s="1">
        <v>10002</v>
      </c>
      <c r="AI2659" s="1" t="s">
        <v>55</v>
      </c>
      <c r="AJ2659" s="1">
        <v>2019</v>
      </c>
      <c r="AK2659" s="1" t="s">
        <v>73</v>
      </c>
      <c r="AL2659" s="1">
        <v>787</v>
      </c>
    </row>
    <row r="2660" spans="1:38" x14ac:dyDescent="0.2">
      <c r="A2660" s="2" t="str">
        <f>HYPERLINK("https://www.compass.com/listing/2351-adam-clayton-powell-jr-boulevard-unit-306-manhattan-ny-10030/84775159696750881/","2351 Adam Clayton Powell Jr Blvd, Unit 306")</f>
        <v>2351 Adam Clayton Powell Jr Blvd, Unit 306</v>
      </c>
      <c r="B2660" s="2" t="str">
        <f t="shared" ref="B2660:B2661" si="377">HYPERLINK("https://www.compass.com/building/the-rennie-manhattan-ny/307439143554395509/","THE RENNIE")</f>
        <v>THE RENNIE</v>
      </c>
      <c r="C2660" s="1" t="s">
        <v>106</v>
      </c>
      <c r="D2660" s="1" t="s">
        <v>41</v>
      </c>
      <c r="E2660" s="3">
        <v>750000</v>
      </c>
      <c r="F2660" s="1">
        <v>1153.8461538461499</v>
      </c>
      <c r="G2660" s="1">
        <v>3</v>
      </c>
      <c r="H2660" s="1">
        <v>1</v>
      </c>
      <c r="I2660" s="1">
        <v>1</v>
      </c>
      <c r="J2660" s="1">
        <v>1</v>
      </c>
      <c r="K2660" s="1">
        <v>1</v>
      </c>
      <c r="M2660" s="1">
        <v>650</v>
      </c>
      <c r="N2660" s="1">
        <v>739</v>
      </c>
      <c r="O2660" s="1">
        <v>768</v>
      </c>
      <c r="P2660" s="1">
        <v>29</v>
      </c>
      <c r="Q2660" s="1" t="s">
        <v>42</v>
      </c>
      <c r="S2660" s="1" t="s">
        <v>42</v>
      </c>
      <c r="T2660" s="1" t="s">
        <v>170</v>
      </c>
      <c r="V2660" s="5">
        <v>43780</v>
      </c>
      <c r="W2660" s="5">
        <v>43542</v>
      </c>
      <c r="X2660" s="1">
        <v>750000</v>
      </c>
      <c r="Y2660" s="1">
        <v>750000</v>
      </c>
      <c r="Z2660" s="5">
        <v>43542</v>
      </c>
      <c r="AA2660" s="1">
        <v>750000</v>
      </c>
      <c r="AB2660" s="1" t="s">
        <v>1984</v>
      </c>
      <c r="AC2660" s="5">
        <v>43770</v>
      </c>
      <c r="AF2660" s="1">
        <v>10030</v>
      </c>
      <c r="AI2660" s="1" t="s">
        <v>158</v>
      </c>
      <c r="AJ2660" s="1">
        <v>2018</v>
      </c>
      <c r="AK2660" s="1" t="s">
        <v>77</v>
      </c>
      <c r="AL2660" s="1">
        <v>106</v>
      </c>
    </row>
    <row r="2661" spans="1:38" x14ac:dyDescent="0.2">
      <c r="A2661" s="2" t="str">
        <f>HYPERLINK("https://www.compass.com/listing/2351-adam-clayton-powell-jr-boulevard-unit-408-manhattan-ny-10030/96869484647751569/","2351 Adam Clayton Powell Jr Blvd, Unit 408")</f>
        <v>2351 Adam Clayton Powell Jr Blvd, Unit 408</v>
      </c>
      <c r="B2661" s="2" t="str">
        <f t="shared" si="377"/>
        <v>THE RENNIE</v>
      </c>
      <c r="C2661" s="1" t="s">
        <v>106</v>
      </c>
      <c r="D2661" s="1" t="s">
        <v>41</v>
      </c>
      <c r="E2661" s="3">
        <v>763688</v>
      </c>
      <c r="F2661" s="1">
        <v>1162.3858447488501</v>
      </c>
      <c r="G2661" s="1">
        <v>3</v>
      </c>
      <c r="H2661" s="1">
        <v>1</v>
      </c>
      <c r="I2661" s="1">
        <v>1</v>
      </c>
      <c r="J2661" s="1">
        <v>1</v>
      </c>
      <c r="K2661" s="1">
        <v>1</v>
      </c>
      <c r="M2661" s="1">
        <v>657</v>
      </c>
      <c r="N2661" s="1">
        <v>747</v>
      </c>
      <c r="O2661" s="1">
        <v>776</v>
      </c>
      <c r="P2661" s="1">
        <v>29</v>
      </c>
      <c r="Q2661" s="1" t="s">
        <v>42</v>
      </c>
      <c r="S2661" s="1" t="s">
        <v>42</v>
      </c>
      <c r="T2661" s="1" t="s">
        <v>170</v>
      </c>
      <c r="U2661" s="1">
        <v>14</v>
      </c>
      <c r="V2661" s="5">
        <v>43873</v>
      </c>
      <c r="W2661" s="5">
        <v>43385</v>
      </c>
      <c r="X2661" s="1">
        <v>750000</v>
      </c>
      <c r="Y2661" s="1">
        <v>750000</v>
      </c>
      <c r="Z2661" s="5">
        <v>43400</v>
      </c>
      <c r="AA2661" s="1">
        <v>763687.5</v>
      </c>
      <c r="AB2661" s="1" t="s">
        <v>1985</v>
      </c>
      <c r="AC2661" s="5">
        <v>43868</v>
      </c>
      <c r="AF2661" s="1">
        <v>10030</v>
      </c>
      <c r="AI2661" s="1" t="s">
        <v>1839</v>
      </c>
      <c r="AJ2661" s="1">
        <v>2018</v>
      </c>
      <c r="AK2661" s="1" t="s">
        <v>77</v>
      </c>
      <c r="AL2661" s="1">
        <v>106</v>
      </c>
    </row>
    <row r="2662" spans="1:38" x14ac:dyDescent="0.2">
      <c r="A2662" s="2" t="str">
        <f>HYPERLINK("https://www.compass.com/listing/252-south-street-unit-48l-manhattan-ny-10002/29513552117234001/","252 South St, Unit 48L")</f>
        <v>252 South St, Unit 48L</v>
      </c>
      <c r="B2662" s="2" t="str">
        <f>HYPERLINK("https://www.compass.com/building/one-manhattan-square-manhattan-ny/294844950218926165/","One Manhattan Square")</f>
        <v>One Manhattan Square</v>
      </c>
      <c r="C2662" s="1" t="s">
        <v>66</v>
      </c>
      <c r="D2662" s="1" t="s">
        <v>41</v>
      </c>
      <c r="E2662" s="3">
        <v>2565511</v>
      </c>
      <c r="F2662" s="1">
        <v>2284.51585040071</v>
      </c>
      <c r="G2662" s="1">
        <v>4</v>
      </c>
      <c r="H2662" s="1">
        <v>2</v>
      </c>
      <c r="I2662" s="1">
        <v>2</v>
      </c>
      <c r="J2662" s="1">
        <v>2</v>
      </c>
      <c r="M2662" s="4">
        <v>1123</v>
      </c>
      <c r="N2662" s="1">
        <v>1410</v>
      </c>
      <c r="O2662" s="1">
        <v>1434</v>
      </c>
      <c r="P2662" s="1">
        <v>24</v>
      </c>
      <c r="Q2662" s="1" t="s">
        <v>42</v>
      </c>
      <c r="S2662" s="1" t="s">
        <v>42</v>
      </c>
      <c r="T2662" s="1" t="s">
        <v>170</v>
      </c>
      <c r="U2662" s="1">
        <v>1</v>
      </c>
      <c r="V2662" s="5">
        <v>43760</v>
      </c>
      <c r="W2662" s="5">
        <v>42761</v>
      </c>
      <c r="X2662" s="1">
        <v>2648000</v>
      </c>
      <c r="Y2662" s="1">
        <v>2648000</v>
      </c>
      <c r="Z2662" s="5">
        <v>42762</v>
      </c>
      <c r="AA2662" s="1">
        <v>2565511.2999999998</v>
      </c>
      <c r="AB2662" s="1" t="s">
        <v>1986</v>
      </c>
      <c r="AC2662" s="5">
        <v>43745</v>
      </c>
      <c r="AF2662" s="1">
        <v>10002</v>
      </c>
      <c r="AI2662" s="1" t="s">
        <v>1921</v>
      </c>
      <c r="AJ2662" s="1">
        <v>2019</v>
      </c>
      <c r="AK2662" s="1" t="s">
        <v>73</v>
      </c>
      <c r="AL2662" s="1">
        <v>787</v>
      </c>
    </row>
    <row r="2663" spans="1:38" x14ac:dyDescent="0.2">
      <c r="A2663" s="2" t="str">
        <f>HYPERLINK("https://www.compass.com/listing/215-chrystie-street-unit-ph1-manhattan-ny-10002/29361561344800657/","215 Chrystie St, Unit PH1")</f>
        <v>215 Chrystie St, Unit PH1</v>
      </c>
      <c r="B2663" s="2" t="str">
        <f t="shared" ref="B2663:B2666" si="378">HYPERLINK("https://www.compass.com/building/215-chrystie-st-manhattan-ny-10002/281886398615655237/","215 Chrystie St")</f>
        <v>215 Chrystie St</v>
      </c>
      <c r="C2663" s="1" t="s">
        <v>66</v>
      </c>
      <c r="D2663" s="1" t="s">
        <v>41</v>
      </c>
      <c r="E2663" s="3">
        <v>19000000</v>
      </c>
      <c r="F2663" s="1">
        <v>4470.5882352941098</v>
      </c>
      <c r="G2663" s="1">
        <v>6</v>
      </c>
      <c r="H2663" s="1">
        <v>4</v>
      </c>
      <c r="I2663" s="1">
        <v>5</v>
      </c>
      <c r="J2663" s="1">
        <v>4.5</v>
      </c>
      <c r="K2663" s="1">
        <v>4</v>
      </c>
      <c r="L2663" s="1">
        <v>1</v>
      </c>
      <c r="M2663" s="4">
        <v>4250</v>
      </c>
      <c r="N2663" s="1">
        <v>9064</v>
      </c>
      <c r="O2663" s="1">
        <v>18576</v>
      </c>
      <c r="P2663" s="1">
        <v>9512</v>
      </c>
      <c r="Q2663" s="1" t="s">
        <v>42</v>
      </c>
      <c r="S2663" s="1" t="s">
        <v>42</v>
      </c>
      <c r="T2663" s="1" t="s">
        <v>170</v>
      </c>
      <c r="V2663" s="5">
        <v>44225</v>
      </c>
      <c r="W2663" s="5">
        <v>42637</v>
      </c>
      <c r="X2663" s="1">
        <v>23500000</v>
      </c>
      <c r="Y2663" s="1">
        <v>23500000</v>
      </c>
      <c r="Z2663" s="5">
        <v>42637</v>
      </c>
      <c r="AA2663" s="1">
        <v>19000000</v>
      </c>
      <c r="AB2663" s="1" t="s">
        <v>1987</v>
      </c>
      <c r="AC2663" s="5">
        <v>43159</v>
      </c>
      <c r="AF2663" s="1">
        <v>10002</v>
      </c>
      <c r="AI2663" s="1" t="s">
        <v>105</v>
      </c>
      <c r="AJ2663" s="1">
        <v>2016</v>
      </c>
      <c r="AK2663" s="1" t="s">
        <v>49</v>
      </c>
      <c r="AL2663" s="1">
        <v>11</v>
      </c>
    </row>
    <row r="2664" spans="1:38" x14ac:dyDescent="0.2">
      <c r="A2664" s="2" t="str">
        <f>HYPERLINK("https://www.compass.com/listing/215-chrystie-street-unit-29east-manhattan-ny-10002/4852284427956389185/","215 Chrystie St, Unit 29EAST")</f>
        <v>215 Chrystie St, Unit 29EAST</v>
      </c>
      <c r="B2664" s="2" t="str">
        <f t="shared" si="378"/>
        <v>215 Chrystie St</v>
      </c>
      <c r="C2664" s="1" t="s">
        <v>66</v>
      </c>
      <c r="D2664" s="1" t="s">
        <v>41</v>
      </c>
      <c r="E2664" s="3">
        <v>8000000</v>
      </c>
      <c r="F2664" s="1">
        <v>3566.65180561747</v>
      </c>
      <c r="G2664" s="1">
        <v>4</v>
      </c>
      <c r="H2664" s="1">
        <v>3</v>
      </c>
      <c r="I2664" s="1">
        <v>3</v>
      </c>
      <c r="J2664" s="1">
        <v>3</v>
      </c>
      <c r="M2664" s="4">
        <v>2243</v>
      </c>
      <c r="N2664" s="1">
        <v>3876</v>
      </c>
      <c r="O2664" s="1">
        <v>7944</v>
      </c>
      <c r="P2664" s="1">
        <v>4068</v>
      </c>
      <c r="Q2664" s="1" t="s">
        <v>42</v>
      </c>
      <c r="S2664" s="1" t="s">
        <v>42</v>
      </c>
      <c r="T2664" s="1" t="s">
        <v>170</v>
      </c>
      <c r="U2664" s="1">
        <v>1</v>
      </c>
      <c r="V2664" s="5">
        <v>43649</v>
      </c>
      <c r="W2664" s="5">
        <v>41976</v>
      </c>
      <c r="X2664" s="1">
        <v>8150000</v>
      </c>
      <c r="Y2664" s="1">
        <v>8150000</v>
      </c>
      <c r="Z2664" s="5">
        <v>41977</v>
      </c>
      <c r="AA2664" s="1">
        <v>8000000</v>
      </c>
      <c r="AB2664" s="1" t="s">
        <v>181</v>
      </c>
      <c r="AC2664" s="5">
        <v>43062</v>
      </c>
      <c r="AF2664" s="1">
        <v>10002</v>
      </c>
      <c r="AJ2664" s="1">
        <v>2016</v>
      </c>
      <c r="AK2664" s="1" t="s">
        <v>49</v>
      </c>
      <c r="AL2664" s="1">
        <v>11</v>
      </c>
    </row>
    <row r="2665" spans="1:38" x14ac:dyDescent="0.2">
      <c r="A2665" s="2" t="str">
        <f>HYPERLINK("https://www.compass.com/listing/215-chrystie-street-unit-27east-manhattan-ny-10002/4853862467693973377/","215 Chrystie St, Unit 27EAST")</f>
        <v>215 Chrystie St, Unit 27EAST</v>
      </c>
      <c r="B2665" s="2" t="str">
        <f t="shared" si="378"/>
        <v>215 Chrystie St</v>
      </c>
      <c r="C2665" s="1" t="s">
        <v>66</v>
      </c>
      <c r="D2665" s="1" t="s">
        <v>41</v>
      </c>
      <c r="E2665" s="3">
        <v>7025925</v>
      </c>
      <c r="F2665" s="1">
        <v>3132.3785109228702</v>
      </c>
      <c r="G2665" s="1">
        <v>5</v>
      </c>
      <c r="H2665" s="1">
        <v>3</v>
      </c>
      <c r="I2665" s="1">
        <v>3</v>
      </c>
      <c r="J2665" s="1">
        <v>3</v>
      </c>
      <c r="M2665" s="4">
        <v>2243</v>
      </c>
      <c r="N2665" s="1">
        <v>3876</v>
      </c>
      <c r="O2665" s="1">
        <v>7944</v>
      </c>
      <c r="P2665" s="1">
        <v>4068</v>
      </c>
      <c r="Q2665" s="1" t="s">
        <v>42</v>
      </c>
      <c r="S2665" s="1" t="s">
        <v>42</v>
      </c>
      <c r="T2665" s="1" t="s">
        <v>170</v>
      </c>
      <c r="U2665" s="1">
        <v>28</v>
      </c>
      <c r="V2665" s="5">
        <v>43649</v>
      </c>
      <c r="W2665" s="5">
        <v>42504</v>
      </c>
      <c r="X2665" s="1">
        <v>7750000</v>
      </c>
      <c r="Y2665" s="1">
        <v>7750000</v>
      </c>
      <c r="Z2665" s="5">
        <v>42532</v>
      </c>
      <c r="AA2665" s="1">
        <v>7025925</v>
      </c>
      <c r="AB2665" s="1" t="s">
        <v>181</v>
      </c>
      <c r="AC2665" s="5">
        <v>43061</v>
      </c>
      <c r="AF2665" s="1">
        <v>10002</v>
      </c>
      <c r="AJ2665" s="1">
        <v>2016</v>
      </c>
      <c r="AK2665" s="1" t="s">
        <v>49</v>
      </c>
      <c r="AL2665" s="1">
        <v>11</v>
      </c>
    </row>
    <row r="2666" spans="1:38" x14ac:dyDescent="0.2">
      <c r="A2666" s="2" t="str">
        <f>HYPERLINK("https://www.compass.com/listing/215-chrystie-street-unit-26east-manhattan-ny-10002/4853862692173130065/","215 Chrystie St, Unit 26EAST")</f>
        <v>215 Chrystie St, Unit 26EAST</v>
      </c>
      <c r="B2666" s="2" t="str">
        <f t="shared" si="378"/>
        <v>215 Chrystie St</v>
      </c>
      <c r="C2666" s="1" t="s">
        <v>66</v>
      </c>
      <c r="D2666" s="1" t="s">
        <v>41</v>
      </c>
      <c r="E2666" s="3">
        <v>7250000</v>
      </c>
      <c r="F2666" s="1">
        <v>3267.2374943668301</v>
      </c>
      <c r="G2666" s="1">
        <v>5</v>
      </c>
      <c r="H2666" s="1">
        <v>3</v>
      </c>
      <c r="I2666" s="1">
        <v>3</v>
      </c>
      <c r="J2666" s="1">
        <v>3</v>
      </c>
      <c r="M2666" s="4">
        <v>2219</v>
      </c>
      <c r="N2666" s="1">
        <v>3835</v>
      </c>
      <c r="O2666" s="1">
        <v>7859</v>
      </c>
      <c r="P2666" s="1">
        <v>4024</v>
      </c>
      <c r="Q2666" s="1" t="s">
        <v>42</v>
      </c>
      <c r="S2666" s="1" t="s">
        <v>42</v>
      </c>
      <c r="T2666" s="1" t="s">
        <v>170</v>
      </c>
      <c r="U2666" s="1">
        <v>199</v>
      </c>
      <c r="V2666" s="5">
        <v>43649</v>
      </c>
      <c r="W2666" s="5">
        <v>42536</v>
      </c>
      <c r="X2666" s="1">
        <v>7600000</v>
      </c>
      <c r="Y2666" s="1">
        <v>7600000</v>
      </c>
      <c r="Z2666" s="5">
        <v>42735</v>
      </c>
      <c r="AA2666" s="1">
        <v>7250000</v>
      </c>
      <c r="AB2666" s="1" t="s">
        <v>1988</v>
      </c>
      <c r="AC2666" s="5">
        <v>43165</v>
      </c>
      <c r="AF2666" s="1">
        <v>10002</v>
      </c>
      <c r="AJ2666" s="1">
        <v>2016</v>
      </c>
      <c r="AK2666" s="1" t="s">
        <v>49</v>
      </c>
      <c r="AL2666" s="1">
        <v>11</v>
      </c>
    </row>
    <row r="2667" spans="1:38" x14ac:dyDescent="0.2">
      <c r="A2667" s="2" t="str">
        <f>HYPERLINK("https://www.compass.com/listing/25-park-row-unit-36b-manhattan-ny-10038/324479994218209025/","25 Park Row, Unit 36B")</f>
        <v>25 Park Row, Unit 36B</v>
      </c>
      <c r="B2667" s="2" t="str">
        <f t="shared" ref="B2667:B2668" si="379">HYPERLINK("https://www.compass.com/building/25-park-row-manhattan-ny-10038/292920743539264837/","25 Park Row")</f>
        <v>25 Park Row</v>
      </c>
      <c r="C2667" s="1" t="s">
        <v>117</v>
      </c>
      <c r="D2667" s="1" t="s">
        <v>41</v>
      </c>
      <c r="E2667" s="3">
        <v>5335000</v>
      </c>
      <c r="F2667" s="1">
        <v>2439.4147233653398</v>
      </c>
      <c r="G2667" s="1">
        <v>5.5</v>
      </c>
      <c r="H2667" s="1">
        <v>3</v>
      </c>
      <c r="I2667" s="1">
        <v>4</v>
      </c>
      <c r="J2667" s="1">
        <v>3.5</v>
      </c>
      <c r="K2667" s="1">
        <v>3</v>
      </c>
      <c r="L2667" s="1">
        <v>1</v>
      </c>
      <c r="M2667" s="4">
        <v>2187</v>
      </c>
      <c r="N2667" s="1">
        <v>3174.47</v>
      </c>
      <c r="O2667" s="1">
        <v>6349.37</v>
      </c>
      <c r="P2667" s="1">
        <v>3174.9166666666601</v>
      </c>
      <c r="Q2667" s="1" t="s">
        <v>42</v>
      </c>
      <c r="S2667" s="1" t="s">
        <v>42</v>
      </c>
      <c r="T2667" s="1" t="s">
        <v>170</v>
      </c>
      <c r="U2667" s="1">
        <v>104</v>
      </c>
      <c r="V2667" s="5">
        <v>44170</v>
      </c>
      <c r="W2667" s="5">
        <v>43699</v>
      </c>
      <c r="X2667" s="1">
        <v>5335000</v>
      </c>
      <c r="Y2667" s="1">
        <v>5335000</v>
      </c>
      <c r="AA2667" s="1">
        <v>5335000</v>
      </c>
      <c r="AB2667" s="1" t="s">
        <v>1989</v>
      </c>
      <c r="AC2667" s="5">
        <v>44159</v>
      </c>
      <c r="AF2667" s="1">
        <v>10038</v>
      </c>
      <c r="AI2667" s="1" t="s">
        <v>149</v>
      </c>
      <c r="AJ2667" s="1">
        <v>2019</v>
      </c>
      <c r="AK2667" s="1" t="s">
        <v>77</v>
      </c>
      <c r="AL2667" s="1">
        <v>110</v>
      </c>
    </row>
    <row r="2668" spans="1:38" x14ac:dyDescent="0.2">
      <c r="A2668" s="2" t="str">
        <f>HYPERLINK("https://www.compass.com/listing/25-park-row-unit-38b-manhattan-ny-10038/399853415518296801/","25 Park Row, Unit 38B")</f>
        <v>25 Park Row, Unit 38B</v>
      </c>
      <c r="B2668" s="2" t="str">
        <f t="shared" si="379"/>
        <v>25 Park Row</v>
      </c>
      <c r="C2668" s="1" t="s">
        <v>117</v>
      </c>
      <c r="D2668" s="1" t="s">
        <v>41</v>
      </c>
      <c r="E2668" s="3">
        <v>5540000</v>
      </c>
      <c r="F2668" s="1">
        <v>2533.1504343850002</v>
      </c>
      <c r="G2668" s="1">
        <v>5.5</v>
      </c>
      <c r="H2668" s="1">
        <v>3</v>
      </c>
      <c r="I2668" s="1">
        <v>4</v>
      </c>
      <c r="J2668" s="1">
        <v>3.5</v>
      </c>
      <c r="K2668" s="1">
        <v>3</v>
      </c>
      <c r="L2668" s="1">
        <v>1</v>
      </c>
      <c r="M2668" s="4">
        <v>2187</v>
      </c>
      <c r="N2668" s="1">
        <v>3205.38</v>
      </c>
      <c r="O2668" s="1">
        <v>6411.19</v>
      </c>
      <c r="P2668" s="1">
        <v>3205.8333333333298</v>
      </c>
      <c r="Q2668" s="1" t="s">
        <v>42</v>
      </c>
      <c r="S2668" s="1" t="s">
        <v>42</v>
      </c>
      <c r="T2668" s="1" t="s">
        <v>170</v>
      </c>
      <c r="V2668" s="5">
        <v>44274</v>
      </c>
      <c r="W2668" s="5">
        <v>43803</v>
      </c>
      <c r="X2668" s="1">
        <v>5540000</v>
      </c>
      <c r="Y2668" s="1">
        <v>5540000</v>
      </c>
      <c r="AA2668" s="1">
        <v>5540000</v>
      </c>
      <c r="AB2668" s="1" t="s">
        <v>1990</v>
      </c>
      <c r="AC2668" s="5">
        <v>44266</v>
      </c>
      <c r="AF2668" s="1">
        <v>10038</v>
      </c>
      <c r="AI2668" s="1" t="s">
        <v>149</v>
      </c>
      <c r="AJ2668" s="1">
        <v>2019</v>
      </c>
      <c r="AK2668" s="1" t="s">
        <v>77</v>
      </c>
      <c r="AL2668" s="1">
        <v>110</v>
      </c>
    </row>
    <row r="2669" spans="1:38" x14ac:dyDescent="0.2">
      <c r="A2669" s="2" t="str">
        <f>HYPERLINK("https://www.compass.com/listing/252-south-street-unit-51a-manhattan-ny-10002/294123228517930433/","252 South St, Unit 51A")</f>
        <v>252 South St, Unit 51A</v>
      </c>
      <c r="B2669" s="2" t="str">
        <f t="shared" ref="B2669:B2673" si="380">HYPERLINK("https://www.compass.com/building/one-manhattan-square-manhattan-ny/294844950218926165/","One Manhattan Square")</f>
        <v>One Manhattan Square</v>
      </c>
      <c r="C2669" s="1" t="s">
        <v>66</v>
      </c>
      <c r="D2669" s="1" t="s">
        <v>41</v>
      </c>
      <c r="E2669" s="3">
        <v>2763931</v>
      </c>
      <c r="F2669" s="1">
        <v>2376.5528804815099</v>
      </c>
      <c r="G2669" s="1">
        <v>4</v>
      </c>
      <c r="H2669" s="1">
        <v>2</v>
      </c>
      <c r="I2669" s="1">
        <v>2</v>
      </c>
      <c r="J2669" s="1">
        <v>2</v>
      </c>
      <c r="K2669" s="1">
        <v>2</v>
      </c>
      <c r="M2669" s="4">
        <v>1163</v>
      </c>
      <c r="N2669" s="1">
        <v>1506.39</v>
      </c>
      <c r="O2669" s="1">
        <v>1530.18</v>
      </c>
      <c r="P2669" s="1">
        <v>23.75</v>
      </c>
      <c r="Q2669" s="1" t="s">
        <v>42</v>
      </c>
      <c r="S2669" s="1" t="s">
        <v>42</v>
      </c>
      <c r="T2669" s="1" t="s">
        <v>170</v>
      </c>
      <c r="U2669" s="1">
        <v>3</v>
      </c>
      <c r="V2669" s="5">
        <v>43752</v>
      </c>
      <c r="W2669" s="5">
        <v>43657</v>
      </c>
      <c r="X2669" s="1">
        <v>2839000</v>
      </c>
      <c r="Y2669" s="1">
        <v>2839000</v>
      </c>
      <c r="Z2669" s="5">
        <v>43660</v>
      </c>
      <c r="AA2669" s="1">
        <v>2763931</v>
      </c>
      <c r="AB2669" s="1" t="s">
        <v>1991</v>
      </c>
      <c r="AC2669" s="5">
        <v>43742</v>
      </c>
      <c r="AF2669" s="1">
        <v>10002</v>
      </c>
      <c r="AI2669" s="1" t="s">
        <v>55</v>
      </c>
      <c r="AJ2669" s="1">
        <v>2019</v>
      </c>
      <c r="AK2669" s="1" t="s">
        <v>73</v>
      </c>
      <c r="AL2669" s="1">
        <v>787</v>
      </c>
    </row>
    <row r="2670" spans="1:38" x14ac:dyDescent="0.2">
      <c r="A2670" s="2" t="str">
        <f>HYPERLINK("https://www.compass.com/listing/252-south-street-unit-52d-manhattan-ny-10002/29513545204985153/","252 South St, Unit 52D")</f>
        <v>252 South St, Unit 52D</v>
      </c>
      <c r="B2670" s="2" t="str">
        <f t="shared" si="380"/>
        <v>One Manhattan Square</v>
      </c>
      <c r="C2670" s="1" t="s">
        <v>66</v>
      </c>
      <c r="D2670" s="1" t="s">
        <v>41</v>
      </c>
      <c r="E2670" s="3">
        <v>2636126</v>
      </c>
      <c r="F2670" s="1">
        <v>2264.7126632302402</v>
      </c>
      <c r="G2670" s="1">
        <v>4</v>
      </c>
      <c r="H2670" s="1">
        <v>2</v>
      </c>
      <c r="I2670" s="1">
        <v>2</v>
      </c>
      <c r="J2670" s="1">
        <v>2</v>
      </c>
      <c r="M2670" s="4">
        <v>1164</v>
      </c>
      <c r="N2670" s="1">
        <v>1492</v>
      </c>
      <c r="O2670" s="1">
        <v>1517</v>
      </c>
      <c r="P2670" s="1">
        <v>25</v>
      </c>
      <c r="Q2670" s="1" t="s">
        <v>42</v>
      </c>
      <c r="S2670" s="1" t="s">
        <v>42</v>
      </c>
      <c r="T2670" s="1" t="s">
        <v>170</v>
      </c>
      <c r="U2670" s="1">
        <v>4</v>
      </c>
      <c r="V2670" s="5">
        <v>43747</v>
      </c>
      <c r="W2670" s="5">
        <v>42825</v>
      </c>
      <c r="X2670" s="1">
        <v>2721000</v>
      </c>
      <c r="Y2670" s="1">
        <v>2721000</v>
      </c>
      <c r="Z2670" s="5">
        <v>42829</v>
      </c>
      <c r="AA2670" s="1">
        <v>2636125.54</v>
      </c>
      <c r="AB2670" s="1" t="s">
        <v>1992</v>
      </c>
      <c r="AC2670" s="5">
        <v>43726</v>
      </c>
      <c r="AF2670" s="1">
        <v>10002</v>
      </c>
      <c r="AI2670" s="1" t="s">
        <v>55</v>
      </c>
      <c r="AJ2670" s="1">
        <v>2019</v>
      </c>
      <c r="AK2670" s="1" t="s">
        <v>73</v>
      </c>
      <c r="AL2670" s="1">
        <v>787</v>
      </c>
    </row>
    <row r="2671" spans="1:38" x14ac:dyDescent="0.2">
      <c r="A2671" s="2" t="str">
        <f>HYPERLINK("https://www.compass.com/listing/252-south-street-unit-8e-manhattan-ny-10002/29513551253207361/","252 South St, Unit 8E")</f>
        <v>252 South St, Unit 8E</v>
      </c>
      <c r="B2671" s="2" t="str">
        <f t="shared" si="380"/>
        <v>One Manhattan Square</v>
      </c>
      <c r="C2671" s="1" t="s">
        <v>66</v>
      </c>
      <c r="D2671" s="1" t="s">
        <v>41</v>
      </c>
      <c r="E2671" s="3">
        <v>2040500</v>
      </c>
      <c r="F2671" s="1">
        <v>1817.0080142475499</v>
      </c>
      <c r="G2671" s="1">
        <v>4</v>
      </c>
      <c r="H2671" s="1">
        <v>2</v>
      </c>
      <c r="I2671" s="1">
        <v>2</v>
      </c>
      <c r="J2671" s="1">
        <v>2</v>
      </c>
      <c r="M2671" s="4">
        <v>1123</v>
      </c>
      <c r="N2671" s="1">
        <v>1186</v>
      </c>
      <c r="O2671" s="1">
        <v>1206</v>
      </c>
      <c r="P2671" s="1">
        <v>20</v>
      </c>
      <c r="Q2671" s="1" t="s">
        <v>42</v>
      </c>
      <c r="S2671" s="1" t="s">
        <v>42</v>
      </c>
      <c r="T2671" s="1" t="s">
        <v>170</v>
      </c>
      <c r="U2671" s="1">
        <v>5</v>
      </c>
      <c r="V2671" s="5">
        <v>43683</v>
      </c>
      <c r="W2671" s="5">
        <v>42754</v>
      </c>
      <c r="X2671" s="1">
        <v>2083000</v>
      </c>
      <c r="Y2671" s="1">
        <v>2083000</v>
      </c>
      <c r="Z2671" s="5">
        <v>42759</v>
      </c>
      <c r="AA2671" s="1">
        <v>2040500</v>
      </c>
      <c r="AB2671" s="1" t="s">
        <v>1993</v>
      </c>
      <c r="AC2671" s="5">
        <v>43613</v>
      </c>
      <c r="AF2671" s="1">
        <v>10002</v>
      </c>
      <c r="AI2671" s="1" t="s">
        <v>1921</v>
      </c>
      <c r="AJ2671" s="1">
        <v>2019</v>
      </c>
      <c r="AK2671" s="1" t="s">
        <v>73</v>
      </c>
      <c r="AL2671" s="1">
        <v>787</v>
      </c>
    </row>
    <row r="2672" spans="1:38" x14ac:dyDescent="0.2">
      <c r="A2672" s="2" t="str">
        <f>HYPERLINK("https://www.compass.com/listing/252-south-street-unit-48j-manhattan-ny-10002/29513540851332929/","252 South St, Unit 48J")</f>
        <v>252 South St, Unit 48J</v>
      </c>
      <c r="B2672" s="2" t="str">
        <f t="shared" si="380"/>
        <v>One Manhattan Square</v>
      </c>
      <c r="C2672" s="1" t="s">
        <v>66</v>
      </c>
      <c r="D2672" s="1" t="s">
        <v>41</v>
      </c>
      <c r="E2672" s="3">
        <v>1449915</v>
      </c>
      <c r="F2672" s="1">
        <v>2086.2086330935199</v>
      </c>
      <c r="G2672" s="1">
        <v>3</v>
      </c>
      <c r="H2672" s="1">
        <v>1</v>
      </c>
      <c r="I2672" s="1">
        <v>1</v>
      </c>
      <c r="J2672" s="1">
        <v>1</v>
      </c>
      <c r="M2672" s="1">
        <v>695</v>
      </c>
      <c r="N2672" s="1">
        <v>865</v>
      </c>
      <c r="O2672" s="1">
        <v>880</v>
      </c>
      <c r="P2672" s="1">
        <v>15</v>
      </c>
      <c r="Q2672" s="1" t="s">
        <v>42</v>
      </c>
      <c r="S2672" s="1" t="s">
        <v>42</v>
      </c>
      <c r="T2672" s="1" t="s">
        <v>170</v>
      </c>
      <c r="U2672" s="1">
        <v>3</v>
      </c>
      <c r="V2672" s="5">
        <v>43696</v>
      </c>
      <c r="W2672" s="5">
        <v>42886</v>
      </c>
      <c r="X2672" s="1">
        <v>1482000</v>
      </c>
      <c r="Y2672" s="1">
        <v>1482000</v>
      </c>
      <c r="Z2672" s="5">
        <v>42889</v>
      </c>
      <c r="AA2672" s="1">
        <v>1449915</v>
      </c>
      <c r="AB2672" s="1" t="s">
        <v>1994</v>
      </c>
      <c r="AC2672" s="5">
        <v>43636</v>
      </c>
      <c r="AF2672" s="1">
        <v>10002</v>
      </c>
      <c r="AI2672" s="1" t="s">
        <v>55</v>
      </c>
      <c r="AJ2672" s="1">
        <v>2019</v>
      </c>
      <c r="AK2672" s="1" t="s">
        <v>73</v>
      </c>
      <c r="AL2672" s="1">
        <v>787</v>
      </c>
    </row>
    <row r="2673" spans="1:38" x14ac:dyDescent="0.2">
      <c r="A2673" s="2" t="str">
        <f>HYPERLINK("https://www.compass.com/listing/252-south-street-unit-40m-manhattan-ny-10002/650202256038250545/","252 South St, Unit 40M")</f>
        <v>252 South St, Unit 40M</v>
      </c>
      <c r="B2673" s="2" t="str">
        <f t="shared" si="380"/>
        <v>One Manhattan Square</v>
      </c>
      <c r="C2673" s="1" t="s">
        <v>66</v>
      </c>
      <c r="D2673" s="1" t="s">
        <v>41</v>
      </c>
      <c r="E2673" s="3">
        <v>1458530</v>
      </c>
      <c r="F2673" s="1">
        <v>2098.6036834532301</v>
      </c>
      <c r="H2673" s="1">
        <v>1</v>
      </c>
      <c r="J2673" s="1">
        <v>1</v>
      </c>
      <c r="K2673" s="1">
        <v>1</v>
      </c>
      <c r="M2673" s="1">
        <v>695</v>
      </c>
      <c r="N2673" s="1">
        <v>859</v>
      </c>
      <c r="O2673" s="1">
        <v>873</v>
      </c>
      <c r="P2673" s="1">
        <v>14</v>
      </c>
      <c r="Q2673" s="1" t="s">
        <v>42</v>
      </c>
      <c r="S2673" s="1" t="s">
        <v>42</v>
      </c>
      <c r="T2673" s="1" t="s">
        <v>170</v>
      </c>
      <c r="AA2673" s="1">
        <v>1458529.56</v>
      </c>
      <c r="AB2673" s="1" t="s">
        <v>1995</v>
      </c>
      <c r="AC2673" s="5">
        <v>44133</v>
      </c>
      <c r="AF2673" s="1">
        <v>10002</v>
      </c>
      <c r="AI2673" s="1" t="s">
        <v>55</v>
      </c>
      <c r="AJ2673" s="1">
        <v>2019</v>
      </c>
      <c r="AK2673" s="1" t="s">
        <v>46</v>
      </c>
      <c r="AL2673" s="1">
        <v>787</v>
      </c>
    </row>
    <row r="2674" spans="1:38" x14ac:dyDescent="0.2">
      <c r="A2674" s="2" t="str">
        <f>HYPERLINK("https://www.compass.com/listing/215-chrystie-street-unit-27west-manhattan-ny-10002/4852284426303833153/","215 Chrystie St, Unit 27WEST")</f>
        <v>215 Chrystie St, Unit 27WEST</v>
      </c>
      <c r="B2674" s="2" t="str">
        <f>HYPERLINK("https://www.compass.com/building/215-chrystie-st-manhattan-ny-10002/281886398615655237/","215 Chrystie St")</f>
        <v>215 Chrystie St</v>
      </c>
      <c r="C2674" s="1" t="s">
        <v>66</v>
      </c>
      <c r="D2674" s="1" t="s">
        <v>41</v>
      </c>
      <c r="E2674" s="3">
        <v>6860000</v>
      </c>
      <c r="F2674" s="1">
        <v>3469.9038947900799</v>
      </c>
      <c r="G2674" s="1">
        <v>4</v>
      </c>
      <c r="H2674" s="1">
        <v>2</v>
      </c>
      <c r="I2674" s="1">
        <v>3</v>
      </c>
      <c r="J2674" s="1">
        <v>2.5</v>
      </c>
      <c r="M2674" s="4">
        <v>1977</v>
      </c>
      <c r="N2674" s="1">
        <v>3420</v>
      </c>
      <c r="O2674" s="1">
        <v>7008</v>
      </c>
      <c r="P2674" s="1">
        <v>3588</v>
      </c>
      <c r="Q2674" s="1" t="s">
        <v>42</v>
      </c>
      <c r="S2674" s="1" t="s">
        <v>42</v>
      </c>
      <c r="T2674" s="1" t="s">
        <v>170</v>
      </c>
      <c r="U2674" s="1">
        <v>792</v>
      </c>
      <c r="V2674" s="5">
        <v>43649</v>
      </c>
      <c r="W2674" s="5">
        <v>41911</v>
      </c>
      <c r="X2674" s="1">
        <v>7250000</v>
      </c>
      <c r="Y2674" s="1">
        <v>7250000</v>
      </c>
      <c r="Z2674" s="5">
        <v>42726</v>
      </c>
      <c r="AA2674" s="1">
        <v>6860000</v>
      </c>
      <c r="AB2674" s="1" t="s">
        <v>181</v>
      </c>
      <c r="AC2674" s="5">
        <v>43062</v>
      </c>
      <c r="AF2674" s="1">
        <v>10002</v>
      </c>
      <c r="AJ2674" s="1">
        <v>2016</v>
      </c>
      <c r="AK2674" s="1" t="s">
        <v>49</v>
      </c>
      <c r="AL2674" s="1">
        <v>11</v>
      </c>
    </row>
    <row r="2675" spans="1:38" x14ac:dyDescent="0.2">
      <c r="A2675" s="2" t="str">
        <f>HYPERLINK("https://www.compass.com/listing/252-south-street-unit-42j-manhattan-ny-10002/211575845666486033/","252 South St, Unit 42J")</f>
        <v>252 South St, Unit 42J</v>
      </c>
      <c r="B2675" s="2" t="str">
        <f t="shared" ref="B2675:B2706" si="381">HYPERLINK("https://www.compass.com/building/one-manhattan-square-manhattan-ny/294844950218926165/","One Manhattan Square")</f>
        <v>One Manhattan Square</v>
      </c>
      <c r="C2675" s="1" t="s">
        <v>66</v>
      </c>
      <c r="D2675" s="1" t="s">
        <v>41</v>
      </c>
      <c r="E2675" s="3">
        <v>1429550</v>
      </c>
      <c r="F2675" s="1">
        <v>2056.9064748201399</v>
      </c>
      <c r="G2675" s="1">
        <v>3</v>
      </c>
      <c r="H2675" s="1">
        <v>1</v>
      </c>
      <c r="I2675" s="1">
        <v>1</v>
      </c>
      <c r="J2675" s="1">
        <v>1</v>
      </c>
      <c r="K2675" s="1">
        <v>1</v>
      </c>
      <c r="M2675" s="1">
        <v>695</v>
      </c>
      <c r="N2675" s="1">
        <v>854.42</v>
      </c>
      <c r="O2675" s="1">
        <v>868.81</v>
      </c>
      <c r="P2675" s="1">
        <v>14.4166666666666</v>
      </c>
      <c r="Q2675" s="1" t="s">
        <v>42</v>
      </c>
      <c r="S2675" s="1" t="s">
        <v>42</v>
      </c>
      <c r="T2675" s="1" t="s">
        <v>170</v>
      </c>
      <c r="U2675" s="1">
        <v>4</v>
      </c>
      <c r="V2675" s="5">
        <v>43696</v>
      </c>
      <c r="W2675" s="5">
        <v>43544</v>
      </c>
      <c r="X2675" s="1">
        <v>1465000</v>
      </c>
      <c r="Y2675" s="1">
        <v>1465000</v>
      </c>
      <c r="Z2675" s="5">
        <v>43548</v>
      </c>
      <c r="AA2675" s="1">
        <v>1429550</v>
      </c>
      <c r="AB2675" s="1" t="s">
        <v>1996</v>
      </c>
      <c r="AC2675" s="5">
        <v>43668</v>
      </c>
      <c r="AF2675" s="1">
        <v>10002</v>
      </c>
      <c r="AI2675" s="1" t="s">
        <v>55</v>
      </c>
      <c r="AJ2675" s="1">
        <v>2019</v>
      </c>
      <c r="AK2675" s="1" t="s">
        <v>73</v>
      </c>
      <c r="AL2675" s="1">
        <v>787</v>
      </c>
    </row>
    <row r="2676" spans="1:38" x14ac:dyDescent="0.2">
      <c r="A2676" s="2" t="str">
        <f>HYPERLINK("https://www.compass.com/listing/252-south-street-unit-22n-manhattan-ny-10002/29513554675759537/","252 South St, Unit 22N")</f>
        <v>252 South St, Unit 22N</v>
      </c>
      <c r="B2676" s="2" t="str">
        <f t="shared" si="381"/>
        <v>One Manhattan Square</v>
      </c>
      <c r="C2676" s="1" t="s">
        <v>66</v>
      </c>
      <c r="D2676" s="1" t="s">
        <v>41</v>
      </c>
      <c r="E2676" s="3">
        <v>1396966</v>
      </c>
      <c r="F2676" s="1">
        <v>2010.0230215827301</v>
      </c>
      <c r="G2676" s="1">
        <v>3</v>
      </c>
      <c r="H2676" s="1">
        <v>1</v>
      </c>
      <c r="I2676" s="1">
        <v>1</v>
      </c>
      <c r="J2676" s="1">
        <v>1</v>
      </c>
      <c r="M2676" s="1">
        <v>695</v>
      </c>
      <c r="N2676" s="1">
        <v>781</v>
      </c>
      <c r="O2676" s="1">
        <v>794</v>
      </c>
      <c r="P2676" s="1">
        <v>13</v>
      </c>
      <c r="Q2676" s="1" t="s">
        <v>42</v>
      </c>
      <c r="S2676" s="1" t="s">
        <v>42</v>
      </c>
      <c r="T2676" s="1" t="s">
        <v>170</v>
      </c>
      <c r="U2676" s="1">
        <v>4</v>
      </c>
      <c r="V2676" s="5">
        <v>43696</v>
      </c>
      <c r="W2676" s="5">
        <v>42686</v>
      </c>
      <c r="X2676" s="1">
        <v>1538000</v>
      </c>
      <c r="Y2676" s="1">
        <v>1538000</v>
      </c>
      <c r="Z2676" s="5">
        <v>42690</v>
      </c>
      <c r="AA2676" s="1">
        <v>1396966</v>
      </c>
      <c r="AB2676" s="1" t="s">
        <v>1997</v>
      </c>
      <c r="AC2676" s="5">
        <v>43601</v>
      </c>
      <c r="AF2676" s="1">
        <v>10002</v>
      </c>
      <c r="AI2676" s="1" t="s">
        <v>55</v>
      </c>
      <c r="AJ2676" s="1">
        <v>2019</v>
      </c>
      <c r="AK2676" s="1" t="s">
        <v>73</v>
      </c>
      <c r="AL2676" s="1">
        <v>787</v>
      </c>
    </row>
    <row r="2677" spans="1:38" x14ac:dyDescent="0.2">
      <c r="A2677" s="2" t="str">
        <f>HYPERLINK("https://www.compass.com/listing/252-south-street-unit-46h-manhattan-ny-10002/384082273713136529/","252 South St, Unit 46H")</f>
        <v>252 South St, Unit 46H</v>
      </c>
      <c r="B2677" s="2" t="str">
        <f t="shared" si="381"/>
        <v>One Manhattan Square</v>
      </c>
      <c r="C2677" s="1" t="s">
        <v>66</v>
      </c>
      <c r="D2677" s="1" t="s">
        <v>41</v>
      </c>
      <c r="E2677" s="3">
        <v>1431829</v>
      </c>
      <c r="F2677" s="1">
        <v>2057.22540229885</v>
      </c>
      <c r="G2677" s="1">
        <v>3</v>
      </c>
      <c r="H2677" s="1">
        <v>1</v>
      </c>
      <c r="I2677" s="1">
        <v>1</v>
      </c>
      <c r="J2677" s="1">
        <v>1</v>
      </c>
      <c r="K2677" s="1">
        <v>1</v>
      </c>
      <c r="M2677" s="1">
        <v>696</v>
      </c>
      <c r="N2677" s="1">
        <v>879.24</v>
      </c>
      <c r="O2677" s="1">
        <v>893.12</v>
      </c>
      <c r="P2677" s="1">
        <v>13.9166666666666</v>
      </c>
      <c r="Q2677" s="1" t="s">
        <v>42</v>
      </c>
      <c r="S2677" s="1" t="s">
        <v>42</v>
      </c>
      <c r="T2677" s="1" t="s">
        <v>170</v>
      </c>
      <c r="U2677" s="1">
        <v>2</v>
      </c>
      <c r="V2677" s="5">
        <v>43868</v>
      </c>
      <c r="W2677" s="5">
        <v>43782</v>
      </c>
      <c r="X2677" s="1">
        <v>1482000</v>
      </c>
      <c r="Y2677" s="1">
        <v>1407900</v>
      </c>
      <c r="Z2677" s="5">
        <v>43784</v>
      </c>
      <c r="AA2677" s="1">
        <v>1431828.88</v>
      </c>
      <c r="AB2677" s="1" t="s">
        <v>1998</v>
      </c>
      <c r="AC2677" s="5">
        <v>43867</v>
      </c>
      <c r="AF2677" s="1">
        <v>10002</v>
      </c>
      <c r="AI2677" s="1" t="s">
        <v>55</v>
      </c>
      <c r="AJ2677" s="1">
        <v>2019</v>
      </c>
      <c r="AK2677" s="1" t="s">
        <v>73</v>
      </c>
      <c r="AL2677" s="1">
        <v>787</v>
      </c>
    </row>
    <row r="2678" spans="1:38" x14ac:dyDescent="0.2">
      <c r="A2678" s="2" t="str">
        <f>HYPERLINK("https://www.compass.com/listing/252-south-street-unit-37h-manhattan-ny-10002/88202084507221393/","252 South St, Unit 37H")</f>
        <v>252 South St, Unit 37H</v>
      </c>
      <c r="B2678" s="2" t="str">
        <f t="shared" si="381"/>
        <v>One Manhattan Square</v>
      </c>
      <c r="C2678" s="1" t="s">
        <v>66</v>
      </c>
      <c r="D2678" s="1" t="s">
        <v>41</v>
      </c>
      <c r="E2678" s="3">
        <v>1383729</v>
      </c>
      <c r="F2678" s="1">
        <v>1988.1160201149401</v>
      </c>
      <c r="G2678" s="1">
        <v>3</v>
      </c>
      <c r="H2678" s="1">
        <v>1</v>
      </c>
      <c r="I2678" s="1">
        <v>1</v>
      </c>
      <c r="J2678" s="1">
        <v>1</v>
      </c>
      <c r="K2678" s="1">
        <v>1</v>
      </c>
      <c r="M2678" s="1">
        <v>696</v>
      </c>
      <c r="N2678" s="1">
        <v>696</v>
      </c>
      <c r="O2678" s="1">
        <v>710</v>
      </c>
      <c r="P2678" s="1">
        <v>14</v>
      </c>
      <c r="Q2678" s="1" t="s">
        <v>42</v>
      </c>
      <c r="S2678" s="1" t="s">
        <v>42</v>
      </c>
      <c r="T2678" s="1" t="s">
        <v>170</v>
      </c>
      <c r="U2678" s="1">
        <v>2</v>
      </c>
      <c r="V2678" s="5">
        <v>43685</v>
      </c>
      <c r="W2678" s="5">
        <v>43374</v>
      </c>
      <c r="X2678" s="1">
        <v>1431000</v>
      </c>
      <c r="Y2678" s="1">
        <v>1355000</v>
      </c>
      <c r="Z2678" s="5">
        <v>43376</v>
      </c>
      <c r="AA2678" s="1">
        <v>1383728.75</v>
      </c>
      <c r="AB2678" s="1" t="s">
        <v>1999</v>
      </c>
      <c r="AC2678" s="5">
        <v>43598</v>
      </c>
      <c r="AF2678" s="1">
        <v>10002</v>
      </c>
      <c r="AI2678" s="1" t="s">
        <v>55</v>
      </c>
      <c r="AJ2678" s="1">
        <v>2019</v>
      </c>
      <c r="AK2678" s="1" t="s">
        <v>73</v>
      </c>
      <c r="AL2678" s="1">
        <v>787</v>
      </c>
    </row>
    <row r="2679" spans="1:38" x14ac:dyDescent="0.2">
      <c r="A2679" s="2" t="str">
        <f>HYPERLINK("https://www.compass.com/listing/252-south-street-unit-21b-manhattan-ny-10002/219459040814613793/","252 South St, Unit 21B")</f>
        <v>252 South St, Unit 21B</v>
      </c>
      <c r="B2679" s="2" t="str">
        <f t="shared" si="381"/>
        <v>One Manhattan Square</v>
      </c>
      <c r="C2679" s="1" t="s">
        <v>66</v>
      </c>
      <c r="D2679" s="1" t="s">
        <v>41</v>
      </c>
      <c r="E2679" s="3">
        <v>1519000</v>
      </c>
      <c r="F2679" s="1">
        <v>2182.4712643678099</v>
      </c>
      <c r="H2679" s="1">
        <v>1</v>
      </c>
      <c r="J2679" s="1">
        <v>1</v>
      </c>
      <c r="M2679" s="1">
        <v>696</v>
      </c>
      <c r="N2679" s="1">
        <v>779</v>
      </c>
      <c r="O2679" s="1">
        <v>792</v>
      </c>
      <c r="P2679" s="1">
        <v>13</v>
      </c>
      <c r="Q2679" s="1" t="s">
        <v>42</v>
      </c>
      <c r="S2679" s="1" t="s">
        <v>42</v>
      </c>
      <c r="T2679" s="1" t="s">
        <v>170</v>
      </c>
      <c r="AA2679" s="1">
        <v>1519000</v>
      </c>
      <c r="AB2679" s="1" t="s">
        <v>2000</v>
      </c>
      <c r="AC2679" s="5">
        <v>43636</v>
      </c>
      <c r="AF2679" s="1">
        <v>10002</v>
      </c>
      <c r="AI2679" s="1" t="s">
        <v>55</v>
      </c>
      <c r="AJ2679" s="1">
        <v>2019</v>
      </c>
      <c r="AK2679" s="1" t="s">
        <v>46</v>
      </c>
      <c r="AL2679" s="1">
        <v>787</v>
      </c>
    </row>
    <row r="2680" spans="1:38" x14ac:dyDescent="0.2">
      <c r="A2680" s="2" t="str">
        <f>HYPERLINK("https://www.compass.com/listing/252-south-street-unit-64k-manhattan-ny-10002/29513508043485473/","252 South St, Unit 64K")</f>
        <v>252 South St, Unit 64K</v>
      </c>
      <c r="B2680" s="2" t="str">
        <f t="shared" si="381"/>
        <v>One Manhattan Square</v>
      </c>
      <c r="C2680" s="1" t="s">
        <v>66</v>
      </c>
      <c r="D2680" s="1" t="s">
        <v>41</v>
      </c>
      <c r="E2680" s="3">
        <v>1738080</v>
      </c>
      <c r="F2680" s="1">
        <v>2526.2787063953401</v>
      </c>
      <c r="G2680" s="1">
        <v>3</v>
      </c>
      <c r="H2680" s="1">
        <v>1</v>
      </c>
      <c r="I2680" s="1">
        <v>1</v>
      </c>
      <c r="J2680" s="1">
        <v>1</v>
      </c>
      <c r="K2680" s="1">
        <v>1</v>
      </c>
      <c r="M2680" s="1">
        <v>688</v>
      </c>
      <c r="N2680" s="1">
        <v>925</v>
      </c>
      <c r="O2680" s="1">
        <v>941</v>
      </c>
      <c r="P2680" s="1">
        <v>16</v>
      </c>
      <c r="Q2680" s="1" t="s">
        <v>42</v>
      </c>
      <c r="S2680" s="1" t="s">
        <v>42</v>
      </c>
      <c r="T2680" s="1" t="s">
        <v>170</v>
      </c>
      <c r="U2680" s="1">
        <v>4</v>
      </c>
      <c r="V2680" s="5">
        <v>43704</v>
      </c>
      <c r="W2680" s="5">
        <v>43248</v>
      </c>
      <c r="X2680" s="1">
        <v>1755000</v>
      </c>
      <c r="Y2680" s="1">
        <v>1755000</v>
      </c>
      <c r="Z2680" s="5">
        <v>43252</v>
      </c>
      <c r="AA2680" s="1">
        <v>1738079.75</v>
      </c>
      <c r="AB2680" s="1" t="s">
        <v>2001</v>
      </c>
      <c r="AC2680" s="5">
        <v>43689</v>
      </c>
      <c r="AF2680" s="1">
        <v>10002</v>
      </c>
      <c r="AI2680" s="1" t="s">
        <v>55</v>
      </c>
      <c r="AJ2680" s="1">
        <v>2019</v>
      </c>
      <c r="AK2680" s="1" t="s">
        <v>73</v>
      </c>
      <c r="AL2680" s="1">
        <v>787</v>
      </c>
    </row>
    <row r="2681" spans="1:38" x14ac:dyDescent="0.2">
      <c r="A2681" s="2" t="str">
        <f>HYPERLINK("https://www.compass.com/listing/252-south-street-unit-63k-manhattan-ny-10002/29513515500958305/","252 South St, Unit 63K")</f>
        <v>252 South St, Unit 63K</v>
      </c>
      <c r="B2681" s="2" t="str">
        <f t="shared" si="381"/>
        <v>One Manhattan Square</v>
      </c>
      <c r="C2681" s="1" t="s">
        <v>66</v>
      </c>
      <c r="D2681" s="1" t="s">
        <v>41</v>
      </c>
      <c r="E2681" s="3">
        <v>1671893</v>
      </c>
      <c r="F2681" s="1">
        <v>2430.07703488372</v>
      </c>
      <c r="G2681" s="1">
        <v>3</v>
      </c>
      <c r="H2681" s="1">
        <v>1</v>
      </c>
      <c r="I2681" s="1">
        <v>1</v>
      </c>
      <c r="J2681" s="1">
        <v>1</v>
      </c>
      <c r="K2681" s="1">
        <v>1</v>
      </c>
      <c r="M2681" s="1">
        <v>688</v>
      </c>
      <c r="N2681" s="1">
        <v>922</v>
      </c>
      <c r="O2681" s="1">
        <v>938</v>
      </c>
      <c r="P2681" s="1">
        <v>16</v>
      </c>
      <c r="Q2681" s="1" t="s">
        <v>42</v>
      </c>
      <c r="S2681" s="1" t="s">
        <v>42</v>
      </c>
      <c r="T2681" s="1" t="s">
        <v>170</v>
      </c>
      <c r="U2681" s="1">
        <v>8</v>
      </c>
      <c r="V2681" s="5">
        <v>43704</v>
      </c>
      <c r="W2681" s="5">
        <v>43196</v>
      </c>
      <c r="X2681" s="1">
        <v>1746000</v>
      </c>
      <c r="Y2681" s="1">
        <v>1746000</v>
      </c>
      <c r="Z2681" s="5">
        <v>43204</v>
      </c>
      <c r="AA2681" s="1">
        <v>1671893</v>
      </c>
      <c r="AB2681" s="1" t="s">
        <v>2002</v>
      </c>
      <c r="AC2681" s="5">
        <v>43693</v>
      </c>
      <c r="AF2681" s="1">
        <v>10002</v>
      </c>
      <c r="AI2681" s="1" t="s">
        <v>55</v>
      </c>
      <c r="AJ2681" s="1">
        <v>2019</v>
      </c>
      <c r="AK2681" s="1" t="s">
        <v>73</v>
      </c>
      <c r="AL2681" s="1">
        <v>787</v>
      </c>
    </row>
    <row r="2682" spans="1:38" x14ac:dyDescent="0.2">
      <c r="A2682" s="2" t="str">
        <f>HYPERLINK("https://www.compass.com/listing/252-south-street-unit-21c-manhattan-ny-10002/29513519024087553/","252 South St, Unit 21C")</f>
        <v>252 South St, Unit 21C</v>
      </c>
      <c r="B2682" s="2" t="str">
        <f t="shared" si="381"/>
        <v>One Manhattan Square</v>
      </c>
      <c r="C2682" s="1" t="s">
        <v>66</v>
      </c>
      <c r="D2682" s="1" t="s">
        <v>41</v>
      </c>
      <c r="E2682" s="3">
        <v>1517000</v>
      </c>
      <c r="F2682" s="1">
        <v>2182.7338129496402</v>
      </c>
      <c r="G2682" s="1">
        <v>3</v>
      </c>
      <c r="H2682" s="1">
        <v>1</v>
      </c>
      <c r="I2682" s="1">
        <v>1</v>
      </c>
      <c r="J2682" s="1">
        <v>1</v>
      </c>
      <c r="M2682" s="1">
        <v>695</v>
      </c>
      <c r="N2682" s="1">
        <v>778</v>
      </c>
      <c r="O2682" s="1">
        <v>791</v>
      </c>
      <c r="P2682" s="1">
        <v>13</v>
      </c>
      <c r="Q2682" s="1" t="s">
        <v>42</v>
      </c>
      <c r="S2682" s="1" t="s">
        <v>42</v>
      </c>
      <c r="T2682" s="1" t="s">
        <v>170</v>
      </c>
      <c r="U2682" s="1">
        <v>4</v>
      </c>
      <c r="V2682" s="5">
        <v>43683</v>
      </c>
      <c r="W2682" s="5">
        <v>43112</v>
      </c>
      <c r="X2682" s="1">
        <v>1517000</v>
      </c>
      <c r="Y2682" s="1">
        <v>1517000</v>
      </c>
      <c r="Z2682" s="5">
        <v>43116</v>
      </c>
      <c r="AA2682" s="1">
        <v>1517000</v>
      </c>
      <c r="AB2682" s="1" t="s">
        <v>2003</v>
      </c>
      <c r="AC2682" s="5">
        <v>43636</v>
      </c>
      <c r="AF2682" s="1">
        <v>10002</v>
      </c>
      <c r="AI2682" s="1" t="s">
        <v>55</v>
      </c>
      <c r="AJ2682" s="1">
        <v>2019</v>
      </c>
      <c r="AK2682" s="1" t="s">
        <v>73</v>
      </c>
      <c r="AL2682" s="1">
        <v>787</v>
      </c>
    </row>
    <row r="2683" spans="1:38" x14ac:dyDescent="0.2">
      <c r="A2683" s="2" t="str">
        <f>HYPERLINK("https://www.compass.com/listing/252-south-street-unit-27b-manhattan-ny-10002/29513519661708065/","252 South St, Unit 27B")</f>
        <v>252 South St, Unit 27B</v>
      </c>
      <c r="B2683" s="2" t="str">
        <f t="shared" si="381"/>
        <v>One Manhattan Square</v>
      </c>
      <c r="C2683" s="1" t="s">
        <v>66</v>
      </c>
      <c r="D2683" s="1" t="s">
        <v>41</v>
      </c>
      <c r="E2683" s="3">
        <v>1592000</v>
      </c>
      <c r="F2683" s="1">
        <v>2287.35632183908</v>
      </c>
      <c r="G2683" s="1">
        <v>3</v>
      </c>
      <c r="H2683" s="1">
        <v>1</v>
      </c>
      <c r="I2683" s="1">
        <v>1</v>
      </c>
      <c r="J2683" s="1">
        <v>1</v>
      </c>
      <c r="M2683" s="1">
        <v>696</v>
      </c>
      <c r="N2683" s="1">
        <v>801</v>
      </c>
      <c r="O2683" s="1">
        <v>814</v>
      </c>
      <c r="P2683" s="1">
        <v>13</v>
      </c>
      <c r="Q2683" s="1" t="s">
        <v>42</v>
      </c>
      <c r="S2683" s="1" t="s">
        <v>42</v>
      </c>
      <c r="T2683" s="1" t="s">
        <v>170</v>
      </c>
      <c r="U2683" s="1">
        <v>4</v>
      </c>
      <c r="V2683" s="5">
        <v>43683</v>
      </c>
      <c r="W2683" s="5">
        <v>43112</v>
      </c>
      <c r="X2683" s="1">
        <v>1592000</v>
      </c>
      <c r="Y2683" s="1">
        <v>1592000</v>
      </c>
      <c r="Z2683" s="5">
        <v>43116</v>
      </c>
      <c r="AA2683" s="1">
        <v>1592000</v>
      </c>
      <c r="AB2683" s="1" t="s">
        <v>2004</v>
      </c>
      <c r="AC2683" s="5">
        <v>43636</v>
      </c>
      <c r="AF2683" s="1">
        <v>10002</v>
      </c>
      <c r="AI2683" s="1" t="s">
        <v>55</v>
      </c>
      <c r="AJ2683" s="1">
        <v>2019</v>
      </c>
      <c r="AK2683" s="1" t="s">
        <v>73</v>
      </c>
      <c r="AL2683" s="1">
        <v>787</v>
      </c>
    </row>
    <row r="2684" spans="1:38" x14ac:dyDescent="0.2">
      <c r="A2684" s="2" t="str">
        <f>HYPERLINK("https://www.compass.com/listing/252-south-street-unit-59l-manhattan-ny-10002/29513520248875057/","252 South St, Unit 59L")</f>
        <v>252 South St, Unit 59L</v>
      </c>
      <c r="B2684" s="2" t="str">
        <f t="shared" si="381"/>
        <v>One Manhattan Square</v>
      </c>
      <c r="C2684" s="1" t="s">
        <v>66</v>
      </c>
      <c r="D2684" s="1" t="s">
        <v>41</v>
      </c>
      <c r="E2684" s="3">
        <v>1681058</v>
      </c>
      <c r="F2684" s="1">
        <v>2371.02679830747</v>
      </c>
      <c r="G2684" s="1">
        <v>3</v>
      </c>
      <c r="H2684" s="1">
        <v>1</v>
      </c>
      <c r="I2684" s="1">
        <v>1</v>
      </c>
      <c r="J2684" s="1">
        <v>1</v>
      </c>
      <c r="M2684" s="1">
        <v>709</v>
      </c>
      <c r="N2684" s="1">
        <v>931</v>
      </c>
      <c r="O2684" s="1">
        <v>947</v>
      </c>
      <c r="P2684" s="1">
        <v>16</v>
      </c>
      <c r="Q2684" s="1" t="s">
        <v>42</v>
      </c>
      <c r="S2684" s="1" t="s">
        <v>42</v>
      </c>
      <c r="T2684" s="1" t="s">
        <v>170</v>
      </c>
      <c r="U2684" s="1">
        <v>4</v>
      </c>
      <c r="V2684" s="5">
        <v>43802</v>
      </c>
      <c r="W2684" s="5">
        <v>43112</v>
      </c>
      <c r="X2684" s="1">
        <v>1680000</v>
      </c>
      <c r="Y2684" s="1">
        <v>1680000</v>
      </c>
      <c r="Z2684" s="5">
        <v>43116</v>
      </c>
      <c r="AA2684" s="1">
        <v>1681058</v>
      </c>
      <c r="AB2684" s="1" t="s">
        <v>2005</v>
      </c>
      <c r="AC2684" s="5">
        <v>43788</v>
      </c>
      <c r="AF2684" s="1">
        <v>10002</v>
      </c>
      <c r="AI2684" s="1" t="s">
        <v>55</v>
      </c>
      <c r="AJ2684" s="1">
        <v>2019</v>
      </c>
      <c r="AK2684" s="1" t="s">
        <v>73</v>
      </c>
      <c r="AL2684" s="1">
        <v>787</v>
      </c>
    </row>
    <row r="2685" spans="1:38" x14ac:dyDescent="0.2">
      <c r="A2685" s="2" t="str">
        <f>HYPERLINK("https://www.compass.com/listing/252-south-street-unit-42m-manhattan-ny-10002/29513525835688193/","252 South St, Unit 42M")</f>
        <v>252 South St, Unit 42M</v>
      </c>
      <c r="B2685" s="2" t="str">
        <f t="shared" si="381"/>
        <v>One Manhattan Square</v>
      </c>
      <c r="C2685" s="1" t="s">
        <v>66</v>
      </c>
      <c r="D2685" s="1" t="s">
        <v>41</v>
      </c>
      <c r="E2685" s="3">
        <v>1606810</v>
      </c>
      <c r="F2685" s="1">
        <v>2311.9568345323701</v>
      </c>
      <c r="G2685" s="1">
        <v>3</v>
      </c>
      <c r="H2685" s="1">
        <v>1</v>
      </c>
      <c r="I2685" s="1">
        <v>1</v>
      </c>
      <c r="J2685" s="1">
        <v>1</v>
      </c>
      <c r="M2685" s="1">
        <v>695</v>
      </c>
      <c r="N2685" s="1">
        <v>854</v>
      </c>
      <c r="O2685" s="1">
        <v>868</v>
      </c>
      <c r="P2685" s="1">
        <v>14</v>
      </c>
      <c r="Q2685" s="1" t="s">
        <v>42</v>
      </c>
      <c r="S2685" s="1" t="s">
        <v>42</v>
      </c>
      <c r="T2685" s="1" t="s">
        <v>170</v>
      </c>
      <c r="U2685" s="1">
        <v>3</v>
      </c>
      <c r="V2685" s="5">
        <v>43710</v>
      </c>
      <c r="W2685" s="5">
        <v>42899</v>
      </c>
      <c r="X2685" s="1">
        <v>1671000</v>
      </c>
      <c r="Y2685" s="1">
        <v>1671000</v>
      </c>
      <c r="Z2685" s="5">
        <v>42902</v>
      </c>
      <c r="AA2685" s="1">
        <v>1606810.67</v>
      </c>
      <c r="AB2685" s="1" t="s">
        <v>2006</v>
      </c>
      <c r="AC2685" s="5">
        <v>43693</v>
      </c>
      <c r="AF2685" s="1">
        <v>10002</v>
      </c>
      <c r="AI2685" s="1" t="s">
        <v>55</v>
      </c>
      <c r="AJ2685" s="1">
        <v>2019</v>
      </c>
      <c r="AK2685" s="1" t="s">
        <v>73</v>
      </c>
      <c r="AL2685" s="1">
        <v>787</v>
      </c>
    </row>
    <row r="2686" spans="1:38" x14ac:dyDescent="0.2">
      <c r="A2686" s="2" t="str">
        <f>HYPERLINK("https://www.compass.com/listing/252-south-street-unit-45m-manhattan-ny-10002/29513540255655473/","252 South St, Unit 45M")</f>
        <v>252 South St, Unit 45M</v>
      </c>
      <c r="B2686" s="2" t="str">
        <f t="shared" si="381"/>
        <v>One Manhattan Square</v>
      </c>
      <c r="C2686" s="1" t="s">
        <v>66</v>
      </c>
      <c r="D2686" s="1" t="s">
        <v>41</v>
      </c>
      <c r="E2686" s="3">
        <v>1633200</v>
      </c>
      <c r="F2686" s="1">
        <v>2349.9280575539501</v>
      </c>
      <c r="G2686" s="1">
        <v>3</v>
      </c>
      <c r="H2686" s="1">
        <v>1</v>
      </c>
      <c r="I2686" s="1">
        <v>1</v>
      </c>
      <c r="J2686" s="1">
        <v>1</v>
      </c>
      <c r="M2686" s="1">
        <v>695</v>
      </c>
      <c r="N2686" s="1">
        <v>862</v>
      </c>
      <c r="O2686" s="1">
        <v>877</v>
      </c>
      <c r="P2686" s="1">
        <v>15</v>
      </c>
      <c r="Q2686" s="1" t="s">
        <v>42</v>
      </c>
      <c r="S2686" s="1" t="s">
        <v>42</v>
      </c>
      <c r="T2686" s="1" t="s">
        <v>170</v>
      </c>
      <c r="U2686" s="1">
        <v>2</v>
      </c>
      <c r="V2686" s="5">
        <v>43696</v>
      </c>
      <c r="W2686" s="5">
        <v>42879</v>
      </c>
      <c r="X2686" s="1">
        <v>1682000</v>
      </c>
      <c r="Y2686" s="1">
        <v>1682000</v>
      </c>
      <c r="Z2686" s="5">
        <v>42881</v>
      </c>
      <c r="AA2686" s="1">
        <v>1633200</v>
      </c>
      <c r="AB2686" s="1" t="s">
        <v>2007</v>
      </c>
      <c r="AC2686" s="5">
        <v>43665</v>
      </c>
      <c r="AF2686" s="1">
        <v>10002</v>
      </c>
      <c r="AI2686" s="1" t="s">
        <v>55</v>
      </c>
      <c r="AJ2686" s="1">
        <v>2019</v>
      </c>
      <c r="AK2686" s="1" t="s">
        <v>73</v>
      </c>
      <c r="AL2686" s="1">
        <v>787</v>
      </c>
    </row>
    <row r="2687" spans="1:38" x14ac:dyDescent="0.2">
      <c r="A2687" s="2" t="str">
        <f>HYPERLINK("https://www.compass.com/listing/252-south-street-unit-51j-manhattan-ny-10002/29513541363002513/","252 South St, Unit 51J")</f>
        <v>252 South St, Unit 51J</v>
      </c>
      <c r="B2687" s="2" t="str">
        <f t="shared" si="381"/>
        <v>One Manhattan Square</v>
      </c>
      <c r="C2687" s="1" t="s">
        <v>66</v>
      </c>
      <c r="D2687" s="1" t="s">
        <v>41</v>
      </c>
      <c r="E2687" s="3">
        <v>1497862</v>
      </c>
      <c r="F2687" s="1">
        <v>2155.1971223021501</v>
      </c>
      <c r="G2687" s="1">
        <v>3</v>
      </c>
      <c r="H2687" s="1">
        <v>1</v>
      </c>
      <c r="I2687" s="1">
        <v>1</v>
      </c>
      <c r="J2687" s="1">
        <v>1</v>
      </c>
      <c r="M2687" s="1">
        <v>695</v>
      </c>
      <c r="N2687" s="1">
        <v>887</v>
      </c>
      <c r="O2687" s="1">
        <v>902</v>
      </c>
      <c r="P2687" s="1">
        <v>15</v>
      </c>
      <c r="Q2687" s="1" t="s">
        <v>42</v>
      </c>
      <c r="S2687" s="1" t="s">
        <v>42</v>
      </c>
      <c r="T2687" s="1" t="s">
        <v>170</v>
      </c>
      <c r="U2687" s="1">
        <v>5</v>
      </c>
      <c r="V2687" s="5">
        <v>43696</v>
      </c>
      <c r="W2687" s="5">
        <v>42868</v>
      </c>
      <c r="X2687" s="1">
        <v>1502000</v>
      </c>
      <c r="Y2687" s="1">
        <v>1502000</v>
      </c>
      <c r="Z2687" s="5">
        <v>42873</v>
      </c>
      <c r="AA2687" s="1">
        <v>1497862</v>
      </c>
      <c r="AB2687" s="1" t="s">
        <v>2008</v>
      </c>
      <c r="AC2687" s="5">
        <v>43678</v>
      </c>
      <c r="AF2687" s="1">
        <v>10002</v>
      </c>
      <c r="AI2687" s="1" t="s">
        <v>55</v>
      </c>
      <c r="AJ2687" s="1">
        <v>2019</v>
      </c>
      <c r="AK2687" s="1" t="s">
        <v>73</v>
      </c>
      <c r="AL2687" s="1">
        <v>787</v>
      </c>
    </row>
    <row r="2688" spans="1:38" x14ac:dyDescent="0.2">
      <c r="A2688" s="2" t="str">
        <f>HYPERLINK("https://www.compass.com/listing/252-south-street-unit-19c-manhattan-ny-10002/29513545800525569/","252 South St, Unit 19C")</f>
        <v>252 South St, Unit 19C</v>
      </c>
      <c r="B2688" s="2" t="str">
        <f t="shared" si="381"/>
        <v>One Manhattan Square</v>
      </c>
      <c r="C2688" s="1" t="s">
        <v>66</v>
      </c>
      <c r="D2688" s="1" t="s">
        <v>41</v>
      </c>
      <c r="E2688" s="3">
        <v>1485554</v>
      </c>
      <c r="F2688" s="1">
        <v>2137.4874100719398</v>
      </c>
      <c r="G2688" s="1">
        <v>3</v>
      </c>
      <c r="H2688" s="1">
        <v>1</v>
      </c>
      <c r="I2688" s="1">
        <v>1</v>
      </c>
      <c r="J2688" s="1">
        <v>1</v>
      </c>
      <c r="M2688" s="1">
        <v>695</v>
      </c>
      <c r="N2688" s="1">
        <v>767</v>
      </c>
      <c r="O2688" s="1">
        <v>780</v>
      </c>
      <c r="P2688" s="1">
        <v>13</v>
      </c>
      <c r="Q2688" s="1" t="s">
        <v>42</v>
      </c>
      <c r="S2688" s="1" t="s">
        <v>42</v>
      </c>
      <c r="T2688" s="1" t="s">
        <v>170</v>
      </c>
      <c r="U2688" s="1">
        <v>4</v>
      </c>
      <c r="V2688" s="5">
        <v>43724</v>
      </c>
      <c r="W2688" s="5">
        <v>42818</v>
      </c>
      <c r="X2688" s="1">
        <v>1496000</v>
      </c>
      <c r="Y2688" s="1">
        <v>1496000</v>
      </c>
      <c r="Z2688" s="5">
        <v>42822</v>
      </c>
      <c r="AA2688" s="1">
        <v>1485553.75</v>
      </c>
      <c r="AB2688" s="1" t="s">
        <v>2009</v>
      </c>
      <c r="AC2688" s="5">
        <v>43711</v>
      </c>
      <c r="AF2688" s="1">
        <v>10002</v>
      </c>
      <c r="AI2688" s="1" t="s">
        <v>55</v>
      </c>
      <c r="AJ2688" s="1">
        <v>2019</v>
      </c>
      <c r="AK2688" s="1" t="s">
        <v>73</v>
      </c>
      <c r="AL2688" s="1">
        <v>787</v>
      </c>
    </row>
    <row r="2689" spans="1:38" x14ac:dyDescent="0.2">
      <c r="A2689" s="2" t="str">
        <f>HYPERLINK("https://www.compass.com/listing/252-south-street-unit-76h-manhattan-ny-10002/29513546102566241/","252 South St, Unit 76H")</f>
        <v>252 South St, Unit 76H</v>
      </c>
      <c r="B2689" s="2" t="str">
        <f t="shared" si="381"/>
        <v>One Manhattan Square</v>
      </c>
      <c r="C2689" s="1" t="s">
        <v>66</v>
      </c>
      <c r="D2689" s="1" t="s">
        <v>41</v>
      </c>
      <c r="E2689" s="3">
        <v>1597561</v>
      </c>
      <c r="F2689" s="1">
        <v>2352.8148011782</v>
      </c>
      <c r="G2689" s="1">
        <v>3</v>
      </c>
      <c r="H2689" s="1">
        <v>1</v>
      </c>
      <c r="I2689" s="1">
        <v>1</v>
      </c>
      <c r="J2689" s="1">
        <v>1</v>
      </c>
      <c r="M2689" s="1">
        <v>679</v>
      </c>
      <c r="N2689" s="1">
        <v>960</v>
      </c>
      <c r="O2689" s="1">
        <v>976</v>
      </c>
      <c r="P2689" s="1">
        <v>16</v>
      </c>
      <c r="Q2689" s="1" t="s">
        <v>42</v>
      </c>
      <c r="S2689" s="1" t="s">
        <v>42</v>
      </c>
      <c r="T2689" s="1" t="s">
        <v>170</v>
      </c>
      <c r="U2689" s="1">
        <v>4</v>
      </c>
      <c r="V2689" s="5">
        <v>44416</v>
      </c>
      <c r="W2689" s="5">
        <v>42817</v>
      </c>
      <c r="Y2689" s="1">
        <v>1653000</v>
      </c>
      <c r="Z2689" s="5">
        <v>42822</v>
      </c>
      <c r="AA2689" s="1">
        <v>1597561.25</v>
      </c>
      <c r="AB2689" s="1" t="s">
        <v>2010</v>
      </c>
      <c r="AC2689" s="5">
        <v>44371</v>
      </c>
      <c r="AF2689" s="1">
        <v>10002</v>
      </c>
      <c r="AI2689" s="1" t="s">
        <v>1959</v>
      </c>
      <c r="AJ2689" s="1">
        <v>2019</v>
      </c>
      <c r="AK2689" s="1" t="s">
        <v>73</v>
      </c>
      <c r="AL2689" s="1">
        <v>787</v>
      </c>
    </row>
    <row r="2690" spans="1:38" x14ac:dyDescent="0.2">
      <c r="A2690" s="2" t="str">
        <f>HYPERLINK("https://www.compass.com/listing/252-south-street-unit-30k-manhattan-ny-10002/29513556093398785/","252 South St, Unit 30K")</f>
        <v>252 South St, Unit 30K</v>
      </c>
      <c r="B2690" s="2" t="str">
        <f t="shared" si="381"/>
        <v>One Manhattan Square</v>
      </c>
      <c r="C2690" s="1" t="s">
        <v>66</v>
      </c>
      <c r="D2690" s="1" t="s">
        <v>41</v>
      </c>
      <c r="E2690" s="3">
        <v>1482499</v>
      </c>
      <c r="F2690" s="1">
        <v>2133.0920863309302</v>
      </c>
      <c r="G2690" s="1">
        <v>3</v>
      </c>
      <c r="H2690" s="1">
        <v>1</v>
      </c>
      <c r="I2690" s="1">
        <v>1</v>
      </c>
      <c r="J2690" s="1">
        <v>1</v>
      </c>
      <c r="M2690" s="1">
        <v>695</v>
      </c>
      <c r="N2690" s="1">
        <v>814</v>
      </c>
      <c r="O2690" s="1">
        <v>828</v>
      </c>
      <c r="P2690" s="1">
        <v>14</v>
      </c>
      <c r="Q2690" s="1" t="s">
        <v>42</v>
      </c>
      <c r="S2690" s="1" t="s">
        <v>42</v>
      </c>
      <c r="T2690" s="1" t="s">
        <v>170</v>
      </c>
      <c r="U2690" s="1">
        <v>6</v>
      </c>
      <c r="V2690" s="5">
        <v>43743</v>
      </c>
      <c r="W2690" s="5">
        <v>42795</v>
      </c>
      <c r="Y2690" s="1">
        <v>1598000</v>
      </c>
      <c r="Z2690" s="5">
        <v>42802</v>
      </c>
      <c r="AA2690" s="1">
        <v>1482499</v>
      </c>
      <c r="AB2690" s="1" t="s">
        <v>2011</v>
      </c>
      <c r="AC2690" s="5">
        <v>43735</v>
      </c>
      <c r="AF2690" s="1">
        <v>10002</v>
      </c>
      <c r="AI2690" s="1" t="s">
        <v>55</v>
      </c>
      <c r="AJ2690" s="1">
        <v>2019</v>
      </c>
      <c r="AK2690" s="1" t="s">
        <v>73</v>
      </c>
      <c r="AL2690" s="1">
        <v>787</v>
      </c>
    </row>
    <row r="2691" spans="1:38" x14ac:dyDescent="0.2">
      <c r="A2691" s="2" t="str">
        <f>HYPERLINK("https://www.compass.com/listing/252-south-street-unit-30b-manhattan-ny-10002/324787159718282529/","252 South St, Unit 30B")</f>
        <v>252 South St, Unit 30B</v>
      </c>
      <c r="B2691" s="2" t="str">
        <f t="shared" si="381"/>
        <v>One Manhattan Square</v>
      </c>
      <c r="C2691" s="1" t="s">
        <v>66</v>
      </c>
      <c r="D2691" s="1" t="s">
        <v>41</v>
      </c>
      <c r="E2691" s="3">
        <v>1503502</v>
      </c>
      <c r="F2691" s="1">
        <v>2160.2038936781601</v>
      </c>
      <c r="H2691" s="1">
        <v>1</v>
      </c>
      <c r="J2691" s="1">
        <v>1</v>
      </c>
      <c r="K2691" s="1">
        <v>1</v>
      </c>
      <c r="M2691" s="1">
        <v>696</v>
      </c>
      <c r="N2691" s="1">
        <v>827.31</v>
      </c>
      <c r="O2691" s="1">
        <v>840.36999999999898</v>
      </c>
      <c r="P2691" s="1">
        <v>13.0833333333333</v>
      </c>
      <c r="Q2691" s="1" t="s">
        <v>42</v>
      </c>
      <c r="S2691" s="1" t="s">
        <v>42</v>
      </c>
      <c r="T2691" s="1" t="s">
        <v>170</v>
      </c>
      <c r="AA2691" s="1">
        <v>1503501.91</v>
      </c>
      <c r="AB2691" s="1" t="s">
        <v>2012</v>
      </c>
      <c r="AC2691" s="5">
        <v>43635</v>
      </c>
      <c r="AF2691" s="1">
        <v>10002</v>
      </c>
      <c r="AI2691" s="1" t="s">
        <v>55</v>
      </c>
      <c r="AJ2691" s="1">
        <v>2019</v>
      </c>
      <c r="AK2691" s="1" t="s">
        <v>46</v>
      </c>
      <c r="AL2691" s="1">
        <v>787</v>
      </c>
    </row>
    <row r="2692" spans="1:38" x14ac:dyDescent="0.2">
      <c r="A2692" s="2" t="str">
        <f>HYPERLINK("https://www.compass.com/listing/252-south-street-unit-33n-manhattan-ny-10002/446086097999665865/","252 South St, Unit 33N")</f>
        <v>252 South St, Unit 33N</v>
      </c>
      <c r="B2692" s="2" t="str">
        <f t="shared" si="381"/>
        <v>One Manhattan Square</v>
      </c>
      <c r="C2692" s="1" t="s">
        <v>66</v>
      </c>
      <c r="D2692" s="1" t="s">
        <v>41</v>
      </c>
      <c r="E2692" s="3">
        <v>1554341</v>
      </c>
      <c r="F2692" s="1">
        <v>2149.8497648685998</v>
      </c>
      <c r="H2692" s="1">
        <v>1</v>
      </c>
      <c r="J2692" s="1">
        <v>1</v>
      </c>
      <c r="K2692" s="1">
        <v>1</v>
      </c>
      <c r="M2692" s="1">
        <v>723</v>
      </c>
      <c r="N2692" s="1">
        <v>850</v>
      </c>
      <c r="O2692" s="1">
        <v>864.33</v>
      </c>
      <c r="P2692" s="1">
        <v>14.3333333333333</v>
      </c>
      <c r="Q2692" s="1" t="s">
        <v>42</v>
      </c>
      <c r="S2692" s="1" t="s">
        <v>42</v>
      </c>
      <c r="T2692" s="1" t="s">
        <v>170</v>
      </c>
      <c r="AA2692" s="1">
        <v>1554341.38</v>
      </c>
      <c r="AB2692" s="1" t="s">
        <v>2013</v>
      </c>
      <c r="AC2692" s="5">
        <v>43861</v>
      </c>
      <c r="AF2692" s="1">
        <v>10002</v>
      </c>
      <c r="AI2692" s="1" t="s">
        <v>55</v>
      </c>
      <c r="AJ2692" s="1">
        <v>2019</v>
      </c>
      <c r="AK2692" s="1" t="s">
        <v>46</v>
      </c>
      <c r="AL2692" s="1">
        <v>787</v>
      </c>
    </row>
    <row r="2693" spans="1:38" x14ac:dyDescent="0.2">
      <c r="A2693" s="2" t="str">
        <f>HYPERLINK("https://www.compass.com/listing/252-south-street-unit-53j-manhattan-ny-10002/4849516395957853809/","252 South St, Unit 53J")</f>
        <v>252 South St, Unit 53J</v>
      </c>
      <c r="B2693" s="2" t="str">
        <f t="shared" si="381"/>
        <v>One Manhattan Square</v>
      </c>
      <c r="C2693" s="1" t="s">
        <v>66</v>
      </c>
      <c r="D2693" s="1" t="s">
        <v>41</v>
      </c>
      <c r="E2693" s="3">
        <v>1490645</v>
      </c>
      <c r="F2693" s="1">
        <v>2144.8129496402798</v>
      </c>
      <c r="G2693" s="1">
        <v>3</v>
      </c>
      <c r="H2693" s="1">
        <v>1</v>
      </c>
      <c r="I2693" s="1">
        <v>1</v>
      </c>
      <c r="J2693" s="1">
        <v>1</v>
      </c>
      <c r="M2693" s="1">
        <v>695</v>
      </c>
      <c r="N2693" s="1">
        <v>895</v>
      </c>
      <c r="O2693" s="1">
        <v>910</v>
      </c>
      <c r="P2693" s="1">
        <v>15</v>
      </c>
      <c r="Q2693" s="1" t="s">
        <v>42</v>
      </c>
      <c r="S2693" s="1" t="s">
        <v>42</v>
      </c>
      <c r="T2693" s="1" t="s">
        <v>170</v>
      </c>
      <c r="U2693" s="1">
        <v>2</v>
      </c>
      <c r="V2693" s="5">
        <v>43710</v>
      </c>
      <c r="W2693" s="5">
        <v>42887</v>
      </c>
      <c r="X2693" s="1">
        <v>1519000</v>
      </c>
      <c r="Y2693" s="1">
        <v>1519000</v>
      </c>
      <c r="Z2693" s="5">
        <v>42889</v>
      </c>
      <c r="AA2693" s="1">
        <v>1490645</v>
      </c>
      <c r="AB2693" s="1" t="s">
        <v>2014</v>
      </c>
      <c r="AC2693" s="5">
        <v>43693</v>
      </c>
      <c r="AF2693" s="1">
        <v>10002</v>
      </c>
      <c r="AI2693" s="1" t="s">
        <v>55</v>
      </c>
      <c r="AJ2693" s="1">
        <v>2019</v>
      </c>
      <c r="AK2693" s="1" t="s">
        <v>73</v>
      </c>
      <c r="AL2693" s="1">
        <v>787</v>
      </c>
    </row>
    <row r="2694" spans="1:38" x14ac:dyDescent="0.2">
      <c r="A2694" s="2" t="str">
        <f>HYPERLINK("https://www.compass.com/listing/252-south-street-unit-48c-manhattan-ny-10002/29513526146102321/","252 South St, Unit 48C")</f>
        <v>252 South St, Unit 48C</v>
      </c>
      <c r="B2694" s="2" t="str">
        <f t="shared" si="381"/>
        <v>One Manhattan Square</v>
      </c>
      <c r="C2694" s="1" t="s">
        <v>66</v>
      </c>
      <c r="D2694" s="1" t="s">
        <v>41</v>
      </c>
      <c r="E2694" s="3">
        <v>3822437</v>
      </c>
      <c r="F2694" s="1">
        <v>2570.5696032279702</v>
      </c>
      <c r="G2694" s="1">
        <v>5</v>
      </c>
      <c r="H2694" s="1">
        <v>3</v>
      </c>
      <c r="I2694" s="1">
        <v>3</v>
      </c>
      <c r="J2694" s="1">
        <v>3</v>
      </c>
      <c r="M2694" s="4">
        <v>1487</v>
      </c>
      <c r="N2694" s="1">
        <v>1867</v>
      </c>
      <c r="O2694" s="1">
        <v>1898</v>
      </c>
      <c r="P2694" s="1">
        <v>31</v>
      </c>
      <c r="Q2694" s="1" t="s">
        <v>42</v>
      </c>
      <c r="S2694" s="1" t="s">
        <v>42</v>
      </c>
      <c r="T2694" s="1" t="s">
        <v>170</v>
      </c>
      <c r="U2694" s="1">
        <v>4</v>
      </c>
      <c r="V2694" s="5">
        <v>43696</v>
      </c>
      <c r="W2694" s="5">
        <v>42899</v>
      </c>
      <c r="X2694" s="1">
        <v>3888000</v>
      </c>
      <c r="Y2694" s="1">
        <v>3888000</v>
      </c>
      <c r="Z2694" s="5">
        <v>42903</v>
      </c>
      <c r="AA2694" s="1">
        <v>3822437</v>
      </c>
      <c r="AB2694" s="1" t="s">
        <v>2015</v>
      </c>
      <c r="AC2694" s="5">
        <v>43643</v>
      </c>
      <c r="AF2694" s="1">
        <v>10002</v>
      </c>
      <c r="AI2694" s="1" t="s">
        <v>55</v>
      </c>
      <c r="AJ2694" s="1">
        <v>2019</v>
      </c>
      <c r="AK2694" s="1" t="s">
        <v>73</v>
      </c>
      <c r="AL2694" s="1">
        <v>787</v>
      </c>
    </row>
    <row r="2695" spans="1:38" x14ac:dyDescent="0.2">
      <c r="A2695" s="2" t="str">
        <f>HYPERLINK("https://www.compass.com/listing/252-south-street-unit-48c-manhattan-ny-10002/841451248838543489/","252 South St, Unit 48C")</f>
        <v>252 South St, Unit 48C</v>
      </c>
      <c r="B2695" s="2" t="str">
        <f t="shared" si="381"/>
        <v>One Manhattan Square</v>
      </c>
      <c r="C2695" s="1" t="s">
        <v>66</v>
      </c>
      <c r="D2695" s="1" t="s">
        <v>41</v>
      </c>
      <c r="E2695" s="3">
        <v>3888000</v>
      </c>
      <c r="F2695" s="1">
        <v>2614.66039004707</v>
      </c>
      <c r="G2695" s="1">
        <v>7</v>
      </c>
      <c r="H2695" s="1">
        <v>3</v>
      </c>
      <c r="I2695" s="1">
        <v>3</v>
      </c>
      <c r="J2695" s="1">
        <v>3</v>
      </c>
      <c r="K2695" s="1">
        <v>3</v>
      </c>
      <c r="M2695" s="4">
        <v>1487</v>
      </c>
      <c r="N2695" s="1">
        <v>1867</v>
      </c>
      <c r="O2695" s="1">
        <v>1898</v>
      </c>
      <c r="P2695" s="1">
        <v>31</v>
      </c>
      <c r="S2695" s="1" t="s">
        <v>42</v>
      </c>
      <c r="T2695" s="1" t="s">
        <v>170</v>
      </c>
      <c r="V2695" s="5">
        <v>44417</v>
      </c>
      <c r="W2695" s="5">
        <v>43675</v>
      </c>
      <c r="X2695" s="1">
        <v>3888000</v>
      </c>
      <c r="Y2695" s="1">
        <v>3888000</v>
      </c>
      <c r="Z2695" s="5">
        <v>43675</v>
      </c>
      <c r="AA2695" s="1">
        <v>3750000</v>
      </c>
      <c r="AB2695" s="1" t="s">
        <v>181</v>
      </c>
      <c r="AC2695" s="5">
        <v>43684</v>
      </c>
      <c r="AF2695" s="1">
        <v>10002</v>
      </c>
      <c r="AI2695" s="1" t="s">
        <v>55</v>
      </c>
      <c r="AJ2695" s="1">
        <v>2019</v>
      </c>
      <c r="AK2695" s="1" t="s">
        <v>73</v>
      </c>
      <c r="AL2695" s="1">
        <v>787</v>
      </c>
    </row>
    <row r="2696" spans="1:38" x14ac:dyDescent="0.2">
      <c r="A2696" s="2" t="str">
        <f>HYPERLINK("https://www.compass.com/listing/252-south-street-unit-74k-manhattan-ny-10002/272185470841077761/","252 South St, Unit 74K")</f>
        <v>252 South St, Unit 74K</v>
      </c>
      <c r="B2696" s="2" t="str">
        <f t="shared" si="381"/>
        <v>One Manhattan Square</v>
      </c>
      <c r="C2696" s="1" t="s">
        <v>66</v>
      </c>
      <c r="D2696" s="1" t="s">
        <v>41</v>
      </c>
      <c r="E2696" s="3">
        <v>1750298</v>
      </c>
      <c r="F2696" s="1">
        <v>2544.0377906976701</v>
      </c>
      <c r="G2696" s="1">
        <v>3</v>
      </c>
      <c r="H2696" s="1">
        <v>1</v>
      </c>
      <c r="I2696" s="1">
        <v>1</v>
      </c>
      <c r="J2696" s="1">
        <v>1</v>
      </c>
      <c r="K2696" s="1">
        <v>1</v>
      </c>
      <c r="M2696" s="1">
        <v>688</v>
      </c>
      <c r="N2696" s="1">
        <v>979.15</v>
      </c>
      <c r="O2696" s="1">
        <v>994.61</v>
      </c>
      <c r="P2696" s="1">
        <v>15.5</v>
      </c>
      <c r="Q2696" s="1" t="s">
        <v>42</v>
      </c>
      <c r="S2696" s="1" t="s">
        <v>42</v>
      </c>
      <c r="T2696" s="1" t="s">
        <v>170</v>
      </c>
      <c r="U2696" s="1">
        <v>3</v>
      </c>
      <c r="V2696" s="5">
        <v>43732</v>
      </c>
      <c r="W2696" s="5">
        <v>43204</v>
      </c>
      <c r="X2696" s="1">
        <v>1799000</v>
      </c>
      <c r="Y2696" s="1">
        <v>1799000</v>
      </c>
      <c r="Z2696" s="5">
        <v>43207</v>
      </c>
      <c r="AA2696" s="1">
        <v>1750298</v>
      </c>
      <c r="AB2696" s="1" t="s">
        <v>2016</v>
      </c>
      <c r="AC2696" s="5">
        <v>43719</v>
      </c>
      <c r="AF2696" s="1">
        <v>10002</v>
      </c>
      <c r="AI2696" s="1" t="s">
        <v>55</v>
      </c>
      <c r="AJ2696" s="1">
        <v>2019</v>
      </c>
      <c r="AK2696" s="1" t="s">
        <v>73</v>
      </c>
      <c r="AL2696" s="1">
        <v>787</v>
      </c>
    </row>
    <row r="2697" spans="1:38" x14ac:dyDescent="0.2">
      <c r="A2697" s="2" t="str">
        <f>HYPERLINK("https://www.compass.com/listing/252-south-street-unit-29b-manhattan-ny-10002/29513546379425841/","252 South St, Unit 29B")</f>
        <v>252 South St, Unit 29B</v>
      </c>
      <c r="B2697" s="2" t="str">
        <f t="shared" si="381"/>
        <v>One Manhattan Square</v>
      </c>
      <c r="C2697" s="1" t="s">
        <v>66</v>
      </c>
      <c r="D2697" s="1" t="s">
        <v>41</v>
      </c>
      <c r="E2697" s="3">
        <v>1535926</v>
      </c>
      <c r="F2697" s="1">
        <v>2206.7902298850499</v>
      </c>
      <c r="G2697" s="1">
        <v>3</v>
      </c>
      <c r="H2697" s="1">
        <v>1</v>
      </c>
      <c r="I2697" s="1">
        <v>1</v>
      </c>
      <c r="J2697" s="1">
        <v>1</v>
      </c>
      <c r="M2697" s="1">
        <v>696</v>
      </c>
      <c r="N2697" s="1">
        <v>808</v>
      </c>
      <c r="O2697" s="1">
        <v>822</v>
      </c>
      <c r="P2697" s="1">
        <v>14</v>
      </c>
      <c r="Q2697" s="1" t="s">
        <v>42</v>
      </c>
      <c r="S2697" s="1" t="s">
        <v>42</v>
      </c>
      <c r="T2697" s="1" t="s">
        <v>170</v>
      </c>
      <c r="U2697" s="1">
        <v>10</v>
      </c>
      <c r="V2697" s="5">
        <v>43696</v>
      </c>
      <c r="W2697" s="5">
        <v>42774</v>
      </c>
      <c r="X2697" s="1">
        <v>1551000</v>
      </c>
      <c r="Y2697" s="1">
        <v>1551000</v>
      </c>
      <c r="Z2697" s="5">
        <v>42784</v>
      </c>
      <c r="AA2697" s="1">
        <v>1535926</v>
      </c>
      <c r="AB2697" s="1" t="s">
        <v>2017</v>
      </c>
      <c r="AC2697" s="5">
        <v>43644</v>
      </c>
      <c r="AF2697" s="1">
        <v>10002</v>
      </c>
      <c r="AI2697" s="1" t="s">
        <v>1921</v>
      </c>
      <c r="AJ2697" s="1">
        <v>2019</v>
      </c>
      <c r="AK2697" s="1" t="s">
        <v>73</v>
      </c>
      <c r="AL2697" s="1">
        <v>787</v>
      </c>
    </row>
    <row r="2698" spans="1:38" x14ac:dyDescent="0.2">
      <c r="A2698" s="2" t="str">
        <f>HYPERLINK("https://www.compass.com/listing/252-south-street-unit-72k-manhattan-ny-10002/29513551538333729/","252 South St, Unit 72K")</f>
        <v>252 South St, Unit 72K</v>
      </c>
      <c r="B2698" s="2" t="str">
        <f t="shared" si="381"/>
        <v>One Manhattan Square</v>
      </c>
      <c r="C2698" s="1" t="s">
        <v>66</v>
      </c>
      <c r="D2698" s="1" t="s">
        <v>41</v>
      </c>
      <c r="E2698" s="3">
        <v>1633200</v>
      </c>
      <c r="F2698" s="1">
        <v>2373.8372093023199</v>
      </c>
      <c r="G2698" s="1">
        <v>3</v>
      </c>
      <c r="H2698" s="1">
        <v>1</v>
      </c>
      <c r="I2698" s="1">
        <v>1</v>
      </c>
      <c r="J2698" s="1">
        <v>1</v>
      </c>
      <c r="M2698" s="1">
        <v>688</v>
      </c>
      <c r="N2698" s="1">
        <v>958</v>
      </c>
      <c r="O2698" s="1">
        <v>974</v>
      </c>
      <c r="P2698" s="1">
        <v>16</v>
      </c>
      <c r="Q2698" s="1" t="s">
        <v>42</v>
      </c>
      <c r="S2698" s="1" t="s">
        <v>42</v>
      </c>
      <c r="T2698" s="1" t="s">
        <v>170</v>
      </c>
      <c r="U2698" s="1">
        <v>5</v>
      </c>
      <c r="V2698" s="5">
        <v>43745</v>
      </c>
      <c r="W2698" s="5">
        <v>42735</v>
      </c>
      <c r="X2698" s="1">
        <v>1717000</v>
      </c>
      <c r="Y2698" s="1">
        <v>1717000</v>
      </c>
      <c r="Z2698" s="5">
        <v>42740</v>
      </c>
      <c r="AA2698" s="1">
        <v>1633200</v>
      </c>
      <c r="AB2698" s="1" t="s">
        <v>2018</v>
      </c>
      <c r="AC2698" s="5">
        <v>43735</v>
      </c>
      <c r="AF2698" s="1">
        <v>10002</v>
      </c>
      <c r="AI2698" s="1" t="s">
        <v>1921</v>
      </c>
      <c r="AJ2698" s="1">
        <v>2019</v>
      </c>
      <c r="AK2698" s="1" t="s">
        <v>73</v>
      </c>
      <c r="AL2698" s="1">
        <v>787</v>
      </c>
    </row>
    <row r="2699" spans="1:38" x14ac:dyDescent="0.2">
      <c r="A2699" s="2" t="str">
        <f>HYPERLINK("https://www.compass.com/listing/252-south-street-unit-30n-manhattan-ny-10002/29513553845287313/","252 South St, Unit 30N")</f>
        <v>252 South St, Unit 30N</v>
      </c>
      <c r="B2699" s="2" t="str">
        <f t="shared" si="381"/>
        <v>One Manhattan Square</v>
      </c>
      <c r="C2699" s="1" t="s">
        <v>66</v>
      </c>
      <c r="D2699" s="1" t="s">
        <v>41</v>
      </c>
      <c r="E2699" s="3">
        <v>1512028</v>
      </c>
      <c r="F2699" s="1">
        <v>2175.58021582733</v>
      </c>
      <c r="G2699" s="1">
        <v>3</v>
      </c>
      <c r="H2699" s="1">
        <v>1</v>
      </c>
      <c r="I2699" s="1">
        <v>1</v>
      </c>
      <c r="J2699" s="1">
        <v>1</v>
      </c>
      <c r="M2699" s="1">
        <v>695</v>
      </c>
      <c r="N2699" s="1">
        <v>814</v>
      </c>
      <c r="O2699" s="1">
        <v>828</v>
      </c>
      <c r="P2699" s="1">
        <v>14</v>
      </c>
      <c r="Q2699" s="1" t="s">
        <v>42</v>
      </c>
      <c r="S2699" s="1" t="s">
        <v>42</v>
      </c>
      <c r="T2699" s="1" t="s">
        <v>170</v>
      </c>
      <c r="U2699" s="1">
        <v>34</v>
      </c>
      <c r="V2699" s="5">
        <v>43684</v>
      </c>
      <c r="W2699" s="5">
        <v>42734</v>
      </c>
      <c r="X2699" s="1">
        <v>1614000</v>
      </c>
      <c r="Y2699" s="1">
        <v>1614000</v>
      </c>
      <c r="Z2699" s="5">
        <v>42768</v>
      </c>
      <c r="AA2699" s="1">
        <v>1512028.25</v>
      </c>
      <c r="AB2699" s="1" t="s">
        <v>2019</v>
      </c>
      <c r="AC2699" s="5">
        <v>43607</v>
      </c>
      <c r="AF2699" s="1">
        <v>10002</v>
      </c>
      <c r="AI2699" s="1" t="s">
        <v>1921</v>
      </c>
      <c r="AJ2699" s="1">
        <v>2019</v>
      </c>
      <c r="AK2699" s="1" t="s">
        <v>73</v>
      </c>
      <c r="AL2699" s="1">
        <v>787</v>
      </c>
    </row>
    <row r="2700" spans="1:38" x14ac:dyDescent="0.2">
      <c r="A2700" s="2" t="str">
        <f>HYPERLINK("https://www.compass.com/listing/252-south-street-unit-58k-manhattan-ny-10002/29513557125146897/","252 South St, Unit 58K")</f>
        <v>252 South St, Unit 58K</v>
      </c>
      <c r="B2700" s="2" t="str">
        <f t="shared" si="381"/>
        <v>One Manhattan Square</v>
      </c>
      <c r="C2700" s="1" t="s">
        <v>66</v>
      </c>
      <c r="D2700" s="1" t="s">
        <v>41</v>
      </c>
      <c r="E2700" s="3">
        <v>1628161</v>
      </c>
      <c r="F2700" s="1">
        <v>2366.5137500000001</v>
      </c>
      <c r="G2700" s="1">
        <v>3</v>
      </c>
      <c r="H2700" s="1">
        <v>1</v>
      </c>
      <c r="I2700" s="1">
        <v>1</v>
      </c>
      <c r="J2700" s="1">
        <v>1</v>
      </c>
      <c r="M2700" s="1">
        <v>688</v>
      </c>
      <c r="N2700" s="1">
        <v>900</v>
      </c>
      <c r="O2700" s="1">
        <v>915</v>
      </c>
      <c r="P2700" s="1">
        <v>15</v>
      </c>
      <c r="Q2700" s="1" t="s">
        <v>42</v>
      </c>
      <c r="S2700" s="1" t="s">
        <v>42</v>
      </c>
      <c r="T2700" s="1" t="s">
        <v>170</v>
      </c>
      <c r="U2700" s="1">
        <v>6</v>
      </c>
      <c r="V2700" s="5">
        <v>43696</v>
      </c>
      <c r="W2700" s="5">
        <v>42804</v>
      </c>
      <c r="X2700" s="1">
        <v>1728000</v>
      </c>
      <c r="Y2700" s="1">
        <v>1728000</v>
      </c>
      <c r="Z2700" s="5">
        <v>42810</v>
      </c>
      <c r="AA2700" s="1">
        <v>1628161.46</v>
      </c>
      <c r="AB2700" s="1" t="s">
        <v>2020</v>
      </c>
      <c r="AC2700" s="5">
        <v>43683</v>
      </c>
      <c r="AF2700" s="1">
        <v>10002</v>
      </c>
      <c r="AI2700" s="1" t="s">
        <v>55</v>
      </c>
      <c r="AJ2700" s="1">
        <v>2019</v>
      </c>
      <c r="AK2700" s="1" t="s">
        <v>73</v>
      </c>
      <c r="AL2700" s="1">
        <v>787</v>
      </c>
    </row>
    <row r="2701" spans="1:38" x14ac:dyDescent="0.2">
      <c r="A2701" s="2" t="str">
        <f>HYPERLINK("https://www.compass.com/listing/252-south-street-unit-42k-manhattan-ny-10002/157041482140773681/","252 South St, Unit 42K")</f>
        <v>252 South St, Unit 42K</v>
      </c>
      <c r="B2701" s="2" t="str">
        <f t="shared" si="381"/>
        <v>One Manhattan Square</v>
      </c>
      <c r="C2701" s="1" t="s">
        <v>66</v>
      </c>
      <c r="D2701" s="1" t="s">
        <v>41</v>
      </c>
      <c r="E2701" s="3">
        <v>2431183</v>
      </c>
      <c r="F2701" s="1">
        <v>2164.9002671415801</v>
      </c>
      <c r="G2701" s="1">
        <v>4</v>
      </c>
      <c r="H2701" s="1">
        <v>2</v>
      </c>
      <c r="I2701" s="1">
        <v>2</v>
      </c>
      <c r="J2701" s="1">
        <v>2</v>
      </c>
      <c r="K2701" s="1">
        <v>2</v>
      </c>
      <c r="M2701" s="4">
        <v>1123</v>
      </c>
      <c r="N2701" s="1">
        <v>1380.6</v>
      </c>
      <c r="O2701" s="1">
        <v>1403.84</v>
      </c>
      <c r="P2701" s="1">
        <v>23.25</v>
      </c>
      <c r="Q2701" s="1" t="s">
        <v>42</v>
      </c>
      <c r="S2701" s="1" t="s">
        <v>42</v>
      </c>
      <c r="T2701" s="1" t="s">
        <v>170</v>
      </c>
      <c r="U2701" s="1">
        <v>1</v>
      </c>
      <c r="V2701" s="5">
        <v>43696</v>
      </c>
      <c r="W2701" s="5">
        <v>43469</v>
      </c>
      <c r="X2701" s="1">
        <v>2566000</v>
      </c>
      <c r="Y2701" s="1">
        <v>2566000</v>
      </c>
      <c r="Z2701" s="5">
        <v>43470</v>
      </c>
      <c r="AA2701" s="1">
        <v>2431183</v>
      </c>
      <c r="AB2701" s="1" t="s">
        <v>2021</v>
      </c>
      <c r="AC2701" s="5">
        <v>43650</v>
      </c>
      <c r="AF2701" s="1">
        <v>10002</v>
      </c>
      <c r="AI2701" s="1" t="s">
        <v>55</v>
      </c>
      <c r="AJ2701" s="1">
        <v>2019</v>
      </c>
      <c r="AK2701" s="1" t="s">
        <v>73</v>
      </c>
      <c r="AL2701" s="1">
        <v>787</v>
      </c>
    </row>
    <row r="2702" spans="1:38" x14ac:dyDescent="0.2">
      <c r="A2702" s="2" t="str">
        <f>HYPERLINK("https://www.compass.com/listing/252-south-street-unit-28l-manhattan-ny-10002/161556130454083889/","252 South St, Unit 28L")</f>
        <v>252 South St, Unit 28L</v>
      </c>
      <c r="B2702" s="2" t="str">
        <f t="shared" si="381"/>
        <v>One Manhattan Square</v>
      </c>
      <c r="C2702" s="1" t="s">
        <v>66</v>
      </c>
      <c r="D2702" s="1" t="s">
        <v>41</v>
      </c>
      <c r="E2702" s="3">
        <v>2202586</v>
      </c>
      <c r="F2702" s="1">
        <v>1961.3413357079201</v>
      </c>
      <c r="G2702" s="1">
        <v>4</v>
      </c>
      <c r="H2702" s="1">
        <v>2</v>
      </c>
      <c r="I2702" s="1">
        <v>2</v>
      </c>
      <c r="J2702" s="1">
        <v>2</v>
      </c>
      <c r="K2702" s="1">
        <v>2</v>
      </c>
      <c r="M2702" s="4">
        <v>1123</v>
      </c>
      <c r="N2702" s="1">
        <v>1298</v>
      </c>
      <c r="O2702" s="1">
        <v>1319.85</v>
      </c>
      <c r="P2702" s="1">
        <v>21.8333333333333</v>
      </c>
      <c r="Q2702" s="1" t="s">
        <v>42</v>
      </c>
      <c r="S2702" s="1" t="s">
        <v>42</v>
      </c>
      <c r="T2702" s="1" t="s">
        <v>170</v>
      </c>
      <c r="U2702" s="1">
        <v>3</v>
      </c>
      <c r="V2702" s="5">
        <v>43747</v>
      </c>
      <c r="W2702" s="5">
        <v>43478</v>
      </c>
      <c r="X2702" s="1">
        <v>2343000</v>
      </c>
      <c r="Y2702" s="1">
        <v>2343000</v>
      </c>
      <c r="Z2702" s="5">
        <v>43481</v>
      </c>
      <c r="AA2702" s="1">
        <v>2202586.3199999998</v>
      </c>
      <c r="AB2702" s="1" t="s">
        <v>2022</v>
      </c>
      <c r="AC2702" s="5">
        <v>43733</v>
      </c>
      <c r="AF2702" s="1">
        <v>10002</v>
      </c>
      <c r="AI2702" s="1" t="s">
        <v>55</v>
      </c>
      <c r="AJ2702" s="1">
        <v>2019</v>
      </c>
      <c r="AK2702" s="1" t="s">
        <v>73</v>
      </c>
      <c r="AL2702" s="1">
        <v>787</v>
      </c>
    </row>
    <row r="2703" spans="1:38" x14ac:dyDescent="0.2">
      <c r="A2703" s="2" t="str">
        <f>HYPERLINK("https://www.compass.com/listing/252-south-street-unit-34d-manhattan-ny-10002/211453974518191265/","252 South St, Unit 34D")</f>
        <v>252 South St, Unit 34D</v>
      </c>
      <c r="B2703" s="2" t="str">
        <f t="shared" si="381"/>
        <v>One Manhattan Square</v>
      </c>
      <c r="C2703" s="1" t="s">
        <v>66</v>
      </c>
      <c r="D2703" s="1" t="s">
        <v>41</v>
      </c>
      <c r="E2703" s="3">
        <v>2551418</v>
      </c>
      <c r="F2703" s="1">
        <v>2191.9398625429499</v>
      </c>
      <c r="G2703" s="1">
        <v>4</v>
      </c>
      <c r="H2703" s="1">
        <v>2</v>
      </c>
      <c r="I2703" s="1">
        <v>2</v>
      </c>
      <c r="J2703" s="1">
        <v>2</v>
      </c>
      <c r="K2703" s="1">
        <v>2</v>
      </c>
      <c r="M2703" s="4">
        <v>1164</v>
      </c>
      <c r="N2703" s="1">
        <v>1381.47</v>
      </c>
      <c r="O2703" s="1">
        <v>1404.64</v>
      </c>
      <c r="P2703" s="1">
        <v>23.1666666666666</v>
      </c>
      <c r="Q2703" s="1" t="s">
        <v>42</v>
      </c>
      <c r="S2703" s="1" t="s">
        <v>42</v>
      </c>
      <c r="T2703" s="1" t="s">
        <v>170</v>
      </c>
      <c r="U2703" s="1">
        <v>4</v>
      </c>
      <c r="V2703" s="5">
        <v>43684</v>
      </c>
      <c r="W2703" s="5">
        <v>43544</v>
      </c>
      <c r="X2703" s="1">
        <v>2606000</v>
      </c>
      <c r="Y2703" s="1">
        <v>2606000</v>
      </c>
      <c r="Z2703" s="5">
        <v>43548</v>
      </c>
      <c r="AA2703" s="1">
        <v>2551418</v>
      </c>
      <c r="AB2703" s="1" t="s">
        <v>2023</v>
      </c>
      <c r="AC2703" s="5">
        <v>43671</v>
      </c>
      <c r="AF2703" s="1">
        <v>10002</v>
      </c>
      <c r="AI2703" s="1" t="s">
        <v>55</v>
      </c>
      <c r="AJ2703" s="1">
        <v>2019</v>
      </c>
      <c r="AK2703" s="1" t="s">
        <v>73</v>
      </c>
      <c r="AL2703" s="1">
        <v>787</v>
      </c>
    </row>
    <row r="2704" spans="1:38" x14ac:dyDescent="0.2">
      <c r="A2704" s="2" t="str">
        <f>HYPERLINK("https://www.compass.com/listing/252-south-street-unit-28d-manhattan-ny-10002/276887442659746833/","252 South St, Unit 28D")</f>
        <v>252 South St, Unit 28D</v>
      </c>
      <c r="B2704" s="2" t="str">
        <f t="shared" si="381"/>
        <v>One Manhattan Square</v>
      </c>
      <c r="C2704" s="1" t="s">
        <v>66</v>
      </c>
      <c r="D2704" s="1" t="s">
        <v>41</v>
      </c>
      <c r="E2704" s="3">
        <v>2557771</v>
      </c>
      <c r="F2704" s="1">
        <v>2277.6233303650902</v>
      </c>
      <c r="H2704" s="1">
        <v>2</v>
      </c>
      <c r="J2704" s="1">
        <v>2</v>
      </c>
      <c r="K2704" s="1">
        <v>2</v>
      </c>
      <c r="M2704" s="4">
        <v>1123</v>
      </c>
      <c r="N2704" s="1">
        <v>1317</v>
      </c>
      <c r="O2704" s="1">
        <v>1337.23</v>
      </c>
      <c r="P2704" s="1">
        <v>20.25</v>
      </c>
      <c r="Q2704" s="1" t="s">
        <v>42</v>
      </c>
      <c r="S2704" s="1" t="s">
        <v>42</v>
      </c>
      <c r="T2704" s="1" t="s">
        <v>170</v>
      </c>
      <c r="AA2704" s="1">
        <v>2557771</v>
      </c>
      <c r="AB2704" s="1" t="s">
        <v>2024</v>
      </c>
      <c r="AC2704" s="5">
        <v>43619</v>
      </c>
      <c r="AF2704" s="1">
        <v>10002</v>
      </c>
      <c r="AI2704" s="1" t="s">
        <v>55</v>
      </c>
      <c r="AJ2704" s="1">
        <v>2019</v>
      </c>
      <c r="AK2704" s="1" t="s">
        <v>46</v>
      </c>
      <c r="AL2704" s="1">
        <v>787</v>
      </c>
    </row>
    <row r="2705" spans="1:38" x14ac:dyDescent="0.2">
      <c r="A2705" s="2" t="str">
        <f>HYPERLINK("https://www.compass.com/listing/252-south-street-unit-9d-manhattan-ny-10002/29513541631473521/","252 South St, Unit 9D")</f>
        <v>252 South St, Unit 9D</v>
      </c>
      <c r="B2705" s="2" t="str">
        <f t="shared" si="381"/>
        <v>One Manhattan Square</v>
      </c>
      <c r="C2705" s="1" t="s">
        <v>66</v>
      </c>
      <c r="D2705" s="1" t="s">
        <v>41</v>
      </c>
      <c r="E2705" s="3">
        <v>2340906</v>
      </c>
      <c r="F2705" s="1">
        <v>2084.5111665182499</v>
      </c>
      <c r="G2705" s="1">
        <v>4</v>
      </c>
      <c r="H2705" s="1">
        <v>2</v>
      </c>
      <c r="I2705" s="1">
        <v>2</v>
      </c>
      <c r="J2705" s="1">
        <v>2</v>
      </c>
      <c r="M2705" s="4">
        <v>1123</v>
      </c>
      <c r="N2705" s="1">
        <v>1192</v>
      </c>
      <c r="O2705" s="1">
        <v>1212</v>
      </c>
      <c r="P2705" s="1">
        <v>20</v>
      </c>
      <c r="Q2705" s="1" t="s">
        <v>42</v>
      </c>
      <c r="S2705" s="1" t="s">
        <v>42</v>
      </c>
      <c r="T2705" s="1" t="s">
        <v>170</v>
      </c>
      <c r="U2705" s="1">
        <v>5</v>
      </c>
      <c r="V2705" s="5">
        <v>43683</v>
      </c>
      <c r="W2705" s="5">
        <v>42868</v>
      </c>
      <c r="X2705" s="1">
        <v>2366000</v>
      </c>
      <c r="Y2705" s="1">
        <v>2366000</v>
      </c>
      <c r="Z2705" s="5">
        <v>42873</v>
      </c>
      <c r="AA2705" s="1">
        <v>2340906.04</v>
      </c>
      <c r="AB2705" s="1" t="s">
        <v>2025</v>
      </c>
      <c r="AC2705" s="5">
        <v>43551</v>
      </c>
      <c r="AF2705" s="1">
        <v>10002</v>
      </c>
      <c r="AI2705" s="1" t="s">
        <v>55</v>
      </c>
      <c r="AJ2705" s="1">
        <v>2019</v>
      </c>
      <c r="AK2705" s="1" t="s">
        <v>73</v>
      </c>
      <c r="AL2705" s="1">
        <v>787</v>
      </c>
    </row>
    <row r="2706" spans="1:38" x14ac:dyDescent="0.2">
      <c r="A2706" s="2" t="str">
        <f>HYPERLINK("https://www.compass.com/listing/252-south-street-unit-21l-manhattan-ny-10002/465143449182745113/","252 South St, Unit 21L")</f>
        <v>252 South St, Unit 21L</v>
      </c>
      <c r="B2706" s="2" t="str">
        <f t="shared" si="381"/>
        <v>One Manhattan Square</v>
      </c>
      <c r="C2706" s="1" t="s">
        <v>66</v>
      </c>
      <c r="D2706" s="1" t="s">
        <v>41</v>
      </c>
      <c r="E2706" s="3">
        <v>2190129</v>
      </c>
      <c r="F2706" s="1">
        <v>1950.2484327693601</v>
      </c>
      <c r="G2706" s="1">
        <v>4</v>
      </c>
      <c r="H2706" s="1">
        <v>2</v>
      </c>
      <c r="I2706" s="1">
        <v>2</v>
      </c>
      <c r="J2706" s="1">
        <v>2</v>
      </c>
      <c r="K2706" s="1">
        <v>2</v>
      </c>
      <c r="M2706" s="4">
        <v>1123</v>
      </c>
      <c r="N2706" s="1">
        <v>1275</v>
      </c>
      <c r="O2706" s="1">
        <v>1295</v>
      </c>
      <c r="P2706" s="1">
        <v>20</v>
      </c>
      <c r="Q2706" s="1" t="s">
        <v>42</v>
      </c>
      <c r="S2706" s="1" t="s">
        <v>42</v>
      </c>
      <c r="T2706" s="1" t="s">
        <v>170</v>
      </c>
      <c r="U2706" s="1">
        <v>2</v>
      </c>
      <c r="V2706" s="5">
        <v>44006</v>
      </c>
      <c r="W2706" s="5">
        <v>43894</v>
      </c>
      <c r="X2706" s="1">
        <v>2194000</v>
      </c>
      <c r="Y2706" s="1">
        <v>2095270</v>
      </c>
      <c r="Z2706" s="5">
        <v>43897</v>
      </c>
      <c r="AA2706" s="1">
        <v>2190128.9900000002</v>
      </c>
      <c r="AB2706" s="1" t="s">
        <v>2026</v>
      </c>
      <c r="AC2706" s="5">
        <v>44001</v>
      </c>
      <c r="AF2706" s="1">
        <v>10002</v>
      </c>
      <c r="AI2706" s="1" t="s">
        <v>55</v>
      </c>
      <c r="AJ2706" s="1">
        <v>2019</v>
      </c>
      <c r="AK2706" s="1" t="s">
        <v>73</v>
      </c>
      <c r="AL2706" s="1">
        <v>787</v>
      </c>
    </row>
    <row r="2707" spans="1:38" x14ac:dyDescent="0.2">
      <c r="A2707" s="2" t="str">
        <f>HYPERLINK("https://www.compass.com/listing/2351-adam-clayton-powell-jr-boulevard-unit-611-manhattan-ny-10030/425238481851675537/","2351 Adam Clayton Powell Jr Blvd, Unit 611")</f>
        <v>2351 Adam Clayton Powell Jr Blvd, Unit 611</v>
      </c>
      <c r="B2707" s="2" t="str">
        <f t="shared" ref="B2707:B2719" si="382">HYPERLINK("https://www.compass.com/building/the-rennie-manhattan-ny/307439143554395509/","THE RENNIE")</f>
        <v>THE RENNIE</v>
      </c>
      <c r="C2707" s="1" t="s">
        <v>106</v>
      </c>
      <c r="D2707" s="1" t="s">
        <v>41</v>
      </c>
      <c r="E2707" s="3">
        <v>989000</v>
      </c>
      <c r="F2707" s="1">
        <v>1122.58796821793</v>
      </c>
      <c r="G2707" s="1">
        <v>4</v>
      </c>
      <c r="H2707" s="1">
        <v>2</v>
      </c>
      <c r="I2707" s="1">
        <v>2</v>
      </c>
      <c r="J2707" s="1">
        <v>2</v>
      </c>
      <c r="K2707" s="1">
        <v>2</v>
      </c>
      <c r="M2707" s="1">
        <v>881</v>
      </c>
      <c r="N2707" s="1">
        <v>1001</v>
      </c>
      <c r="O2707" s="1">
        <v>1040</v>
      </c>
      <c r="P2707" s="1">
        <v>39</v>
      </c>
      <c r="Q2707" s="1" t="s">
        <v>42</v>
      </c>
      <c r="S2707" s="1" t="s">
        <v>42</v>
      </c>
      <c r="T2707" s="1" t="s">
        <v>170</v>
      </c>
      <c r="U2707" s="1">
        <v>567</v>
      </c>
      <c r="V2707" s="5">
        <v>43963</v>
      </c>
      <c r="W2707" s="5">
        <v>43271</v>
      </c>
      <c r="X2707" s="1">
        <v>989000</v>
      </c>
      <c r="Y2707" s="1">
        <v>989000</v>
      </c>
      <c r="Z2707" s="5">
        <v>43839</v>
      </c>
      <c r="AA2707" s="1">
        <v>989000</v>
      </c>
      <c r="AB2707" s="1" t="s">
        <v>2027</v>
      </c>
      <c r="AC2707" s="5">
        <v>43865</v>
      </c>
      <c r="AF2707" s="1">
        <v>10030</v>
      </c>
      <c r="AI2707" s="1" t="s">
        <v>124</v>
      </c>
      <c r="AJ2707" s="1">
        <v>2018</v>
      </c>
      <c r="AK2707" s="1" t="s">
        <v>77</v>
      </c>
      <c r="AL2707" s="1">
        <v>106</v>
      </c>
    </row>
    <row r="2708" spans="1:38" x14ac:dyDescent="0.2">
      <c r="A2708" s="2" t="str">
        <f>HYPERLINK("https://www.compass.com/listing/2351-adam-clayton-powell-jr-boulevard-unit-ph14-manhattan-ny-10030/462304801972647657/","2351 Adam Clayton Powell Jr Blvd, Unit PH14")</f>
        <v>2351 Adam Clayton Powell Jr Blvd, Unit PH14</v>
      </c>
      <c r="B2708" s="2" t="str">
        <f t="shared" si="382"/>
        <v>THE RENNIE</v>
      </c>
      <c r="C2708" s="1" t="s">
        <v>106</v>
      </c>
      <c r="D2708" s="1" t="s">
        <v>41</v>
      </c>
      <c r="E2708" s="3">
        <v>920000</v>
      </c>
      <c r="F2708" s="1">
        <v>1064.81481481481</v>
      </c>
      <c r="G2708" s="1">
        <v>5</v>
      </c>
      <c r="H2708" s="1">
        <v>2</v>
      </c>
      <c r="I2708" s="1">
        <v>2</v>
      </c>
      <c r="J2708" s="1">
        <v>2</v>
      </c>
      <c r="K2708" s="1">
        <v>2</v>
      </c>
      <c r="M2708" s="1">
        <v>864</v>
      </c>
      <c r="N2708" s="1">
        <v>982</v>
      </c>
      <c r="O2708" s="1">
        <v>998</v>
      </c>
      <c r="P2708" s="1">
        <v>16</v>
      </c>
      <c r="Q2708" s="1" t="s">
        <v>42</v>
      </c>
      <c r="S2708" s="1" t="s">
        <v>42</v>
      </c>
      <c r="T2708" s="1" t="s">
        <v>170</v>
      </c>
      <c r="U2708" s="1">
        <v>354</v>
      </c>
      <c r="V2708" s="5">
        <v>44414</v>
      </c>
      <c r="W2708" s="5">
        <v>43889</v>
      </c>
      <c r="X2708" s="1">
        <v>995000</v>
      </c>
      <c r="Y2708" s="1">
        <v>925000</v>
      </c>
      <c r="Z2708" s="5">
        <v>44338</v>
      </c>
      <c r="AA2708" s="1">
        <v>920000</v>
      </c>
      <c r="AB2708" s="1" t="s">
        <v>181</v>
      </c>
      <c r="AC2708" s="5">
        <v>44403</v>
      </c>
      <c r="AF2708" s="1">
        <v>10030</v>
      </c>
      <c r="AI2708" s="1" t="s">
        <v>124</v>
      </c>
      <c r="AJ2708" s="1">
        <v>2018</v>
      </c>
      <c r="AK2708" s="1" t="s">
        <v>77</v>
      </c>
      <c r="AL2708" s="1">
        <v>106</v>
      </c>
    </row>
    <row r="2709" spans="1:38" x14ac:dyDescent="0.2">
      <c r="A2709" s="2" t="str">
        <f>HYPERLINK("https://www.compass.com/listing/2351-adam-clayton-powell-jr-boulevard-unit-419-manhattan-ny-10030/462310448587761529/","2351 Adam Clayton Powell Jr Blvd, Unit 419")</f>
        <v>2351 Adam Clayton Powell Jr Blvd, Unit 419</v>
      </c>
      <c r="B2709" s="2" t="str">
        <f t="shared" si="382"/>
        <v>THE RENNIE</v>
      </c>
      <c r="C2709" s="1" t="s">
        <v>106</v>
      </c>
      <c r="D2709" s="1" t="s">
        <v>41</v>
      </c>
      <c r="E2709" s="3">
        <v>950000</v>
      </c>
      <c r="F2709" s="1">
        <v>952.85857572718101</v>
      </c>
      <c r="G2709" s="1">
        <v>4</v>
      </c>
      <c r="H2709" s="1">
        <v>2</v>
      </c>
      <c r="I2709" s="1">
        <v>2</v>
      </c>
      <c r="J2709" s="1">
        <v>2</v>
      </c>
      <c r="K2709" s="1">
        <v>2</v>
      </c>
      <c r="M2709" s="1">
        <v>997</v>
      </c>
      <c r="N2709" s="1">
        <v>1132</v>
      </c>
      <c r="O2709" s="1">
        <v>1150</v>
      </c>
      <c r="P2709" s="1">
        <v>18</v>
      </c>
      <c r="Q2709" s="1" t="s">
        <v>42</v>
      </c>
      <c r="S2709" s="1" t="s">
        <v>42</v>
      </c>
      <c r="T2709" s="1" t="s">
        <v>170</v>
      </c>
      <c r="U2709" s="1">
        <v>296</v>
      </c>
      <c r="V2709" s="5">
        <v>44329</v>
      </c>
      <c r="W2709" s="5">
        <v>43889</v>
      </c>
      <c r="X2709" s="1">
        <v>1075000</v>
      </c>
      <c r="Y2709" s="1">
        <v>998000</v>
      </c>
      <c r="Z2709" s="5">
        <v>44280</v>
      </c>
      <c r="AA2709" s="1">
        <v>950000</v>
      </c>
      <c r="AB2709" s="1" t="s">
        <v>2028</v>
      </c>
      <c r="AC2709" s="5">
        <v>44327</v>
      </c>
      <c r="AF2709" s="1">
        <v>10030</v>
      </c>
      <c r="AI2709" s="1" t="s">
        <v>45</v>
      </c>
      <c r="AJ2709" s="1">
        <v>2018</v>
      </c>
      <c r="AK2709" s="1" t="s">
        <v>77</v>
      </c>
      <c r="AL2709" s="1">
        <v>106</v>
      </c>
    </row>
    <row r="2710" spans="1:38" x14ac:dyDescent="0.2">
      <c r="A2710" s="2" t="str">
        <f>HYPERLINK("https://www.compass.com/listing/2351-adam-clayton-powell-jr-boulevard-unit-ph4-manhattan-ny-10030/340425937199314225/","2351 Adam Clayton Powell Jr Blvd, Unit PH4")</f>
        <v>2351 Adam Clayton Powell Jr Blvd, Unit PH4</v>
      </c>
      <c r="B2710" s="2" t="str">
        <f t="shared" si="382"/>
        <v>THE RENNIE</v>
      </c>
      <c r="C2710" s="1" t="s">
        <v>106</v>
      </c>
      <c r="D2710" s="1" t="s">
        <v>41</v>
      </c>
      <c r="E2710" s="3">
        <v>1385000</v>
      </c>
      <c r="F2710" s="1">
        <v>1176.7204757858899</v>
      </c>
      <c r="G2710" s="1">
        <v>5</v>
      </c>
      <c r="H2710" s="1">
        <v>3</v>
      </c>
      <c r="I2710" s="1">
        <v>2</v>
      </c>
      <c r="J2710" s="1">
        <v>2</v>
      </c>
      <c r="K2710" s="1">
        <v>2</v>
      </c>
      <c r="M2710" s="4">
        <v>1177</v>
      </c>
      <c r="N2710" s="1">
        <v>1338</v>
      </c>
      <c r="O2710" s="1">
        <v>1364</v>
      </c>
      <c r="P2710" s="1">
        <v>26</v>
      </c>
      <c r="Q2710" s="1" t="s">
        <v>42</v>
      </c>
      <c r="S2710" s="1" t="s">
        <v>42</v>
      </c>
      <c r="T2710" s="1" t="s">
        <v>170</v>
      </c>
      <c r="U2710" s="1">
        <v>547</v>
      </c>
      <c r="V2710" s="5">
        <v>44414</v>
      </c>
      <c r="W2710" s="5">
        <v>43721</v>
      </c>
      <c r="X2710" s="1">
        <v>1568000</v>
      </c>
      <c r="Y2710" s="1">
        <v>1425000</v>
      </c>
      <c r="Z2710" s="5">
        <v>44362</v>
      </c>
      <c r="AA2710" s="1">
        <v>1385000</v>
      </c>
      <c r="AB2710" s="1" t="s">
        <v>181</v>
      </c>
      <c r="AC2710" s="5">
        <v>44404</v>
      </c>
      <c r="AF2710" s="1">
        <v>10030</v>
      </c>
      <c r="AI2710" s="1" t="s">
        <v>2029</v>
      </c>
      <c r="AJ2710" s="1">
        <v>2018</v>
      </c>
      <c r="AK2710" s="1" t="s">
        <v>77</v>
      </c>
      <c r="AL2710" s="1">
        <v>106</v>
      </c>
    </row>
    <row r="2711" spans="1:38" x14ac:dyDescent="0.2">
      <c r="A2711" s="2" t="str">
        <f>HYPERLINK("https://www.compass.com/listing/2351-adam-clayton-powell-jr-boulevard-unit-ph5-manhattan-ny-10030/462304805789296113/","2351 Adam Clayton Powell Jr Blvd, Unit PH5")</f>
        <v>2351 Adam Clayton Powell Jr Blvd, Unit PH5</v>
      </c>
      <c r="B2711" s="2" t="str">
        <f t="shared" si="382"/>
        <v>THE RENNIE</v>
      </c>
      <c r="C2711" s="1" t="s">
        <v>106</v>
      </c>
      <c r="D2711" s="1" t="s">
        <v>41</v>
      </c>
      <c r="E2711" s="3">
        <v>1300000</v>
      </c>
      <c r="F2711" s="1">
        <v>1099.8307952622599</v>
      </c>
      <c r="G2711" s="1">
        <v>6</v>
      </c>
      <c r="H2711" s="1">
        <v>3</v>
      </c>
      <c r="I2711" s="1">
        <v>2</v>
      </c>
      <c r="J2711" s="1">
        <v>2</v>
      </c>
      <c r="K2711" s="1">
        <v>2</v>
      </c>
      <c r="M2711" s="4">
        <v>1182</v>
      </c>
      <c r="N2711" s="1">
        <v>1343</v>
      </c>
      <c r="O2711" s="1">
        <v>1365</v>
      </c>
      <c r="P2711" s="1">
        <v>22</v>
      </c>
      <c r="Q2711" s="1" t="s">
        <v>42</v>
      </c>
      <c r="S2711" s="1" t="s">
        <v>42</v>
      </c>
      <c r="T2711" s="1" t="s">
        <v>170</v>
      </c>
      <c r="U2711" s="1">
        <v>312</v>
      </c>
      <c r="V2711" s="5">
        <v>44399</v>
      </c>
      <c r="W2711" s="5">
        <v>43889</v>
      </c>
      <c r="X2711" s="1">
        <v>1375000</v>
      </c>
      <c r="Y2711" s="1">
        <v>1325000</v>
      </c>
      <c r="Z2711" s="5">
        <v>44295</v>
      </c>
      <c r="AA2711" s="1">
        <v>1300000</v>
      </c>
      <c r="AB2711" s="1" t="s">
        <v>181</v>
      </c>
      <c r="AC2711" s="5">
        <v>44350</v>
      </c>
      <c r="AF2711" s="1">
        <v>10030</v>
      </c>
      <c r="AI2711" s="1" t="s">
        <v>303</v>
      </c>
      <c r="AJ2711" s="1">
        <v>2018</v>
      </c>
      <c r="AK2711" s="1" t="s">
        <v>77</v>
      </c>
      <c r="AL2711" s="1">
        <v>106</v>
      </c>
    </row>
    <row r="2712" spans="1:38" x14ac:dyDescent="0.2">
      <c r="A2712" s="2" t="str">
        <f>HYPERLINK("https://www.compass.com/listing/2351-adam-clayton-powell-jr-boulevard-unit-512-manhattan-ny-10030/607348092981145729/","2351 Adam Clayton Powell Jr Blvd, Unit 512")</f>
        <v>2351 Adam Clayton Powell Jr Blvd, Unit 512</v>
      </c>
      <c r="B2712" s="2" t="str">
        <f t="shared" si="382"/>
        <v>THE RENNIE</v>
      </c>
      <c r="C2712" s="1" t="s">
        <v>106</v>
      </c>
      <c r="D2712" s="1" t="s">
        <v>41</v>
      </c>
      <c r="E2712" s="3">
        <v>598000</v>
      </c>
      <c r="F2712" s="1">
        <v>1075.53956834532</v>
      </c>
      <c r="G2712" s="1">
        <v>3</v>
      </c>
      <c r="H2712" s="1">
        <v>1</v>
      </c>
      <c r="I2712" s="1">
        <v>1</v>
      </c>
      <c r="J2712" s="1">
        <v>1</v>
      </c>
      <c r="K2712" s="1">
        <v>1</v>
      </c>
      <c r="M2712" s="1">
        <v>556</v>
      </c>
      <c r="N2712" s="1">
        <v>632</v>
      </c>
      <c r="O2712" s="1">
        <v>642</v>
      </c>
      <c r="P2712" s="1">
        <v>10</v>
      </c>
      <c r="Q2712" s="1" t="s">
        <v>42</v>
      </c>
      <c r="S2712" s="1" t="s">
        <v>42</v>
      </c>
      <c r="T2712" s="1" t="s">
        <v>170</v>
      </c>
      <c r="U2712" s="1">
        <v>84</v>
      </c>
      <c r="V2712" s="5">
        <v>44254</v>
      </c>
      <c r="W2712" s="5">
        <v>44089</v>
      </c>
      <c r="X2712" s="1">
        <v>598000</v>
      </c>
      <c r="Y2712" s="1">
        <v>598000</v>
      </c>
      <c r="Z2712" s="5">
        <v>44173</v>
      </c>
      <c r="AA2712" s="1">
        <v>598000</v>
      </c>
      <c r="AB2712" s="1" t="s">
        <v>2030</v>
      </c>
      <c r="AC2712" s="5">
        <v>44245</v>
      </c>
      <c r="AF2712" s="1">
        <v>10030</v>
      </c>
      <c r="AI2712" s="1" t="s">
        <v>45</v>
      </c>
      <c r="AJ2712" s="1">
        <v>2018</v>
      </c>
      <c r="AK2712" s="1" t="s">
        <v>77</v>
      </c>
      <c r="AL2712" s="1">
        <v>106</v>
      </c>
    </row>
    <row r="2713" spans="1:38" x14ac:dyDescent="0.2">
      <c r="A2713" s="2" t="str">
        <f>HYPERLINK("https://www.compass.com/listing/2351-adam-clayton-powell-jr-boulevard-unit-316-manhattan-ny-10030/462304801368439049/","2351 Adam Clayton Powell Jr Blvd, Unit 316")</f>
        <v>2351 Adam Clayton Powell Jr Blvd, Unit 316</v>
      </c>
      <c r="B2713" s="2" t="str">
        <f t="shared" si="382"/>
        <v>THE RENNIE</v>
      </c>
      <c r="C2713" s="1" t="s">
        <v>106</v>
      </c>
      <c r="D2713" s="1" t="s">
        <v>41</v>
      </c>
      <c r="E2713" s="3">
        <v>640000</v>
      </c>
      <c r="F2713" s="1">
        <v>1007.87401574803</v>
      </c>
      <c r="G2713" s="1">
        <v>3</v>
      </c>
      <c r="H2713" s="1">
        <v>1</v>
      </c>
      <c r="I2713" s="1">
        <v>1</v>
      </c>
      <c r="J2713" s="1">
        <v>1</v>
      </c>
      <c r="K2713" s="1">
        <v>1</v>
      </c>
      <c r="M2713" s="1">
        <v>635</v>
      </c>
      <c r="N2713" s="1">
        <v>722</v>
      </c>
      <c r="O2713" s="1">
        <v>734</v>
      </c>
      <c r="P2713" s="1">
        <v>12</v>
      </c>
      <c r="Q2713" s="1" t="s">
        <v>42</v>
      </c>
      <c r="S2713" s="1" t="s">
        <v>42</v>
      </c>
      <c r="T2713" s="1" t="s">
        <v>170</v>
      </c>
      <c r="U2713" s="1">
        <v>228</v>
      </c>
      <c r="V2713" s="5">
        <v>44278</v>
      </c>
      <c r="W2713" s="5">
        <v>43889</v>
      </c>
      <c r="X2713" s="1">
        <v>695000</v>
      </c>
      <c r="Y2713" s="1">
        <v>660000</v>
      </c>
      <c r="Z2713" s="5">
        <v>44211</v>
      </c>
      <c r="AA2713" s="1">
        <v>640000</v>
      </c>
      <c r="AB2713" s="1" t="s">
        <v>2031</v>
      </c>
      <c r="AC2713" s="5">
        <v>44274</v>
      </c>
      <c r="AF2713" s="1">
        <v>10030</v>
      </c>
      <c r="AI2713" s="1" t="s">
        <v>45</v>
      </c>
      <c r="AJ2713" s="1">
        <v>2018</v>
      </c>
      <c r="AK2713" s="1" t="s">
        <v>77</v>
      </c>
      <c r="AL2713" s="1">
        <v>106</v>
      </c>
    </row>
    <row r="2714" spans="1:38" x14ac:dyDescent="0.2">
      <c r="A2714" s="2" t="str">
        <f>HYPERLINK("https://www.compass.com/listing/2351-adam-clayton-powell-jr-boulevard-unit-ph7-manhattan-ny-10030/607347083495992473/","2351 Adam Clayton Powell Jr Blvd, Unit PH7")</f>
        <v>2351 Adam Clayton Powell Jr Blvd, Unit PH7</v>
      </c>
      <c r="B2714" s="2" t="str">
        <f t="shared" si="382"/>
        <v>THE RENNIE</v>
      </c>
      <c r="C2714" s="1" t="s">
        <v>106</v>
      </c>
      <c r="D2714" s="1" t="s">
        <v>41</v>
      </c>
      <c r="E2714" s="3">
        <v>847500</v>
      </c>
      <c r="F2714" s="1">
        <v>1233.62445414847</v>
      </c>
      <c r="G2714" s="1">
        <v>3</v>
      </c>
      <c r="H2714" s="1">
        <v>1</v>
      </c>
      <c r="I2714" s="1">
        <v>1</v>
      </c>
      <c r="J2714" s="1">
        <v>1</v>
      </c>
      <c r="K2714" s="1">
        <v>1</v>
      </c>
      <c r="M2714" s="1">
        <v>687</v>
      </c>
      <c r="N2714" s="1">
        <v>781</v>
      </c>
      <c r="O2714" s="1">
        <v>798</v>
      </c>
      <c r="P2714" s="1">
        <v>17</v>
      </c>
      <c r="Q2714" s="1" t="s">
        <v>42</v>
      </c>
      <c r="S2714" s="1" t="s">
        <v>42</v>
      </c>
      <c r="T2714" s="1" t="s">
        <v>170</v>
      </c>
      <c r="U2714" s="1">
        <v>80</v>
      </c>
      <c r="V2714" s="5">
        <v>44254</v>
      </c>
      <c r="W2714" s="5">
        <v>44089</v>
      </c>
      <c r="X2714" s="1">
        <v>980000</v>
      </c>
      <c r="Y2714" s="1">
        <v>980000</v>
      </c>
      <c r="Z2714" s="5">
        <v>44170</v>
      </c>
      <c r="AA2714" s="1">
        <v>847500</v>
      </c>
      <c r="AB2714" s="1" t="s">
        <v>181</v>
      </c>
      <c r="AC2714" s="5">
        <v>44225</v>
      </c>
      <c r="AF2714" s="1">
        <v>10030</v>
      </c>
      <c r="AI2714" s="1" t="s">
        <v>74</v>
      </c>
      <c r="AJ2714" s="1">
        <v>2018</v>
      </c>
      <c r="AK2714" s="1" t="s">
        <v>77</v>
      </c>
      <c r="AL2714" s="1">
        <v>106</v>
      </c>
    </row>
    <row r="2715" spans="1:38" x14ac:dyDescent="0.2">
      <c r="A2715" s="2" t="str">
        <f>HYPERLINK("https://www.compass.com/listing/2351-adam-clayton-powell-jr-boulevard-unit-402-manhattan-ny-10030/462310306889324617/","2351 Adam Clayton Powell Jr Blvd, Unit 402")</f>
        <v>2351 Adam Clayton Powell Jr Blvd, Unit 402</v>
      </c>
      <c r="B2715" s="2" t="str">
        <f t="shared" si="382"/>
        <v>THE RENNIE</v>
      </c>
      <c r="C2715" s="1" t="s">
        <v>106</v>
      </c>
      <c r="D2715" s="1" t="s">
        <v>41</v>
      </c>
      <c r="E2715" s="3">
        <v>771834</v>
      </c>
      <c r="F2715" s="1">
        <v>1192.94204018547</v>
      </c>
      <c r="G2715" s="1">
        <v>3</v>
      </c>
      <c r="H2715" s="1">
        <v>1</v>
      </c>
      <c r="I2715" s="1">
        <v>1</v>
      </c>
      <c r="J2715" s="1">
        <v>1</v>
      </c>
      <c r="K2715" s="1">
        <v>1</v>
      </c>
      <c r="M2715" s="1">
        <v>647</v>
      </c>
      <c r="N2715" s="1">
        <v>735</v>
      </c>
      <c r="O2715" s="1">
        <v>764</v>
      </c>
      <c r="P2715" s="1">
        <v>29</v>
      </c>
      <c r="Q2715" s="1" t="s">
        <v>42</v>
      </c>
      <c r="S2715" s="1" t="s">
        <v>42</v>
      </c>
      <c r="T2715" s="1" t="s">
        <v>170</v>
      </c>
      <c r="U2715" s="1">
        <v>20</v>
      </c>
      <c r="V2715" s="5">
        <v>44019</v>
      </c>
      <c r="W2715" s="5">
        <v>43889</v>
      </c>
      <c r="X2715" s="1">
        <v>758000</v>
      </c>
      <c r="Y2715" s="1">
        <v>758000</v>
      </c>
      <c r="Z2715" s="5">
        <v>43963</v>
      </c>
      <c r="AA2715" s="1">
        <v>771833.5</v>
      </c>
      <c r="AB2715" s="1" t="s">
        <v>2032</v>
      </c>
      <c r="AC2715" s="5">
        <v>44014</v>
      </c>
      <c r="AF2715" s="1">
        <v>10030</v>
      </c>
      <c r="AI2715" s="1" t="s">
        <v>124</v>
      </c>
      <c r="AJ2715" s="1">
        <v>2018</v>
      </c>
      <c r="AK2715" s="1" t="s">
        <v>77</v>
      </c>
      <c r="AL2715" s="1">
        <v>106</v>
      </c>
    </row>
    <row r="2716" spans="1:38" x14ac:dyDescent="0.2">
      <c r="A2716" s="2" t="str">
        <f>HYPERLINK("https://www.compass.com/listing/2351-adam-clayton-powell-jr-boulevard-unit-302-manhattan-ny-10030/84760100148896337/","2351 Adam Clayton Powell Jr Blvd, Unit 302")</f>
        <v>2351 Adam Clayton Powell Jr Blvd, Unit 302</v>
      </c>
      <c r="B2716" s="2" t="str">
        <f t="shared" si="382"/>
        <v>THE RENNIE</v>
      </c>
      <c r="C2716" s="1" t="s">
        <v>106</v>
      </c>
      <c r="D2716" s="1" t="s">
        <v>41</v>
      </c>
      <c r="E2716" s="3">
        <v>774584</v>
      </c>
      <c r="F2716" s="1">
        <v>1197.1924265842299</v>
      </c>
      <c r="G2716" s="1">
        <v>3</v>
      </c>
      <c r="H2716" s="1">
        <v>1</v>
      </c>
      <c r="I2716" s="1">
        <v>1</v>
      </c>
      <c r="J2716" s="1">
        <v>1</v>
      </c>
      <c r="K2716" s="1">
        <v>1</v>
      </c>
      <c r="M2716" s="1">
        <v>647</v>
      </c>
      <c r="N2716" s="1">
        <v>735</v>
      </c>
      <c r="O2716" s="1">
        <v>764</v>
      </c>
      <c r="P2716" s="1">
        <v>29</v>
      </c>
      <c r="Q2716" s="1" t="s">
        <v>42</v>
      </c>
      <c r="S2716" s="1" t="s">
        <v>42</v>
      </c>
      <c r="T2716" s="1" t="s">
        <v>170</v>
      </c>
      <c r="U2716" s="1">
        <v>197</v>
      </c>
      <c r="V2716" s="5">
        <v>43963</v>
      </c>
      <c r="W2716" s="5">
        <v>43368</v>
      </c>
      <c r="X2716" s="1">
        <v>758000</v>
      </c>
      <c r="Y2716" s="1">
        <v>758000</v>
      </c>
      <c r="Z2716" s="5">
        <v>43566</v>
      </c>
      <c r="AA2716" s="1">
        <v>774583.5</v>
      </c>
      <c r="AB2716" s="1" t="s">
        <v>2033</v>
      </c>
      <c r="AC2716" s="5">
        <v>43857</v>
      </c>
      <c r="AF2716" s="1">
        <v>10030</v>
      </c>
      <c r="AI2716" s="1" t="s">
        <v>123</v>
      </c>
      <c r="AJ2716" s="1">
        <v>2018</v>
      </c>
      <c r="AK2716" s="1" t="s">
        <v>77</v>
      </c>
      <c r="AL2716" s="1">
        <v>106</v>
      </c>
    </row>
    <row r="2717" spans="1:38" x14ac:dyDescent="0.2">
      <c r="A2717" s="2" t="str">
        <f>HYPERLINK("https://www.compass.com/listing/2351-adam-clayton-powell-jr-boulevard-unit-602-manhattan-ny-10030/96869483943145393/","2351 Adam Clayton Powell Jr Blvd, Unit 602")</f>
        <v>2351 Adam Clayton Powell Jr Blvd, Unit 602</v>
      </c>
      <c r="B2717" s="2" t="str">
        <f t="shared" si="382"/>
        <v>THE RENNIE</v>
      </c>
      <c r="C2717" s="1" t="s">
        <v>106</v>
      </c>
      <c r="D2717" s="1" t="s">
        <v>41</v>
      </c>
      <c r="E2717" s="3">
        <v>774737</v>
      </c>
      <c r="F2717" s="1">
        <v>1197.42987635239</v>
      </c>
      <c r="G2717" s="1">
        <v>3</v>
      </c>
      <c r="H2717" s="1">
        <v>1</v>
      </c>
      <c r="I2717" s="1">
        <v>1</v>
      </c>
      <c r="J2717" s="1">
        <v>1</v>
      </c>
      <c r="K2717" s="1">
        <v>1</v>
      </c>
      <c r="M2717" s="1">
        <v>647</v>
      </c>
      <c r="N2717" s="1">
        <v>735</v>
      </c>
      <c r="O2717" s="1">
        <v>764</v>
      </c>
      <c r="P2717" s="1">
        <v>29</v>
      </c>
      <c r="Q2717" s="1" t="s">
        <v>42</v>
      </c>
      <c r="S2717" s="1" t="s">
        <v>42</v>
      </c>
      <c r="T2717" s="1" t="s">
        <v>170</v>
      </c>
      <c r="U2717" s="1">
        <v>14</v>
      </c>
      <c r="V2717" s="5">
        <v>44019</v>
      </c>
      <c r="W2717" s="5">
        <v>43385</v>
      </c>
      <c r="X2717" s="1">
        <v>748000</v>
      </c>
      <c r="Y2717" s="1">
        <v>748000</v>
      </c>
      <c r="Z2717" s="5">
        <v>43400</v>
      </c>
      <c r="AA2717" s="1">
        <v>774737.13</v>
      </c>
      <c r="AB2717" s="1" t="s">
        <v>2034</v>
      </c>
      <c r="AC2717" s="5">
        <v>44012</v>
      </c>
      <c r="AF2717" s="1">
        <v>10030</v>
      </c>
      <c r="AI2717" s="1" t="s">
        <v>1852</v>
      </c>
      <c r="AJ2717" s="1">
        <v>2018</v>
      </c>
      <c r="AK2717" s="1" t="s">
        <v>77</v>
      </c>
      <c r="AL2717" s="1">
        <v>106</v>
      </c>
    </row>
    <row r="2718" spans="1:38" x14ac:dyDescent="0.2">
      <c r="A2718" s="2" t="str">
        <f>HYPERLINK("https://www.compass.com/listing/2351-adam-clayton-powell-jr-boulevard-unit-615-manhattan-ny-10030/695510750010726017/","2351 Adam Clayton Powell Jr Blvd, Unit 615")</f>
        <v>2351 Adam Clayton Powell Jr Blvd, Unit 615</v>
      </c>
      <c r="B2718" s="2" t="str">
        <f t="shared" si="382"/>
        <v>THE RENNIE</v>
      </c>
      <c r="C2718" s="1" t="s">
        <v>106</v>
      </c>
      <c r="D2718" s="1" t="s">
        <v>41</v>
      </c>
      <c r="E2718" s="3">
        <v>655000</v>
      </c>
      <c r="F2718" s="1">
        <v>1053.0546623794201</v>
      </c>
      <c r="G2718" s="1">
        <v>3</v>
      </c>
      <c r="H2718" s="1">
        <v>1</v>
      </c>
      <c r="I2718" s="1">
        <v>1</v>
      </c>
      <c r="J2718" s="1">
        <v>1</v>
      </c>
      <c r="K2718" s="1">
        <v>1</v>
      </c>
      <c r="M2718" s="1">
        <v>622</v>
      </c>
      <c r="N2718" s="1">
        <v>708</v>
      </c>
      <c r="O2718" s="1">
        <v>719</v>
      </c>
      <c r="P2718" s="1">
        <v>11</v>
      </c>
      <c r="Q2718" s="1" t="s">
        <v>42</v>
      </c>
      <c r="S2718" s="1" t="s">
        <v>42</v>
      </c>
      <c r="T2718" s="1" t="s">
        <v>170</v>
      </c>
      <c r="U2718" s="1">
        <v>110</v>
      </c>
      <c r="V2718" s="5">
        <v>44414</v>
      </c>
      <c r="W2718" s="5">
        <v>44211</v>
      </c>
      <c r="X2718" s="1">
        <v>680000</v>
      </c>
      <c r="Y2718" s="1">
        <v>680000</v>
      </c>
      <c r="Z2718" s="5">
        <v>44322</v>
      </c>
      <c r="AA2718" s="1">
        <v>655000</v>
      </c>
      <c r="AB2718" s="1" t="s">
        <v>181</v>
      </c>
      <c r="AC2718" s="5">
        <v>44406</v>
      </c>
      <c r="AF2718" s="1">
        <v>10030</v>
      </c>
      <c r="AI2718" s="1" t="s">
        <v>45</v>
      </c>
      <c r="AJ2718" s="1">
        <v>2018</v>
      </c>
      <c r="AK2718" s="1" t="s">
        <v>77</v>
      </c>
      <c r="AL2718" s="1">
        <v>106</v>
      </c>
    </row>
    <row r="2719" spans="1:38" x14ac:dyDescent="0.2">
      <c r="A2719" s="2" t="str">
        <f>HYPERLINK("https://www.compass.com/listing/2351-adam-clayton-powell-jr-boulevard-unit-ph20-manhattan-ny-10030/340425938734740593/","2351 Adam Clayton Powell Jr Blvd, Unit PH20")</f>
        <v>2351 Adam Clayton Powell Jr Blvd, Unit PH20</v>
      </c>
      <c r="B2719" s="2" t="str">
        <f t="shared" si="382"/>
        <v>THE RENNIE</v>
      </c>
      <c r="C2719" s="1" t="s">
        <v>106</v>
      </c>
      <c r="D2719" s="1" t="s">
        <v>41</v>
      </c>
      <c r="E2719" s="3">
        <v>775000</v>
      </c>
      <c r="F2719" s="1">
        <v>1283.1125827814501</v>
      </c>
      <c r="G2719" s="1">
        <v>3</v>
      </c>
      <c r="H2719" s="1">
        <v>1</v>
      </c>
      <c r="I2719" s="1">
        <v>1</v>
      </c>
      <c r="J2719" s="1">
        <v>1</v>
      </c>
      <c r="K2719" s="1">
        <v>1</v>
      </c>
      <c r="M2719" s="1">
        <v>604</v>
      </c>
      <c r="N2719" s="1">
        <v>687</v>
      </c>
      <c r="O2719" s="1">
        <v>714</v>
      </c>
      <c r="P2719" s="1">
        <v>27</v>
      </c>
      <c r="Q2719" s="1" t="s">
        <v>42</v>
      </c>
      <c r="S2719" s="1" t="s">
        <v>42</v>
      </c>
      <c r="T2719" s="1" t="s">
        <v>170</v>
      </c>
      <c r="U2719" s="1">
        <v>189</v>
      </c>
      <c r="V2719" s="5">
        <v>44091</v>
      </c>
      <c r="W2719" s="5">
        <v>43721</v>
      </c>
      <c r="X2719" s="1">
        <v>788000</v>
      </c>
      <c r="Y2719" s="1">
        <v>788000</v>
      </c>
      <c r="Z2719" s="5">
        <v>43923</v>
      </c>
      <c r="AA2719" s="1">
        <v>775000</v>
      </c>
      <c r="AB2719" s="1" t="s">
        <v>181</v>
      </c>
      <c r="AC2719" s="5">
        <v>44041</v>
      </c>
      <c r="AF2719" s="1">
        <v>10030</v>
      </c>
      <c r="AI2719" s="1" t="s">
        <v>1485</v>
      </c>
      <c r="AJ2719" s="1">
        <v>2018</v>
      </c>
      <c r="AK2719" s="1" t="s">
        <v>77</v>
      </c>
      <c r="AL2719" s="1">
        <v>106</v>
      </c>
    </row>
    <row r="2720" spans="1:38" x14ac:dyDescent="0.2">
      <c r="A2720" s="2" t="str">
        <f>HYPERLINK("https://www.compass.com/listing/252-south-street-unit-46j-manhattan-ny-10002/409251305105896257/","252 South St, Unit 46J")</f>
        <v>252 South St, Unit 46J</v>
      </c>
      <c r="B2720" s="2" t="str">
        <f t="shared" ref="B2720:B2723" si="383">HYPERLINK("https://www.compass.com/building/one-manhattan-square-manhattan-ny/294844950218926165/","One Manhattan Square")</f>
        <v>One Manhattan Square</v>
      </c>
      <c r="C2720" s="1" t="s">
        <v>66</v>
      </c>
      <c r="D2720" s="1" t="s">
        <v>41</v>
      </c>
      <c r="E2720" s="3">
        <v>1479487</v>
      </c>
      <c r="F2720" s="1">
        <v>2128.7580143884802</v>
      </c>
      <c r="G2720" s="1">
        <v>3</v>
      </c>
      <c r="H2720" s="1">
        <v>1</v>
      </c>
      <c r="I2720" s="1">
        <v>1</v>
      </c>
      <c r="J2720" s="1">
        <v>1</v>
      </c>
      <c r="K2720" s="1">
        <v>1</v>
      </c>
      <c r="M2720" s="1">
        <v>695</v>
      </c>
      <c r="N2720" s="1">
        <v>877.98</v>
      </c>
      <c r="O2720" s="1">
        <v>891.84</v>
      </c>
      <c r="P2720" s="1">
        <v>13.8333333333333</v>
      </c>
      <c r="Q2720" s="1" t="s">
        <v>42</v>
      </c>
      <c r="S2720" s="1" t="s">
        <v>42</v>
      </c>
      <c r="T2720" s="1" t="s">
        <v>170</v>
      </c>
      <c r="U2720" s="1">
        <v>2</v>
      </c>
      <c r="V2720" s="5">
        <v>44029</v>
      </c>
      <c r="W2720" s="5">
        <v>43816</v>
      </c>
      <c r="X2720" s="1">
        <v>1482000</v>
      </c>
      <c r="Y2720" s="1">
        <v>1450000</v>
      </c>
      <c r="Z2720" s="5">
        <v>43819</v>
      </c>
      <c r="AA2720" s="1">
        <v>1479486.82</v>
      </c>
      <c r="AB2720" s="1" t="s">
        <v>2035</v>
      </c>
      <c r="AC2720" s="5">
        <v>44027</v>
      </c>
      <c r="AF2720" s="1">
        <v>10002</v>
      </c>
      <c r="AI2720" s="1" t="s">
        <v>55</v>
      </c>
      <c r="AJ2720" s="1">
        <v>2019</v>
      </c>
      <c r="AK2720" s="1" t="s">
        <v>73</v>
      </c>
      <c r="AL2720" s="1">
        <v>787</v>
      </c>
    </row>
    <row r="2721" spans="1:38" x14ac:dyDescent="0.2">
      <c r="A2721" s="2" t="str">
        <f>HYPERLINK("https://www.compass.com/listing/252-south-street-unit-47l-manhattan-ny-10002/29513542185086129/","252 South St, Unit 47L")</f>
        <v>252 South St, Unit 47L</v>
      </c>
      <c r="B2721" s="2" t="str">
        <f t="shared" si="383"/>
        <v>One Manhattan Square</v>
      </c>
      <c r="C2721" s="1" t="s">
        <v>66</v>
      </c>
      <c r="D2721" s="1" t="s">
        <v>41</v>
      </c>
      <c r="E2721" s="3">
        <v>2615811</v>
      </c>
      <c r="F2721" s="1">
        <v>2329.3063223508402</v>
      </c>
      <c r="G2721" s="1">
        <v>4</v>
      </c>
      <c r="H2721" s="1">
        <v>2</v>
      </c>
      <c r="I2721" s="1">
        <v>2</v>
      </c>
      <c r="J2721" s="1">
        <v>2</v>
      </c>
      <c r="M2721" s="4">
        <v>1123</v>
      </c>
      <c r="N2721" s="1">
        <v>1404</v>
      </c>
      <c r="O2721" s="1">
        <v>1428</v>
      </c>
      <c r="P2721" s="1">
        <v>24</v>
      </c>
      <c r="Q2721" s="1" t="s">
        <v>42</v>
      </c>
      <c r="S2721" s="1" t="s">
        <v>42</v>
      </c>
      <c r="T2721" s="1" t="s">
        <v>170</v>
      </c>
      <c r="U2721" s="1">
        <v>4</v>
      </c>
      <c r="V2721" s="5">
        <v>43759</v>
      </c>
      <c r="W2721" s="5">
        <v>42845</v>
      </c>
      <c r="X2721" s="1">
        <v>2701000</v>
      </c>
      <c r="Y2721" s="1">
        <v>2701000</v>
      </c>
      <c r="Z2721" s="5">
        <v>42849</v>
      </c>
      <c r="AA2721" s="1">
        <v>2615811</v>
      </c>
      <c r="AB2721" s="1" t="s">
        <v>2036</v>
      </c>
      <c r="AC2721" s="5">
        <v>43745</v>
      </c>
      <c r="AF2721" s="1">
        <v>10002</v>
      </c>
      <c r="AI2721" s="1" t="s">
        <v>55</v>
      </c>
      <c r="AJ2721" s="1">
        <v>2019</v>
      </c>
      <c r="AK2721" s="1" t="s">
        <v>73</v>
      </c>
      <c r="AL2721" s="1">
        <v>787</v>
      </c>
    </row>
    <row r="2722" spans="1:38" x14ac:dyDescent="0.2">
      <c r="A2722" s="2" t="str">
        <f>HYPERLINK("https://www.compass.com/listing/252-south-street-unit-53a-manhattan-ny-10002/29513542453557137/","252 South St, Unit 53A")</f>
        <v>252 South St, Unit 53A</v>
      </c>
      <c r="B2722" s="2" t="str">
        <f t="shared" si="383"/>
        <v>One Manhattan Square</v>
      </c>
      <c r="C2722" s="1" t="s">
        <v>66</v>
      </c>
      <c r="D2722" s="1" t="s">
        <v>41</v>
      </c>
      <c r="E2722" s="3">
        <v>2766512</v>
      </c>
      <c r="F2722" s="1">
        <v>2378.77214101461</v>
      </c>
      <c r="G2722" s="1">
        <v>4</v>
      </c>
      <c r="H2722" s="1">
        <v>2</v>
      </c>
      <c r="I2722" s="1">
        <v>2</v>
      </c>
      <c r="J2722" s="1">
        <v>2</v>
      </c>
      <c r="M2722" s="4">
        <v>1163</v>
      </c>
      <c r="N2722" s="1">
        <v>1497</v>
      </c>
      <c r="O2722" s="1">
        <v>1522</v>
      </c>
      <c r="P2722" s="1">
        <v>25</v>
      </c>
      <c r="Q2722" s="1" t="s">
        <v>42</v>
      </c>
      <c r="S2722" s="1" t="s">
        <v>42</v>
      </c>
      <c r="T2722" s="1" t="s">
        <v>170</v>
      </c>
      <c r="U2722" s="1">
        <v>4</v>
      </c>
      <c r="V2722" s="5">
        <v>43696</v>
      </c>
      <c r="W2722" s="5">
        <v>42846</v>
      </c>
      <c r="X2722" s="1">
        <v>2856000</v>
      </c>
      <c r="Y2722" s="1">
        <v>2856000</v>
      </c>
      <c r="Z2722" s="5">
        <v>42850</v>
      </c>
      <c r="AA2722" s="1">
        <v>2766512</v>
      </c>
      <c r="AB2722" s="1" t="s">
        <v>2037</v>
      </c>
      <c r="AC2722" s="5">
        <v>43685</v>
      </c>
      <c r="AF2722" s="1">
        <v>10002</v>
      </c>
      <c r="AI2722" s="1" t="s">
        <v>55</v>
      </c>
      <c r="AJ2722" s="1">
        <v>2019</v>
      </c>
      <c r="AK2722" s="1" t="s">
        <v>73</v>
      </c>
      <c r="AL2722" s="1">
        <v>787</v>
      </c>
    </row>
    <row r="2723" spans="1:38" x14ac:dyDescent="0.2">
      <c r="A2723" s="2" t="str">
        <f>HYPERLINK("https://www.compass.com/listing/252-south-street-unit-8d-manhattan-ny-10002/29513544861001441/","252 South St, Unit 8D")</f>
        <v>252 South St, Unit 8D</v>
      </c>
      <c r="B2723" s="2" t="str">
        <f t="shared" si="383"/>
        <v>One Manhattan Square</v>
      </c>
      <c r="C2723" s="1" t="s">
        <v>66</v>
      </c>
      <c r="D2723" s="1" t="s">
        <v>41</v>
      </c>
      <c r="E2723" s="3">
        <v>2315428</v>
      </c>
      <c r="F2723" s="1">
        <v>2061.8232413178898</v>
      </c>
      <c r="G2723" s="1">
        <v>4</v>
      </c>
      <c r="H2723" s="1">
        <v>2</v>
      </c>
      <c r="I2723" s="1">
        <v>2</v>
      </c>
      <c r="J2723" s="1">
        <v>2</v>
      </c>
      <c r="M2723" s="4">
        <v>1123</v>
      </c>
      <c r="N2723" s="1">
        <v>1186</v>
      </c>
      <c r="O2723" s="1">
        <v>1206</v>
      </c>
      <c r="P2723" s="1">
        <v>20</v>
      </c>
      <c r="Q2723" s="1" t="s">
        <v>42</v>
      </c>
      <c r="S2723" s="1" t="s">
        <v>42</v>
      </c>
      <c r="T2723" s="1" t="s">
        <v>170</v>
      </c>
      <c r="U2723" s="1">
        <v>4</v>
      </c>
      <c r="V2723" s="5">
        <v>43683</v>
      </c>
      <c r="W2723" s="5">
        <v>42825</v>
      </c>
      <c r="X2723" s="1">
        <v>2366000</v>
      </c>
      <c r="Y2723" s="1">
        <v>2366000</v>
      </c>
      <c r="Z2723" s="5">
        <v>42829</v>
      </c>
      <c r="AA2723" s="1">
        <v>2315427.5</v>
      </c>
      <c r="AB2723" s="1" t="s">
        <v>2038</v>
      </c>
      <c r="AC2723" s="5">
        <v>43556</v>
      </c>
      <c r="AF2723" s="1">
        <v>10002</v>
      </c>
      <c r="AI2723" s="1" t="s">
        <v>55</v>
      </c>
      <c r="AJ2723" s="1">
        <v>2019</v>
      </c>
      <c r="AK2723" s="1" t="s">
        <v>73</v>
      </c>
      <c r="AL2723" s="1">
        <v>787</v>
      </c>
    </row>
    <row r="2724" spans="1:38" x14ac:dyDescent="0.2">
      <c r="A2724" s="2" t="str">
        <f>HYPERLINK("https://www.compass.com/listing/215-chrystie-street-unit-26west-manhattan-ny-10002/4853862469623353361/","215 Chrystie St, Unit 26WEST")</f>
        <v>215 Chrystie St, Unit 26WEST</v>
      </c>
      <c r="B2724" s="2" t="str">
        <f>HYPERLINK("https://www.compass.com/building/215-chrystie-st-manhattan-ny-10002/281886398615655237/","215 Chrystie St")</f>
        <v>215 Chrystie St</v>
      </c>
      <c r="C2724" s="1" t="s">
        <v>66</v>
      </c>
      <c r="D2724" s="1" t="s">
        <v>41</v>
      </c>
      <c r="E2724" s="3">
        <v>3594788</v>
      </c>
      <c r="F2724" s="1">
        <v>2641.2839823659001</v>
      </c>
      <c r="G2724" s="1">
        <v>3</v>
      </c>
      <c r="H2724" s="1">
        <v>1</v>
      </c>
      <c r="I2724" s="1">
        <v>2</v>
      </c>
      <c r="J2724" s="1">
        <v>1.5</v>
      </c>
      <c r="M2724" s="4">
        <v>1361</v>
      </c>
      <c r="N2724" s="1">
        <v>2360</v>
      </c>
      <c r="O2724" s="1">
        <v>4837</v>
      </c>
      <c r="P2724" s="1">
        <v>2477</v>
      </c>
      <c r="Q2724" s="1" t="s">
        <v>42</v>
      </c>
      <c r="S2724" s="1" t="s">
        <v>42</v>
      </c>
      <c r="T2724" s="1" t="s">
        <v>170</v>
      </c>
      <c r="U2724" s="1">
        <v>296</v>
      </c>
      <c r="V2724" s="5">
        <v>43603</v>
      </c>
      <c r="W2724" s="5">
        <v>42669</v>
      </c>
      <c r="X2724" s="1">
        <v>4050000</v>
      </c>
      <c r="Y2724" s="1">
        <v>4050000</v>
      </c>
      <c r="Z2724" s="5">
        <v>42966</v>
      </c>
      <c r="AA2724" s="1">
        <v>3594787.5</v>
      </c>
      <c r="AB2724" s="1" t="s">
        <v>2039</v>
      </c>
      <c r="AC2724" s="5">
        <v>43171</v>
      </c>
      <c r="AF2724" s="1">
        <v>10002</v>
      </c>
      <c r="AJ2724" s="1">
        <v>2016</v>
      </c>
      <c r="AK2724" s="1" t="s">
        <v>49</v>
      </c>
      <c r="AL2724" s="1">
        <v>11</v>
      </c>
    </row>
    <row r="2725" spans="1:38" x14ac:dyDescent="0.2">
      <c r="A2725" s="2" t="str">
        <f>HYPERLINK("https://www.compass.com/listing/252-south-street-unit-39k-manhattan-ny-10002/592927505286288321/","252 South St, Unit 39K")</f>
        <v>252 South St, Unit 39K</v>
      </c>
      <c r="B2725" s="2" t="str">
        <f t="shared" ref="B2725:B2726" si="384">HYPERLINK("https://www.compass.com/building/one-manhattan-square-manhattan-ny/294844950218926165/","One Manhattan Square")</f>
        <v>One Manhattan Square</v>
      </c>
      <c r="C2725" s="1" t="s">
        <v>66</v>
      </c>
      <c r="D2725" s="1" t="s">
        <v>41</v>
      </c>
      <c r="E2725" s="3">
        <v>2391472</v>
      </c>
      <c r="F2725" s="1">
        <v>2129.53845948352</v>
      </c>
      <c r="G2725" s="1">
        <v>4</v>
      </c>
      <c r="H2725" s="1">
        <v>2</v>
      </c>
      <c r="I2725" s="1">
        <v>2</v>
      </c>
      <c r="J2725" s="1">
        <v>2</v>
      </c>
      <c r="K2725" s="1">
        <v>2</v>
      </c>
      <c r="M2725" s="4">
        <v>1123</v>
      </c>
      <c r="N2725" s="1">
        <v>1384</v>
      </c>
      <c r="O2725" s="1">
        <v>1406</v>
      </c>
      <c r="P2725" s="1">
        <v>22</v>
      </c>
      <c r="Q2725" s="1" t="s">
        <v>42</v>
      </c>
      <c r="S2725" s="1" t="s">
        <v>42</v>
      </c>
      <c r="T2725" s="1" t="s">
        <v>170</v>
      </c>
      <c r="U2725" s="1">
        <v>4</v>
      </c>
      <c r="V2725" s="5">
        <v>44111</v>
      </c>
      <c r="W2725" s="5">
        <v>44065</v>
      </c>
      <c r="X2725" s="1">
        <v>2808000</v>
      </c>
      <c r="Y2725" s="1">
        <v>2334680</v>
      </c>
      <c r="Z2725" s="5">
        <v>44069</v>
      </c>
      <c r="AA2725" s="1">
        <v>2391471.69</v>
      </c>
      <c r="AB2725" s="1" t="s">
        <v>2040</v>
      </c>
      <c r="AC2725" s="5">
        <v>44109</v>
      </c>
      <c r="AF2725" s="1">
        <v>10002</v>
      </c>
      <c r="AI2725" s="1" t="s">
        <v>55</v>
      </c>
      <c r="AJ2725" s="1">
        <v>2019</v>
      </c>
      <c r="AK2725" s="1" t="s">
        <v>73</v>
      </c>
      <c r="AL2725" s="1">
        <v>787</v>
      </c>
    </row>
    <row r="2726" spans="1:38" x14ac:dyDescent="0.2">
      <c r="A2726" s="2" t="str">
        <f>HYPERLINK("https://www.compass.com/listing/252-south-street-unit-23e-manhattan-ny-10002/527538322082829313/","252 South St, Unit 23E")</f>
        <v>252 South St, Unit 23E</v>
      </c>
      <c r="B2726" s="2" t="str">
        <f t="shared" si="384"/>
        <v>One Manhattan Square</v>
      </c>
      <c r="C2726" s="1" t="s">
        <v>66</v>
      </c>
      <c r="D2726" s="1" t="s">
        <v>41</v>
      </c>
      <c r="E2726" s="3">
        <v>2086404</v>
      </c>
      <c r="F2726" s="1">
        <v>1857.88458593054</v>
      </c>
      <c r="G2726" s="1">
        <v>4</v>
      </c>
      <c r="H2726" s="1">
        <v>2</v>
      </c>
      <c r="I2726" s="1">
        <v>2</v>
      </c>
      <c r="J2726" s="1">
        <v>2</v>
      </c>
      <c r="K2726" s="1">
        <v>2</v>
      </c>
      <c r="M2726" s="4">
        <v>1123</v>
      </c>
      <c r="N2726" s="1">
        <v>1287.78</v>
      </c>
      <c r="O2726" s="1">
        <v>1308.0999999999999</v>
      </c>
      <c r="P2726" s="1">
        <v>20.3333333333333</v>
      </c>
      <c r="Q2726" s="1" t="s">
        <v>42</v>
      </c>
      <c r="S2726" s="1" t="s">
        <v>42</v>
      </c>
      <c r="T2726" s="1" t="s">
        <v>170</v>
      </c>
      <c r="V2726" s="5">
        <v>44097</v>
      </c>
      <c r="W2726" s="5">
        <v>43980</v>
      </c>
      <c r="X2726" s="1">
        <v>2378000</v>
      </c>
      <c r="Y2726" s="1">
        <v>2045080</v>
      </c>
      <c r="Z2726" s="5">
        <v>43983</v>
      </c>
      <c r="AA2726" s="1">
        <v>2086404.39</v>
      </c>
      <c r="AB2726" s="1" t="s">
        <v>2041</v>
      </c>
      <c r="AC2726" s="5">
        <v>44091</v>
      </c>
      <c r="AF2726" s="1">
        <v>10002</v>
      </c>
      <c r="AI2726" s="1" t="s">
        <v>55</v>
      </c>
      <c r="AJ2726" s="1">
        <v>2019</v>
      </c>
      <c r="AK2726" s="1" t="s">
        <v>73</v>
      </c>
      <c r="AL2726" s="1">
        <v>787</v>
      </c>
    </row>
    <row r="2727" spans="1:38" x14ac:dyDescent="0.2">
      <c r="A2727" s="2" t="str">
        <f>HYPERLINK("https://www.compass.com/listing/2351-adam-clayton-powell-jr-boulevard-unit-218-manhattan-ny-10030/607134758138456841/","2351 Adam Clayton Powell Jr Blvd, Unit 218")</f>
        <v>2351 Adam Clayton Powell Jr Blvd, Unit 218</v>
      </c>
      <c r="B2727" s="2" t="str">
        <f>HYPERLINK("https://www.compass.com/building/the-rennie-manhattan-ny/307439143554395509/","THE RENNIE")</f>
        <v>THE RENNIE</v>
      </c>
      <c r="C2727" s="1" t="s">
        <v>106</v>
      </c>
      <c r="D2727" s="1" t="s">
        <v>41</v>
      </c>
      <c r="E2727" s="3">
        <v>762000</v>
      </c>
      <c r="F2727" s="1">
        <v>1192.4882629107899</v>
      </c>
      <c r="G2727" s="1">
        <v>3</v>
      </c>
      <c r="H2727" s="1">
        <v>1</v>
      </c>
      <c r="I2727" s="1">
        <v>1</v>
      </c>
      <c r="J2727" s="1">
        <v>1</v>
      </c>
      <c r="K2727" s="1">
        <v>1</v>
      </c>
      <c r="M2727" s="1">
        <v>639</v>
      </c>
      <c r="N2727" s="1">
        <v>726</v>
      </c>
      <c r="O2727" s="1">
        <v>744</v>
      </c>
      <c r="P2727" s="1">
        <v>18</v>
      </c>
      <c r="Q2727" s="1" t="s">
        <v>42</v>
      </c>
      <c r="S2727" s="1" t="s">
        <v>42</v>
      </c>
      <c r="T2727" s="1" t="s">
        <v>170</v>
      </c>
      <c r="V2727" s="5">
        <v>44336</v>
      </c>
      <c r="W2727" s="5">
        <v>44089</v>
      </c>
      <c r="X2727" s="1">
        <v>778000</v>
      </c>
      <c r="Y2727" s="1">
        <v>778000</v>
      </c>
      <c r="Z2727" s="5">
        <v>44089</v>
      </c>
      <c r="AA2727" s="1">
        <v>762000</v>
      </c>
      <c r="AB2727" s="1" t="s">
        <v>2042</v>
      </c>
      <c r="AC2727" s="5">
        <v>44335</v>
      </c>
      <c r="AF2727" s="1">
        <v>10030</v>
      </c>
      <c r="AI2727" s="1" t="s">
        <v>74</v>
      </c>
      <c r="AJ2727" s="1">
        <v>2018</v>
      </c>
      <c r="AK2727" s="1" t="s">
        <v>77</v>
      </c>
      <c r="AL2727" s="1">
        <v>106</v>
      </c>
    </row>
    <row r="2728" spans="1:38" x14ac:dyDescent="0.2">
      <c r="A2728" s="2" t="str">
        <f>HYPERLINK("https://www.compass.com/listing/252-south-street-unit-39c-manhattan-ny-10002/29513554927331505/","252 South St, Unit 39C")</f>
        <v>252 South St, Unit 39C</v>
      </c>
      <c r="B2728" s="2" t="str">
        <f t="shared" ref="B2728:B2733" si="385">HYPERLINK("https://www.compass.com/building/one-manhattan-square-manhattan-ny/294844950218926165/","One Manhattan Square")</f>
        <v>One Manhattan Square</v>
      </c>
      <c r="C2728" s="1" t="s">
        <v>66</v>
      </c>
      <c r="D2728" s="1" t="s">
        <v>41</v>
      </c>
      <c r="E2728" s="3">
        <v>3932094</v>
      </c>
      <c r="F2728" s="1">
        <v>2644.3134364492198</v>
      </c>
      <c r="G2728" s="1">
        <v>5</v>
      </c>
      <c r="H2728" s="1">
        <v>3</v>
      </c>
      <c r="I2728" s="1">
        <v>3</v>
      </c>
      <c r="J2728" s="1">
        <v>3</v>
      </c>
      <c r="M2728" s="4">
        <v>1487</v>
      </c>
      <c r="N2728" s="1">
        <v>1805</v>
      </c>
      <c r="O2728" s="1">
        <v>1835</v>
      </c>
      <c r="P2728" s="1">
        <v>30</v>
      </c>
      <c r="Q2728" s="1" t="s">
        <v>42</v>
      </c>
      <c r="S2728" s="1" t="s">
        <v>42</v>
      </c>
      <c r="T2728" s="1" t="s">
        <v>170</v>
      </c>
      <c r="U2728" s="1">
        <v>7</v>
      </c>
      <c r="V2728" s="5">
        <v>43685</v>
      </c>
      <c r="W2728" s="5">
        <v>42794</v>
      </c>
      <c r="X2728" s="1">
        <v>3977000</v>
      </c>
      <c r="Y2728" s="1">
        <v>3977000</v>
      </c>
      <c r="Z2728" s="5">
        <v>42802</v>
      </c>
      <c r="AA2728" s="1">
        <v>3932094.08</v>
      </c>
      <c r="AB2728" s="1" t="s">
        <v>2043</v>
      </c>
      <c r="AC2728" s="5">
        <v>43595</v>
      </c>
      <c r="AF2728" s="1">
        <v>10002</v>
      </c>
      <c r="AI2728" s="1" t="s">
        <v>55</v>
      </c>
      <c r="AJ2728" s="1">
        <v>2019</v>
      </c>
      <c r="AK2728" s="1" t="s">
        <v>73</v>
      </c>
      <c r="AL2728" s="1">
        <v>787</v>
      </c>
    </row>
    <row r="2729" spans="1:38" x14ac:dyDescent="0.2">
      <c r="A2729" s="2" t="str">
        <f>HYPERLINK("https://www.compass.com/listing/252-south-street-unit-23p-manhattan-ny-10002/273047606387621041/","252 South St, Unit 23P")</f>
        <v>252 South St, Unit 23P</v>
      </c>
      <c r="B2729" s="2" t="str">
        <f t="shared" si="385"/>
        <v>One Manhattan Square</v>
      </c>
      <c r="C2729" s="1" t="s">
        <v>66</v>
      </c>
      <c r="D2729" s="1" t="s">
        <v>41</v>
      </c>
      <c r="E2729" s="3">
        <v>1561923</v>
      </c>
      <c r="F2729" s="1">
        <v>2160.3354080221302</v>
      </c>
      <c r="G2729" s="1">
        <v>3</v>
      </c>
      <c r="H2729" s="1">
        <v>1</v>
      </c>
      <c r="I2729" s="1">
        <v>1</v>
      </c>
      <c r="J2729" s="1">
        <v>1</v>
      </c>
      <c r="K2729" s="1">
        <v>1</v>
      </c>
      <c r="M2729" s="1">
        <v>723</v>
      </c>
      <c r="N2729" s="1">
        <v>828.57</v>
      </c>
      <c r="O2729" s="1">
        <v>841.65</v>
      </c>
      <c r="P2729" s="1">
        <v>13.0833333333333</v>
      </c>
      <c r="Q2729" s="1" t="s">
        <v>42</v>
      </c>
      <c r="S2729" s="1" t="s">
        <v>42</v>
      </c>
      <c r="T2729" s="1" t="s">
        <v>170</v>
      </c>
      <c r="U2729" s="1">
        <v>1</v>
      </c>
      <c r="V2729" s="5">
        <v>43724</v>
      </c>
      <c r="W2729" s="5">
        <v>43629</v>
      </c>
      <c r="X2729" s="1">
        <v>1530000</v>
      </c>
      <c r="Y2729" s="1">
        <v>1530000</v>
      </c>
      <c r="Z2729" s="5">
        <v>43630</v>
      </c>
      <c r="AA2729" s="1">
        <v>1561922.5</v>
      </c>
      <c r="AB2729" s="1" t="s">
        <v>2044</v>
      </c>
      <c r="AC2729" s="5">
        <v>43711</v>
      </c>
      <c r="AF2729" s="1">
        <v>10002</v>
      </c>
      <c r="AI2729" s="1" t="s">
        <v>55</v>
      </c>
      <c r="AJ2729" s="1">
        <v>2019</v>
      </c>
      <c r="AK2729" s="1" t="s">
        <v>73</v>
      </c>
      <c r="AL2729" s="1">
        <v>787</v>
      </c>
    </row>
    <row r="2730" spans="1:38" x14ac:dyDescent="0.2">
      <c r="A2730" s="2" t="str">
        <f>HYPERLINK("https://www.compass.com/listing/252-south-street-unit-27c-manhattan-ny-10002/29513519351293969/","252 South St, Unit 27C")</f>
        <v>252 South St, Unit 27C</v>
      </c>
      <c r="B2730" s="2" t="str">
        <f t="shared" si="385"/>
        <v>One Manhattan Square</v>
      </c>
      <c r="C2730" s="1" t="s">
        <v>66</v>
      </c>
      <c r="D2730" s="1" t="s">
        <v>41</v>
      </c>
      <c r="E2730" s="3">
        <v>1589000</v>
      </c>
      <c r="F2730" s="1">
        <v>2286.3309352517899</v>
      </c>
      <c r="G2730" s="1">
        <v>3</v>
      </c>
      <c r="H2730" s="1">
        <v>1</v>
      </c>
      <c r="I2730" s="1">
        <v>1</v>
      </c>
      <c r="J2730" s="1">
        <v>1</v>
      </c>
      <c r="M2730" s="1">
        <v>695</v>
      </c>
      <c r="N2730" s="1">
        <v>801</v>
      </c>
      <c r="O2730" s="1">
        <v>814</v>
      </c>
      <c r="P2730" s="1">
        <v>13</v>
      </c>
      <c r="Q2730" s="1" t="s">
        <v>42</v>
      </c>
      <c r="S2730" s="1" t="s">
        <v>42</v>
      </c>
      <c r="T2730" s="1" t="s">
        <v>170</v>
      </c>
      <c r="U2730" s="1">
        <v>4</v>
      </c>
      <c r="V2730" s="5">
        <v>43683</v>
      </c>
      <c r="W2730" s="5">
        <v>43112</v>
      </c>
      <c r="X2730" s="1">
        <v>1589000</v>
      </c>
      <c r="Y2730" s="1">
        <v>1589000</v>
      </c>
      <c r="Z2730" s="5">
        <v>43116</v>
      </c>
      <c r="AA2730" s="1">
        <v>1589000</v>
      </c>
      <c r="AB2730" s="1" t="s">
        <v>2045</v>
      </c>
      <c r="AC2730" s="5">
        <v>43636</v>
      </c>
      <c r="AF2730" s="1">
        <v>10002</v>
      </c>
      <c r="AI2730" s="1" t="s">
        <v>55</v>
      </c>
      <c r="AJ2730" s="1">
        <v>2019</v>
      </c>
      <c r="AK2730" s="1" t="s">
        <v>73</v>
      </c>
      <c r="AL2730" s="1">
        <v>787</v>
      </c>
    </row>
    <row r="2731" spans="1:38" x14ac:dyDescent="0.2">
      <c r="A2731" s="2" t="str">
        <f>HYPERLINK("https://www.compass.com/listing/252-south-street-unit-54m-manhattan-ny-10002/29513547805453729/","252 South St, Unit 54M")</f>
        <v>252 South St, Unit 54M</v>
      </c>
      <c r="B2731" s="2" t="str">
        <f t="shared" si="385"/>
        <v>One Manhattan Square</v>
      </c>
      <c r="C2731" s="1" t="s">
        <v>66</v>
      </c>
      <c r="D2731" s="1" t="s">
        <v>41</v>
      </c>
      <c r="E2731" s="3">
        <v>1729933</v>
      </c>
      <c r="F2731" s="1">
        <v>2489.1122302158201</v>
      </c>
      <c r="G2731" s="1">
        <v>3</v>
      </c>
      <c r="H2731" s="1">
        <v>1</v>
      </c>
      <c r="I2731" s="1">
        <v>1</v>
      </c>
      <c r="J2731" s="1">
        <v>1</v>
      </c>
      <c r="M2731" s="1">
        <v>695</v>
      </c>
      <c r="N2731" s="1">
        <v>902</v>
      </c>
      <c r="O2731" s="1">
        <v>917</v>
      </c>
      <c r="P2731" s="1">
        <v>15</v>
      </c>
      <c r="Q2731" s="1" t="s">
        <v>42</v>
      </c>
      <c r="S2731" s="1" t="s">
        <v>42</v>
      </c>
      <c r="T2731" s="1" t="s">
        <v>170</v>
      </c>
      <c r="U2731" s="1">
        <v>10</v>
      </c>
      <c r="V2731" s="5">
        <v>43696</v>
      </c>
      <c r="W2731" s="5">
        <v>42774</v>
      </c>
      <c r="X2731" s="1">
        <v>1749000</v>
      </c>
      <c r="Y2731" s="1">
        <v>1749000</v>
      </c>
      <c r="Z2731" s="5">
        <v>42784</v>
      </c>
      <c r="AA2731" s="1">
        <v>1729933</v>
      </c>
      <c r="AB2731" s="1" t="s">
        <v>2046</v>
      </c>
      <c r="AC2731" s="5">
        <v>43659</v>
      </c>
      <c r="AF2731" s="1">
        <v>10002</v>
      </c>
      <c r="AI2731" s="1" t="s">
        <v>55</v>
      </c>
      <c r="AJ2731" s="1">
        <v>2019</v>
      </c>
      <c r="AK2731" s="1" t="s">
        <v>73</v>
      </c>
      <c r="AL2731" s="1">
        <v>787</v>
      </c>
    </row>
    <row r="2732" spans="1:38" x14ac:dyDescent="0.2">
      <c r="A2732" s="2" t="str">
        <f>HYPERLINK("https://www.compass.com/listing/252-south-street-unit-50n-manhattan-ny-10002/29513552393971793/","252 South St, Unit 50N")</f>
        <v>252 South St, Unit 50N</v>
      </c>
      <c r="B2732" s="2" t="str">
        <f t="shared" si="385"/>
        <v>One Manhattan Square</v>
      </c>
      <c r="C2732" s="1" t="s">
        <v>66</v>
      </c>
      <c r="D2732" s="1" t="s">
        <v>41</v>
      </c>
      <c r="E2732" s="3">
        <v>1531375</v>
      </c>
      <c r="F2732" s="1">
        <v>2118.08437067773</v>
      </c>
      <c r="G2732" s="1">
        <v>3</v>
      </c>
      <c r="H2732" s="1">
        <v>1</v>
      </c>
      <c r="I2732" s="1">
        <v>1</v>
      </c>
      <c r="J2732" s="1">
        <v>1</v>
      </c>
      <c r="M2732" s="1">
        <v>723</v>
      </c>
      <c r="N2732" s="1">
        <v>919</v>
      </c>
      <c r="O2732" s="1">
        <v>934</v>
      </c>
      <c r="P2732" s="1">
        <v>15</v>
      </c>
      <c r="Q2732" s="1" t="s">
        <v>42</v>
      </c>
      <c r="S2732" s="1" t="s">
        <v>42</v>
      </c>
      <c r="T2732" s="1" t="s">
        <v>170</v>
      </c>
      <c r="U2732" s="1">
        <v>1</v>
      </c>
      <c r="V2732" s="5">
        <v>43696</v>
      </c>
      <c r="W2732" s="5">
        <v>42697</v>
      </c>
      <c r="X2732" s="1">
        <v>1573000</v>
      </c>
      <c r="Y2732" s="1">
        <v>1573000</v>
      </c>
      <c r="Z2732" s="5">
        <v>42698</v>
      </c>
      <c r="AA2732" s="1">
        <v>1531375</v>
      </c>
      <c r="AB2732" s="1" t="s">
        <v>2047</v>
      </c>
      <c r="AC2732" s="5">
        <v>43665</v>
      </c>
      <c r="AF2732" s="1">
        <v>10002</v>
      </c>
      <c r="AI2732" s="1" t="s">
        <v>55</v>
      </c>
      <c r="AJ2732" s="1">
        <v>2019</v>
      </c>
      <c r="AK2732" s="1" t="s">
        <v>73</v>
      </c>
      <c r="AL2732" s="1">
        <v>787</v>
      </c>
    </row>
    <row r="2733" spans="1:38" x14ac:dyDescent="0.2">
      <c r="A2733" s="2" t="str">
        <f>HYPERLINK("https://www.compass.com/listing/252-south-street-unit-26b-manhattan-ny-10002/29513554088470673/","252 South St, Unit 26B")</f>
        <v>252 South St, Unit 26B</v>
      </c>
      <c r="B2733" s="2" t="str">
        <f t="shared" si="385"/>
        <v>One Manhattan Square</v>
      </c>
      <c r="C2733" s="1" t="s">
        <v>66</v>
      </c>
      <c r="D2733" s="1" t="s">
        <v>41</v>
      </c>
      <c r="E2733" s="3">
        <v>1478462</v>
      </c>
      <c r="F2733" s="1">
        <v>2124.2270114942498</v>
      </c>
      <c r="G2733" s="1">
        <v>3</v>
      </c>
      <c r="H2733" s="1">
        <v>1</v>
      </c>
      <c r="I2733" s="1">
        <v>1</v>
      </c>
      <c r="J2733" s="1">
        <v>1</v>
      </c>
      <c r="M2733" s="1">
        <v>696</v>
      </c>
      <c r="N2733" s="1">
        <v>797</v>
      </c>
      <c r="O2733" s="1">
        <v>810</v>
      </c>
      <c r="P2733" s="1">
        <v>13</v>
      </c>
      <c r="Q2733" s="1" t="s">
        <v>42</v>
      </c>
      <c r="S2733" s="1" t="s">
        <v>42</v>
      </c>
      <c r="T2733" s="1" t="s">
        <v>170</v>
      </c>
      <c r="U2733" s="1">
        <v>34</v>
      </c>
      <c r="V2733" s="5">
        <v>43696</v>
      </c>
      <c r="W2733" s="5">
        <v>42720</v>
      </c>
      <c r="X2733" s="1">
        <v>1538000</v>
      </c>
      <c r="Y2733" s="1">
        <v>1538000</v>
      </c>
      <c r="Z2733" s="5">
        <v>42754</v>
      </c>
      <c r="AA2733" s="1">
        <v>1478462.5</v>
      </c>
      <c r="AB2733" s="1" t="s">
        <v>2048</v>
      </c>
      <c r="AC2733" s="5">
        <v>43600</v>
      </c>
      <c r="AF2733" s="1">
        <v>10002</v>
      </c>
      <c r="AI2733" s="1" t="s">
        <v>2049</v>
      </c>
      <c r="AJ2733" s="1">
        <v>2019</v>
      </c>
      <c r="AK2733" s="1" t="s">
        <v>73</v>
      </c>
      <c r="AL2733" s="1">
        <v>787</v>
      </c>
    </row>
    <row r="2734" spans="1:38" x14ac:dyDescent="0.2">
      <c r="A2734" s="2" t="str">
        <f>HYPERLINK("https://www.compass.com/listing/25-park-row-unit-ph45a-manhattan-ny-10038/254110057137034401/","25 Park Row, Unit PH45A")</f>
        <v>25 Park Row, Unit PH45A</v>
      </c>
      <c r="B2734" s="2" t="str">
        <f>HYPERLINK("https://www.compass.com/building/25-park-row-manhattan-ny-10038/292920743539264837/","25 Park Row")</f>
        <v>25 Park Row</v>
      </c>
      <c r="C2734" s="1" t="s">
        <v>117</v>
      </c>
      <c r="D2734" s="1" t="s">
        <v>41</v>
      </c>
      <c r="E2734" s="3">
        <v>19500000</v>
      </c>
      <c r="F2734" s="1">
        <v>3274.0094022834101</v>
      </c>
      <c r="G2734" s="1">
        <v>8</v>
      </c>
      <c r="H2734" s="1">
        <v>5</v>
      </c>
      <c r="I2734" s="1">
        <v>6</v>
      </c>
      <c r="J2734" s="1">
        <v>5.5</v>
      </c>
      <c r="K2734" s="1">
        <v>5</v>
      </c>
      <c r="L2734" s="1">
        <v>1</v>
      </c>
      <c r="M2734" s="4">
        <v>5956</v>
      </c>
      <c r="N2734" s="1">
        <v>10326.74</v>
      </c>
      <c r="O2734" s="1">
        <v>20652.09</v>
      </c>
      <c r="P2734" s="1">
        <v>10325.333333333299</v>
      </c>
      <c r="Q2734" s="1" t="s">
        <v>42</v>
      </c>
      <c r="S2734" s="1" t="s">
        <v>42</v>
      </c>
      <c r="T2734" s="1" t="s">
        <v>170</v>
      </c>
      <c r="U2734" s="1">
        <v>415</v>
      </c>
      <c r="V2734" s="5">
        <v>44230</v>
      </c>
      <c r="W2734" s="5">
        <v>43600</v>
      </c>
      <c r="X2734" s="1">
        <v>25000000</v>
      </c>
      <c r="Y2734" s="1">
        <v>25000000</v>
      </c>
      <c r="Z2734" s="5">
        <v>44110</v>
      </c>
      <c r="AA2734" s="1">
        <v>19500000</v>
      </c>
      <c r="AB2734" s="1" t="s">
        <v>2050</v>
      </c>
      <c r="AC2734" s="5">
        <v>44188</v>
      </c>
      <c r="AF2734" s="1">
        <v>10038</v>
      </c>
      <c r="AI2734" s="1" t="s">
        <v>116</v>
      </c>
      <c r="AJ2734" s="1">
        <v>2019</v>
      </c>
      <c r="AK2734" s="1" t="s">
        <v>77</v>
      </c>
      <c r="AL2734" s="1">
        <v>110</v>
      </c>
    </row>
    <row r="2735" spans="1:38" x14ac:dyDescent="0.2">
      <c r="A2735" s="2" t="str">
        <f>HYPERLINK("https://www.compass.com/listing/252-south-street-unit-19b-manhattan-ny-10002/29513555808135393/","252 South St, Unit 19B")</f>
        <v>252 South St, Unit 19B</v>
      </c>
      <c r="B2735" s="2" t="str">
        <f>HYPERLINK("https://www.compass.com/building/one-manhattan-square-manhattan-ny/294844950218926165/","One Manhattan Square")</f>
        <v>One Manhattan Square</v>
      </c>
      <c r="C2735" s="1" t="s">
        <v>66</v>
      </c>
      <c r="D2735" s="1" t="s">
        <v>41</v>
      </c>
      <c r="E2735" s="3">
        <v>1487590</v>
      </c>
      <c r="F2735" s="1">
        <v>2137.3419540229802</v>
      </c>
      <c r="G2735" s="1">
        <v>3</v>
      </c>
      <c r="H2735" s="1">
        <v>1</v>
      </c>
      <c r="I2735" s="1">
        <v>1</v>
      </c>
      <c r="J2735" s="1">
        <v>1</v>
      </c>
      <c r="M2735" s="1">
        <v>696</v>
      </c>
      <c r="N2735" s="1">
        <v>768</v>
      </c>
      <c r="O2735" s="1">
        <v>781</v>
      </c>
      <c r="P2735" s="1">
        <v>13</v>
      </c>
      <c r="Q2735" s="1" t="s">
        <v>42</v>
      </c>
      <c r="S2735" s="1" t="s">
        <v>42</v>
      </c>
      <c r="T2735" s="1" t="s">
        <v>170</v>
      </c>
      <c r="U2735" s="1">
        <v>5</v>
      </c>
      <c r="V2735" s="5">
        <v>43696</v>
      </c>
      <c r="W2735" s="5">
        <v>42797</v>
      </c>
      <c r="X2735" s="1">
        <v>1499000</v>
      </c>
      <c r="Y2735" s="1">
        <v>1499000</v>
      </c>
      <c r="Z2735" s="5">
        <v>42802</v>
      </c>
      <c r="AA2735" s="1">
        <v>1487590</v>
      </c>
      <c r="AB2735" s="1" t="s">
        <v>2051</v>
      </c>
      <c r="AC2735" s="5">
        <v>43617</v>
      </c>
      <c r="AF2735" s="1">
        <v>10002</v>
      </c>
      <c r="AI2735" s="1" t="s">
        <v>55</v>
      </c>
      <c r="AJ2735" s="1">
        <v>2019</v>
      </c>
      <c r="AK2735" s="1" t="s">
        <v>73</v>
      </c>
      <c r="AL2735" s="1">
        <v>787</v>
      </c>
    </row>
    <row r="2736" spans="1:38" x14ac:dyDescent="0.2">
      <c r="A2736" s="2" t="str">
        <f>HYPERLINK("https://www.compass.com/listing/2351-adam-clayton-powell-jr-boulevard-unit-ph27-manhattan-ny-10030/304065780651818417/","2351 Adam Clayton Powell Jr Blvd, Unit PH27")</f>
        <v>2351 Adam Clayton Powell Jr Blvd, Unit PH27</v>
      </c>
      <c r="B2736" s="2" t="str">
        <f>HYPERLINK("https://www.compass.com/building/the-rennie-manhattan-ny/307439143554395509/","THE RENNIE")</f>
        <v>THE RENNIE</v>
      </c>
      <c r="C2736" s="1" t="s">
        <v>106</v>
      </c>
      <c r="D2736" s="1" t="s">
        <v>41</v>
      </c>
      <c r="E2736" s="3">
        <v>645000</v>
      </c>
      <c r="F2736" s="1">
        <v>1166.36528028933</v>
      </c>
      <c r="G2736" s="1">
        <v>2.5</v>
      </c>
      <c r="H2736" s="1" t="s">
        <v>97</v>
      </c>
      <c r="I2736" s="1">
        <v>1</v>
      </c>
      <c r="J2736" s="1">
        <v>1</v>
      </c>
      <c r="K2736" s="1">
        <v>1</v>
      </c>
      <c r="M2736" s="1">
        <v>553</v>
      </c>
      <c r="N2736" s="1">
        <v>629</v>
      </c>
      <c r="O2736" s="1">
        <v>654</v>
      </c>
      <c r="P2736" s="1">
        <v>25</v>
      </c>
      <c r="Q2736" s="1" t="s">
        <v>42</v>
      </c>
      <c r="S2736" s="1" t="s">
        <v>42</v>
      </c>
      <c r="T2736" s="1" t="s">
        <v>170</v>
      </c>
      <c r="V2736" s="5">
        <v>43781</v>
      </c>
      <c r="W2736" s="5">
        <v>43672</v>
      </c>
      <c r="X2736" s="1">
        <v>645000</v>
      </c>
      <c r="Y2736" s="1">
        <v>645000</v>
      </c>
      <c r="Z2736" s="5">
        <v>43672</v>
      </c>
      <c r="AA2736" s="1">
        <v>645000</v>
      </c>
      <c r="AB2736" s="1" t="s">
        <v>181</v>
      </c>
      <c r="AC2736" s="5">
        <v>43764</v>
      </c>
      <c r="AF2736" s="1">
        <v>10030</v>
      </c>
      <c r="AI2736" s="1" t="s">
        <v>45</v>
      </c>
      <c r="AJ2736" s="1">
        <v>2018</v>
      </c>
      <c r="AK2736" s="1" t="s">
        <v>77</v>
      </c>
      <c r="AL2736" s="1">
        <v>106</v>
      </c>
    </row>
    <row r="2737" spans="1:38" x14ac:dyDescent="0.2">
      <c r="A2737" s="2" t="str">
        <f>HYPERLINK("https://www.compass.com/listing/252-south-street-unit-46m-manhattan-ny-10002/4849516422130307729/","252 South St, Unit 46M")</f>
        <v>252 South St, Unit 46M</v>
      </c>
      <c r="B2737" s="2" t="str">
        <f t="shared" ref="B2737:B2738" si="386">HYPERLINK("https://www.compass.com/building/one-manhattan-square-manhattan-ny/294844950218926165/","One Manhattan Square")</f>
        <v>One Manhattan Square</v>
      </c>
      <c r="C2737" s="1" t="s">
        <v>66</v>
      </c>
      <c r="D2737" s="1" t="s">
        <v>41</v>
      </c>
      <c r="E2737" s="3">
        <v>1563348</v>
      </c>
      <c r="F2737" s="1">
        <v>2249.4215827338098</v>
      </c>
      <c r="G2737" s="1">
        <v>3</v>
      </c>
      <c r="H2737" s="1">
        <v>1</v>
      </c>
      <c r="I2737" s="1">
        <v>1</v>
      </c>
      <c r="J2737" s="1">
        <v>1</v>
      </c>
      <c r="M2737" s="1">
        <v>695</v>
      </c>
      <c r="N2737" s="1">
        <v>866</v>
      </c>
      <c r="O2737" s="1">
        <v>881</v>
      </c>
      <c r="P2737" s="1">
        <v>15</v>
      </c>
      <c r="Q2737" s="1" t="s">
        <v>42</v>
      </c>
      <c r="S2737" s="1" t="s">
        <v>42</v>
      </c>
      <c r="T2737" s="1" t="s">
        <v>170</v>
      </c>
      <c r="U2737" s="1">
        <v>4</v>
      </c>
      <c r="V2737" s="5">
        <v>43696</v>
      </c>
      <c r="W2737" s="5">
        <v>42832</v>
      </c>
      <c r="X2737" s="1">
        <v>1691000</v>
      </c>
      <c r="Y2737" s="1">
        <v>1691000</v>
      </c>
      <c r="Z2737" s="5">
        <v>42836</v>
      </c>
      <c r="AA2737" s="1">
        <v>1563348</v>
      </c>
      <c r="AB2737" s="1" t="s">
        <v>2052</v>
      </c>
      <c r="AC2737" s="5">
        <v>43635</v>
      </c>
      <c r="AF2737" s="1">
        <v>10002</v>
      </c>
      <c r="AI2737" s="1" t="s">
        <v>55</v>
      </c>
      <c r="AJ2737" s="1">
        <v>2019</v>
      </c>
      <c r="AK2737" s="1" t="s">
        <v>73</v>
      </c>
      <c r="AL2737" s="1">
        <v>787</v>
      </c>
    </row>
    <row r="2738" spans="1:38" x14ac:dyDescent="0.2">
      <c r="A2738" s="2" t="str">
        <f>HYPERLINK("https://www.compass.com/listing/252-south-street-unit-52j-manhattan-ny-10002/607845804411349353/","252 South St, Unit 52J")</f>
        <v>252 South St, Unit 52J</v>
      </c>
      <c r="B2738" s="2" t="str">
        <f t="shared" si="386"/>
        <v>One Manhattan Square</v>
      </c>
      <c r="C2738" s="1" t="s">
        <v>66</v>
      </c>
      <c r="D2738" s="1" t="s">
        <v>41</v>
      </c>
      <c r="E2738" s="3">
        <v>1399999</v>
      </c>
      <c r="F2738" s="1">
        <v>2014.38705035971</v>
      </c>
      <c r="G2738" s="1">
        <v>3</v>
      </c>
      <c r="H2738" s="1">
        <v>1</v>
      </c>
      <c r="I2738" s="1">
        <v>1</v>
      </c>
      <c r="J2738" s="1">
        <v>1</v>
      </c>
      <c r="K2738" s="1">
        <v>1</v>
      </c>
      <c r="M2738" s="1">
        <v>695</v>
      </c>
      <c r="N2738" s="1">
        <v>903</v>
      </c>
      <c r="O2738" s="1">
        <v>917</v>
      </c>
      <c r="P2738" s="1">
        <v>14</v>
      </c>
      <c r="Q2738" s="1" t="s">
        <v>42</v>
      </c>
      <c r="S2738" s="1" t="s">
        <v>42</v>
      </c>
      <c r="T2738" s="1" t="s">
        <v>170</v>
      </c>
      <c r="U2738" s="1">
        <v>120</v>
      </c>
      <c r="V2738" s="5">
        <v>44211</v>
      </c>
      <c r="W2738" s="5">
        <v>44089</v>
      </c>
      <c r="X2738" s="1">
        <v>1490000</v>
      </c>
      <c r="Y2738" s="1">
        <v>1399999</v>
      </c>
      <c r="AA2738" s="1">
        <v>1230000</v>
      </c>
      <c r="AB2738" s="1" t="s">
        <v>2053</v>
      </c>
      <c r="AC2738" s="5">
        <v>44307</v>
      </c>
      <c r="AF2738" s="1">
        <v>10002</v>
      </c>
      <c r="AI2738" s="1" t="s">
        <v>163</v>
      </c>
      <c r="AJ2738" s="1">
        <v>2019</v>
      </c>
      <c r="AK2738" s="1" t="s">
        <v>46</v>
      </c>
      <c r="AL2738" s="1">
        <v>787</v>
      </c>
    </row>
    <row r="2739" spans="1:38" x14ac:dyDescent="0.2">
      <c r="A2739" s="2" t="str">
        <f>HYPERLINK("https://www.compass.com/listing/265-east-houston-street-unit-4-manhattan-ny-10002/54983199704508817/","265 E Houston St, Unit 4")</f>
        <v>265 E Houston St, Unit 4</v>
      </c>
      <c r="B2739" s="2" t="str">
        <f t="shared" ref="B2739:B2741" si="387">HYPERLINK("https://www.compass.com/building/265-e-houston-st-manhattan-ny-10002/281886808264939173/","265 E Houston St")</f>
        <v>265 E Houston St</v>
      </c>
      <c r="C2739" s="1" t="s">
        <v>66</v>
      </c>
      <c r="D2739" s="1" t="s">
        <v>41</v>
      </c>
      <c r="E2739" s="3">
        <v>1950000</v>
      </c>
      <c r="F2739" s="1">
        <v>1392.8571428571399</v>
      </c>
      <c r="G2739" s="1">
        <v>4</v>
      </c>
      <c r="H2739" s="1">
        <v>2</v>
      </c>
      <c r="I2739" s="1">
        <v>2</v>
      </c>
      <c r="J2739" s="1">
        <v>2</v>
      </c>
      <c r="K2739" s="1">
        <v>2</v>
      </c>
      <c r="M2739" s="4">
        <v>1400</v>
      </c>
      <c r="N2739" s="1">
        <v>1328.75</v>
      </c>
      <c r="O2739" s="1">
        <v>2347.75</v>
      </c>
      <c r="P2739" s="1">
        <v>1019</v>
      </c>
      <c r="Q2739" s="1" t="s">
        <v>42</v>
      </c>
      <c r="S2739" s="1" t="s">
        <v>42</v>
      </c>
      <c r="T2739" s="1" t="s">
        <v>170</v>
      </c>
      <c r="U2739" s="1">
        <v>53</v>
      </c>
      <c r="V2739" s="5">
        <v>43673</v>
      </c>
      <c r="W2739" s="5">
        <v>43162</v>
      </c>
      <c r="X2739" s="1">
        <v>1950000</v>
      </c>
      <c r="Y2739" s="1">
        <v>1950000</v>
      </c>
      <c r="AA2739" s="1">
        <v>1950000</v>
      </c>
      <c r="AB2739" s="1" t="s">
        <v>181</v>
      </c>
      <c r="AC2739" s="5">
        <v>43215</v>
      </c>
      <c r="AF2739" s="1">
        <v>10002</v>
      </c>
      <c r="AI2739" s="1" t="s">
        <v>96</v>
      </c>
      <c r="AJ2739" s="1">
        <v>2015</v>
      </c>
      <c r="AL2739" s="1">
        <v>7</v>
      </c>
    </row>
    <row r="2740" spans="1:38" x14ac:dyDescent="0.2">
      <c r="A2740" s="2" t="str">
        <f>HYPERLINK("https://www.compass.com/listing/265-east-houston-street-unit-6-manhattan-ny-10002/4850179615194358321/","265 E Houston St, Unit 6")</f>
        <v>265 E Houston St, Unit 6</v>
      </c>
      <c r="B2740" s="2" t="str">
        <f t="shared" si="387"/>
        <v>265 E Houston St</v>
      </c>
      <c r="C2740" s="1" t="s">
        <v>66</v>
      </c>
      <c r="D2740" s="1" t="s">
        <v>41</v>
      </c>
      <c r="E2740" s="3">
        <v>2150000</v>
      </c>
      <c r="F2740" s="1">
        <v>1535.7142857142801</v>
      </c>
      <c r="G2740" s="1">
        <v>5</v>
      </c>
      <c r="H2740" s="1">
        <v>2</v>
      </c>
      <c r="I2740" s="1">
        <v>2</v>
      </c>
      <c r="J2740" s="1">
        <v>2</v>
      </c>
      <c r="K2740" s="1">
        <v>2</v>
      </c>
      <c r="M2740" s="4">
        <v>1400</v>
      </c>
      <c r="N2740" s="1">
        <v>1399</v>
      </c>
      <c r="O2740" s="1">
        <v>2418</v>
      </c>
      <c r="P2740" s="1">
        <v>1019</v>
      </c>
      <c r="Q2740" s="1" t="s">
        <v>42</v>
      </c>
      <c r="S2740" s="1" t="s">
        <v>42</v>
      </c>
      <c r="T2740" s="1" t="s">
        <v>170</v>
      </c>
      <c r="U2740" s="1">
        <v>49</v>
      </c>
      <c r="V2740" s="5">
        <v>43647</v>
      </c>
      <c r="W2740" s="5">
        <v>43166</v>
      </c>
      <c r="X2740" s="1">
        <v>2150000</v>
      </c>
      <c r="Y2740" s="1">
        <v>2150000</v>
      </c>
      <c r="AA2740" s="1">
        <v>2150000</v>
      </c>
      <c r="AB2740" s="1" t="s">
        <v>181</v>
      </c>
      <c r="AC2740" s="5">
        <v>43215</v>
      </c>
      <c r="AF2740" s="1">
        <v>10002</v>
      </c>
      <c r="AI2740" s="1" t="s">
        <v>160</v>
      </c>
      <c r="AJ2740" s="1">
        <v>2015</v>
      </c>
      <c r="AL2740" s="1">
        <v>7</v>
      </c>
    </row>
    <row r="2741" spans="1:38" x14ac:dyDescent="0.2">
      <c r="A2741" s="2" t="str">
        <f>HYPERLINK("https://www.compass.com/listing/265-east-houston-street-unit-ph-manhattan-ny-10002/29515117691435553/","265 E Houston St, Unit PH")</f>
        <v>265 E Houston St, Unit PH</v>
      </c>
      <c r="B2741" s="2" t="str">
        <f t="shared" si="387"/>
        <v>265 E Houston St</v>
      </c>
      <c r="C2741" s="1" t="s">
        <v>66</v>
      </c>
      <c r="D2741" s="1" t="s">
        <v>41</v>
      </c>
      <c r="E2741" s="3">
        <v>3100000</v>
      </c>
      <c r="F2741" s="1">
        <v>1808.63477246207</v>
      </c>
      <c r="G2741" s="1">
        <v>5</v>
      </c>
      <c r="H2741" s="1">
        <v>3</v>
      </c>
      <c r="I2741" s="1">
        <v>3</v>
      </c>
      <c r="J2741" s="1">
        <v>3</v>
      </c>
      <c r="K2741" s="1">
        <v>3</v>
      </c>
      <c r="M2741" s="4">
        <v>1714</v>
      </c>
      <c r="N2741" s="1">
        <v>2381</v>
      </c>
      <c r="O2741" s="1">
        <v>4019</v>
      </c>
      <c r="P2741" s="1">
        <v>1638</v>
      </c>
      <c r="Q2741" s="1" t="s">
        <v>42</v>
      </c>
      <c r="S2741" s="1" t="s">
        <v>42</v>
      </c>
      <c r="T2741" s="1" t="s">
        <v>170</v>
      </c>
      <c r="U2741" s="1">
        <v>134</v>
      </c>
      <c r="V2741" s="5">
        <v>43671</v>
      </c>
      <c r="W2741" s="5">
        <v>42978</v>
      </c>
      <c r="X2741" s="1">
        <v>3400000</v>
      </c>
      <c r="Y2741" s="1">
        <v>3200000</v>
      </c>
      <c r="Z2741" s="5">
        <v>43112</v>
      </c>
      <c r="AA2741" s="1">
        <v>3100000</v>
      </c>
      <c r="AB2741" s="1" t="s">
        <v>2054</v>
      </c>
      <c r="AC2741" s="5">
        <v>43392</v>
      </c>
      <c r="AF2741" s="1">
        <v>10002</v>
      </c>
      <c r="AI2741" s="1" t="s">
        <v>1892</v>
      </c>
      <c r="AJ2741" s="1">
        <v>2015</v>
      </c>
      <c r="AL2741" s="1">
        <v>7</v>
      </c>
    </row>
    <row r="2742" spans="1:38" x14ac:dyDescent="0.2">
      <c r="A2742" s="2" t="str">
        <f>HYPERLINK("https://www.compass.com/listing/252-south-street-unit-39b-manhattan-ny-10002/739098598770856217/","252 South St, Unit 39B")</f>
        <v>252 South St, Unit 39B</v>
      </c>
      <c r="B2742" s="2" t="str">
        <f t="shared" ref="B2742:B2890" si="388">HYPERLINK("https://www.compass.com/building/one-manhattan-square-manhattan-ny/294844950218926165/","One Manhattan Square")</f>
        <v>One Manhattan Square</v>
      </c>
      <c r="C2742" s="1" t="s">
        <v>66</v>
      </c>
      <c r="D2742" s="1" t="s">
        <v>41</v>
      </c>
      <c r="E2742" s="3">
        <v>1910164</v>
      </c>
      <c r="F2742" s="1">
        <v>1827.90813397129</v>
      </c>
      <c r="G2742" s="1">
        <v>4</v>
      </c>
      <c r="H2742" s="1">
        <v>2</v>
      </c>
      <c r="I2742" s="1">
        <v>2</v>
      </c>
      <c r="J2742" s="1">
        <v>2</v>
      </c>
      <c r="K2742" s="1">
        <v>2</v>
      </c>
      <c r="M2742" s="4">
        <v>1045</v>
      </c>
      <c r="N2742" s="1">
        <v>1288</v>
      </c>
      <c r="O2742" s="1">
        <v>1308</v>
      </c>
      <c r="P2742" s="1">
        <v>20</v>
      </c>
      <c r="Q2742" s="1" t="s">
        <v>42</v>
      </c>
      <c r="S2742" s="1" t="s">
        <v>42</v>
      </c>
      <c r="T2742" s="1" t="s">
        <v>170</v>
      </c>
      <c r="V2742" s="5">
        <v>44292</v>
      </c>
      <c r="W2742" s="5">
        <v>44245</v>
      </c>
      <c r="X2742" s="1">
        <v>2547000</v>
      </c>
      <c r="Y2742" s="1">
        <v>1872000</v>
      </c>
      <c r="Z2742" s="5">
        <v>44245</v>
      </c>
      <c r="AA2742" s="1">
        <v>1910164</v>
      </c>
      <c r="AB2742" s="1" t="s">
        <v>2055</v>
      </c>
      <c r="AC2742" s="5">
        <v>44279</v>
      </c>
      <c r="AF2742" s="1">
        <v>10002</v>
      </c>
      <c r="AI2742" s="1" t="s">
        <v>163</v>
      </c>
      <c r="AJ2742" s="1">
        <v>2019</v>
      </c>
      <c r="AK2742" s="1" t="s">
        <v>73</v>
      </c>
      <c r="AL2742" s="1">
        <v>787</v>
      </c>
    </row>
    <row r="2743" spans="1:38" x14ac:dyDescent="0.2">
      <c r="A2743" s="2" t="str">
        <f>HYPERLINK("https://www.compass.com/listing/252-south-street-unit-19l-manhattan-ny-10002/297818515008350017/","252 South St, Unit 19L")</f>
        <v>252 South St, Unit 19L</v>
      </c>
      <c r="B2743" s="2" t="str">
        <f t="shared" si="388"/>
        <v>One Manhattan Square</v>
      </c>
      <c r="C2743" s="1" t="s">
        <v>66</v>
      </c>
      <c r="D2743" s="1" t="s">
        <v>41</v>
      </c>
      <c r="E2743" s="3">
        <v>1996573</v>
      </c>
      <c r="F2743" s="1">
        <v>1777.89248441674</v>
      </c>
      <c r="G2743" s="1">
        <v>4</v>
      </c>
      <c r="H2743" s="1">
        <v>2</v>
      </c>
      <c r="I2743" s="1">
        <v>2</v>
      </c>
      <c r="J2743" s="1">
        <v>2</v>
      </c>
      <c r="K2743" s="1">
        <v>2</v>
      </c>
      <c r="M2743" s="4">
        <v>1123</v>
      </c>
      <c r="N2743" s="1">
        <v>1239</v>
      </c>
      <c r="O2743" s="1">
        <v>1260</v>
      </c>
      <c r="P2743" s="1">
        <v>21</v>
      </c>
      <c r="Q2743" s="1" t="s">
        <v>42</v>
      </c>
      <c r="S2743" s="1" t="s">
        <v>42</v>
      </c>
      <c r="T2743" s="1" t="s">
        <v>170</v>
      </c>
      <c r="U2743" s="1">
        <v>2</v>
      </c>
      <c r="V2743" s="5">
        <v>44182</v>
      </c>
      <c r="W2743" s="5">
        <v>43663</v>
      </c>
      <c r="X2743" s="1">
        <v>2069000</v>
      </c>
      <c r="Y2743" s="1">
        <v>2069000</v>
      </c>
      <c r="Z2743" s="5">
        <v>43665</v>
      </c>
      <c r="AA2743" s="1">
        <v>1996573.26</v>
      </c>
      <c r="AB2743" s="1" t="s">
        <v>2056</v>
      </c>
      <c r="AC2743" s="5">
        <v>44103</v>
      </c>
      <c r="AF2743" s="1">
        <v>10002</v>
      </c>
      <c r="AI2743" s="1" t="s">
        <v>163</v>
      </c>
      <c r="AJ2743" s="1">
        <v>2019</v>
      </c>
      <c r="AK2743" s="1" t="s">
        <v>73</v>
      </c>
      <c r="AL2743" s="1">
        <v>787</v>
      </c>
    </row>
    <row r="2744" spans="1:38" x14ac:dyDescent="0.2">
      <c r="A2744" s="2" t="str">
        <f>HYPERLINK("https://www.compass.com/listing/252-south-street-unit-41d-manhattan-ny-10002/465140584512950425/","252 South St, Unit 41D")</f>
        <v>252 South St, Unit 41D</v>
      </c>
      <c r="B2744" s="2" t="str">
        <f t="shared" si="388"/>
        <v>One Manhattan Square</v>
      </c>
      <c r="C2744" s="1" t="s">
        <v>66</v>
      </c>
      <c r="D2744" s="1" t="s">
        <v>41</v>
      </c>
      <c r="E2744" s="3">
        <v>2529027</v>
      </c>
      <c r="F2744" s="1">
        <v>2172.7033676975898</v>
      </c>
      <c r="G2744" s="1">
        <v>4</v>
      </c>
      <c r="H2744" s="1">
        <v>2</v>
      </c>
      <c r="I2744" s="1">
        <v>2</v>
      </c>
      <c r="J2744" s="1">
        <v>2</v>
      </c>
      <c r="K2744" s="1">
        <v>2</v>
      </c>
      <c r="M2744" s="4">
        <v>1164</v>
      </c>
      <c r="N2744" s="1">
        <v>1445.64</v>
      </c>
      <c r="O2744" s="1">
        <v>1468.64</v>
      </c>
      <c r="P2744" s="1">
        <v>23</v>
      </c>
      <c r="Q2744" s="1" t="s">
        <v>42</v>
      </c>
      <c r="S2744" s="1" t="s">
        <v>42</v>
      </c>
      <c r="T2744" s="1" t="s">
        <v>170</v>
      </c>
      <c r="U2744" s="1">
        <v>2</v>
      </c>
      <c r="V2744" s="5">
        <v>44139</v>
      </c>
      <c r="W2744" s="5">
        <v>43894</v>
      </c>
      <c r="X2744" s="1">
        <v>2655000</v>
      </c>
      <c r="Y2744" s="1">
        <v>2479770</v>
      </c>
      <c r="Z2744" s="5">
        <v>43897</v>
      </c>
      <c r="AA2744" s="1">
        <v>2529026.7200000002</v>
      </c>
      <c r="AB2744" s="1" t="s">
        <v>2057</v>
      </c>
      <c r="AC2744" s="5">
        <v>44133</v>
      </c>
      <c r="AF2744" s="1">
        <v>10002</v>
      </c>
      <c r="AI2744" s="1" t="s">
        <v>163</v>
      </c>
      <c r="AJ2744" s="1">
        <v>2019</v>
      </c>
      <c r="AK2744" s="1" t="s">
        <v>73</v>
      </c>
      <c r="AL2744" s="1">
        <v>787</v>
      </c>
    </row>
    <row r="2745" spans="1:38" x14ac:dyDescent="0.2">
      <c r="A2745" s="2" t="str">
        <f>HYPERLINK("https://www.compass.com/listing/252-south-street-unit-19m-manhattan-ny-10002/520229343157927441/","252 South St, Unit 19M")</f>
        <v>252 South St, Unit 19M</v>
      </c>
      <c r="B2745" s="2" t="str">
        <f t="shared" si="388"/>
        <v>One Manhattan Square</v>
      </c>
      <c r="C2745" s="1" t="s">
        <v>66</v>
      </c>
      <c r="D2745" s="1" t="s">
        <v>41</v>
      </c>
      <c r="E2745" s="3">
        <v>2145523</v>
      </c>
      <c r="F2745" s="1">
        <v>1910.5278094390001</v>
      </c>
      <c r="G2745" s="1">
        <v>4</v>
      </c>
      <c r="H2745" s="1">
        <v>2</v>
      </c>
      <c r="I2745" s="1">
        <v>2</v>
      </c>
      <c r="J2745" s="1">
        <v>2</v>
      </c>
      <c r="K2745" s="1">
        <v>2</v>
      </c>
      <c r="M2745" s="4">
        <v>1123</v>
      </c>
      <c r="N2745" s="1">
        <v>1257.83</v>
      </c>
      <c r="O2745" s="1">
        <v>1277.6799999999901</v>
      </c>
      <c r="P2745" s="1">
        <v>19.8333333333333</v>
      </c>
      <c r="Q2745" s="1" t="s">
        <v>42</v>
      </c>
      <c r="S2745" s="1" t="s">
        <v>42</v>
      </c>
      <c r="T2745" s="1" t="s">
        <v>170</v>
      </c>
      <c r="V2745" s="5">
        <v>44152</v>
      </c>
      <c r="W2745" s="5">
        <v>43969</v>
      </c>
      <c r="X2745" s="1">
        <v>2200000</v>
      </c>
      <c r="Y2745" s="1">
        <v>2200000</v>
      </c>
      <c r="Z2745" s="5">
        <v>43969</v>
      </c>
      <c r="AA2745" s="1">
        <v>2145522.73</v>
      </c>
      <c r="AB2745" s="1" t="s">
        <v>2058</v>
      </c>
      <c r="AC2745" s="5">
        <v>44322</v>
      </c>
      <c r="AF2745" s="1">
        <v>10002</v>
      </c>
      <c r="AI2745" s="1" t="s">
        <v>163</v>
      </c>
      <c r="AJ2745" s="1">
        <v>2019</v>
      </c>
      <c r="AK2745" s="1" t="s">
        <v>73</v>
      </c>
      <c r="AL2745" s="1">
        <v>787</v>
      </c>
    </row>
    <row r="2746" spans="1:38" x14ac:dyDescent="0.2">
      <c r="A2746" s="2" t="str">
        <f>HYPERLINK("https://www.compass.com/listing/252-south-street-unit-8k-manhattan-ny-10002/497687224859777257/","252 South St, Unit 8K")</f>
        <v>252 South St, Unit 8K</v>
      </c>
      <c r="B2746" s="2" t="str">
        <f t="shared" si="388"/>
        <v>One Manhattan Square</v>
      </c>
      <c r="C2746" s="1" t="s">
        <v>66</v>
      </c>
      <c r="D2746" s="1" t="s">
        <v>41</v>
      </c>
      <c r="E2746" s="3">
        <v>1181928</v>
      </c>
      <c r="F2746" s="1">
        <v>1700.6152661870501</v>
      </c>
      <c r="G2746" s="1">
        <v>3</v>
      </c>
      <c r="H2746" s="1">
        <v>1</v>
      </c>
      <c r="I2746" s="1">
        <v>1</v>
      </c>
      <c r="J2746" s="1">
        <v>1</v>
      </c>
      <c r="K2746" s="1">
        <v>1</v>
      </c>
      <c r="M2746" s="1">
        <v>695</v>
      </c>
      <c r="N2746" s="1">
        <v>745</v>
      </c>
      <c r="O2746" s="1">
        <v>757</v>
      </c>
      <c r="P2746" s="1">
        <v>12</v>
      </c>
      <c r="Q2746" s="1" t="s">
        <v>42</v>
      </c>
      <c r="S2746" s="1" t="s">
        <v>42</v>
      </c>
      <c r="T2746" s="1" t="s">
        <v>170</v>
      </c>
      <c r="V2746" s="5">
        <v>44226</v>
      </c>
      <c r="W2746" s="5">
        <v>43939</v>
      </c>
      <c r="X2746" s="1">
        <v>1230000</v>
      </c>
      <c r="Y2746" s="1">
        <v>1193100</v>
      </c>
      <c r="Z2746" s="5">
        <v>43946</v>
      </c>
      <c r="AA2746" s="1">
        <v>1181927.6100000001</v>
      </c>
      <c r="AB2746" s="1" t="s">
        <v>2059</v>
      </c>
      <c r="AC2746" s="5">
        <v>44224</v>
      </c>
      <c r="AF2746" s="1">
        <v>10002</v>
      </c>
      <c r="AI2746" s="1" t="s">
        <v>163</v>
      </c>
      <c r="AJ2746" s="1">
        <v>2019</v>
      </c>
      <c r="AK2746" s="1" t="s">
        <v>73</v>
      </c>
      <c r="AL2746" s="1">
        <v>787</v>
      </c>
    </row>
    <row r="2747" spans="1:38" x14ac:dyDescent="0.2">
      <c r="A2747" s="2" t="str">
        <f>HYPERLINK("https://www.compass.com/listing/252-south-street-unit-41a-manhattan-ny-10002/781080257639902761/","252 South St, Unit 41A")</f>
        <v>252 South St, Unit 41A</v>
      </c>
      <c r="B2747" s="2" t="str">
        <f t="shared" si="388"/>
        <v>One Manhattan Square</v>
      </c>
      <c r="C2747" s="1" t="s">
        <v>66</v>
      </c>
      <c r="D2747" s="1" t="s">
        <v>41</v>
      </c>
      <c r="E2747" s="3">
        <v>2549625</v>
      </c>
      <c r="F2747" s="1">
        <v>2192.2828890799601</v>
      </c>
      <c r="G2747" s="1">
        <v>4</v>
      </c>
      <c r="H2747" s="1">
        <v>2</v>
      </c>
      <c r="I2747" s="1">
        <v>2</v>
      </c>
      <c r="J2747" s="1">
        <v>2</v>
      </c>
      <c r="K2747" s="1">
        <v>2</v>
      </c>
      <c r="M2747" s="4">
        <v>1163</v>
      </c>
      <c r="N2747" s="1">
        <v>1444</v>
      </c>
      <c r="O2747" s="1">
        <v>1467</v>
      </c>
      <c r="P2747" s="1">
        <v>23</v>
      </c>
      <c r="Q2747" s="1" t="s">
        <v>42</v>
      </c>
      <c r="S2747" s="1" t="s">
        <v>42</v>
      </c>
      <c r="T2747" s="1" t="s">
        <v>170</v>
      </c>
      <c r="U2747" s="1">
        <v>3</v>
      </c>
      <c r="V2747" s="5">
        <v>44385</v>
      </c>
      <c r="W2747" s="5">
        <v>44330</v>
      </c>
      <c r="X2747" s="1">
        <v>2785000</v>
      </c>
      <c r="Y2747" s="1">
        <v>2785000</v>
      </c>
      <c r="Z2747" s="5">
        <v>44333</v>
      </c>
      <c r="AA2747" s="1">
        <v>2549625</v>
      </c>
      <c r="AB2747" s="1" t="s">
        <v>2060</v>
      </c>
      <c r="AC2747" s="5">
        <v>44370</v>
      </c>
      <c r="AF2747" s="1">
        <v>10002</v>
      </c>
      <c r="AI2747" s="1" t="s">
        <v>163</v>
      </c>
      <c r="AJ2747" s="1">
        <v>2019</v>
      </c>
      <c r="AK2747" s="1" t="s">
        <v>73</v>
      </c>
      <c r="AL2747" s="1">
        <v>787</v>
      </c>
    </row>
    <row r="2748" spans="1:38" x14ac:dyDescent="0.2">
      <c r="A2748" s="2" t="str">
        <f>HYPERLINK("https://www.compass.com/listing/252-south-street-unit-18k-manhattan-ny-10002/773764539626486969/","252 South St, Unit 18K")</f>
        <v>252 South St, Unit 18K</v>
      </c>
      <c r="B2748" s="2" t="str">
        <f t="shared" si="388"/>
        <v>One Manhattan Square</v>
      </c>
      <c r="C2748" s="1" t="s">
        <v>66</v>
      </c>
      <c r="D2748" s="1" t="s">
        <v>41</v>
      </c>
      <c r="E2748" s="3">
        <v>1184038</v>
      </c>
      <c r="F2748" s="1">
        <v>1703.65201438848</v>
      </c>
      <c r="G2748" s="1">
        <v>3</v>
      </c>
      <c r="H2748" s="1">
        <v>1</v>
      </c>
      <c r="I2748" s="1">
        <v>1</v>
      </c>
      <c r="J2748" s="1">
        <v>1</v>
      </c>
      <c r="K2748" s="1">
        <v>1</v>
      </c>
      <c r="M2748" s="1">
        <v>695</v>
      </c>
      <c r="N2748" s="1">
        <v>775</v>
      </c>
      <c r="O2748" s="1">
        <v>787</v>
      </c>
      <c r="P2748" s="1">
        <v>12</v>
      </c>
      <c r="Q2748" s="1" t="s">
        <v>42</v>
      </c>
      <c r="S2748" s="1" t="s">
        <v>42</v>
      </c>
      <c r="T2748" s="1" t="s">
        <v>170</v>
      </c>
      <c r="V2748" s="5">
        <v>44319</v>
      </c>
      <c r="W2748" s="5">
        <v>44319</v>
      </c>
      <c r="X2748" s="1">
        <v>1291000</v>
      </c>
      <c r="Y2748" s="1">
        <v>1291000</v>
      </c>
      <c r="Z2748" s="5">
        <v>44319</v>
      </c>
      <c r="AA2748" s="1">
        <v>1184038.1499999999</v>
      </c>
      <c r="AB2748" s="1" t="s">
        <v>2061</v>
      </c>
      <c r="AC2748" s="5">
        <v>44391</v>
      </c>
      <c r="AF2748" s="1">
        <v>10002</v>
      </c>
      <c r="AI2748" s="1" t="s">
        <v>163</v>
      </c>
      <c r="AJ2748" s="1">
        <v>2019</v>
      </c>
      <c r="AK2748" s="1" t="s">
        <v>73</v>
      </c>
      <c r="AL2748" s="1">
        <v>787</v>
      </c>
    </row>
    <row r="2749" spans="1:38" x14ac:dyDescent="0.2">
      <c r="A2749" s="2" t="str">
        <f>HYPERLINK("https://www.compass.com/listing/252-south-street-unit-20g-manhattan-ny-10002/761976262059240873/","252 South St, Unit 20G")</f>
        <v>252 South St, Unit 20G</v>
      </c>
      <c r="B2749" s="2" t="str">
        <f t="shared" si="388"/>
        <v>One Manhattan Square</v>
      </c>
      <c r="C2749" s="1" t="s">
        <v>66</v>
      </c>
      <c r="D2749" s="1" t="s">
        <v>41</v>
      </c>
      <c r="E2749" s="3">
        <v>1109820</v>
      </c>
      <c r="F2749" s="1">
        <v>1535.0200553250299</v>
      </c>
      <c r="G2749" s="1">
        <v>3</v>
      </c>
      <c r="H2749" s="1">
        <v>1</v>
      </c>
      <c r="J2749" s="1">
        <v>1</v>
      </c>
      <c r="M2749" s="1">
        <v>723</v>
      </c>
      <c r="N2749" s="1">
        <v>818</v>
      </c>
      <c r="O2749" s="1">
        <v>831</v>
      </c>
      <c r="P2749" s="1">
        <v>13</v>
      </c>
      <c r="Q2749" s="1" t="s">
        <v>42</v>
      </c>
      <c r="S2749" s="1" t="s">
        <v>42</v>
      </c>
      <c r="T2749" s="1" t="s">
        <v>170</v>
      </c>
      <c r="U2749" s="1">
        <v>47</v>
      </c>
      <c r="V2749" s="5">
        <v>44356</v>
      </c>
      <c r="W2749" s="5">
        <v>44302</v>
      </c>
      <c r="X2749" s="1">
        <v>1392000</v>
      </c>
      <c r="Y2749" s="1">
        <v>1392000</v>
      </c>
      <c r="Z2749" s="5">
        <v>44302</v>
      </c>
      <c r="AA2749" s="1">
        <v>1109819.5</v>
      </c>
      <c r="AB2749" s="1" t="s">
        <v>2062</v>
      </c>
      <c r="AC2749" s="5">
        <v>44351</v>
      </c>
      <c r="AF2749" s="1">
        <v>10002</v>
      </c>
      <c r="AI2749" s="1" t="s">
        <v>163</v>
      </c>
      <c r="AJ2749" s="1">
        <v>2019</v>
      </c>
      <c r="AK2749" s="1" t="s">
        <v>46</v>
      </c>
      <c r="AL2749" s="1">
        <v>787</v>
      </c>
    </row>
    <row r="2750" spans="1:38" x14ac:dyDescent="0.2">
      <c r="A2750" s="2" t="str">
        <f>HYPERLINK("https://www.compass.com/listing/252-south-street-unit-9f-manhattan-ny-10002/29513532705907809/","252 South St, Unit 9F")</f>
        <v>252 South St, Unit 9F</v>
      </c>
      <c r="B2750" s="2" t="str">
        <f t="shared" si="388"/>
        <v>One Manhattan Square</v>
      </c>
      <c r="C2750" s="1" t="s">
        <v>66</v>
      </c>
      <c r="D2750" s="1" t="s">
        <v>41</v>
      </c>
      <c r="E2750" s="3">
        <v>1186282</v>
      </c>
      <c r="F2750" s="1">
        <v>1706.87989928057</v>
      </c>
      <c r="G2750" s="1">
        <v>3</v>
      </c>
      <c r="H2750" s="1">
        <v>1</v>
      </c>
      <c r="I2750" s="1">
        <v>1</v>
      </c>
      <c r="J2750" s="1">
        <v>1</v>
      </c>
      <c r="M2750" s="1">
        <v>695</v>
      </c>
      <c r="N2750" s="1">
        <v>738</v>
      </c>
      <c r="O2750" s="1">
        <v>750</v>
      </c>
      <c r="P2750" s="1">
        <v>12</v>
      </c>
      <c r="Q2750" s="1" t="s">
        <v>42</v>
      </c>
      <c r="S2750" s="1" t="s">
        <v>42</v>
      </c>
      <c r="T2750" s="1" t="s">
        <v>170</v>
      </c>
      <c r="U2750" s="1">
        <v>2</v>
      </c>
      <c r="V2750" s="5">
        <v>43683</v>
      </c>
      <c r="W2750" s="5">
        <v>43054</v>
      </c>
      <c r="X2750" s="1">
        <v>1197000</v>
      </c>
      <c r="Y2750" s="1">
        <v>1197000</v>
      </c>
      <c r="Z2750" s="5">
        <v>43056</v>
      </c>
      <c r="AA2750" s="1">
        <v>1186281.53</v>
      </c>
      <c r="AB2750" s="1" t="s">
        <v>2063</v>
      </c>
      <c r="AC2750" s="5">
        <v>43622</v>
      </c>
      <c r="AF2750" s="1">
        <v>10002</v>
      </c>
      <c r="AI2750" s="1" t="s">
        <v>163</v>
      </c>
      <c r="AJ2750" s="1">
        <v>2019</v>
      </c>
      <c r="AK2750" s="1" t="s">
        <v>73</v>
      </c>
      <c r="AL2750" s="1">
        <v>787</v>
      </c>
    </row>
    <row r="2751" spans="1:38" x14ac:dyDescent="0.2">
      <c r="A2751" s="2" t="str">
        <f>HYPERLINK("https://www.compass.com/listing/252-south-street-unit-33h-manhattan-ny-10002/29513517245753265/","252 South St, Unit 33H")</f>
        <v>252 South St, Unit 33H</v>
      </c>
      <c r="B2751" s="2" t="str">
        <f t="shared" si="388"/>
        <v>One Manhattan Square</v>
      </c>
      <c r="C2751" s="1" t="s">
        <v>66</v>
      </c>
      <c r="D2751" s="1" t="s">
        <v>41</v>
      </c>
      <c r="E2751" s="3">
        <v>1361256</v>
      </c>
      <c r="F2751" s="1">
        <v>1955.8275862068899</v>
      </c>
      <c r="G2751" s="1">
        <v>3</v>
      </c>
      <c r="H2751" s="1">
        <v>1</v>
      </c>
      <c r="I2751" s="1">
        <v>1</v>
      </c>
      <c r="J2751" s="1">
        <v>1</v>
      </c>
      <c r="K2751" s="1">
        <v>1</v>
      </c>
      <c r="M2751" s="1">
        <v>696</v>
      </c>
      <c r="N2751" s="1">
        <v>819</v>
      </c>
      <c r="O2751" s="1">
        <v>832</v>
      </c>
      <c r="P2751" s="1">
        <v>13</v>
      </c>
      <c r="Q2751" s="1" t="s">
        <v>42</v>
      </c>
      <c r="S2751" s="1" t="s">
        <v>42</v>
      </c>
      <c r="T2751" s="1" t="s">
        <v>170</v>
      </c>
      <c r="U2751" s="1">
        <v>10</v>
      </c>
      <c r="V2751" s="5">
        <v>43696</v>
      </c>
      <c r="W2751" s="5">
        <v>43238</v>
      </c>
      <c r="X2751" s="1">
        <v>1415000</v>
      </c>
      <c r="Y2751" s="1">
        <v>1415000</v>
      </c>
      <c r="Z2751" s="5">
        <v>43248</v>
      </c>
      <c r="AA2751" s="1">
        <v>1361256</v>
      </c>
      <c r="AB2751" s="1" t="s">
        <v>2064</v>
      </c>
      <c r="AC2751" s="5">
        <v>43637</v>
      </c>
      <c r="AF2751" s="1">
        <v>10002</v>
      </c>
      <c r="AI2751" s="1" t="s">
        <v>163</v>
      </c>
      <c r="AJ2751" s="1">
        <v>2019</v>
      </c>
      <c r="AK2751" s="1" t="s">
        <v>73</v>
      </c>
      <c r="AL2751" s="1">
        <v>787</v>
      </c>
    </row>
    <row r="2752" spans="1:38" x14ac:dyDescent="0.2">
      <c r="A2752" s="2" t="str">
        <f>HYPERLINK("https://www.compass.com/listing/252-south-street-unit-15k-manhattan-ny-10002/297816587717411921/","252 South St, Unit 15K")</f>
        <v>252 South St, Unit 15K</v>
      </c>
      <c r="B2752" s="2" t="str">
        <f t="shared" si="388"/>
        <v>One Manhattan Square</v>
      </c>
      <c r="C2752" s="1" t="s">
        <v>66</v>
      </c>
      <c r="D2752" s="1" t="s">
        <v>41</v>
      </c>
      <c r="E2752" s="3">
        <v>1225686</v>
      </c>
      <c r="F2752" s="1">
        <v>1763.5769640287699</v>
      </c>
      <c r="G2752" s="1">
        <v>3</v>
      </c>
      <c r="H2752" s="1">
        <v>1</v>
      </c>
      <c r="I2752" s="1">
        <v>1</v>
      </c>
      <c r="J2752" s="1">
        <v>1</v>
      </c>
      <c r="K2752" s="1">
        <v>1</v>
      </c>
      <c r="M2752" s="1">
        <v>695</v>
      </c>
      <c r="N2752" s="1">
        <v>763.14</v>
      </c>
      <c r="O2752" s="1">
        <v>775.18999999999903</v>
      </c>
      <c r="P2752" s="1">
        <v>12.0833333333333</v>
      </c>
      <c r="Q2752" s="1" t="s">
        <v>42</v>
      </c>
      <c r="S2752" s="1" t="s">
        <v>42</v>
      </c>
      <c r="T2752" s="1" t="s">
        <v>170</v>
      </c>
      <c r="U2752" s="1">
        <v>3</v>
      </c>
      <c r="V2752" s="5">
        <v>43830</v>
      </c>
      <c r="W2752" s="5">
        <v>43663</v>
      </c>
      <c r="X2752" s="1">
        <v>1248000</v>
      </c>
      <c r="Y2752" s="1">
        <v>1248000</v>
      </c>
      <c r="Z2752" s="5">
        <v>43666</v>
      </c>
      <c r="AA2752" s="1">
        <v>1225685.99</v>
      </c>
      <c r="AB2752" s="1" t="s">
        <v>2065</v>
      </c>
      <c r="AC2752" s="5">
        <v>43809</v>
      </c>
      <c r="AF2752" s="1">
        <v>10002</v>
      </c>
      <c r="AI2752" s="1" t="s">
        <v>163</v>
      </c>
      <c r="AJ2752" s="1">
        <v>2019</v>
      </c>
      <c r="AK2752" s="1" t="s">
        <v>73</v>
      </c>
      <c r="AL2752" s="1">
        <v>787</v>
      </c>
    </row>
    <row r="2753" spans="1:38" x14ac:dyDescent="0.2">
      <c r="A2753" s="2" t="str">
        <f>HYPERLINK("https://www.compass.com/listing/252-south-street-unit-25g-manhattan-ny-10002/42106050727402273/","252 South St, Unit 25G")</f>
        <v>252 South St, Unit 25G</v>
      </c>
      <c r="B2753" s="2" t="str">
        <f t="shared" si="388"/>
        <v>One Manhattan Square</v>
      </c>
      <c r="C2753" s="1" t="s">
        <v>66</v>
      </c>
      <c r="D2753" s="1" t="s">
        <v>41</v>
      </c>
      <c r="E2753" s="3">
        <v>1277709</v>
      </c>
      <c r="F2753" s="1">
        <v>1767.23236514522</v>
      </c>
      <c r="G2753" s="1">
        <v>3</v>
      </c>
      <c r="H2753" s="1">
        <v>1</v>
      </c>
      <c r="I2753" s="1">
        <v>1</v>
      </c>
      <c r="J2753" s="1">
        <v>1</v>
      </c>
      <c r="K2753" s="1">
        <v>1</v>
      </c>
      <c r="M2753" s="1">
        <v>723</v>
      </c>
      <c r="N2753" s="1">
        <v>824</v>
      </c>
      <c r="O2753" s="1">
        <v>838</v>
      </c>
      <c r="P2753" s="1">
        <v>14</v>
      </c>
      <c r="Q2753" s="1" t="s">
        <v>42</v>
      </c>
      <c r="S2753" s="1" t="s">
        <v>42</v>
      </c>
      <c r="T2753" s="1" t="s">
        <v>170</v>
      </c>
      <c r="U2753" s="1">
        <v>191</v>
      </c>
      <c r="V2753" s="5">
        <v>43696</v>
      </c>
      <c r="W2753" s="5">
        <v>43313</v>
      </c>
      <c r="X2753" s="1">
        <v>1303000</v>
      </c>
      <c r="Y2753" s="1">
        <v>1303000</v>
      </c>
      <c r="Z2753" s="5">
        <v>43504</v>
      </c>
      <c r="AA2753" s="1">
        <v>1277709</v>
      </c>
      <c r="AB2753" s="1" t="s">
        <v>2066</v>
      </c>
      <c r="AC2753" s="5">
        <v>43656</v>
      </c>
      <c r="AF2753" s="1">
        <v>10002</v>
      </c>
      <c r="AI2753" s="1" t="s">
        <v>163</v>
      </c>
      <c r="AJ2753" s="1">
        <v>2019</v>
      </c>
      <c r="AK2753" s="1" t="s">
        <v>73</v>
      </c>
      <c r="AL2753" s="1">
        <v>787</v>
      </c>
    </row>
    <row r="2754" spans="1:38" x14ac:dyDescent="0.2">
      <c r="A2754" s="2" t="str">
        <f>HYPERLINK("https://www.compass.com/listing/252-south-street-unit-10k-manhattan-ny-10002/95435176032673729/","252 South St, Unit 10K")</f>
        <v>252 South St, Unit 10K</v>
      </c>
      <c r="B2754" s="2" t="str">
        <f t="shared" si="388"/>
        <v>One Manhattan Square</v>
      </c>
      <c r="C2754" s="1" t="s">
        <v>66</v>
      </c>
      <c r="D2754" s="1" t="s">
        <v>41</v>
      </c>
      <c r="E2754" s="3">
        <v>1267648</v>
      </c>
      <c r="F2754" s="1">
        <v>1823.9539568345299</v>
      </c>
      <c r="G2754" s="1">
        <v>3</v>
      </c>
      <c r="H2754" s="1">
        <v>1</v>
      </c>
      <c r="I2754" s="1">
        <v>1</v>
      </c>
      <c r="J2754" s="1">
        <v>1</v>
      </c>
      <c r="K2754" s="1">
        <v>1</v>
      </c>
      <c r="M2754" s="1">
        <v>695</v>
      </c>
      <c r="N2754" s="1">
        <v>741</v>
      </c>
      <c r="O2754" s="1">
        <v>753</v>
      </c>
      <c r="P2754" s="1">
        <v>12</v>
      </c>
      <c r="Q2754" s="1" t="s">
        <v>42</v>
      </c>
      <c r="S2754" s="1" t="s">
        <v>42</v>
      </c>
      <c r="T2754" s="1" t="s">
        <v>170</v>
      </c>
      <c r="U2754" s="1">
        <v>6</v>
      </c>
      <c r="V2754" s="5">
        <v>43683</v>
      </c>
      <c r="W2754" s="5">
        <v>43384</v>
      </c>
      <c r="X2754" s="1">
        <v>1241000</v>
      </c>
      <c r="Y2754" s="1">
        <v>1241000</v>
      </c>
      <c r="Z2754" s="5">
        <v>43390</v>
      </c>
      <c r="AA2754" s="1">
        <v>1267648</v>
      </c>
      <c r="AB2754" s="1" t="s">
        <v>2067</v>
      </c>
      <c r="AC2754" s="5">
        <v>43545</v>
      </c>
      <c r="AF2754" s="1">
        <v>10002</v>
      </c>
      <c r="AI2754" s="1" t="s">
        <v>163</v>
      </c>
      <c r="AJ2754" s="1">
        <v>2019</v>
      </c>
      <c r="AK2754" s="1" t="s">
        <v>73</v>
      </c>
      <c r="AL2754" s="1">
        <v>787</v>
      </c>
    </row>
    <row r="2755" spans="1:38" x14ac:dyDescent="0.2">
      <c r="A2755" s="2" t="str">
        <f>HYPERLINK("https://www.compass.com/listing/252-south-street-unit-28k-manhattan-ny-10002/29513531531588945/","252 South St, Unit 28K")</f>
        <v>252 South St, Unit 28K</v>
      </c>
      <c r="B2755" s="2" t="str">
        <f t="shared" si="388"/>
        <v>One Manhattan Square</v>
      </c>
      <c r="C2755" s="1" t="s">
        <v>66</v>
      </c>
      <c r="D2755" s="1" t="s">
        <v>41</v>
      </c>
      <c r="E2755" s="3">
        <v>1335871</v>
      </c>
      <c r="F2755" s="1">
        <v>1922.1165467625899</v>
      </c>
      <c r="G2755" s="1">
        <v>3</v>
      </c>
      <c r="H2755" s="1">
        <v>1</v>
      </c>
      <c r="I2755" s="1">
        <v>1</v>
      </c>
      <c r="J2755" s="1">
        <v>1</v>
      </c>
      <c r="M2755" s="1">
        <v>695</v>
      </c>
      <c r="N2755" s="1">
        <v>803</v>
      </c>
      <c r="O2755" s="1">
        <v>817</v>
      </c>
      <c r="P2755" s="1">
        <v>14</v>
      </c>
      <c r="Q2755" s="1" t="s">
        <v>42</v>
      </c>
      <c r="S2755" s="1" t="s">
        <v>42</v>
      </c>
      <c r="T2755" s="1" t="s">
        <v>170</v>
      </c>
      <c r="U2755" s="1">
        <v>8</v>
      </c>
      <c r="V2755" s="5">
        <v>43696</v>
      </c>
      <c r="W2755" s="5">
        <v>42943</v>
      </c>
      <c r="X2755" s="1">
        <v>1384000</v>
      </c>
      <c r="Y2755" s="1">
        <v>1384000</v>
      </c>
      <c r="Z2755" s="5">
        <v>42951</v>
      </c>
      <c r="AA2755" s="1">
        <v>1335871</v>
      </c>
      <c r="AB2755" s="1" t="s">
        <v>2068</v>
      </c>
      <c r="AC2755" s="5">
        <v>43628</v>
      </c>
      <c r="AF2755" s="1">
        <v>10002</v>
      </c>
      <c r="AI2755" s="1" t="s">
        <v>163</v>
      </c>
      <c r="AJ2755" s="1">
        <v>2019</v>
      </c>
      <c r="AK2755" s="1" t="s">
        <v>73</v>
      </c>
      <c r="AL2755" s="1">
        <v>787</v>
      </c>
    </row>
    <row r="2756" spans="1:38" x14ac:dyDescent="0.2">
      <c r="A2756" s="2" t="str">
        <f>HYPERLINK("https://www.compass.com/listing/252-south-street-unit-29f-manhattan-ny-10002/4849516437506635665/","252 South St, Unit 29F")</f>
        <v>252 South St, Unit 29F</v>
      </c>
      <c r="B2756" s="2" t="str">
        <f t="shared" si="388"/>
        <v>One Manhattan Square</v>
      </c>
      <c r="C2756" s="1" t="s">
        <v>66</v>
      </c>
      <c r="D2756" s="1" t="s">
        <v>41</v>
      </c>
      <c r="E2756" s="3">
        <v>1317542</v>
      </c>
      <c r="F2756" s="1">
        <v>1895.7438848920799</v>
      </c>
      <c r="G2756" s="1">
        <v>3</v>
      </c>
      <c r="H2756" s="1">
        <v>1</v>
      </c>
      <c r="I2756" s="1">
        <v>1</v>
      </c>
      <c r="J2756" s="1">
        <v>1</v>
      </c>
      <c r="M2756" s="1">
        <v>695</v>
      </c>
      <c r="N2756" s="1">
        <v>807</v>
      </c>
      <c r="O2756" s="1">
        <v>821</v>
      </c>
      <c r="P2756" s="1">
        <v>14</v>
      </c>
      <c r="Q2756" s="1" t="s">
        <v>42</v>
      </c>
      <c r="S2756" s="1" t="s">
        <v>42</v>
      </c>
      <c r="T2756" s="1" t="s">
        <v>170</v>
      </c>
      <c r="U2756" s="1">
        <v>4</v>
      </c>
      <c r="V2756" s="5">
        <v>43696</v>
      </c>
      <c r="W2756" s="5">
        <v>42969</v>
      </c>
      <c r="X2756" s="1">
        <v>1341000</v>
      </c>
      <c r="Y2756" s="1">
        <v>1341000</v>
      </c>
      <c r="Z2756" s="5">
        <v>42973</v>
      </c>
      <c r="AA2756" s="1">
        <v>1317542.5</v>
      </c>
      <c r="AB2756" s="1" t="s">
        <v>2069</v>
      </c>
      <c r="AC2756" s="5">
        <v>43600</v>
      </c>
      <c r="AF2756" s="1">
        <v>10002</v>
      </c>
      <c r="AI2756" s="1" t="s">
        <v>163</v>
      </c>
      <c r="AJ2756" s="1">
        <v>2019</v>
      </c>
      <c r="AK2756" s="1" t="s">
        <v>73</v>
      </c>
      <c r="AL2756" s="1">
        <v>787</v>
      </c>
    </row>
    <row r="2757" spans="1:38" x14ac:dyDescent="0.2">
      <c r="A2757" s="2" t="str">
        <f>HYPERLINK("https://www.compass.com/listing/252-south-street-unit-49l-manhattan-ny-10002/786131459785925241/","252 South St, Unit 49L")</f>
        <v>252 South St, Unit 49L</v>
      </c>
      <c r="B2757" s="2" t="str">
        <f t="shared" si="388"/>
        <v>One Manhattan Square</v>
      </c>
      <c r="C2757" s="1" t="s">
        <v>66</v>
      </c>
      <c r="D2757" s="1" t="s">
        <v>41</v>
      </c>
      <c r="E2757" s="3">
        <v>2904994</v>
      </c>
      <c r="F2757" s="1">
        <v>2586.8158949243002</v>
      </c>
      <c r="G2757" s="1">
        <v>4</v>
      </c>
      <c r="H2757" s="1">
        <v>2</v>
      </c>
      <c r="I2757" s="1">
        <v>2</v>
      </c>
      <c r="J2757" s="1">
        <v>2</v>
      </c>
      <c r="K2757" s="1">
        <v>2</v>
      </c>
      <c r="M2757" s="4">
        <v>1123</v>
      </c>
      <c r="N2757" s="1">
        <v>1422</v>
      </c>
      <c r="O2757" s="1">
        <v>1446</v>
      </c>
      <c r="P2757" s="1">
        <v>24</v>
      </c>
      <c r="Q2757" s="1" t="s">
        <v>42</v>
      </c>
      <c r="S2757" s="1" t="s">
        <v>42</v>
      </c>
      <c r="T2757" s="1" t="s">
        <v>170</v>
      </c>
      <c r="U2757" s="1">
        <v>15</v>
      </c>
      <c r="V2757" s="5">
        <v>44354</v>
      </c>
      <c r="W2757" s="5">
        <v>44333</v>
      </c>
      <c r="X2757" s="1">
        <v>2919000</v>
      </c>
      <c r="Y2757" s="1">
        <v>2849000</v>
      </c>
      <c r="AA2757" s="1">
        <v>2904994.25</v>
      </c>
      <c r="AB2757" s="1" t="s">
        <v>2070</v>
      </c>
      <c r="AC2757" s="5">
        <v>44349</v>
      </c>
      <c r="AF2757" s="1">
        <v>10002</v>
      </c>
      <c r="AI2757" s="1" t="s">
        <v>163</v>
      </c>
      <c r="AJ2757" s="1">
        <v>2019</v>
      </c>
      <c r="AK2757" s="1" t="s">
        <v>73</v>
      </c>
      <c r="AL2757" s="1">
        <v>787</v>
      </c>
    </row>
    <row r="2758" spans="1:38" x14ac:dyDescent="0.2">
      <c r="A2758" s="2" t="str">
        <f>HYPERLINK("https://www.compass.com/listing/252-south-street-unit-35h-manhattan-ny-10002/29513513781258017/","252 South St, Unit 35H")</f>
        <v>252 South St, Unit 35H</v>
      </c>
      <c r="B2758" s="2" t="str">
        <f t="shared" si="388"/>
        <v>One Manhattan Square</v>
      </c>
      <c r="C2758" s="1" t="s">
        <v>66</v>
      </c>
      <c r="D2758" s="1" t="s">
        <v>41</v>
      </c>
      <c r="E2758" s="3">
        <v>1395980</v>
      </c>
      <c r="F2758" s="1">
        <v>2005.7183908045899</v>
      </c>
      <c r="G2758" s="1">
        <v>3</v>
      </c>
      <c r="H2758" s="1">
        <v>1</v>
      </c>
      <c r="I2758" s="1">
        <v>1</v>
      </c>
      <c r="J2758" s="1">
        <v>1</v>
      </c>
      <c r="K2758" s="1">
        <v>1</v>
      </c>
      <c r="M2758" s="1">
        <v>696</v>
      </c>
      <c r="N2758" s="1">
        <v>826</v>
      </c>
      <c r="O2758" s="1">
        <v>840</v>
      </c>
      <c r="P2758" s="1">
        <v>14</v>
      </c>
      <c r="Q2758" s="1" t="s">
        <v>42</v>
      </c>
      <c r="S2758" s="1" t="s">
        <v>42</v>
      </c>
      <c r="T2758" s="1" t="s">
        <v>170</v>
      </c>
      <c r="U2758" s="1">
        <v>6</v>
      </c>
      <c r="V2758" s="5">
        <v>43704</v>
      </c>
      <c r="W2758" s="5">
        <v>43278</v>
      </c>
      <c r="X2758" s="1">
        <v>1424000</v>
      </c>
      <c r="Y2758" s="1">
        <v>1424000</v>
      </c>
      <c r="Z2758" s="5">
        <v>43284</v>
      </c>
      <c r="AA2758" s="1">
        <v>1395980</v>
      </c>
      <c r="AB2758" s="1" t="s">
        <v>2071</v>
      </c>
      <c r="AC2758" s="5">
        <v>43690</v>
      </c>
      <c r="AF2758" s="1">
        <v>10002</v>
      </c>
      <c r="AI2758" s="1" t="s">
        <v>163</v>
      </c>
      <c r="AJ2758" s="1">
        <v>2019</v>
      </c>
      <c r="AK2758" s="1" t="s">
        <v>73</v>
      </c>
      <c r="AL2758" s="1">
        <v>787</v>
      </c>
    </row>
    <row r="2759" spans="1:38" x14ac:dyDescent="0.2">
      <c r="A2759" s="2" t="str">
        <f>HYPERLINK("https://www.compass.com/listing/252-south-street-unit-11f-manhattan-ny-10002/308703290548068993/","252 South St, Unit 11F")</f>
        <v>252 South St, Unit 11F</v>
      </c>
      <c r="B2759" s="2" t="str">
        <f t="shared" si="388"/>
        <v>One Manhattan Square</v>
      </c>
      <c r="C2759" s="1" t="s">
        <v>66</v>
      </c>
      <c r="D2759" s="1" t="s">
        <v>41</v>
      </c>
      <c r="E2759" s="3">
        <v>1162769</v>
      </c>
      <c r="F2759" s="1">
        <v>1673.0482014388399</v>
      </c>
      <c r="G2759" s="1">
        <v>3</v>
      </c>
      <c r="H2759" s="1">
        <v>1</v>
      </c>
      <c r="I2759" s="1">
        <v>1</v>
      </c>
      <c r="J2759" s="1">
        <v>1</v>
      </c>
      <c r="K2759" s="1">
        <v>1</v>
      </c>
      <c r="M2759" s="1">
        <v>695</v>
      </c>
      <c r="N2759" s="1">
        <v>755.73</v>
      </c>
      <c r="O2759" s="1">
        <v>767.66</v>
      </c>
      <c r="P2759" s="1">
        <v>11.9166666666666</v>
      </c>
      <c r="Q2759" s="1" t="s">
        <v>42</v>
      </c>
      <c r="S2759" s="1" t="s">
        <v>42</v>
      </c>
      <c r="T2759" s="1" t="s">
        <v>170</v>
      </c>
      <c r="U2759" s="1">
        <v>2</v>
      </c>
      <c r="V2759" s="5">
        <v>43781</v>
      </c>
      <c r="W2759" s="5">
        <v>43678</v>
      </c>
      <c r="X2759" s="1">
        <v>1209000</v>
      </c>
      <c r="Y2759" s="1">
        <v>1209000</v>
      </c>
      <c r="Z2759" s="5">
        <v>43680</v>
      </c>
      <c r="AA2759" s="1">
        <v>1162768.5</v>
      </c>
      <c r="AB2759" s="1" t="s">
        <v>2072</v>
      </c>
      <c r="AC2759" s="5">
        <v>43761</v>
      </c>
      <c r="AF2759" s="1">
        <v>10002</v>
      </c>
      <c r="AI2759" s="1" t="s">
        <v>163</v>
      </c>
      <c r="AJ2759" s="1">
        <v>2019</v>
      </c>
      <c r="AK2759" s="1" t="s">
        <v>73</v>
      </c>
      <c r="AL2759" s="1">
        <v>787</v>
      </c>
    </row>
    <row r="2760" spans="1:38" x14ac:dyDescent="0.2">
      <c r="A2760" s="2" t="str">
        <f>HYPERLINK("https://www.compass.com/listing/252-south-street-unit-51h-manhattan-ny-10002/29513524233499617/","252 South St, Unit 51H")</f>
        <v>252 South St, Unit 51H</v>
      </c>
      <c r="B2760" s="2" t="str">
        <f t="shared" si="388"/>
        <v>One Manhattan Square</v>
      </c>
      <c r="C2760" s="1" t="s">
        <v>66</v>
      </c>
      <c r="D2760" s="1" t="s">
        <v>41</v>
      </c>
      <c r="E2760" s="3">
        <v>1419368</v>
      </c>
      <c r="F2760" s="1">
        <v>2039.3211206896499</v>
      </c>
      <c r="G2760" s="1">
        <v>3</v>
      </c>
      <c r="H2760" s="1">
        <v>1</v>
      </c>
      <c r="I2760" s="1">
        <v>1</v>
      </c>
      <c r="J2760" s="1">
        <v>1</v>
      </c>
      <c r="M2760" s="1">
        <v>696</v>
      </c>
      <c r="N2760" s="1">
        <v>889</v>
      </c>
      <c r="O2760" s="1">
        <v>904</v>
      </c>
      <c r="P2760" s="1">
        <v>15</v>
      </c>
      <c r="Q2760" s="1" t="s">
        <v>42</v>
      </c>
      <c r="S2760" s="1" t="s">
        <v>42</v>
      </c>
      <c r="T2760" s="1" t="s">
        <v>170</v>
      </c>
      <c r="U2760" s="1">
        <v>12</v>
      </c>
      <c r="V2760" s="5">
        <v>43837</v>
      </c>
      <c r="W2760" s="5">
        <v>42951</v>
      </c>
      <c r="X2760" s="1">
        <v>1479000</v>
      </c>
      <c r="Y2760" s="1">
        <v>1479000</v>
      </c>
      <c r="Z2760" s="5">
        <v>42963</v>
      </c>
      <c r="AA2760" s="1">
        <v>1419367.5</v>
      </c>
      <c r="AB2760" s="1" t="s">
        <v>2073</v>
      </c>
      <c r="AC2760" s="5">
        <v>43781</v>
      </c>
      <c r="AF2760" s="1">
        <v>10002</v>
      </c>
      <c r="AI2760" s="1" t="s">
        <v>163</v>
      </c>
      <c r="AJ2760" s="1">
        <v>2019</v>
      </c>
      <c r="AK2760" s="1" t="s">
        <v>73</v>
      </c>
      <c r="AL2760" s="1">
        <v>787</v>
      </c>
    </row>
    <row r="2761" spans="1:38" x14ac:dyDescent="0.2">
      <c r="A2761" s="2" t="str">
        <f>HYPERLINK("https://www.compass.com/listing/252-south-street-unit-18j-manhattan-ny-10002/29513515811250561/","252 South St, Unit 18J")</f>
        <v>252 South St, Unit 18J</v>
      </c>
      <c r="B2761" s="2" t="str">
        <f t="shared" si="388"/>
        <v>One Manhattan Square</v>
      </c>
      <c r="C2761" s="1" t="s">
        <v>66</v>
      </c>
      <c r="D2761" s="1" t="s">
        <v>41</v>
      </c>
      <c r="E2761" s="3">
        <v>1266630</v>
      </c>
      <c r="F2761" s="1">
        <v>1819.8706896551701</v>
      </c>
      <c r="G2761" s="1">
        <v>3</v>
      </c>
      <c r="H2761" s="1">
        <v>1</v>
      </c>
      <c r="I2761" s="1">
        <v>1</v>
      </c>
      <c r="J2761" s="1">
        <v>1</v>
      </c>
      <c r="K2761" s="1">
        <v>1</v>
      </c>
      <c r="M2761" s="1">
        <v>696</v>
      </c>
      <c r="N2761" s="1">
        <v>764</v>
      </c>
      <c r="O2761" s="1">
        <v>777</v>
      </c>
      <c r="P2761" s="1">
        <v>13</v>
      </c>
      <c r="Q2761" s="1" t="s">
        <v>42</v>
      </c>
      <c r="S2761" s="1" t="s">
        <v>42</v>
      </c>
      <c r="T2761" s="1" t="s">
        <v>170</v>
      </c>
      <c r="U2761" s="1">
        <v>28</v>
      </c>
      <c r="V2761" s="5">
        <v>43681</v>
      </c>
      <c r="W2761" s="5">
        <v>43162</v>
      </c>
      <c r="X2761" s="1">
        <v>1240000</v>
      </c>
      <c r="Y2761" s="1">
        <v>1240000</v>
      </c>
      <c r="Z2761" s="5">
        <v>43217</v>
      </c>
      <c r="AA2761" s="1">
        <v>1266630</v>
      </c>
      <c r="AB2761" s="1" t="s">
        <v>2074</v>
      </c>
      <c r="AC2761" s="5">
        <v>43559</v>
      </c>
      <c r="AF2761" s="1">
        <v>10002</v>
      </c>
      <c r="AI2761" s="1" t="s">
        <v>163</v>
      </c>
      <c r="AJ2761" s="1">
        <v>2019</v>
      </c>
      <c r="AK2761" s="1" t="s">
        <v>73</v>
      </c>
      <c r="AL2761" s="1">
        <v>787</v>
      </c>
    </row>
    <row r="2762" spans="1:38" x14ac:dyDescent="0.2">
      <c r="A2762" s="2" t="str">
        <f>HYPERLINK("https://www.compass.com/listing/252-south-street-unit-10g-manhattan-ny-10002/29513536497558833/","252 South St, Unit 10G")</f>
        <v>252 South St, Unit 10G</v>
      </c>
      <c r="B2762" s="2" t="str">
        <f t="shared" si="388"/>
        <v>One Manhattan Square</v>
      </c>
      <c r="C2762" s="1" t="s">
        <v>66</v>
      </c>
      <c r="D2762" s="1" t="s">
        <v>41</v>
      </c>
      <c r="E2762" s="3">
        <v>1206535</v>
      </c>
      <c r="F2762" s="1">
        <v>1668.7892946058</v>
      </c>
      <c r="G2762" s="1">
        <v>3</v>
      </c>
      <c r="H2762" s="1">
        <v>1</v>
      </c>
      <c r="I2762" s="1">
        <v>1</v>
      </c>
      <c r="J2762" s="1">
        <v>1</v>
      </c>
      <c r="M2762" s="1">
        <v>723</v>
      </c>
      <c r="N2762" s="1">
        <v>771</v>
      </c>
      <c r="O2762" s="1">
        <v>784</v>
      </c>
      <c r="P2762" s="1">
        <v>13</v>
      </c>
      <c r="Q2762" s="1" t="s">
        <v>42</v>
      </c>
      <c r="S2762" s="1" t="s">
        <v>42</v>
      </c>
      <c r="T2762" s="1" t="s">
        <v>170</v>
      </c>
      <c r="U2762" s="1">
        <v>4</v>
      </c>
      <c r="V2762" s="5">
        <v>43683</v>
      </c>
      <c r="W2762" s="5">
        <v>42993</v>
      </c>
      <c r="X2762" s="1">
        <v>1185000</v>
      </c>
      <c r="Y2762" s="1">
        <v>1185000</v>
      </c>
      <c r="Z2762" s="5">
        <v>42997</v>
      </c>
      <c r="AA2762" s="1">
        <v>1206534.6599999999</v>
      </c>
      <c r="AB2762" s="1" t="s">
        <v>2075</v>
      </c>
      <c r="AC2762" s="5">
        <v>43550</v>
      </c>
      <c r="AF2762" s="1">
        <v>10002</v>
      </c>
      <c r="AI2762" s="1" t="s">
        <v>163</v>
      </c>
      <c r="AJ2762" s="1">
        <v>2019</v>
      </c>
      <c r="AK2762" s="1" t="s">
        <v>73</v>
      </c>
      <c r="AL2762" s="1">
        <v>787</v>
      </c>
    </row>
    <row r="2763" spans="1:38" x14ac:dyDescent="0.2">
      <c r="A2763" s="2" t="str">
        <f>HYPERLINK("https://www.compass.com/listing/252-south-street-unit-9j-manhattan-ny-10002/29513543627962321/","252 South St, Unit 9J")</f>
        <v>252 South St, Unit 9J</v>
      </c>
      <c r="B2763" s="2" t="str">
        <f t="shared" si="388"/>
        <v>One Manhattan Square</v>
      </c>
      <c r="C2763" s="1" t="s">
        <v>66</v>
      </c>
      <c r="D2763" s="1" t="s">
        <v>41</v>
      </c>
      <c r="E2763" s="3">
        <v>1189732</v>
      </c>
      <c r="F2763" s="1">
        <v>1709.3848275861999</v>
      </c>
      <c r="G2763" s="1">
        <v>3</v>
      </c>
      <c r="H2763" s="1">
        <v>1</v>
      </c>
      <c r="I2763" s="1">
        <v>1</v>
      </c>
      <c r="J2763" s="1">
        <v>1</v>
      </c>
      <c r="K2763" s="1">
        <v>1</v>
      </c>
      <c r="M2763" s="1">
        <v>696</v>
      </c>
      <c r="N2763" s="1">
        <v>739</v>
      </c>
      <c r="O2763" s="1">
        <v>751</v>
      </c>
      <c r="P2763" s="1">
        <v>12</v>
      </c>
      <c r="Q2763" s="1" t="s">
        <v>42</v>
      </c>
      <c r="S2763" s="1" t="s">
        <v>42</v>
      </c>
      <c r="T2763" s="1" t="s">
        <v>170</v>
      </c>
      <c r="V2763" s="5">
        <v>43679</v>
      </c>
      <c r="W2763" s="5">
        <v>43189</v>
      </c>
      <c r="X2763" s="1">
        <v>1213000</v>
      </c>
      <c r="Y2763" s="1">
        <v>1164480</v>
      </c>
      <c r="Z2763" s="5">
        <v>43217</v>
      </c>
      <c r="AA2763" s="1">
        <v>1189731.8400000001</v>
      </c>
      <c r="AB2763" s="1" t="s">
        <v>2076</v>
      </c>
      <c r="AC2763" s="5">
        <v>43608</v>
      </c>
      <c r="AF2763" s="1">
        <v>10002</v>
      </c>
      <c r="AI2763" s="1" t="s">
        <v>163</v>
      </c>
      <c r="AJ2763" s="1">
        <v>2019</v>
      </c>
      <c r="AK2763" s="1" t="s">
        <v>73</v>
      </c>
      <c r="AL2763" s="1">
        <v>787</v>
      </c>
    </row>
    <row r="2764" spans="1:38" x14ac:dyDescent="0.2">
      <c r="A2764" s="2" t="str">
        <f>HYPERLINK("https://www.compass.com/listing/252-south-street-unit-9p-manhattan-ny-10002/29513520584454993/","252 South St, Unit 9P")</f>
        <v>252 South St, Unit 9P</v>
      </c>
      <c r="B2764" s="2" t="str">
        <f t="shared" si="388"/>
        <v>One Manhattan Square</v>
      </c>
      <c r="C2764" s="1" t="s">
        <v>66</v>
      </c>
      <c r="D2764" s="1" t="s">
        <v>41</v>
      </c>
      <c r="E2764" s="3">
        <v>1342999</v>
      </c>
      <c r="F2764" s="1">
        <v>1857.5363070539399</v>
      </c>
      <c r="G2764" s="1">
        <v>3</v>
      </c>
      <c r="H2764" s="1">
        <v>1</v>
      </c>
      <c r="I2764" s="1">
        <v>1</v>
      </c>
      <c r="J2764" s="1">
        <v>1</v>
      </c>
      <c r="K2764" s="1">
        <v>1</v>
      </c>
      <c r="M2764" s="1">
        <v>723</v>
      </c>
      <c r="N2764" s="1">
        <v>767</v>
      </c>
      <c r="O2764" s="1">
        <v>780</v>
      </c>
      <c r="P2764" s="1">
        <v>13</v>
      </c>
      <c r="Q2764" s="1" t="s">
        <v>42</v>
      </c>
      <c r="S2764" s="1" t="s">
        <v>42</v>
      </c>
      <c r="T2764" s="1" t="s">
        <v>170</v>
      </c>
      <c r="U2764" s="1">
        <v>29</v>
      </c>
      <c r="V2764" s="5">
        <v>43683</v>
      </c>
      <c r="W2764" s="5">
        <v>43280</v>
      </c>
      <c r="X2764" s="1">
        <v>1370000</v>
      </c>
      <c r="Y2764" s="1">
        <v>1370000</v>
      </c>
      <c r="Z2764" s="5">
        <v>43313</v>
      </c>
      <c r="AA2764" s="1">
        <v>1342998.75</v>
      </c>
      <c r="AB2764" s="1" t="s">
        <v>2077</v>
      </c>
      <c r="AC2764" s="5">
        <v>43542</v>
      </c>
      <c r="AF2764" s="1">
        <v>10002</v>
      </c>
      <c r="AI2764" s="1" t="s">
        <v>163</v>
      </c>
      <c r="AJ2764" s="1">
        <v>2019</v>
      </c>
      <c r="AK2764" s="1" t="s">
        <v>73</v>
      </c>
      <c r="AL2764" s="1">
        <v>787</v>
      </c>
    </row>
    <row r="2765" spans="1:38" x14ac:dyDescent="0.2">
      <c r="A2765" s="2" t="str">
        <f>HYPERLINK("https://www.compass.com/listing/252-south-street-unit-52j-manhattan-ny-10002/845505947546649817/","252 South St, Unit 52J")</f>
        <v>252 South St, Unit 52J</v>
      </c>
      <c r="B2765" s="2" t="str">
        <f t="shared" si="388"/>
        <v>One Manhattan Square</v>
      </c>
      <c r="C2765" s="1" t="s">
        <v>66</v>
      </c>
      <c r="D2765" s="1" t="s">
        <v>41</v>
      </c>
      <c r="E2765" s="3">
        <v>1398000</v>
      </c>
      <c r="F2765" s="1">
        <v>2011.5107913669001</v>
      </c>
      <c r="G2765" s="1">
        <v>3</v>
      </c>
      <c r="H2765" s="1">
        <v>1</v>
      </c>
      <c r="J2765" s="1">
        <v>1</v>
      </c>
      <c r="M2765" s="1">
        <v>695</v>
      </c>
      <c r="N2765" s="1">
        <v>904</v>
      </c>
      <c r="O2765" s="1">
        <v>918</v>
      </c>
      <c r="P2765" s="1">
        <v>14</v>
      </c>
      <c r="S2765" s="1" t="s">
        <v>42</v>
      </c>
      <c r="T2765" s="1" t="s">
        <v>170</v>
      </c>
      <c r="U2765" s="1">
        <v>184</v>
      </c>
      <c r="V2765" s="5">
        <v>44422</v>
      </c>
      <c r="W2765" s="5">
        <v>44236</v>
      </c>
      <c r="X2765" s="1">
        <v>1398000</v>
      </c>
      <c r="Y2765" s="1">
        <v>1398000</v>
      </c>
      <c r="AA2765" s="1">
        <v>1398000</v>
      </c>
      <c r="AB2765" s="1" t="s">
        <v>181</v>
      </c>
      <c r="AC2765" s="5">
        <v>44420</v>
      </c>
      <c r="AF2765" s="1">
        <v>10002</v>
      </c>
      <c r="AI2765" s="1" t="s">
        <v>55</v>
      </c>
      <c r="AJ2765" s="1">
        <v>2019</v>
      </c>
      <c r="AK2765" s="1" t="s">
        <v>46</v>
      </c>
      <c r="AL2765" s="1">
        <v>787</v>
      </c>
    </row>
    <row r="2766" spans="1:38" x14ac:dyDescent="0.2">
      <c r="A2766" s="2" t="str">
        <f>HYPERLINK("https://www.compass.com/listing/252-south-street-unit-52h-manhattan-ny-10002/29513533922306737/","252 South St, Unit 52H")</f>
        <v>252 South St, Unit 52H</v>
      </c>
      <c r="B2766" s="2" t="str">
        <f t="shared" si="388"/>
        <v>One Manhattan Square</v>
      </c>
      <c r="C2766" s="1" t="s">
        <v>66</v>
      </c>
      <c r="D2766" s="1" t="s">
        <v>41</v>
      </c>
      <c r="E2766" s="3">
        <v>1433623</v>
      </c>
      <c r="F2766" s="1">
        <v>2059.80316091954</v>
      </c>
      <c r="G2766" s="1">
        <v>3</v>
      </c>
      <c r="H2766" s="1">
        <v>1</v>
      </c>
      <c r="I2766" s="1">
        <v>1</v>
      </c>
      <c r="J2766" s="1">
        <v>1</v>
      </c>
      <c r="M2766" s="1">
        <v>696</v>
      </c>
      <c r="N2766" s="1">
        <v>892</v>
      </c>
      <c r="O2766" s="1">
        <v>907</v>
      </c>
      <c r="P2766" s="1">
        <v>15</v>
      </c>
      <c r="Q2766" s="1" t="s">
        <v>42</v>
      </c>
      <c r="S2766" s="1" t="s">
        <v>42</v>
      </c>
      <c r="T2766" s="1" t="s">
        <v>170</v>
      </c>
      <c r="U2766" s="1">
        <v>4</v>
      </c>
      <c r="V2766" s="5">
        <v>43802</v>
      </c>
      <c r="W2766" s="5">
        <v>43035</v>
      </c>
      <c r="X2766" s="1">
        <v>1486000</v>
      </c>
      <c r="Y2766" s="1">
        <v>1486000</v>
      </c>
      <c r="Z2766" s="5">
        <v>43039</v>
      </c>
      <c r="AA2766" s="1">
        <v>1433623</v>
      </c>
      <c r="AB2766" s="1" t="s">
        <v>2078</v>
      </c>
      <c r="AC2766" s="5">
        <v>43788</v>
      </c>
      <c r="AF2766" s="1">
        <v>10002</v>
      </c>
      <c r="AI2766" s="1" t="s">
        <v>163</v>
      </c>
      <c r="AJ2766" s="1">
        <v>2019</v>
      </c>
      <c r="AK2766" s="1" t="s">
        <v>73</v>
      </c>
      <c r="AL2766" s="1">
        <v>787</v>
      </c>
    </row>
    <row r="2767" spans="1:38" x14ac:dyDescent="0.2">
      <c r="A2767" s="2" t="str">
        <f>HYPERLINK("https://www.compass.com/listing/252-south-street-unit-38j-manhattan-ny-10002/29513523117728433/","252 South St, Unit 38J")</f>
        <v>252 South St, Unit 38J</v>
      </c>
      <c r="B2767" s="2" t="str">
        <f t="shared" si="388"/>
        <v>One Manhattan Square</v>
      </c>
      <c r="C2767" s="1" t="s">
        <v>66</v>
      </c>
      <c r="D2767" s="1" t="s">
        <v>41</v>
      </c>
      <c r="E2767" s="3">
        <v>1429550</v>
      </c>
      <c r="F2767" s="1">
        <v>2056.9064748201399</v>
      </c>
      <c r="G2767" s="1">
        <v>3</v>
      </c>
      <c r="H2767" s="1">
        <v>1</v>
      </c>
      <c r="I2767" s="1">
        <v>1</v>
      </c>
      <c r="J2767" s="1">
        <v>1</v>
      </c>
      <c r="M2767" s="1">
        <v>695</v>
      </c>
      <c r="N2767" s="1">
        <v>836</v>
      </c>
      <c r="O2767" s="1">
        <v>850</v>
      </c>
      <c r="P2767" s="1">
        <v>14</v>
      </c>
      <c r="Q2767" s="1" t="s">
        <v>42</v>
      </c>
      <c r="S2767" s="1" t="s">
        <v>42</v>
      </c>
      <c r="T2767" s="1" t="s">
        <v>170</v>
      </c>
      <c r="U2767" s="1">
        <v>25</v>
      </c>
      <c r="V2767" s="5">
        <v>43696</v>
      </c>
      <c r="W2767" s="5">
        <v>42686</v>
      </c>
      <c r="X2767" s="1">
        <v>1633000</v>
      </c>
      <c r="Y2767" s="1">
        <v>1445000</v>
      </c>
      <c r="Z2767" s="5">
        <v>43075</v>
      </c>
      <c r="AA2767" s="1">
        <v>1429550</v>
      </c>
      <c r="AB2767" s="1" t="s">
        <v>2079</v>
      </c>
      <c r="AC2767" s="5">
        <v>43635</v>
      </c>
      <c r="AF2767" s="1">
        <v>10002</v>
      </c>
      <c r="AI2767" s="1" t="s">
        <v>163</v>
      </c>
      <c r="AJ2767" s="1">
        <v>2019</v>
      </c>
      <c r="AK2767" s="1" t="s">
        <v>73</v>
      </c>
      <c r="AL2767" s="1">
        <v>787</v>
      </c>
    </row>
    <row r="2768" spans="1:38" x14ac:dyDescent="0.2">
      <c r="A2768" s="2" t="str">
        <f>HYPERLINK("https://www.compass.com/listing/252-south-street-unit-36h-manhattan-ny-10002/85371285118400481/","252 South St, Unit 36H")</f>
        <v>252 South St, Unit 36H</v>
      </c>
      <c r="B2768" s="2" t="str">
        <f t="shared" si="388"/>
        <v>One Manhattan Square</v>
      </c>
      <c r="C2768" s="1" t="s">
        <v>66</v>
      </c>
      <c r="D2768" s="1" t="s">
        <v>41</v>
      </c>
      <c r="E2768" s="3">
        <v>1378638</v>
      </c>
      <c r="F2768" s="1">
        <v>1980.8010057471199</v>
      </c>
      <c r="G2768" s="1">
        <v>3</v>
      </c>
      <c r="H2768" s="1">
        <v>1</v>
      </c>
      <c r="I2768" s="1">
        <v>1</v>
      </c>
      <c r="J2768" s="1">
        <v>1</v>
      </c>
      <c r="K2768" s="1">
        <v>1</v>
      </c>
      <c r="M2768" s="1">
        <v>696</v>
      </c>
      <c r="N2768" s="1">
        <v>830</v>
      </c>
      <c r="O2768" s="1">
        <v>844</v>
      </c>
      <c r="P2768" s="1">
        <v>14</v>
      </c>
      <c r="Q2768" s="1" t="s">
        <v>42</v>
      </c>
      <c r="S2768" s="1" t="s">
        <v>42</v>
      </c>
      <c r="T2768" s="1" t="s">
        <v>170</v>
      </c>
      <c r="U2768" s="1">
        <v>3</v>
      </c>
      <c r="V2768" s="5">
        <v>43684</v>
      </c>
      <c r="W2768" s="5">
        <v>43370</v>
      </c>
      <c r="X2768" s="1">
        <v>1424000</v>
      </c>
      <c r="Y2768" s="1">
        <v>1424000</v>
      </c>
      <c r="Z2768" s="5">
        <v>43374</v>
      </c>
      <c r="AA2768" s="1">
        <v>1378637.5</v>
      </c>
      <c r="AB2768" s="1" t="s">
        <v>2080</v>
      </c>
      <c r="AC2768" s="5">
        <v>43615</v>
      </c>
      <c r="AF2768" s="1">
        <v>10002</v>
      </c>
      <c r="AI2768" s="1" t="s">
        <v>163</v>
      </c>
      <c r="AJ2768" s="1">
        <v>2019</v>
      </c>
      <c r="AK2768" s="1" t="s">
        <v>73</v>
      </c>
      <c r="AL2768" s="1">
        <v>787</v>
      </c>
    </row>
    <row r="2769" spans="1:38" x14ac:dyDescent="0.2">
      <c r="A2769" s="2" t="str">
        <f>HYPERLINK("https://www.compass.com/listing/252-south-street-unit-40f-manhattan-ny-10002/85393876956756033/","252 South St, Unit 40F")</f>
        <v>252 South St, Unit 40F</v>
      </c>
      <c r="B2769" s="2" t="str">
        <f t="shared" si="388"/>
        <v>One Manhattan Square</v>
      </c>
      <c r="C2769" s="1" t="s">
        <v>66</v>
      </c>
      <c r="D2769" s="1" t="s">
        <v>41</v>
      </c>
      <c r="E2769" s="3">
        <v>1369830</v>
      </c>
      <c r="F2769" s="1">
        <v>1897.27146814404</v>
      </c>
      <c r="G2769" s="1">
        <v>3</v>
      </c>
      <c r="H2769" s="1">
        <v>1</v>
      </c>
      <c r="I2769" s="1">
        <v>1</v>
      </c>
      <c r="J2769" s="1">
        <v>1</v>
      </c>
      <c r="K2769" s="1">
        <v>1</v>
      </c>
      <c r="M2769" s="1">
        <v>722</v>
      </c>
      <c r="N2769" s="1">
        <v>881</v>
      </c>
      <c r="O2769" s="1">
        <v>896</v>
      </c>
      <c r="P2769" s="1">
        <v>15</v>
      </c>
      <c r="Q2769" s="1" t="s">
        <v>42</v>
      </c>
      <c r="S2769" s="1" t="s">
        <v>42</v>
      </c>
      <c r="T2769" s="1" t="s">
        <v>170</v>
      </c>
      <c r="U2769" s="1">
        <v>4</v>
      </c>
      <c r="V2769" s="5">
        <v>43717</v>
      </c>
      <c r="W2769" s="5">
        <v>43370</v>
      </c>
      <c r="X2769" s="1">
        <v>1390000</v>
      </c>
      <c r="Y2769" s="1">
        <v>1390000</v>
      </c>
      <c r="Z2769" s="5">
        <v>43374</v>
      </c>
      <c r="AA2769" s="1">
        <v>1369830</v>
      </c>
      <c r="AB2769" s="1" t="s">
        <v>2081</v>
      </c>
      <c r="AC2769" s="5">
        <v>43706</v>
      </c>
      <c r="AF2769" s="1">
        <v>10002</v>
      </c>
      <c r="AI2769" s="1" t="s">
        <v>163</v>
      </c>
      <c r="AJ2769" s="1">
        <v>2019</v>
      </c>
      <c r="AK2769" s="1" t="s">
        <v>73</v>
      </c>
      <c r="AL2769" s="1">
        <v>787</v>
      </c>
    </row>
    <row r="2770" spans="1:38" x14ac:dyDescent="0.2">
      <c r="A2770" s="2" t="str">
        <f>HYPERLINK("https://www.compass.com/listing/252-south-street-unit-42d-manhattan-ny-10002/664299759123652841/","252 South St, Unit 42D")</f>
        <v>252 South St, Unit 42D</v>
      </c>
      <c r="B2770" s="2" t="str">
        <f t="shared" si="388"/>
        <v>One Manhattan Square</v>
      </c>
      <c r="C2770" s="1" t="s">
        <v>66</v>
      </c>
      <c r="D2770" s="1" t="s">
        <v>41</v>
      </c>
      <c r="E2770" s="3">
        <v>2413792</v>
      </c>
      <c r="F2770" s="1">
        <v>2073.7045103092701</v>
      </c>
      <c r="G2770" s="1">
        <v>5</v>
      </c>
      <c r="H2770" s="1">
        <v>2</v>
      </c>
      <c r="J2770" s="1">
        <v>2</v>
      </c>
      <c r="M2770" s="4">
        <v>1164</v>
      </c>
      <c r="N2770" s="1">
        <v>1453</v>
      </c>
      <c r="O2770" s="1">
        <v>1476</v>
      </c>
      <c r="P2770" s="1">
        <v>23</v>
      </c>
      <c r="Q2770" s="1" t="s">
        <v>42</v>
      </c>
      <c r="S2770" s="1" t="s">
        <v>42</v>
      </c>
      <c r="T2770" s="1" t="s">
        <v>170</v>
      </c>
      <c r="U2770" s="1">
        <v>1</v>
      </c>
      <c r="V2770" s="5">
        <v>44253</v>
      </c>
      <c r="W2770" s="5">
        <v>44166</v>
      </c>
      <c r="X2770" s="1">
        <v>2655000</v>
      </c>
      <c r="Y2770" s="1">
        <v>2655000</v>
      </c>
      <c r="Z2770" s="5">
        <v>44170</v>
      </c>
      <c r="AA2770" s="1">
        <v>2413792.0499999998</v>
      </c>
      <c r="AB2770" s="1" t="s">
        <v>2082</v>
      </c>
      <c r="AC2770" s="5">
        <v>44250</v>
      </c>
      <c r="AF2770" s="1">
        <v>10002</v>
      </c>
      <c r="AI2770" s="1" t="s">
        <v>163</v>
      </c>
      <c r="AJ2770" s="1">
        <v>2019</v>
      </c>
      <c r="AK2770" s="1" t="s">
        <v>46</v>
      </c>
      <c r="AL2770" s="1">
        <v>787</v>
      </c>
    </row>
    <row r="2771" spans="1:38" x14ac:dyDescent="0.2">
      <c r="A2771" s="2" t="str">
        <f>HYPERLINK("https://www.compass.com/listing/252-south-street-unit-29e-manhattan-ny-10002/278845381096273889/","252 South St, Unit 29E")</f>
        <v>252 South St, Unit 29E</v>
      </c>
      <c r="B2771" s="2" t="str">
        <f t="shared" si="388"/>
        <v>One Manhattan Square</v>
      </c>
      <c r="C2771" s="1" t="s">
        <v>66</v>
      </c>
      <c r="D2771" s="1" t="s">
        <v>41</v>
      </c>
      <c r="E2771" s="3">
        <v>2353817</v>
      </c>
      <c r="F2771" s="1">
        <v>2096.0080142475499</v>
      </c>
      <c r="G2771" s="1">
        <v>5</v>
      </c>
      <c r="H2771" s="1">
        <v>2</v>
      </c>
      <c r="I2771" s="1">
        <v>2</v>
      </c>
      <c r="J2771" s="1">
        <v>2</v>
      </c>
      <c r="K2771" s="1">
        <v>2</v>
      </c>
      <c r="M2771" s="4">
        <v>1123</v>
      </c>
      <c r="N2771" s="1">
        <v>1322.89</v>
      </c>
      <c r="O2771" s="1">
        <v>1343.78</v>
      </c>
      <c r="P2771" s="1">
        <v>20.9166666666666</v>
      </c>
      <c r="Q2771" s="1" t="s">
        <v>42</v>
      </c>
      <c r="S2771" s="1" t="s">
        <v>42</v>
      </c>
      <c r="T2771" s="1" t="s">
        <v>170</v>
      </c>
      <c r="U2771" s="1">
        <v>1</v>
      </c>
      <c r="V2771" s="5">
        <v>43901</v>
      </c>
      <c r="W2771" s="5">
        <v>43637</v>
      </c>
      <c r="X2771" s="1">
        <v>2455000</v>
      </c>
      <c r="Y2771" s="1">
        <v>2455000</v>
      </c>
      <c r="Z2771" s="5">
        <v>43638</v>
      </c>
      <c r="AA2771" s="1">
        <v>2353817</v>
      </c>
      <c r="AB2771" s="1" t="s">
        <v>2083</v>
      </c>
      <c r="AC2771" s="5">
        <v>43888</v>
      </c>
      <c r="AF2771" s="1">
        <v>10002</v>
      </c>
      <c r="AI2771" s="1" t="s">
        <v>163</v>
      </c>
      <c r="AJ2771" s="1">
        <v>2019</v>
      </c>
      <c r="AK2771" s="1" t="s">
        <v>73</v>
      </c>
      <c r="AL2771" s="1">
        <v>787</v>
      </c>
    </row>
    <row r="2772" spans="1:38" x14ac:dyDescent="0.2">
      <c r="A2772" s="2" t="str">
        <f>HYPERLINK("https://www.compass.com/listing/252-south-street-unit-26a-manhattan-ny-10002/29513513445663025/","252 South St, Unit 26A")</f>
        <v>252 South St, Unit 26A</v>
      </c>
      <c r="B2772" s="2" t="str">
        <f t="shared" si="388"/>
        <v>One Manhattan Square</v>
      </c>
      <c r="C2772" s="1" t="s">
        <v>66</v>
      </c>
      <c r="D2772" s="1" t="s">
        <v>41</v>
      </c>
      <c r="E2772" s="3">
        <v>2589694</v>
      </c>
      <c r="F2772" s="1">
        <v>2228.6520998278802</v>
      </c>
      <c r="G2772" s="1">
        <v>5</v>
      </c>
      <c r="H2772" s="1">
        <v>2</v>
      </c>
      <c r="I2772" s="1">
        <v>2</v>
      </c>
      <c r="J2772" s="1">
        <v>2</v>
      </c>
      <c r="K2772" s="1">
        <v>2</v>
      </c>
      <c r="M2772" s="4">
        <v>1162</v>
      </c>
      <c r="N2772" s="1">
        <v>1331</v>
      </c>
      <c r="O2772" s="1">
        <v>1353</v>
      </c>
      <c r="P2772" s="1">
        <v>22</v>
      </c>
      <c r="Q2772" s="1" t="s">
        <v>42</v>
      </c>
      <c r="S2772" s="1" t="s">
        <v>42</v>
      </c>
      <c r="T2772" s="1" t="s">
        <v>170</v>
      </c>
      <c r="U2772" s="1">
        <v>5</v>
      </c>
      <c r="V2772" s="5">
        <v>43681</v>
      </c>
      <c r="W2772" s="5">
        <v>43278</v>
      </c>
      <c r="X2772" s="1">
        <v>2565000</v>
      </c>
      <c r="Y2772" s="1">
        <v>2565000</v>
      </c>
      <c r="Z2772" s="5">
        <v>43283</v>
      </c>
      <c r="AA2772" s="1">
        <v>2589693.7400000002</v>
      </c>
      <c r="AB2772" s="1" t="s">
        <v>2084</v>
      </c>
      <c r="AC2772" s="5">
        <v>43606</v>
      </c>
      <c r="AF2772" s="1">
        <v>10002</v>
      </c>
      <c r="AI2772" s="1" t="s">
        <v>163</v>
      </c>
      <c r="AJ2772" s="1">
        <v>2019</v>
      </c>
      <c r="AK2772" s="1" t="s">
        <v>73</v>
      </c>
      <c r="AL2772" s="1">
        <v>787</v>
      </c>
    </row>
    <row r="2773" spans="1:38" x14ac:dyDescent="0.2">
      <c r="A2773" s="2" t="str">
        <f>HYPERLINK("https://www.compass.com/listing/252-south-street-unit-52a-manhattan-ny-10002/29513532118755921/","252 South St, Unit 52A")</f>
        <v>252 South St, Unit 52A</v>
      </c>
      <c r="B2773" s="2" t="str">
        <f t="shared" si="388"/>
        <v>One Manhattan Square</v>
      </c>
      <c r="C2773" s="1" t="s">
        <v>66</v>
      </c>
      <c r="D2773" s="1" t="s">
        <v>41</v>
      </c>
      <c r="E2773" s="3">
        <v>2804187</v>
      </c>
      <c r="F2773" s="1">
        <v>2411.1668099742001</v>
      </c>
      <c r="G2773" s="1">
        <v>4</v>
      </c>
      <c r="H2773" s="1">
        <v>2</v>
      </c>
      <c r="I2773" s="1">
        <v>2</v>
      </c>
      <c r="J2773" s="1">
        <v>2</v>
      </c>
      <c r="M2773" s="4">
        <v>1163</v>
      </c>
      <c r="N2773" s="1">
        <v>1491</v>
      </c>
      <c r="O2773" s="1">
        <v>1516</v>
      </c>
      <c r="P2773" s="1">
        <v>25</v>
      </c>
      <c r="Q2773" s="1" t="s">
        <v>42</v>
      </c>
      <c r="S2773" s="1" t="s">
        <v>42</v>
      </c>
      <c r="T2773" s="1" t="s">
        <v>170</v>
      </c>
      <c r="U2773" s="1">
        <v>7</v>
      </c>
      <c r="V2773" s="5">
        <v>43696</v>
      </c>
      <c r="W2773" s="5">
        <v>42937</v>
      </c>
      <c r="X2773" s="1">
        <v>2856000</v>
      </c>
      <c r="Y2773" s="1">
        <v>2856000</v>
      </c>
      <c r="Z2773" s="5">
        <v>42944</v>
      </c>
      <c r="AA2773" s="1">
        <v>2804187</v>
      </c>
      <c r="AB2773" s="1" t="s">
        <v>2085</v>
      </c>
      <c r="AC2773" s="5">
        <v>43644</v>
      </c>
      <c r="AF2773" s="1">
        <v>10002</v>
      </c>
      <c r="AI2773" s="1" t="s">
        <v>163</v>
      </c>
      <c r="AJ2773" s="1">
        <v>2019</v>
      </c>
      <c r="AK2773" s="1" t="s">
        <v>73</v>
      </c>
      <c r="AL2773" s="1">
        <v>787</v>
      </c>
    </row>
    <row r="2774" spans="1:38" x14ac:dyDescent="0.2">
      <c r="A2774" s="2" t="str">
        <f>HYPERLINK("https://www.compass.com/listing/252-south-street-unit-50k-manhattan-ny-10002/299917818233374449/","252 South St, Unit 50K")</f>
        <v>252 South St, Unit 50K</v>
      </c>
      <c r="B2774" s="2" t="str">
        <f t="shared" si="388"/>
        <v>One Manhattan Square</v>
      </c>
      <c r="C2774" s="1" t="s">
        <v>66</v>
      </c>
      <c r="D2774" s="1" t="s">
        <v>41</v>
      </c>
      <c r="E2774" s="3">
        <v>2490356</v>
      </c>
      <c r="F2774" s="1">
        <v>2217.5917542297402</v>
      </c>
      <c r="G2774" s="1">
        <v>4</v>
      </c>
      <c r="H2774" s="1">
        <v>2</v>
      </c>
      <c r="I2774" s="1">
        <v>2</v>
      </c>
      <c r="J2774" s="1">
        <v>2</v>
      </c>
      <c r="K2774" s="1">
        <v>2</v>
      </c>
      <c r="M2774" s="4">
        <v>1123</v>
      </c>
      <c r="N2774" s="1">
        <v>1449</v>
      </c>
      <c r="O2774" s="1">
        <v>1472</v>
      </c>
      <c r="P2774" s="1">
        <v>23</v>
      </c>
      <c r="Q2774" s="1" t="s">
        <v>42</v>
      </c>
      <c r="S2774" s="1" t="s">
        <v>42</v>
      </c>
      <c r="T2774" s="1" t="s">
        <v>170</v>
      </c>
      <c r="U2774" s="1">
        <v>1</v>
      </c>
      <c r="V2774" s="5">
        <v>43830</v>
      </c>
      <c r="W2774" s="5">
        <v>43666</v>
      </c>
      <c r="X2774" s="1">
        <v>2617000</v>
      </c>
      <c r="Y2774" s="1">
        <v>2617000</v>
      </c>
      <c r="Z2774" s="5">
        <v>43667</v>
      </c>
      <c r="AA2774" s="1">
        <v>2490355.54</v>
      </c>
      <c r="AB2774" s="1" t="s">
        <v>2086</v>
      </c>
      <c r="AC2774" s="5">
        <v>43809</v>
      </c>
      <c r="AF2774" s="1">
        <v>10002</v>
      </c>
      <c r="AI2774" s="1" t="s">
        <v>163</v>
      </c>
      <c r="AJ2774" s="1">
        <v>2019</v>
      </c>
      <c r="AK2774" s="1" t="s">
        <v>73</v>
      </c>
      <c r="AL2774" s="1">
        <v>787</v>
      </c>
    </row>
    <row r="2775" spans="1:38" x14ac:dyDescent="0.2">
      <c r="A2775" s="2" t="str">
        <f>HYPERLINK("https://www.compass.com/listing/252-south-street-unit-34l-manhattan-ny-10002/523170039359806777/","252 South St, Unit 34L")</f>
        <v>252 South St, Unit 34L</v>
      </c>
      <c r="B2775" s="2" t="str">
        <f t="shared" si="388"/>
        <v>One Manhattan Square</v>
      </c>
      <c r="C2775" s="1" t="s">
        <v>66</v>
      </c>
      <c r="D2775" s="1" t="s">
        <v>41</v>
      </c>
      <c r="E2775" s="3">
        <v>2393833</v>
      </c>
      <c r="F2775" s="1">
        <v>2131.6409171861001</v>
      </c>
      <c r="G2775" s="1">
        <v>5</v>
      </c>
      <c r="H2775" s="1">
        <v>2</v>
      </c>
      <c r="I2775" s="1">
        <v>2</v>
      </c>
      <c r="J2775" s="1">
        <v>2</v>
      </c>
      <c r="K2775" s="1">
        <v>2</v>
      </c>
      <c r="M2775" s="4">
        <v>1123</v>
      </c>
      <c r="N2775" s="1">
        <v>1347</v>
      </c>
      <c r="O2775" s="1">
        <v>1368</v>
      </c>
      <c r="P2775" s="1">
        <v>21</v>
      </c>
      <c r="Q2775" s="1" t="s">
        <v>42</v>
      </c>
      <c r="S2775" s="1" t="s">
        <v>42</v>
      </c>
      <c r="T2775" s="1" t="s">
        <v>170</v>
      </c>
      <c r="V2775" s="5">
        <v>44248</v>
      </c>
      <c r="W2775" s="5">
        <v>43972</v>
      </c>
      <c r="X2775" s="1">
        <v>2793000</v>
      </c>
      <c r="Y2775" s="1">
        <v>2793000</v>
      </c>
      <c r="Z2775" s="5">
        <v>43980</v>
      </c>
      <c r="AA2775" s="1">
        <v>2393832.75</v>
      </c>
      <c r="AB2775" s="1" t="s">
        <v>2087</v>
      </c>
      <c r="AC2775" s="5">
        <v>44022</v>
      </c>
      <c r="AF2775" s="1">
        <v>10002</v>
      </c>
      <c r="AI2775" s="1" t="s">
        <v>163</v>
      </c>
      <c r="AJ2775" s="1">
        <v>2019</v>
      </c>
      <c r="AK2775" s="1" t="s">
        <v>46</v>
      </c>
      <c r="AL2775" s="1">
        <v>787</v>
      </c>
    </row>
    <row r="2776" spans="1:38" x14ac:dyDescent="0.2">
      <c r="A2776" s="2" t="str">
        <f>HYPERLINK("https://www.compass.com/listing/252-south-street-unit-28m-manhattan-ny-10002/85363901759320417/","252 South St, Unit 28M")</f>
        <v>252 South St, Unit 28M</v>
      </c>
      <c r="B2776" s="2" t="str">
        <f t="shared" si="388"/>
        <v>One Manhattan Square</v>
      </c>
      <c r="C2776" s="1" t="s">
        <v>66</v>
      </c>
      <c r="D2776" s="1" t="s">
        <v>41</v>
      </c>
      <c r="E2776" s="3">
        <v>2497717</v>
      </c>
      <c r="F2776" s="1">
        <v>2224.14692787177</v>
      </c>
      <c r="G2776" s="1">
        <v>4</v>
      </c>
      <c r="H2776" s="1">
        <v>2</v>
      </c>
      <c r="I2776" s="1">
        <v>2</v>
      </c>
      <c r="J2776" s="1">
        <v>2</v>
      </c>
      <c r="K2776" s="1">
        <v>2</v>
      </c>
      <c r="M2776" s="4">
        <v>1123</v>
      </c>
      <c r="N2776" s="1">
        <v>1316.9</v>
      </c>
      <c r="O2776" s="1">
        <v>1337.69</v>
      </c>
      <c r="P2776" s="1">
        <v>20.75</v>
      </c>
      <c r="Q2776" s="1" t="s">
        <v>42</v>
      </c>
      <c r="S2776" s="1" t="s">
        <v>42</v>
      </c>
      <c r="T2776" s="1" t="s">
        <v>170</v>
      </c>
      <c r="U2776" s="1">
        <v>4</v>
      </c>
      <c r="V2776" s="5">
        <v>43753</v>
      </c>
      <c r="W2776" s="5">
        <v>43370</v>
      </c>
      <c r="X2776" s="1">
        <v>2499000</v>
      </c>
      <c r="Y2776" s="1">
        <v>2499000</v>
      </c>
      <c r="Z2776" s="5">
        <v>43374</v>
      </c>
      <c r="AA2776" s="1">
        <v>2497717</v>
      </c>
      <c r="AB2776" s="1" t="s">
        <v>2088</v>
      </c>
      <c r="AC2776" s="5">
        <v>43726</v>
      </c>
      <c r="AF2776" s="1">
        <v>10002</v>
      </c>
      <c r="AI2776" s="1" t="s">
        <v>163</v>
      </c>
      <c r="AJ2776" s="1">
        <v>2019</v>
      </c>
      <c r="AK2776" s="1" t="s">
        <v>73</v>
      </c>
      <c r="AL2776" s="1">
        <v>787</v>
      </c>
    </row>
    <row r="2777" spans="1:38" x14ac:dyDescent="0.2">
      <c r="A2777" s="2" t="str">
        <f>HYPERLINK("https://www.compass.com/listing/252-south-street-unit-11j-manhattan-ny-10002/29513516507591297/","252 South St, Unit 11J")</f>
        <v>252 South St, Unit 11J</v>
      </c>
      <c r="B2777" s="2" t="str">
        <f t="shared" si="388"/>
        <v>One Manhattan Square</v>
      </c>
      <c r="C2777" s="1" t="s">
        <v>66</v>
      </c>
      <c r="D2777" s="1" t="s">
        <v>41</v>
      </c>
      <c r="E2777" s="3">
        <v>1196576</v>
      </c>
      <c r="F2777" s="1">
        <v>1719.21781609195</v>
      </c>
      <c r="G2777" s="1">
        <v>3</v>
      </c>
      <c r="H2777" s="1">
        <v>1</v>
      </c>
      <c r="I2777" s="1">
        <v>1</v>
      </c>
      <c r="J2777" s="1">
        <v>1</v>
      </c>
      <c r="K2777" s="1">
        <v>1</v>
      </c>
      <c r="M2777" s="1">
        <v>696</v>
      </c>
      <c r="N2777" s="1">
        <v>745</v>
      </c>
      <c r="O2777" s="1">
        <v>757</v>
      </c>
      <c r="P2777" s="1">
        <v>12</v>
      </c>
      <c r="Q2777" s="1" t="s">
        <v>42</v>
      </c>
      <c r="S2777" s="1" t="s">
        <v>42</v>
      </c>
      <c r="T2777" s="1" t="s">
        <v>170</v>
      </c>
      <c r="U2777" s="1">
        <v>3</v>
      </c>
      <c r="V2777" s="5">
        <v>43683</v>
      </c>
      <c r="W2777" s="5">
        <v>43204</v>
      </c>
      <c r="X2777" s="1">
        <v>1220000</v>
      </c>
      <c r="Y2777" s="1">
        <v>1220000</v>
      </c>
      <c r="Z2777" s="5">
        <v>43207</v>
      </c>
      <c r="AA2777" s="1">
        <v>1196575.6000000001</v>
      </c>
      <c r="AB2777" s="1" t="s">
        <v>2089</v>
      </c>
      <c r="AC2777" s="5">
        <v>43558</v>
      </c>
      <c r="AF2777" s="1">
        <v>10002</v>
      </c>
      <c r="AI2777" s="1" t="s">
        <v>1959</v>
      </c>
      <c r="AJ2777" s="1">
        <v>2019</v>
      </c>
      <c r="AK2777" s="1" t="s">
        <v>73</v>
      </c>
      <c r="AL2777" s="1">
        <v>787</v>
      </c>
    </row>
    <row r="2778" spans="1:38" x14ac:dyDescent="0.2">
      <c r="A2778" s="2" t="str">
        <f>HYPERLINK("https://www.compass.com/listing/252-south-street-unit-21j-manhattan-ny-10002/29513537781066705/","252 South St, Unit 21J")</f>
        <v>252 South St, Unit 21J</v>
      </c>
      <c r="B2778" s="2" t="str">
        <f t="shared" si="388"/>
        <v>One Manhattan Square</v>
      </c>
      <c r="C2778" s="1" t="s">
        <v>66</v>
      </c>
      <c r="D2778" s="1" t="s">
        <v>41</v>
      </c>
      <c r="E2778" s="3">
        <v>1271721</v>
      </c>
      <c r="F2778" s="1">
        <v>1827.1853448275799</v>
      </c>
      <c r="G2778" s="1">
        <v>3</v>
      </c>
      <c r="H2778" s="1">
        <v>1</v>
      </c>
      <c r="I2778" s="1">
        <v>1</v>
      </c>
      <c r="J2778" s="1">
        <v>1</v>
      </c>
      <c r="M2778" s="1">
        <v>696</v>
      </c>
      <c r="N2778" s="1">
        <v>779</v>
      </c>
      <c r="O2778" s="1">
        <v>792</v>
      </c>
      <c r="P2778" s="1">
        <v>13</v>
      </c>
      <c r="Q2778" s="1" t="s">
        <v>42</v>
      </c>
      <c r="S2778" s="1" t="s">
        <v>42</v>
      </c>
      <c r="T2778" s="1" t="s">
        <v>170</v>
      </c>
      <c r="U2778" s="1">
        <v>2</v>
      </c>
      <c r="V2778" s="5">
        <v>43696</v>
      </c>
      <c r="W2778" s="5">
        <v>42992</v>
      </c>
      <c r="X2778" s="1">
        <v>1285000</v>
      </c>
      <c r="Y2778" s="1">
        <v>1285000</v>
      </c>
      <c r="Z2778" s="5">
        <v>42994</v>
      </c>
      <c r="AA2778" s="1">
        <v>1271721</v>
      </c>
      <c r="AB2778" s="1" t="s">
        <v>2090</v>
      </c>
      <c r="AC2778" s="5">
        <v>43579</v>
      </c>
      <c r="AF2778" s="1">
        <v>10002</v>
      </c>
      <c r="AI2778" s="1" t="s">
        <v>163</v>
      </c>
      <c r="AJ2778" s="1">
        <v>2019</v>
      </c>
      <c r="AK2778" s="1" t="s">
        <v>73</v>
      </c>
      <c r="AL2778" s="1">
        <v>787</v>
      </c>
    </row>
    <row r="2779" spans="1:38" x14ac:dyDescent="0.2">
      <c r="A2779" s="2" t="str">
        <f>HYPERLINK("https://www.compass.com/listing/252-south-street-unit-15g-manhattan-ny-10002/29513516155234161/","252 South St, Unit 15G")</f>
        <v>252 South St, Unit 15G</v>
      </c>
      <c r="B2779" s="2" t="str">
        <f t="shared" si="388"/>
        <v>One Manhattan Square</v>
      </c>
      <c r="C2779" s="1" t="s">
        <v>66</v>
      </c>
      <c r="D2779" s="1" t="s">
        <v>41</v>
      </c>
      <c r="E2779" s="3">
        <v>1154622</v>
      </c>
      <c r="F2779" s="1">
        <v>1596.98755186722</v>
      </c>
      <c r="G2779" s="1">
        <v>3</v>
      </c>
      <c r="H2779" s="1">
        <v>1</v>
      </c>
      <c r="I2779" s="1">
        <v>1</v>
      </c>
      <c r="J2779" s="1">
        <v>1</v>
      </c>
      <c r="K2779" s="1">
        <v>1</v>
      </c>
      <c r="M2779" s="1">
        <v>723</v>
      </c>
      <c r="N2779" s="1">
        <v>782</v>
      </c>
      <c r="O2779" s="1">
        <v>795</v>
      </c>
      <c r="P2779" s="1">
        <v>13</v>
      </c>
      <c r="Q2779" s="1" t="s">
        <v>42</v>
      </c>
      <c r="S2779" s="1" t="s">
        <v>42</v>
      </c>
      <c r="T2779" s="1" t="s">
        <v>170</v>
      </c>
      <c r="U2779" s="1">
        <v>29</v>
      </c>
      <c r="V2779" s="5">
        <v>43696</v>
      </c>
      <c r="W2779" s="5">
        <v>43165</v>
      </c>
      <c r="X2779" s="1">
        <v>1192000</v>
      </c>
      <c r="Y2779" s="1">
        <v>1192000</v>
      </c>
      <c r="Z2779" s="5">
        <v>43194</v>
      </c>
      <c r="AA2779" s="1">
        <v>1154622.5</v>
      </c>
      <c r="AB2779" s="1" t="s">
        <v>2091</v>
      </c>
      <c r="AC2779" s="5">
        <v>43551</v>
      </c>
      <c r="AF2779" s="1">
        <v>10002</v>
      </c>
      <c r="AI2779" s="1" t="s">
        <v>163</v>
      </c>
      <c r="AJ2779" s="1">
        <v>2019</v>
      </c>
      <c r="AK2779" s="1" t="s">
        <v>73</v>
      </c>
      <c r="AL2779" s="1">
        <v>787</v>
      </c>
    </row>
    <row r="2780" spans="1:38" x14ac:dyDescent="0.2">
      <c r="A2780" s="2" t="str">
        <f>HYPERLINK("https://www.compass.com/listing/252-south-street-unit-46c-manhattan-ny-10002/770907276522886113/","252 South St, Unit 46C")</f>
        <v>252 South St, Unit 46C</v>
      </c>
      <c r="B2780" s="2" t="str">
        <f t="shared" si="388"/>
        <v>One Manhattan Square</v>
      </c>
      <c r="C2780" s="1" t="s">
        <v>66</v>
      </c>
      <c r="D2780" s="1" t="s">
        <v>41</v>
      </c>
      <c r="E2780" s="3">
        <v>3301023</v>
      </c>
      <c r="F2780" s="1">
        <v>2219.9209818426302</v>
      </c>
      <c r="G2780" s="1">
        <v>5</v>
      </c>
      <c r="H2780" s="1">
        <v>3</v>
      </c>
      <c r="I2780" s="1">
        <v>3</v>
      </c>
      <c r="J2780" s="1">
        <v>3</v>
      </c>
      <c r="K2780" s="1">
        <v>3</v>
      </c>
      <c r="M2780" s="4">
        <v>1487</v>
      </c>
      <c r="N2780" s="1">
        <v>1880</v>
      </c>
      <c r="O2780" s="1">
        <v>1910</v>
      </c>
      <c r="P2780" s="1">
        <v>30</v>
      </c>
      <c r="Q2780" s="1" t="s">
        <v>42</v>
      </c>
      <c r="S2780" s="1" t="s">
        <v>42</v>
      </c>
      <c r="T2780" s="1" t="s">
        <v>170</v>
      </c>
      <c r="U2780" s="1">
        <v>5</v>
      </c>
      <c r="V2780" s="5">
        <v>44372</v>
      </c>
      <c r="W2780" s="5">
        <v>44310</v>
      </c>
      <c r="X2780" s="1">
        <v>3864000</v>
      </c>
      <c r="Y2780" s="1">
        <v>3864000</v>
      </c>
      <c r="Z2780" s="5">
        <v>44315</v>
      </c>
      <c r="AA2780" s="1">
        <v>3301022.5</v>
      </c>
      <c r="AB2780" s="1" t="s">
        <v>2092</v>
      </c>
      <c r="AC2780" s="5">
        <v>44368</v>
      </c>
      <c r="AF2780" s="1">
        <v>10002</v>
      </c>
      <c r="AI2780" s="1" t="s">
        <v>163</v>
      </c>
      <c r="AJ2780" s="1">
        <v>2019</v>
      </c>
      <c r="AK2780" s="1" t="s">
        <v>73</v>
      </c>
      <c r="AL2780" s="1">
        <v>787</v>
      </c>
    </row>
    <row r="2781" spans="1:38" x14ac:dyDescent="0.2">
      <c r="A2781" s="2" t="str">
        <f>HYPERLINK("https://www.compass.com/listing/252-south-street-unit-9b-manhattan-ny-10002/739098594475645833/","252 South St, Unit 9B")</f>
        <v>252 South St, Unit 9B</v>
      </c>
      <c r="B2781" s="2" t="str">
        <f t="shared" si="388"/>
        <v>One Manhattan Square</v>
      </c>
      <c r="C2781" s="1" t="s">
        <v>66</v>
      </c>
      <c r="D2781" s="1" t="s">
        <v>41</v>
      </c>
      <c r="E2781" s="3">
        <v>1204000</v>
      </c>
      <c r="F2781" s="1">
        <v>1729.8850574712601</v>
      </c>
      <c r="G2781" s="1">
        <v>3</v>
      </c>
      <c r="H2781" s="1">
        <v>1</v>
      </c>
      <c r="I2781" s="1">
        <v>1</v>
      </c>
      <c r="J2781" s="1">
        <v>1</v>
      </c>
      <c r="K2781" s="1">
        <v>1</v>
      </c>
      <c r="M2781" s="1">
        <v>696</v>
      </c>
      <c r="N2781" s="1">
        <v>750</v>
      </c>
      <c r="O2781" s="1">
        <v>762</v>
      </c>
      <c r="P2781" s="1">
        <v>12</v>
      </c>
      <c r="Q2781" s="1" t="s">
        <v>42</v>
      </c>
      <c r="S2781" s="1" t="s">
        <v>42</v>
      </c>
      <c r="T2781" s="1" t="s">
        <v>170</v>
      </c>
      <c r="U2781" s="1">
        <v>53</v>
      </c>
      <c r="V2781" s="5">
        <v>44379</v>
      </c>
      <c r="W2781" s="5">
        <v>44219</v>
      </c>
      <c r="X2781" s="1">
        <v>1415000</v>
      </c>
      <c r="Y2781" s="1">
        <v>1200000</v>
      </c>
      <c r="Z2781" s="5">
        <v>44272</v>
      </c>
      <c r="AA2781" s="1">
        <v>1204000</v>
      </c>
      <c r="AB2781" s="1" t="s">
        <v>2093</v>
      </c>
      <c r="AC2781" s="5">
        <v>44350</v>
      </c>
      <c r="AF2781" s="1">
        <v>10002</v>
      </c>
      <c r="AI2781" s="1" t="s">
        <v>163</v>
      </c>
      <c r="AJ2781" s="1">
        <v>2019</v>
      </c>
      <c r="AK2781" s="1" t="s">
        <v>73</v>
      </c>
      <c r="AL2781" s="1">
        <v>787</v>
      </c>
    </row>
    <row r="2782" spans="1:38" x14ac:dyDescent="0.2">
      <c r="A2782" s="2" t="str">
        <f>HYPERLINK("https://www.compass.com/listing/252-south-street-unit-34e-manhattan-ny-10002/29513508345389073/","252 South St, Unit 34E")</f>
        <v>252 South St, Unit 34E</v>
      </c>
      <c r="B2782" s="2" t="str">
        <f t="shared" si="388"/>
        <v>One Manhattan Square</v>
      </c>
      <c r="C2782" s="1" t="s">
        <v>66</v>
      </c>
      <c r="D2782" s="1" t="s">
        <v>41</v>
      </c>
      <c r="E2782" s="3">
        <v>1360565</v>
      </c>
      <c r="F2782" s="1">
        <v>1960.46766570605</v>
      </c>
      <c r="G2782" s="1">
        <v>3</v>
      </c>
      <c r="H2782" s="1">
        <v>1</v>
      </c>
      <c r="I2782" s="1">
        <v>1</v>
      </c>
      <c r="J2782" s="1">
        <v>1</v>
      </c>
      <c r="K2782" s="1">
        <v>1</v>
      </c>
      <c r="M2782" s="1">
        <v>694</v>
      </c>
      <c r="N2782" s="1">
        <v>820</v>
      </c>
      <c r="O2782" s="1">
        <v>834</v>
      </c>
      <c r="P2782" s="1">
        <v>14</v>
      </c>
      <c r="Q2782" s="1" t="s">
        <v>42</v>
      </c>
      <c r="S2782" s="1" t="s">
        <v>42</v>
      </c>
      <c r="T2782" s="1" t="s">
        <v>170</v>
      </c>
      <c r="U2782" s="1">
        <v>9</v>
      </c>
      <c r="V2782" s="5">
        <v>43684</v>
      </c>
      <c r="W2782" s="5">
        <v>43238</v>
      </c>
      <c r="X2782" s="1">
        <v>1392000</v>
      </c>
      <c r="Y2782" s="1">
        <v>1332250</v>
      </c>
      <c r="Z2782" s="5">
        <v>43248</v>
      </c>
      <c r="AA2782" s="1">
        <v>1360564.56</v>
      </c>
      <c r="AB2782" s="1" t="s">
        <v>2094</v>
      </c>
      <c r="AC2782" s="5">
        <v>43577</v>
      </c>
      <c r="AF2782" s="1">
        <v>10002</v>
      </c>
      <c r="AI2782" s="1" t="s">
        <v>163</v>
      </c>
      <c r="AJ2782" s="1">
        <v>2019</v>
      </c>
      <c r="AK2782" s="1" t="s">
        <v>73</v>
      </c>
      <c r="AL2782" s="1">
        <v>787</v>
      </c>
    </row>
    <row r="2783" spans="1:38" x14ac:dyDescent="0.2">
      <c r="A2783" s="2" t="str">
        <f>HYPERLINK("https://www.compass.com/listing/252-south-street-unit-pha-manhattan-ny-10002/221713579030643697/","252 South St, Unit PHA")</f>
        <v>252 South St, Unit PHA</v>
      </c>
      <c r="B2783" s="2" t="str">
        <f t="shared" si="388"/>
        <v>One Manhattan Square</v>
      </c>
      <c r="C2783" s="1" t="s">
        <v>66</v>
      </c>
      <c r="D2783" s="1" t="s">
        <v>41</v>
      </c>
      <c r="E2783" s="3">
        <v>4818000</v>
      </c>
      <c r="F2783" s="1">
        <v>2869.5652173912999</v>
      </c>
      <c r="G2783" s="1">
        <v>5</v>
      </c>
      <c r="H2783" s="1">
        <v>3</v>
      </c>
      <c r="I2783" s="1">
        <v>3</v>
      </c>
      <c r="J2783" s="1">
        <v>3</v>
      </c>
      <c r="K2783" s="1">
        <v>3</v>
      </c>
      <c r="M2783" s="4">
        <v>1679</v>
      </c>
      <c r="N2783" s="1">
        <v>2399.35</v>
      </c>
      <c r="O2783" s="1">
        <v>2439.75</v>
      </c>
      <c r="P2783" s="1">
        <v>40.4166666666666</v>
      </c>
      <c r="Q2783" s="1" t="s">
        <v>42</v>
      </c>
      <c r="S2783" s="1" t="s">
        <v>42</v>
      </c>
      <c r="T2783" s="1" t="s">
        <v>170</v>
      </c>
      <c r="U2783" s="1">
        <v>2</v>
      </c>
      <c r="V2783" s="5">
        <v>43808</v>
      </c>
      <c r="W2783" s="5">
        <v>43558</v>
      </c>
      <c r="X2783" s="1">
        <v>5383000</v>
      </c>
      <c r="Y2783" s="1">
        <v>5383000</v>
      </c>
      <c r="Z2783" s="5">
        <v>43560</v>
      </c>
      <c r="AA2783" s="1">
        <v>4818000</v>
      </c>
      <c r="AB2783" s="1" t="s">
        <v>181</v>
      </c>
      <c r="AC2783" s="5">
        <v>43796</v>
      </c>
      <c r="AF2783" s="1">
        <v>10002</v>
      </c>
      <c r="AI2783" s="1" t="s">
        <v>163</v>
      </c>
      <c r="AJ2783" s="1">
        <v>2019</v>
      </c>
      <c r="AK2783" s="1" t="s">
        <v>73</v>
      </c>
      <c r="AL2783" s="1">
        <v>787</v>
      </c>
    </row>
    <row r="2784" spans="1:38" x14ac:dyDescent="0.2">
      <c r="A2784" s="2" t="str">
        <f>HYPERLINK("https://www.compass.com/listing/252-south-street-unit-33c-manhattan-ny-10002/292702524446650689/","252 South St, Unit 33C")</f>
        <v>252 South St, Unit 33C</v>
      </c>
      <c r="B2784" s="2" t="str">
        <f t="shared" si="388"/>
        <v>One Manhattan Square</v>
      </c>
      <c r="C2784" s="1" t="s">
        <v>66</v>
      </c>
      <c r="D2784" s="1" t="s">
        <v>41</v>
      </c>
      <c r="E2784" s="3">
        <v>3480681</v>
      </c>
      <c r="F2784" s="1">
        <v>2340.74041694687</v>
      </c>
      <c r="G2784" s="1">
        <v>5</v>
      </c>
      <c r="H2784" s="1">
        <v>3</v>
      </c>
      <c r="I2784" s="1">
        <v>3</v>
      </c>
      <c r="J2784" s="1">
        <v>3</v>
      </c>
      <c r="K2784" s="1">
        <v>3</v>
      </c>
      <c r="M2784" s="4">
        <v>1487</v>
      </c>
      <c r="N2784" s="1">
        <v>1750</v>
      </c>
      <c r="O2784" s="1">
        <v>1779</v>
      </c>
      <c r="P2784" s="1">
        <v>29</v>
      </c>
      <c r="Q2784" s="1" t="s">
        <v>42</v>
      </c>
      <c r="S2784" s="1" t="s">
        <v>42</v>
      </c>
      <c r="T2784" s="1" t="s">
        <v>170</v>
      </c>
      <c r="U2784" s="1">
        <v>2</v>
      </c>
      <c r="V2784" s="5">
        <v>43704</v>
      </c>
      <c r="W2784" s="5">
        <v>43656</v>
      </c>
      <c r="X2784" s="1">
        <v>3754000</v>
      </c>
      <c r="Y2784" s="1">
        <v>3754000</v>
      </c>
      <c r="Z2784" s="5">
        <v>43658</v>
      </c>
      <c r="AA2784" s="1">
        <v>3480681</v>
      </c>
      <c r="AB2784" s="1" t="s">
        <v>2095</v>
      </c>
      <c r="AC2784" s="5">
        <v>43690</v>
      </c>
      <c r="AF2784" s="1">
        <v>10002</v>
      </c>
      <c r="AI2784" s="1" t="s">
        <v>163</v>
      </c>
      <c r="AJ2784" s="1">
        <v>2019</v>
      </c>
      <c r="AK2784" s="1" t="s">
        <v>73</v>
      </c>
      <c r="AL2784" s="1">
        <v>787</v>
      </c>
    </row>
    <row r="2785" spans="1:38" x14ac:dyDescent="0.2">
      <c r="A2785" s="2" t="str">
        <f>HYPERLINK("https://www.compass.com/listing/252-south-street-unit-8p-manhattan-ny-10002/29513550967959105/","252 South St, Unit 8P")</f>
        <v>252 South St, Unit 8P</v>
      </c>
      <c r="B2785" s="2" t="str">
        <f t="shared" si="388"/>
        <v>One Manhattan Square</v>
      </c>
      <c r="C2785" s="1" t="s">
        <v>66</v>
      </c>
      <c r="D2785" s="1" t="s">
        <v>41</v>
      </c>
      <c r="E2785" s="3">
        <v>1246062</v>
      </c>
      <c r="F2785" s="1">
        <v>1723.46078838174</v>
      </c>
      <c r="G2785" s="1">
        <v>3</v>
      </c>
      <c r="H2785" s="1">
        <v>1</v>
      </c>
      <c r="I2785" s="1">
        <v>1</v>
      </c>
      <c r="J2785" s="1">
        <v>1</v>
      </c>
      <c r="M2785" s="1">
        <v>723</v>
      </c>
      <c r="N2785" s="1">
        <v>764</v>
      </c>
      <c r="O2785" s="1">
        <v>777</v>
      </c>
      <c r="P2785" s="1">
        <v>13</v>
      </c>
      <c r="Q2785" s="1" t="s">
        <v>42</v>
      </c>
      <c r="S2785" s="1" t="s">
        <v>42</v>
      </c>
      <c r="T2785" s="1" t="s">
        <v>170</v>
      </c>
      <c r="U2785" s="1">
        <v>71</v>
      </c>
      <c r="V2785" s="5">
        <v>43938</v>
      </c>
      <c r="W2785" s="5">
        <v>42697</v>
      </c>
      <c r="Y2785" s="1">
        <v>1284000</v>
      </c>
      <c r="Z2785" s="5">
        <v>42768</v>
      </c>
      <c r="AA2785" s="1">
        <v>1246062.1499999999</v>
      </c>
      <c r="AB2785" s="1" t="s">
        <v>2096</v>
      </c>
      <c r="AC2785" s="5">
        <v>43584</v>
      </c>
      <c r="AF2785" s="1">
        <v>10002</v>
      </c>
      <c r="AI2785" s="1" t="s">
        <v>1959</v>
      </c>
      <c r="AJ2785" s="1">
        <v>2019</v>
      </c>
      <c r="AK2785" s="1" t="s">
        <v>73</v>
      </c>
      <c r="AL2785" s="1">
        <v>787</v>
      </c>
    </row>
    <row r="2786" spans="1:38" x14ac:dyDescent="0.2">
      <c r="A2786" s="2" t="str">
        <f>HYPERLINK("https://www.compass.com/listing/252-south-street-unit-19f-manhattan-ny-10002/85363901398527361/","252 South St, Unit 19F")</f>
        <v>252 South St, Unit 19F</v>
      </c>
      <c r="B2786" s="2" t="str">
        <f t="shared" si="388"/>
        <v>One Manhattan Square</v>
      </c>
      <c r="C2786" s="1" t="s">
        <v>66</v>
      </c>
      <c r="D2786" s="1" t="s">
        <v>41</v>
      </c>
      <c r="E2786" s="3">
        <v>1215717</v>
      </c>
      <c r="F2786" s="1">
        <v>1749.23309352517</v>
      </c>
      <c r="G2786" s="1">
        <v>3</v>
      </c>
      <c r="H2786" s="1">
        <v>1</v>
      </c>
      <c r="I2786" s="1">
        <v>1</v>
      </c>
      <c r="J2786" s="1">
        <v>1</v>
      </c>
      <c r="K2786" s="1">
        <v>1</v>
      </c>
      <c r="M2786" s="1">
        <v>695</v>
      </c>
      <c r="N2786" s="1">
        <v>766.79</v>
      </c>
      <c r="O2786" s="1">
        <v>779.79</v>
      </c>
      <c r="P2786" s="1">
        <v>13</v>
      </c>
      <c r="Q2786" s="1" t="s">
        <v>42</v>
      </c>
      <c r="S2786" s="1" t="s">
        <v>42</v>
      </c>
      <c r="T2786" s="1" t="s">
        <v>170</v>
      </c>
      <c r="U2786" s="1">
        <v>4</v>
      </c>
      <c r="V2786" s="5">
        <v>43696</v>
      </c>
      <c r="W2786" s="5">
        <v>43370</v>
      </c>
      <c r="X2786" s="1">
        <v>1257000</v>
      </c>
      <c r="Y2786" s="1">
        <v>1257000</v>
      </c>
      <c r="Z2786" s="5">
        <v>43374</v>
      </c>
      <c r="AA2786" s="1">
        <v>1215717.5</v>
      </c>
      <c r="AB2786" s="1" t="s">
        <v>2097</v>
      </c>
      <c r="AC2786" s="5">
        <v>43563</v>
      </c>
      <c r="AF2786" s="1">
        <v>10002</v>
      </c>
      <c r="AI2786" s="1" t="s">
        <v>163</v>
      </c>
      <c r="AJ2786" s="1">
        <v>2019</v>
      </c>
      <c r="AK2786" s="1" t="s">
        <v>73</v>
      </c>
      <c r="AL2786" s="1">
        <v>787</v>
      </c>
    </row>
    <row r="2787" spans="1:38" x14ac:dyDescent="0.2">
      <c r="A2787" s="2" t="str">
        <f>HYPERLINK("https://www.compass.com/listing/252-south-street-unit-9h-manhattan-ny-10002/801629555571737297/","252 South St, Unit 9H")</f>
        <v>252 South St, Unit 9H</v>
      </c>
      <c r="B2787" s="2" t="str">
        <f t="shared" si="388"/>
        <v>One Manhattan Square</v>
      </c>
      <c r="C2787" s="1" t="s">
        <v>66</v>
      </c>
      <c r="D2787" s="1" t="s">
        <v>41</v>
      </c>
      <c r="E2787" s="3">
        <v>1785938</v>
      </c>
      <c r="F2787" s="1">
        <v>1544.92863321799</v>
      </c>
      <c r="G2787" s="1">
        <v>5</v>
      </c>
      <c r="H2787" s="1">
        <v>2</v>
      </c>
      <c r="I2787" s="1">
        <v>2</v>
      </c>
      <c r="J2787" s="1">
        <v>2</v>
      </c>
      <c r="K2787" s="1">
        <v>2</v>
      </c>
      <c r="M2787" s="4">
        <v>1156</v>
      </c>
      <c r="N2787" s="1">
        <v>1245</v>
      </c>
      <c r="O2787" s="1">
        <v>1265</v>
      </c>
      <c r="P2787" s="1">
        <v>20</v>
      </c>
      <c r="Q2787" s="1" t="s">
        <v>42</v>
      </c>
      <c r="S2787" s="1" t="s">
        <v>42</v>
      </c>
      <c r="T2787" s="1" t="s">
        <v>170</v>
      </c>
      <c r="U2787" s="1">
        <v>143</v>
      </c>
      <c r="V2787" s="5">
        <v>44423</v>
      </c>
      <c r="W2787" s="5">
        <v>44183</v>
      </c>
      <c r="X2787" s="1">
        <v>1835000</v>
      </c>
      <c r="Y2787" s="1">
        <v>1835000</v>
      </c>
      <c r="AA2787" s="1">
        <v>1785937.5</v>
      </c>
      <c r="AB2787" s="1" t="s">
        <v>2098</v>
      </c>
      <c r="AC2787" s="5">
        <v>44327</v>
      </c>
      <c r="AF2787" s="1">
        <v>10002</v>
      </c>
      <c r="AI2787" s="1" t="s">
        <v>113</v>
      </c>
      <c r="AJ2787" s="1">
        <v>2019</v>
      </c>
      <c r="AK2787" s="1" t="s">
        <v>73</v>
      </c>
      <c r="AL2787" s="1">
        <v>787</v>
      </c>
    </row>
    <row r="2788" spans="1:38" x14ac:dyDescent="0.2">
      <c r="A2788" s="2" t="str">
        <f>HYPERLINK("https://www.compass.com/listing/252-south-street-unit-35e-manhattan-ny-10002/329630900672883361/","252 South St, Unit 35E")</f>
        <v>252 South St, Unit 35E</v>
      </c>
      <c r="B2788" s="2" t="str">
        <f t="shared" si="388"/>
        <v>One Manhattan Square</v>
      </c>
      <c r="C2788" s="1" t="s">
        <v>66</v>
      </c>
      <c r="D2788" s="1" t="s">
        <v>41</v>
      </c>
      <c r="E2788" s="3">
        <v>1364430</v>
      </c>
      <c r="F2788" s="1">
        <v>1966.0369452449499</v>
      </c>
      <c r="G2788" s="1">
        <v>3</v>
      </c>
      <c r="H2788" s="1">
        <v>1</v>
      </c>
      <c r="I2788" s="1">
        <v>1</v>
      </c>
      <c r="J2788" s="1">
        <v>1</v>
      </c>
      <c r="K2788" s="1">
        <v>1</v>
      </c>
      <c r="M2788" s="1">
        <v>694</v>
      </c>
      <c r="N2788" s="1">
        <v>836.03</v>
      </c>
      <c r="O2788" s="1">
        <v>849.23</v>
      </c>
      <c r="P2788" s="1">
        <v>13.1666666666666</v>
      </c>
      <c r="Q2788" s="1" t="s">
        <v>42</v>
      </c>
      <c r="S2788" s="1" t="s">
        <v>42</v>
      </c>
      <c r="T2788" s="1" t="s">
        <v>170</v>
      </c>
      <c r="U2788" s="1">
        <v>1</v>
      </c>
      <c r="V2788" s="5">
        <v>43938</v>
      </c>
      <c r="W2788" s="5">
        <v>43707</v>
      </c>
      <c r="X2788" s="1">
        <v>1399000</v>
      </c>
      <c r="Y2788" s="1">
        <v>1336045</v>
      </c>
      <c r="Z2788" s="5">
        <v>43709</v>
      </c>
      <c r="AA2788" s="1">
        <v>1364429.64</v>
      </c>
      <c r="AB2788" s="1" t="s">
        <v>2099</v>
      </c>
      <c r="AC2788" s="5">
        <v>43795</v>
      </c>
      <c r="AF2788" s="1">
        <v>10002</v>
      </c>
      <c r="AI2788" s="1" t="s">
        <v>163</v>
      </c>
      <c r="AJ2788" s="1">
        <v>2019</v>
      </c>
      <c r="AK2788" s="1" t="s">
        <v>73</v>
      </c>
      <c r="AL2788" s="1">
        <v>787</v>
      </c>
    </row>
    <row r="2789" spans="1:38" x14ac:dyDescent="0.2">
      <c r="A2789" s="2" t="str">
        <f>HYPERLINK("https://www.compass.com/listing/252-south-street-unit-28f-manhattan-ny-10002/527534101606512649/","252 South St, Unit 28F")</f>
        <v>252 South St, Unit 28F</v>
      </c>
      <c r="B2789" s="2" t="str">
        <f t="shared" si="388"/>
        <v>One Manhattan Square</v>
      </c>
      <c r="C2789" s="1" t="s">
        <v>66</v>
      </c>
      <c r="D2789" s="1" t="s">
        <v>41</v>
      </c>
      <c r="E2789" s="3">
        <v>1263719</v>
      </c>
      <c r="F2789" s="1">
        <v>1818.3010791366901</v>
      </c>
      <c r="G2789" s="1">
        <v>3</v>
      </c>
      <c r="H2789" s="1">
        <v>1</v>
      </c>
      <c r="I2789" s="1">
        <v>1</v>
      </c>
      <c r="J2789" s="1">
        <v>1</v>
      </c>
      <c r="K2789" s="1">
        <v>1</v>
      </c>
      <c r="M2789" s="1">
        <v>695</v>
      </c>
      <c r="N2789" s="1">
        <v>815</v>
      </c>
      <c r="O2789" s="1">
        <v>828</v>
      </c>
      <c r="P2789" s="1">
        <v>13</v>
      </c>
      <c r="Q2789" s="1" t="s">
        <v>42</v>
      </c>
      <c r="S2789" s="1" t="s">
        <v>42</v>
      </c>
      <c r="T2789" s="1" t="s">
        <v>170</v>
      </c>
      <c r="V2789" s="5">
        <v>44097</v>
      </c>
      <c r="W2789" s="5">
        <v>43980</v>
      </c>
      <c r="X2789" s="1">
        <v>1341000</v>
      </c>
      <c r="Y2789" s="1">
        <v>1237140</v>
      </c>
      <c r="Z2789" s="5">
        <v>43983</v>
      </c>
      <c r="AA2789" s="1">
        <v>1263719.25</v>
      </c>
      <c r="AB2789" s="1" t="s">
        <v>2100</v>
      </c>
      <c r="AC2789" s="5">
        <v>44092</v>
      </c>
      <c r="AF2789" s="1">
        <v>10002</v>
      </c>
      <c r="AI2789" s="1" t="s">
        <v>163</v>
      </c>
      <c r="AJ2789" s="1">
        <v>2019</v>
      </c>
      <c r="AK2789" s="1" t="s">
        <v>73</v>
      </c>
      <c r="AL2789" s="1">
        <v>787</v>
      </c>
    </row>
    <row r="2790" spans="1:38" x14ac:dyDescent="0.2">
      <c r="A2790" s="2" t="str">
        <f>HYPERLINK("https://www.compass.com/listing/252-south-street-unit-52e-manhattan-ny-10002/29513517723939521/","252 South St, Unit 52E")</f>
        <v>252 South St, Unit 52E</v>
      </c>
      <c r="B2790" s="2" t="str">
        <f t="shared" si="388"/>
        <v>One Manhattan Square</v>
      </c>
      <c r="C2790" s="1" t="s">
        <v>66</v>
      </c>
      <c r="D2790" s="1" t="s">
        <v>41</v>
      </c>
      <c r="E2790" s="3">
        <v>1448173</v>
      </c>
      <c r="F2790" s="1">
        <v>2086.7040345821301</v>
      </c>
      <c r="G2790" s="1">
        <v>3</v>
      </c>
      <c r="H2790" s="1">
        <v>1</v>
      </c>
      <c r="I2790" s="1">
        <v>1</v>
      </c>
      <c r="J2790" s="1">
        <v>1</v>
      </c>
      <c r="K2790" s="1">
        <v>1</v>
      </c>
      <c r="M2790" s="1">
        <v>694</v>
      </c>
      <c r="N2790" s="1">
        <v>889</v>
      </c>
      <c r="O2790" s="1">
        <v>904</v>
      </c>
      <c r="P2790" s="1">
        <v>15</v>
      </c>
      <c r="Q2790" s="1" t="s">
        <v>42</v>
      </c>
      <c r="S2790" s="1" t="s">
        <v>42</v>
      </c>
      <c r="T2790" s="1" t="s">
        <v>170</v>
      </c>
      <c r="U2790" s="1">
        <v>10</v>
      </c>
      <c r="V2790" s="5">
        <v>43759</v>
      </c>
      <c r="W2790" s="5">
        <v>43237</v>
      </c>
      <c r="X2790" s="1">
        <v>1480000</v>
      </c>
      <c r="Y2790" s="1">
        <v>1480000</v>
      </c>
      <c r="Z2790" s="5">
        <v>43247</v>
      </c>
      <c r="AA2790" s="1">
        <v>1448172.6</v>
      </c>
      <c r="AB2790" s="1" t="s">
        <v>2101</v>
      </c>
      <c r="AC2790" s="5">
        <v>43741</v>
      </c>
      <c r="AF2790" s="1">
        <v>10002</v>
      </c>
      <c r="AI2790" s="1" t="s">
        <v>163</v>
      </c>
      <c r="AJ2790" s="1">
        <v>2019</v>
      </c>
      <c r="AK2790" s="1" t="s">
        <v>73</v>
      </c>
      <c r="AL2790" s="1">
        <v>787</v>
      </c>
    </row>
    <row r="2791" spans="1:38" x14ac:dyDescent="0.2">
      <c r="A2791" s="2" t="str">
        <f>HYPERLINK("https://www.compass.com/listing/252-south-street-unit-33j-manhattan-ny-10002/803356584352844505/","252 South St, Unit 33J")</f>
        <v>252 South St, Unit 33J</v>
      </c>
      <c r="B2791" s="2" t="str">
        <f t="shared" si="388"/>
        <v>One Manhattan Square</v>
      </c>
      <c r="C2791" s="1" t="s">
        <v>66</v>
      </c>
      <c r="D2791" s="1" t="s">
        <v>41</v>
      </c>
      <c r="E2791" s="3">
        <v>1321235</v>
      </c>
      <c r="F2791" s="1">
        <v>1901.0577841726599</v>
      </c>
      <c r="G2791" s="1">
        <v>3</v>
      </c>
      <c r="H2791" s="1">
        <v>1</v>
      </c>
      <c r="I2791" s="1">
        <v>1</v>
      </c>
      <c r="J2791" s="1">
        <v>1</v>
      </c>
      <c r="K2791" s="1">
        <v>1</v>
      </c>
      <c r="M2791" s="1">
        <v>695</v>
      </c>
      <c r="N2791" s="1">
        <v>830</v>
      </c>
      <c r="O2791" s="1">
        <v>843</v>
      </c>
      <c r="P2791" s="1">
        <v>13</v>
      </c>
      <c r="Q2791" s="1" t="s">
        <v>42</v>
      </c>
      <c r="S2791" s="1" t="s">
        <v>42</v>
      </c>
      <c r="T2791" s="1" t="s">
        <v>170</v>
      </c>
      <c r="V2791" s="5">
        <v>44420</v>
      </c>
      <c r="W2791" s="5">
        <v>44183</v>
      </c>
      <c r="X2791" s="1">
        <v>1310000</v>
      </c>
      <c r="Y2791" s="1">
        <v>1310000</v>
      </c>
      <c r="Z2791" s="5">
        <v>44183</v>
      </c>
      <c r="AA2791" s="1">
        <v>1321235.1599999999</v>
      </c>
      <c r="AB2791" s="1" t="s">
        <v>2102</v>
      </c>
      <c r="AC2791" s="5">
        <v>44294</v>
      </c>
      <c r="AF2791" s="1">
        <v>10002</v>
      </c>
      <c r="AI2791" s="1" t="s">
        <v>113</v>
      </c>
      <c r="AJ2791" s="1">
        <v>2019</v>
      </c>
      <c r="AK2791" s="1" t="s">
        <v>73</v>
      </c>
      <c r="AL2791" s="1">
        <v>787</v>
      </c>
    </row>
    <row r="2792" spans="1:38" x14ac:dyDescent="0.2">
      <c r="A2792" s="2" t="str">
        <f>HYPERLINK("https://www.compass.com/listing/252-south-street-unit-29k-manhattan-ny-10002/4849516314252808481/","252 South St, Unit 29K")</f>
        <v>252 South St, Unit 29K</v>
      </c>
      <c r="B2792" s="2" t="str">
        <f t="shared" si="388"/>
        <v>One Manhattan Square</v>
      </c>
      <c r="C2792" s="1" t="s">
        <v>66</v>
      </c>
      <c r="D2792" s="1" t="s">
        <v>41</v>
      </c>
      <c r="E2792" s="3">
        <v>1335871</v>
      </c>
      <c r="F2792" s="1">
        <v>1922.1165467625899</v>
      </c>
      <c r="G2792" s="1">
        <v>3</v>
      </c>
      <c r="H2792" s="1">
        <v>1</v>
      </c>
      <c r="I2792" s="1">
        <v>1</v>
      </c>
      <c r="J2792" s="1">
        <v>1</v>
      </c>
      <c r="M2792" s="1">
        <v>695</v>
      </c>
      <c r="N2792" s="1">
        <v>80714</v>
      </c>
      <c r="O2792" s="1">
        <v>80728</v>
      </c>
      <c r="P2792" s="1">
        <v>14</v>
      </c>
      <c r="Q2792" s="1" t="s">
        <v>42</v>
      </c>
      <c r="S2792" s="1" t="s">
        <v>42</v>
      </c>
      <c r="T2792" s="1" t="s">
        <v>170</v>
      </c>
      <c r="V2792" s="5">
        <v>43696</v>
      </c>
      <c r="W2792" s="5">
        <v>42959</v>
      </c>
      <c r="X2792" s="1">
        <v>1384000</v>
      </c>
      <c r="Y2792" s="1">
        <v>1384000</v>
      </c>
      <c r="Z2792" s="5">
        <v>42959</v>
      </c>
      <c r="AA2792" s="1">
        <v>1335871</v>
      </c>
      <c r="AB2792" s="1" t="s">
        <v>2103</v>
      </c>
      <c r="AC2792" s="5">
        <v>43628</v>
      </c>
      <c r="AF2792" s="1">
        <v>10002</v>
      </c>
      <c r="AI2792" s="1" t="s">
        <v>163</v>
      </c>
      <c r="AJ2792" s="1">
        <v>2019</v>
      </c>
      <c r="AK2792" s="1" t="s">
        <v>73</v>
      </c>
      <c r="AL2792" s="1">
        <v>787</v>
      </c>
    </row>
    <row r="2793" spans="1:38" x14ac:dyDescent="0.2">
      <c r="A2793" s="2" t="str">
        <f>HYPERLINK("https://www.compass.com/listing/252-south-street-unit-38k-manhattan-ny-10002/221704280158104449/","252 South St, Unit 38K")</f>
        <v>252 South St, Unit 38K</v>
      </c>
      <c r="B2793" s="2" t="str">
        <f t="shared" si="388"/>
        <v>One Manhattan Square</v>
      </c>
      <c r="C2793" s="1" t="s">
        <v>66</v>
      </c>
      <c r="D2793" s="1" t="s">
        <v>41</v>
      </c>
      <c r="E2793" s="3">
        <v>2545625</v>
      </c>
      <c r="F2793" s="1">
        <v>2266.8076580587699</v>
      </c>
      <c r="G2793" s="1">
        <v>4</v>
      </c>
      <c r="H2793" s="1">
        <v>2</v>
      </c>
      <c r="I2793" s="1">
        <v>2</v>
      </c>
      <c r="J2793" s="1">
        <v>2</v>
      </c>
      <c r="K2793" s="1">
        <v>2</v>
      </c>
      <c r="M2793" s="4">
        <v>1123</v>
      </c>
      <c r="N2793" s="1">
        <v>1351</v>
      </c>
      <c r="O2793" s="1">
        <v>1374</v>
      </c>
      <c r="P2793" s="1">
        <v>23</v>
      </c>
      <c r="Q2793" s="1" t="s">
        <v>42</v>
      </c>
      <c r="S2793" s="1" t="s">
        <v>42</v>
      </c>
      <c r="T2793" s="1" t="s">
        <v>170</v>
      </c>
      <c r="U2793" s="1">
        <v>1</v>
      </c>
      <c r="V2793" s="5">
        <v>43685</v>
      </c>
      <c r="W2793" s="5">
        <v>43558</v>
      </c>
      <c r="X2793" s="1">
        <v>2549000</v>
      </c>
      <c r="Y2793" s="1">
        <v>2500000</v>
      </c>
      <c r="Z2793" s="5">
        <v>43560</v>
      </c>
      <c r="AA2793" s="1">
        <v>2545625</v>
      </c>
      <c r="AB2793" s="1" t="s">
        <v>2104</v>
      </c>
      <c r="AC2793" s="5">
        <v>43580</v>
      </c>
      <c r="AF2793" s="1">
        <v>10002</v>
      </c>
      <c r="AI2793" s="1" t="s">
        <v>163</v>
      </c>
      <c r="AJ2793" s="1">
        <v>2019</v>
      </c>
      <c r="AK2793" s="1" t="s">
        <v>73</v>
      </c>
      <c r="AL2793" s="1">
        <v>787</v>
      </c>
    </row>
    <row r="2794" spans="1:38" x14ac:dyDescent="0.2">
      <c r="A2794" s="2" t="str">
        <f>HYPERLINK("https://www.compass.com/listing/252-south-street-unit-46k-manhattan-ny-10002/287502510720050209/","252 South St, Unit 46K")</f>
        <v>252 South St, Unit 46K</v>
      </c>
      <c r="B2794" s="2" t="str">
        <f t="shared" si="388"/>
        <v>One Manhattan Square</v>
      </c>
      <c r="C2794" s="1" t="s">
        <v>66</v>
      </c>
      <c r="D2794" s="1" t="s">
        <v>41</v>
      </c>
      <c r="E2794" s="3">
        <v>2488530</v>
      </c>
      <c r="F2794" s="1">
        <v>2215.9661620658899</v>
      </c>
      <c r="G2794" s="1">
        <v>4</v>
      </c>
      <c r="H2794" s="1">
        <v>2</v>
      </c>
      <c r="I2794" s="1">
        <v>2</v>
      </c>
      <c r="J2794" s="1">
        <v>2</v>
      </c>
      <c r="K2794" s="1">
        <v>2</v>
      </c>
      <c r="M2794" s="4">
        <v>1123</v>
      </c>
      <c r="N2794" s="1">
        <v>1419</v>
      </c>
      <c r="O2794" s="1">
        <v>1441</v>
      </c>
      <c r="P2794" s="1">
        <v>22</v>
      </c>
      <c r="Q2794" s="1" t="s">
        <v>42</v>
      </c>
      <c r="S2794" s="1" t="s">
        <v>42</v>
      </c>
      <c r="T2794" s="1" t="s">
        <v>170</v>
      </c>
      <c r="U2794" s="1">
        <v>4</v>
      </c>
      <c r="V2794" s="5">
        <v>43653</v>
      </c>
      <c r="W2794" s="5">
        <v>43649</v>
      </c>
      <c r="X2794" s="1">
        <v>2587000</v>
      </c>
      <c r="Y2794" s="1">
        <v>2587000</v>
      </c>
      <c r="AA2794" s="1">
        <v>2488530</v>
      </c>
      <c r="AB2794" s="1" t="s">
        <v>2105</v>
      </c>
      <c r="AC2794" s="5">
        <v>43724</v>
      </c>
      <c r="AF2794" s="1">
        <v>10002</v>
      </c>
      <c r="AI2794" s="1" t="s">
        <v>163</v>
      </c>
      <c r="AJ2794" s="1">
        <v>2019</v>
      </c>
      <c r="AK2794" s="1" t="s">
        <v>73</v>
      </c>
      <c r="AL2794" s="1">
        <v>787</v>
      </c>
    </row>
    <row r="2795" spans="1:38" x14ac:dyDescent="0.2">
      <c r="A2795" s="2" t="str">
        <f>HYPERLINK("https://www.compass.com/listing/252-south-street-unit-10l-manhattan-ny-10002/95435175478986417/","252 South St, Unit 10L")</f>
        <v>252 South St, Unit 10L</v>
      </c>
      <c r="B2795" s="2" t="str">
        <f t="shared" si="388"/>
        <v>One Manhattan Square</v>
      </c>
      <c r="C2795" s="1" t="s">
        <v>66</v>
      </c>
      <c r="D2795" s="1" t="s">
        <v>41</v>
      </c>
      <c r="E2795" s="3">
        <v>2079193</v>
      </c>
      <c r="F2795" s="1">
        <v>1851.4630454140599</v>
      </c>
      <c r="G2795" s="1">
        <v>4</v>
      </c>
      <c r="H2795" s="1">
        <v>2</v>
      </c>
      <c r="I2795" s="1">
        <v>2</v>
      </c>
      <c r="J2795" s="1">
        <v>2</v>
      </c>
      <c r="K2795" s="1">
        <v>2</v>
      </c>
      <c r="M2795" s="4">
        <v>1123</v>
      </c>
      <c r="N2795" s="1">
        <v>1198</v>
      </c>
      <c r="O2795" s="1">
        <v>1218</v>
      </c>
      <c r="P2795" s="1">
        <v>20</v>
      </c>
      <c r="Q2795" s="1" t="s">
        <v>42</v>
      </c>
      <c r="S2795" s="1" t="s">
        <v>42</v>
      </c>
      <c r="T2795" s="1" t="s">
        <v>170</v>
      </c>
      <c r="U2795" s="1">
        <v>6</v>
      </c>
      <c r="V2795" s="5">
        <v>43683</v>
      </c>
      <c r="W2795" s="5">
        <v>43384</v>
      </c>
      <c r="X2795" s="1">
        <v>2038000</v>
      </c>
      <c r="Y2795" s="1">
        <v>2038000</v>
      </c>
      <c r="Z2795" s="5">
        <v>43390</v>
      </c>
      <c r="AA2795" s="1">
        <v>2079193</v>
      </c>
      <c r="AB2795" s="1" t="s">
        <v>2106</v>
      </c>
      <c r="AC2795" s="5">
        <v>43545</v>
      </c>
      <c r="AF2795" s="1">
        <v>10002</v>
      </c>
      <c r="AI2795" s="1" t="s">
        <v>163</v>
      </c>
      <c r="AJ2795" s="1">
        <v>2019</v>
      </c>
      <c r="AK2795" s="1" t="s">
        <v>73</v>
      </c>
      <c r="AL2795" s="1">
        <v>787</v>
      </c>
    </row>
    <row r="2796" spans="1:38" x14ac:dyDescent="0.2">
      <c r="A2796" s="2" t="str">
        <f>HYPERLINK("https://www.compass.com/listing/252-south-street-unit-34h-manhattan-ny-10002/29513508672595505/","252 South St, Unit 34H")</f>
        <v>252 South St, Unit 34H</v>
      </c>
      <c r="B2796" s="2" t="str">
        <f t="shared" si="388"/>
        <v>One Manhattan Square</v>
      </c>
      <c r="C2796" s="1" t="s">
        <v>66</v>
      </c>
      <c r="D2796" s="1" t="s">
        <v>41</v>
      </c>
      <c r="E2796" s="3">
        <v>1368455</v>
      </c>
      <c r="F2796" s="1">
        <v>1966.1709770114901</v>
      </c>
      <c r="G2796" s="1">
        <v>3</v>
      </c>
      <c r="H2796" s="1">
        <v>1</v>
      </c>
      <c r="I2796" s="1">
        <v>1</v>
      </c>
      <c r="J2796" s="1">
        <v>1</v>
      </c>
      <c r="K2796" s="1">
        <v>1</v>
      </c>
      <c r="M2796" s="1">
        <v>696</v>
      </c>
      <c r="N2796" s="1">
        <v>823</v>
      </c>
      <c r="O2796" s="1">
        <v>837</v>
      </c>
      <c r="P2796" s="1">
        <v>14</v>
      </c>
      <c r="Q2796" s="1" t="s">
        <v>42</v>
      </c>
      <c r="S2796" s="1" t="s">
        <v>42</v>
      </c>
      <c r="T2796" s="1" t="s">
        <v>170</v>
      </c>
      <c r="U2796" s="1">
        <v>10</v>
      </c>
      <c r="V2796" s="5">
        <v>43696</v>
      </c>
      <c r="W2796" s="5">
        <v>43238</v>
      </c>
      <c r="X2796" s="1">
        <v>1415000</v>
      </c>
      <c r="Y2796" s="1">
        <v>1415000</v>
      </c>
      <c r="Z2796" s="5">
        <v>43248</v>
      </c>
      <c r="AA2796" s="1">
        <v>1368455</v>
      </c>
      <c r="AB2796" s="1" t="s">
        <v>2107</v>
      </c>
      <c r="AC2796" s="5">
        <v>43644</v>
      </c>
      <c r="AF2796" s="1">
        <v>10002</v>
      </c>
      <c r="AI2796" s="1" t="s">
        <v>163</v>
      </c>
      <c r="AJ2796" s="1">
        <v>2019</v>
      </c>
      <c r="AK2796" s="1" t="s">
        <v>73</v>
      </c>
      <c r="AL2796" s="1">
        <v>787</v>
      </c>
    </row>
    <row r="2797" spans="1:38" x14ac:dyDescent="0.2">
      <c r="A2797" s="2" t="str">
        <f>HYPERLINK("https://www.compass.com/listing/252-south-street-unit-50h-manhattan-ny-10002/29513531237952049/","252 South St, Unit 50H")</f>
        <v>252 South St, Unit 50H</v>
      </c>
      <c r="B2797" s="2" t="str">
        <f t="shared" si="388"/>
        <v>One Manhattan Square</v>
      </c>
      <c r="C2797" s="1" t="s">
        <v>66</v>
      </c>
      <c r="D2797" s="1" t="s">
        <v>41</v>
      </c>
      <c r="E2797" s="3">
        <v>1419368</v>
      </c>
      <c r="F2797" s="1">
        <v>2039.3211206896499</v>
      </c>
      <c r="G2797" s="1">
        <v>3</v>
      </c>
      <c r="H2797" s="1">
        <v>1</v>
      </c>
      <c r="I2797" s="1">
        <v>1</v>
      </c>
      <c r="J2797" s="1">
        <v>1</v>
      </c>
      <c r="M2797" s="1">
        <v>696</v>
      </c>
      <c r="N2797" s="1">
        <v>885</v>
      </c>
      <c r="O2797" s="1">
        <v>900</v>
      </c>
      <c r="P2797" s="1">
        <v>15</v>
      </c>
      <c r="Q2797" s="1" t="s">
        <v>42</v>
      </c>
      <c r="S2797" s="1" t="s">
        <v>42</v>
      </c>
      <c r="T2797" s="1" t="s">
        <v>170</v>
      </c>
      <c r="U2797" s="1">
        <v>8</v>
      </c>
      <c r="V2797" s="5">
        <v>43780</v>
      </c>
      <c r="W2797" s="5">
        <v>42942</v>
      </c>
      <c r="X2797" s="1">
        <v>1479000</v>
      </c>
      <c r="Y2797" s="1">
        <v>1479000</v>
      </c>
      <c r="Z2797" s="5">
        <v>42950</v>
      </c>
      <c r="AA2797" s="1">
        <v>1419367.5</v>
      </c>
      <c r="AB2797" s="1" t="s">
        <v>2108</v>
      </c>
      <c r="AC2797" s="5">
        <v>43767</v>
      </c>
      <c r="AF2797" s="1">
        <v>10002</v>
      </c>
      <c r="AI2797" s="1" t="s">
        <v>163</v>
      </c>
      <c r="AJ2797" s="1">
        <v>2019</v>
      </c>
      <c r="AK2797" s="1" t="s">
        <v>73</v>
      </c>
      <c r="AL2797" s="1">
        <v>787</v>
      </c>
    </row>
    <row r="2798" spans="1:38" x14ac:dyDescent="0.2">
      <c r="A2798" s="2" t="str">
        <f>HYPERLINK("https://www.compass.com/listing/252-south-street-unit-8f-manhattan-ny-10002/66587047065825153/","252 South St, Unit 8F")</f>
        <v>252 South St, Unit 8F</v>
      </c>
      <c r="B2798" s="2" t="str">
        <f t="shared" si="388"/>
        <v>One Manhattan Square</v>
      </c>
      <c r="C2798" s="1" t="s">
        <v>66</v>
      </c>
      <c r="D2798" s="1" t="s">
        <v>41</v>
      </c>
      <c r="E2798" s="3">
        <v>1186282</v>
      </c>
      <c r="F2798" s="1">
        <v>1706.87989928057</v>
      </c>
      <c r="G2798" s="1">
        <v>3</v>
      </c>
      <c r="H2798" s="1">
        <v>1</v>
      </c>
      <c r="I2798" s="1">
        <v>1</v>
      </c>
      <c r="J2798" s="1">
        <v>1</v>
      </c>
      <c r="K2798" s="1">
        <v>1</v>
      </c>
      <c r="M2798" s="1">
        <v>695</v>
      </c>
      <c r="N2798" s="1">
        <v>734</v>
      </c>
      <c r="O2798" s="1">
        <v>746</v>
      </c>
      <c r="P2798" s="1">
        <v>12</v>
      </c>
      <c r="Q2798" s="1" t="s">
        <v>42</v>
      </c>
      <c r="S2798" s="1" t="s">
        <v>42</v>
      </c>
      <c r="T2798" s="1" t="s">
        <v>170</v>
      </c>
      <c r="U2798" s="1">
        <v>9</v>
      </c>
      <c r="V2798" s="5">
        <v>43857</v>
      </c>
      <c r="W2798" s="5">
        <v>43344</v>
      </c>
      <c r="X2798" s="1">
        <v>1197000</v>
      </c>
      <c r="Y2798" s="1">
        <v>1197000</v>
      </c>
      <c r="Z2798" s="5">
        <v>43353</v>
      </c>
      <c r="AA2798" s="1">
        <v>1186281.53</v>
      </c>
      <c r="AB2798" s="1" t="s">
        <v>2109</v>
      </c>
      <c r="AC2798" s="5">
        <v>43818</v>
      </c>
      <c r="AF2798" s="1">
        <v>10002</v>
      </c>
      <c r="AI2798" s="1" t="s">
        <v>163</v>
      </c>
      <c r="AJ2798" s="1">
        <v>2019</v>
      </c>
      <c r="AK2798" s="1" t="s">
        <v>73</v>
      </c>
      <c r="AL2798" s="1">
        <v>787</v>
      </c>
    </row>
    <row r="2799" spans="1:38" x14ac:dyDescent="0.2">
      <c r="A2799" s="2" t="str">
        <f>HYPERLINK("https://www.compass.com/listing/252-south-street-unit-37f-manhattan-ny-10002/29513531808326721/","252 South St, Unit 37F")</f>
        <v>252 South St, Unit 37F</v>
      </c>
      <c r="B2799" s="2" t="str">
        <f t="shared" si="388"/>
        <v>One Manhattan Square</v>
      </c>
      <c r="C2799" s="1" t="s">
        <v>66</v>
      </c>
      <c r="D2799" s="1" t="s">
        <v>41</v>
      </c>
      <c r="E2799" s="3">
        <v>1345952</v>
      </c>
      <c r="F2799" s="1">
        <v>1864.1995567867</v>
      </c>
      <c r="G2799" s="1">
        <v>3</v>
      </c>
      <c r="H2799" s="1">
        <v>1</v>
      </c>
      <c r="I2799" s="1">
        <v>1</v>
      </c>
      <c r="J2799" s="1">
        <v>1</v>
      </c>
      <c r="M2799" s="1">
        <v>722</v>
      </c>
      <c r="N2799" s="1">
        <v>865</v>
      </c>
      <c r="O2799" s="1">
        <v>880</v>
      </c>
      <c r="P2799" s="1">
        <v>15</v>
      </c>
      <c r="Q2799" s="1" t="s">
        <v>42</v>
      </c>
      <c r="S2799" s="1" t="s">
        <v>42</v>
      </c>
      <c r="T2799" s="1" t="s">
        <v>170</v>
      </c>
      <c r="U2799" s="1">
        <v>7</v>
      </c>
      <c r="V2799" s="5">
        <v>43938</v>
      </c>
      <c r="W2799" s="5">
        <v>42937</v>
      </c>
      <c r="X2799" s="1">
        <v>1380000</v>
      </c>
      <c r="Y2799" s="1">
        <v>1380000</v>
      </c>
      <c r="Z2799" s="5">
        <v>42944</v>
      </c>
      <c r="AA2799" s="1">
        <v>1345952.08</v>
      </c>
      <c r="AB2799" s="1" t="s">
        <v>2110</v>
      </c>
      <c r="AC2799" s="5">
        <v>43692</v>
      </c>
      <c r="AF2799" s="1">
        <v>10002</v>
      </c>
      <c r="AI2799" s="1" t="s">
        <v>163</v>
      </c>
      <c r="AJ2799" s="1">
        <v>2019</v>
      </c>
      <c r="AK2799" s="1" t="s">
        <v>73</v>
      </c>
      <c r="AL2799" s="1">
        <v>787</v>
      </c>
    </row>
    <row r="2800" spans="1:38" x14ac:dyDescent="0.2">
      <c r="A2800" s="2" t="str">
        <f>HYPERLINK("https://www.compass.com/listing/252-south-street-unit-26j-manhattan-ny-10002/29513536833153921/","252 South St, Unit 26J")</f>
        <v>252 South St, Unit 26J</v>
      </c>
      <c r="B2800" s="2" t="str">
        <f t="shared" si="388"/>
        <v>One Manhattan Square</v>
      </c>
      <c r="C2800" s="1" t="s">
        <v>66</v>
      </c>
      <c r="D2800" s="1" t="s">
        <v>41</v>
      </c>
      <c r="E2800" s="3">
        <v>1340361</v>
      </c>
      <c r="F2800" s="1">
        <v>1925.80603448275</v>
      </c>
      <c r="G2800" s="1">
        <v>3</v>
      </c>
      <c r="H2800" s="1">
        <v>1</v>
      </c>
      <c r="I2800" s="1">
        <v>1</v>
      </c>
      <c r="J2800" s="1">
        <v>1</v>
      </c>
      <c r="M2800" s="1">
        <v>696</v>
      </c>
      <c r="N2800" s="1">
        <v>797</v>
      </c>
      <c r="O2800" s="1">
        <v>810</v>
      </c>
      <c r="P2800" s="1">
        <v>13</v>
      </c>
      <c r="Q2800" s="1" t="s">
        <v>42</v>
      </c>
      <c r="S2800" s="1" t="s">
        <v>42</v>
      </c>
      <c r="T2800" s="1" t="s">
        <v>170</v>
      </c>
      <c r="U2800" s="1">
        <v>5</v>
      </c>
      <c r="V2800" s="5">
        <v>43696</v>
      </c>
      <c r="W2800" s="5">
        <v>42987</v>
      </c>
      <c r="X2800" s="1">
        <v>1353000</v>
      </c>
      <c r="Y2800" s="1">
        <v>1353000</v>
      </c>
      <c r="Z2800" s="5">
        <v>42992</v>
      </c>
      <c r="AA2800" s="1">
        <v>1340361.8400000001</v>
      </c>
      <c r="AB2800" s="1" t="s">
        <v>2111</v>
      </c>
      <c r="AC2800" s="5">
        <v>43616</v>
      </c>
      <c r="AF2800" s="1">
        <v>10002</v>
      </c>
      <c r="AI2800" s="1" t="s">
        <v>163</v>
      </c>
      <c r="AJ2800" s="1">
        <v>2019</v>
      </c>
      <c r="AK2800" s="1" t="s">
        <v>73</v>
      </c>
      <c r="AL2800" s="1">
        <v>787</v>
      </c>
    </row>
    <row r="2801" spans="1:38" x14ac:dyDescent="0.2">
      <c r="A2801" s="2" t="str">
        <f>HYPERLINK("https://www.compass.com/listing/252-south-street-unit-52j-manhattan-ny-10002/713909305156546457/","252 South St, Unit 52J")</f>
        <v>252 South St, Unit 52J</v>
      </c>
      <c r="B2801" s="2" t="str">
        <f t="shared" si="388"/>
        <v>One Manhattan Square</v>
      </c>
      <c r="C2801" s="1" t="s">
        <v>66</v>
      </c>
      <c r="D2801" s="1" t="s">
        <v>41</v>
      </c>
      <c r="E2801" s="3">
        <v>1230000</v>
      </c>
      <c r="F2801" s="1">
        <v>1769.7841726618699</v>
      </c>
      <c r="G2801" s="1">
        <v>3</v>
      </c>
      <c r="H2801" s="1">
        <v>1</v>
      </c>
      <c r="I2801" s="1">
        <v>1</v>
      </c>
      <c r="J2801" s="1">
        <v>1</v>
      </c>
      <c r="K2801" s="1">
        <v>1</v>
      </c>
      <c r="M2801" s="1">
        <v>695</v>
      </c>
      <c r="N2801" s="1">
        <v>904.48</v>
      </c>
      <c r="O2801" s="1">
        <v>918.48</v>
      </c>
      <c r="P2801" s="1">
        <v>14</v>
      </c>
      <c r="Q2801" s="1" t="s">
        <v>111</v>
      </c>
      <c r="S2801" s="1" t="s">
        <v>42</v>
      </c>
      <c r="T2801" s="1" t="s">
        <v>170</v>
      </c>
      <c r="U2801" s="1">
        <v>70</v>
      </c>
      <c r="V2801" s="5">
        <v>44334</v>
      </c>
      <c r="W2801" s="5">
        <v>44236</v>
      </c>
      <c r="X2801" s="1">
        <v>1398000</v>
      </c>
      <c r="Y2801" s="1">
        <v>1398000</v>
      </c>
      <c r="AA2801" s="1">
        <v>1230000</v>
      </c>
      <c r="AB2801" s="1" t="s">
        <v>2053</v>
      </c>
      <c r="AC2801" s="5">
        <v>44307</v>
      </c>
      <c r="AF2801" s="1">
        <v>10002</v>
      </c>
      <c r="AI2801" s="1" t="s">
        <v>113</v>
      </c>
      <c r="AJ2801" s="1">
        <v>2019</v>
      </c>
      <c r="AK2801" s="1" t="s">
        <v>73</v>
      </c>
      <c r="AL2801" s="1">
        <v>787</v>
      </c>
    </row>
    <row r="2802" spans="1:38" x14ac:dyDescent="0.2">
      <c r="A2802" s="2" t="str">
        <f>HYPERLINK("https://www.compass.com/listing/252-south-street-unit-41l-manhattan-ny-10002/29513508991398193/","252 South St, Unit 41L")</f>
        <v>252 South St, Unit 41L</v>
      </c>
      <c r="B2802" s="2" t="str">
        <f t="shared" si="388"/>
        <v>One Manhattan Square</v>
      </c>
      <c r="C2802" s="1" t="s">
        <v>66</v>
      </c>
      <c r="D2802" s="1" t="s">
        <v>41</v>
      </c>
      <c r="E2802" s="3">
        <v>2631085</v>
      </c>
      <c r="F2802" s="1">
        <v>2342.9073909171798</v>
      </c>
      <c r="G2802" s="1">
        <v>4</v>
      </c>
      <c r="H2802" s="1">
        <v>2</v>
      </c>
      <c r="I2802" s="1">
        <v>2</v>
      </c>
      <c r="J2802" s="1">
        <v>2</v>
      </c>
      <c r="K2802" s="1">
        <v>2</v>
      </c>
      <c r="M2802" s="4">
        <v>1123</v>
      </c>
      <c r="N2802" s="1">
        <v>1394.72</v>
      </c>
      <c r="O2802" s="1">
        <v>1416.74</v>
      </c>
      <c r="P2802" s="1">
        <v>22</v>
      </c>
      <c r="Q2802" s="1" t="s">
        <v>42</v>
      </c>
      <c r="S2802" s="1" t="s">
        <v>42</v>
      </c>
      <c r="T2802" s="1" t="s">
        <v>170</v>
      </c>
      <c r="U2802" s="1">
        <v>20</v>
      </c>
      <c r="V2802" s="5">
        <v>43759</v>
      </c>
      <c r="W2802" s="5">
        <v>43258</v>
      </c>
      <c r="X2802" s="1">
        <v>2680000</v>
      </c>
      <c r="Y2802" s="1">
        <v>2680000</v>
      </c>
      <c r="Z2802" s="5">
        <v>43278</v>
      </c>
      <c r="AA2802" s="1">
        <v>2631085</v>
      </c>
      <c r="AB2802" s="1" t="s">
        <v>2112</v>
      </c>
      <c r="AC2802" s="5">
        <v>43746</v>
      </c>
      <c r="AF2802" s="1">
        <v>10002</v>
      </c>
      <c r="AI2802" s="1" t="s">
        <v>163</v>
      </c>
      <c r="AJ2802" s="1">
        <v>2019</v>
      </c>
      <c r="AK2802" s="1" t="s">
        <v>73</v>
      </c>
      <c r="AL2802" s="1">
        <v>787</v>
      </c>
    </row>
    <row r="2803" spans="1:38" x14ac:dyDescent="0.2">
      <c r="A2803" s="2" t="str">
        <f>HYPERLINK("https://www.compass.com/listing/252-south-street-unit-10j-manhattan-ny-10002/29513533620266113/","252 South St, Unit 10J")</f>
        <v>252 South St, Unit 10J</v>
      </c>
      <c r="B2803" s="2" t="str">
        <f t="shared" si="388"/>
        <v>One Manhattan Square</v>
      </c>
      <c r="C2803" s="1" t="s">
        <v>66</v>
      </c>
      <c r="D2803" s="1" t="s">
        <v>41</v>
      </c>
      <c r="E2803" s="3">
        <v>1221421</v>
      </c>
      <c r="F2803" s="1">
        <v>1754.91566091954</v>
      </c>
      <c r="G2803" s="1">
        <v>3</v>
      </c>
      <c r="H2803" s="1">
        <v>1</v>
      </c>
      <c r="I2803" s="1">
        <v>1</v>
      </c>
      <c r="J2803" s="1">
        <v>1</v>
      </c>
      <c r="M2803" s="1">
        <v>696</v>
      </c>
      <c r="N2803" s="1">
        <v>742</v>
      </c>
      <c r="O2803" s="1">
        <v>755</v>
      </c>
      <c r="P2803" s="1">
        <v>13</v>
      </c>
      <c r="Q2803" s="1" t="s">
        <v>42</v>
      </c>
      <c r="S2803" s="1" t="s">
        <v>42</v>
      </c>
      <c r="T2803" s="1" t="s">
        <v>170</v>
      </c>
      <c r="U2803" s="1">
        <v>2</v>
      </c>
      <c r="V2803" s="5">
        <v>43683</v>
      </c>
      <c r="W2803" s="5">
        <v>43039</v>
      </c>
      <c r="X2803" s="1">
        <v>1220000</v>
      </c>
      <c r="Y2803" s="1">
        <v>1220000</v>
      </c>
      <c r="Z2803" s="5">
        <v>43041</v>
      </c>
      <c r="AA2803" s="1">
        <v>1221421.3</v>
      </c>
      <c r="AB2803" s="1" t="s">
        <v>2113</v>
      </c>
      <c r="AC2803" s="5">
        <v>43579</v>
      </c>
      <c r="AF2803" s="1">
        <v>10002</v>
      </c>
      <c r="AI2803" s="1" t="s">
        <v>163</v>
      </c>
      <c r="AJ2803" s="1">
        <v>2019</v>
      </c>
      <c r="AK2803" s="1" t="s">
        <v>73</v>
      </c>
      <c r="AL2803" s="1">
        <v>787</v>
      </c>
    </row>
    <row r="2804" spans="1:38" x14ac:dyDescent="0.2">
      <c r="A2804" s="2" t="str">
        <f>HYPERLINK("https://www.compass.com/listing/252-south-street-unit-12g-manhattan-ny-10002/29513536187266625/","252 South St, Unit 12G")</f>
        <v>252 South St, Unit 12G</v>
      </c>
      <c r="B2804" s="2" t="str">
        <f t="shared" si="388"/>
        <v>One Manhattan Square</v>
      </c>
      <c r="C2804" s="1" t="s">
        <v>66</v>
      </c>
      <c r="D2804" s="1" t="s">
        <v>41</v>
      </c>
      <c r="E2804" s="3">
        <v>1213638</v>
      </c>
      <c r="F2804" s="1">
        <v>1678.61410788381</v>
      </c>
      <c r="G2804" s="1">
        <v>3</v>
      </c>
      <c r="H2804" s="1">
        <v>1</v>
      </c>
      <c r="I2804" s="1">
        <v>1</v>
      </c>
      <c r="J2804" s="1">
        <v>1</v>
      </c>
      <c r="M2804" s="1">
        <v>723</v>
      </c>
      <c r="N2804" s="1">
        <v>779</v>
      </c>
      <c r="O2804" s="1">
        <v>792</v>
      </c>
      <c r="P2804" s="1">
        <v>13</v>
      </c>
      <c r="Q2804" s="1" t="s">
        <v>42</v>
      </c>
      <c r="S2804" s="1" t="s">
        <v>42</v>
      </c>
      <c r="T2804" s="1" t="s">
        <v>170</v>
      </c>
      <c r="U2804" s="1">
        <v>2</v>
      </c>
      <c r="V2804" s="5">
        <v>43696</v>
      </c>
      <c r="W2804" s="5">
        <v>43005</v>
      </c>
      <c r="X2804" s="1">
        <v>1192000</v>
      </c>
      <c r="Y2804" s="1">
        <v>1192000</v>
      </c>
      <c r="Z2804" s="5">
        <v>43007</v>
      </c>
      <c r="AA2804" s="1">
        <v>1213638.6499999999</v>
      </c>
      <c r="AB2804" s="1" t="s">
        <v>2114</v>
      </c>
      <c r="AC2804" s="5">
        <v>43550</v>
      </c>
      <c r="AF2804" s="1">
        <v>10002</v>
      </c>
      <c r="AI2804" s="1" t="s">
        <v>163</v>
      </c>
      <c r="AJ2804" s="1">
        <v>2019</v>
      </c>
      <c r="AK2804" s="1" t="s">
        <v>73</v>
      </c>
      <c r="AL2804" s="1">
        <v>787</v>
      </c>
    </row>
    <row r="2805" spans="1:38" x14ac:dyDescent="0.2">
      <c r="A2805" s="2" t="str">
        <f>HYPERLINK("https://www.compass.com/listing/252-south-street-unit-34f-manhattan-ny-10002/243233196098033153/","252 South St, Unit 34F")</f>
        <v>252 South St, Unit 34F</v>
      </c>
      <c r="B2805" s="2" t="str">
        <f t="shared" si="388"/>
        <v>One Manhattan Square</v>
      </c>
      <c r="C2805" s="1" t="s">
        <v>66</v>
      </c>
      <c r="D2805" s="1" t="s">
        <v>41</v>
      </c>
      <c r="E2805" s="3">
        <v>1365782</v>
      </c>
      <c r="F2805" s="1">
        <v>1891.66423822714</v>
      </c>
      <c r="G2805" s="1">
        <v>3</v>
      </c>
      <c r="H2805" s="1">
        <v>1</v>
      </c>
      <c r="I2805" s="1">
        <v>1</v>
      </c>
      <c r="J2805" s="1">
        <v>1</v>
      </c>
      <c r="K2805" s="1">
        <v>1</v>
      </c>
      <c r="M2805" s="1">
        <v>722</v>
      </c>
      <c r="N2805" s="1">
        <v>866</v>
      </c>
      <c r="O2805" s="1">
        <v>880</v>
      </c>
      <c r="P2805" s="1">
        <v>14</v>
      </c>
      <c r="Q2805" s="1" t="s">
        <v>42</v>
      </c>
      <c r="S2805" s="1" t="s">
        <v>42</v>
      </c>
      <c r="T2805" s="1" t="s">
        <v>170</v>
      </c>
      <c r="U2805" s="1">
        <v>29</v>
      </c>
      <c r="V2805" s="5">
        <v>43616</v>
      </c>
      <c r="W2805" s="5">
        <v>43587</v>
      </c>
      <c r="X2805" s="1">
        <v>1392000</v>
      </c>
      <c r="Y2805" s="1">
        <v>1392000</v>
      </c>
      <c r="AA2805" s="1">
        <v>1365781.58</v>
      </c>
      <c r="AB2805" s="1" t="s">
        <v>2115</v>
      </c>
      <c r="AC2805" s="5">
        <v>43691</v>
      </c>
      <c r="AF2805" s="1">
        <v>10002</v>
      </c>
      <c r="AI2805" s="1" t="s">
        <v>163</v>
      </c>
      <c r="AJ2805" s="1">
        <v>2019</v>
      </c>
      <c r="AK2805" s="1" t="s">
        <v>73</v>
      </c>
      <c r="AL2805" s="1">
        <v>787</v>
      </c>
    </row>
    <row r="2806" spans="1:38" x14ac:dyDescent="0.2">
      <c r="A2806" s="2" t="str">
        <f>HYPERLINK("https://www.compass.com/listing/252-south-street-unit-41h-manhattan-ny-10002/404240455077208321/","252 South St, Unit 41H")</f>
        <v>252 South St, Unit 41H</v>
      </c>
      <c r="B2806" s="2" t="str">
        <f t="shared" si="388"/>
        <v>One Manhattan Square</v>
      </c>
      <c r="C2806" s="1" t="s">
        <v>66</v>
      </c>
      <c r="D2806" s="1" t="s">
        <v>41</v>
      </c>
      <c r="E2806" s="3">
        <v>1413691</v>
      </c>
      <c r="F2806" s="1">
        <v>2031.1652298850499</v>
      </c>
      <c r="G2806" s="1">
        <v>3</v>
      </c>
      <c r="H2806" s="1">
        <v>1</v>
      </c>
      <c r="I2806" s="1">
        <v>1</v>
      </c>
      <c r="J2806" s="1">
        <v>1</v>
      </c>
      <c r="K2806" s="1">
        <v>1</v>
      </c>
      <c r="M2806" s="1">
        <v>696</v>
      </c>
      <c r="N2806" s="1">
        <v>864.4</v>
      </c>
      <c r="O2806" s="1">
        <v>878.05</v>
      </c>
      <c r="P2806" s="1">
        <v>13.6666666666666</v>
      </c>
      <c r="Q2806" s="1" t="s">
        <v>42</v>
      </c>
      <c r="S2806" s="1" t="s">
        <v>42</v>
      </c>
      <c r="T2806" s="1" t="s">
        <v>170</v>
      </c>
      <c r="U2806" s="1">
        <v>1</v>
      </c>
      <c r="V2806" s="5">
        <v>43879</v>
      </c>
      <c r="W2806" s="5">
        <v>43810</v>
      </c>
      <c r="X2806" s="1">
        <v>1465000</v>
      </c>
      <c r="Y2806" s="1">
        <v>1465000</v>
      </c>
      <c r="Z2806" s="5">
        <v>43811</v>
      </c>
      <c r="AA2806" s="1">
        <v>1413691</v>
      </c>
      <c r="AB2806" s="1" t="s">
        <v>2116</v>
      </c>
      <c r="AC2806" s="5">
        <v>43868</v>
      </c>
      <c r="AF2806" s="1">
        <v>10002</v>
      </c>
      <c r="AI2806" s="1" t="s">
        <v>163</v>
      </c>
      <c r="AJ2806" s="1">
        <v>2019</v>
      </c>
      <c r="AK2806" s="1" t="s">
        <v>73</v>
      </c>
      <c r="AL2806" s="1">
        <v>787</v>
      </c>
    </row>
    <row r="2807" spans="1:38" x14ac:dyDescent="0.2">
      <c r="A2807" s="2" t="str">
        <f>HYPERLINK("https://www.compass.com/listing/252-south-street-unit-36f-manhattan-ny-10002/29513522186592913/","252 South St, Unit 36F")</f>
        <v>252 South St, Unit 36F</v>
      </c>
      <c r="B2807" s="2" t="str">
        <f t="shared" si="388"/>
        <v>One Manhattan Square</v>
      </c>
      <c r="C2807" s="1" t="s">
        <v>66</v>
      </c>
      <c r="D2807" s="1" t="s">
        <v>41</v>
      </c>
      <c r="E2807" s="3">
        <v>1356342</v>
      </c>
      <c r="F2807" s="1">
        <v>1878.59002770083</v>
      </c>
      <c r="G2807" s="1">
        <v>3</v>
      </c>
      <c r="H2807" s="1">
        <v>1</v>
      </c>
      <c r="I2807" s="1">
        <v>1</v>
      </c>
      <c r="J2807" s="1">
        <v>1</v>
      </c>
      <c r="M2807" s="1">
        <v>722</v>
      </c>
      <c r="N2807" s="1">
        <v>861</v>
      </c>
      <c r="O2807" s="1">
        <v>876</v>
      </c>
      <c r="P2807" s="1">
        <v>15</v>
      </c>
      <c r="Q2807" s="1" t="s">
        <v>42</v>
      </c>
      <c r="S2807" s="1" t="s">
        <v>42</v>
      </c>
      <c r="T2807" s="1" t="s">
        <v>170</v>
      </c>
      <c r="U2807" s="1">
        <v>6</v>
      </c>
      <c r="V2807" s="5">
        <v>43696</v>
      </c>
      <c r="W2807" s="5">
        <v>43082</v>
      </c>
      <c r="X2807" s="1">
        <v>1373000</v>
      </c>
      <c r="Y2807" s="1">
        <v>1373000</v>
      </c>
      <c r="Z2807" s="5">
        <v>43088</v>
      </c>
      <c r="AA2807" s="1">
        <v>1356342</v>
      </c>
      <c r="AB2807" s="1" t="s">
        <v>2117</v>
      </c>
      <c r="AC2807" s="5">
        <v>43643</v>
      </c>
      <c r="AF2807" s="1">
        <v>10002</v>
      </c>
      <c r="AI2807" s="1" t="s">
        <v>163</v>
      </c>
      <c r="AJ2807" s="1">
        <v>2019</v>
      </c>
      <c r="AK2807" s="1" t="s">
        <v>73</v>
      </c>
      <c r="AL2807" s="1">
        <v>787</v>
      </c>
    </row>
    <row r="2808" spans="1:38" x14ac:dyDescent="0.2">
      <c r="A2808" s="2" t="str">
        <f>HYPERLINK("https://www.compass.com/listing/252-south-street-unit-50e-manhattan-ny-10002/157025215287785697/","252 South St, Unit 50E")</f>
        <v>252 South St, Unit 50E</v>
      </c>
      <c r="B2808" s="2" t="str">
        <f t="shared" si="388"/>
        <v>One Manhattan Square</v>
      </c>
      <c r="C2808" s="1" t="s">
        <v>66</v>
      </c>
      <c r="D2808" s="1" t="s">
        <v>41</v>
      </c>
      <c r="E2808" s="3">
        <v>1455923</v>
      </c>
      <c r="F2808" s="1">
        <v>2097.8717579250701</v>
      </c>
      <c r="G2808" s="1">
        <v>3</v>
      </c>
      <c r="H2808" s="1">
        <v>1</v>
      </c>
      <c r="I2808" s="1">
        <v>1</v>
      </c>
      <c r="J2808" s="1">
        <v>1</v>
      </c>
      <c r="K2808" s="1">
        <v>1</v>
      </c>
      <c r="M2808" s="1">
        <v>694</v>
      </c>
      <c r="N2808" s="1">
        <v>882</v>
      </c>
      <c r="O2808" s="1">
        <v>897</v>
      </c>
      <c r="P2808" s="1">
        <v>15</v>
      </c>
      <c r="Q2808" s="1" t="s">
        <v>42</v>
      </c>
      <c r="S2808" s="1" t="s">
        <v>42</v>
      </c>
      <c r="T2808" s="1" t="s">
        <v>170</v>
      </c>
      <c r="U2808" s="1">
        <v>1</v>
      </c>
      <c r="V2808" s="5">
        <v>43663</v>
      </c>
      <c r="W2808" s="5">
        <v>43469</v>
      </c>
      <c r="X2808" s="1">
        <v>1470000</v>
      </c>
      <c r="Y2808" s="1">
        <v>1470000</v>
      </c>
      <c r="Z2808" s="5">
        <v>43470</v>
      </c>
      <c r="AA2808" s="1">
        <v>1455923</v>
      </c>
      <c r="AB2808" s="1" t="s">
        <v>2118</v>
      </c>
      <c r="AC2808" s="5">
        <v>43516</v>
      </c>
      <c r="AF2808" s="1">
        <v>10002</v>
      </c>
      <c r="AI2808" s="1" t="s">
        <v>163</v>
      </c>
      <c r="AJ2808" s="1">
        <v>2019</v>
      </c>
      <c r="AK2808" s="1" t="s">
        <v>73</v>
      </c>
      <c r="AL2808" s="1">
        <v>787</v>
      </c>
    </row>
    <row r="2809" spans="1:38" x14ac:dyDescent="0.2">
      <c r="A2809" s="2" t="str">
        <f>HYPERLINK("https://www.compass.com/listing/252-south-street-unit-48h-manhattan-ny-10002/223080776894365857/","252 South St, Unit 48H")</f>
        <v>252 South St, Unit 48H</v>
      </c>
      <c r="B2809" s="2" t="str">
        <f t="shared" si="388"/>
        <v>One Manhattan Square</v>
      </c>
      <c r="C2809" s="1" t="s">
        <v>66</v>
      </c>
      <c r="D2809" s="1" t="s">
        <v>41</v>
      </c>
      <c r="E2809" s="3">
        <v>1455049</v>
      </c>
      <c r="F2809" s="1">
        <v>2090.5873850574699</v>
      </c>
      <c r="G2809" s="1">
        <v>3</v>
      </c>
      <c r="H2809" s="1">
        <v>1</v>
      </c>
      <c r="I2809" s="1">
        <v>1</v>
      </c>
      <c r="J2809" s="1">
        <v>1</v>
      </c>
      <c r="K2809" s="1">
        <v>1</v>
      </c>
      <c r="M2809" s="1">
        <v>696</v>
      </c>
      <c r="N2809" s="1">
        <v>874</v>
      </c>
      <c r="O2809" s="1">
        <v>889</v>
      </c>
      <c r="P2809" s="1">
        <v>15</v>
      </c>
      <c r="Q2809" s="1" t="s">
        <v>42</v>
      </c>
      <c r="S2809" s="1" t="s">
        <v>42</v>
      </c>
      <c r="T2809" s="1" t="s">
        <v>170</v>
      </c>
      <c r="U2809" s="1">
        <v>28</v>
      </c>
      <c r="V2809" s="5">
        <v>43588</v>
      </c>
      <c r="W2809" s="5">
        <v>43560</v>
      </c>
      <c r="X2809" s="1">
        <v>14900000</v>
      </c>
      <c r="Y2809" s="1">
        <v>1490000</v>
      </c>
      <c r="AA2809" s="1">
        <v>1455048.82</v>
      </c>
      <c r="AB2809" s="1" t="s">
        <v>2119</v>
      </c>
      <c r="AC2809" s="5">
        <v>43712</v>
      </c>
      <c r="AF2809" s="1">
        <v>10002</v>
      </c>
      <c r="AI2809" s="1" t="s">
        <v>163</v>
      </c>
      <c r="AJ2809" s="1">
        <v>2019</v>
      </c>
      <c r="AK2809" s="1" t="s">
        <v>73</v>
      </c>
      <c r="AL2809" s="1">
        <v>787</v>
      </c>
    </row>
    <row r="2810" spans="1:38" x14ac:dyDescent="0.2">
      <c r="A2810" s="2" t="str">
        <f>HYPERLINK("https://www.compass.com/listing/252-south-street-unit-36e-manhattan-ny-10002/100493077235415601/","252 South St, Unit 36E")</f>
        <v>252 South St, Unit 36E</v>
      </c>
      <c r="B2810" s="2" t="str">
        <f t="shared" si="388"/>
        <v>One Manhattan Square</v>
      </c>
      <c r="C2810" s="1" t="s">
        <v>66</v>
      </c>
      <c r="D2810" s="1" t="s">
        <v>41</v>
      </c>
      <c r="E2810" s="3">
        <v>1397871</v>
      </c>
      <c r="F2810" s="1">
        <v>2014.2228386167101</v>
      </c>
      <c r="G2810" s="1">
        <v>3</v>
      </c>
      <c r="H2810" s="1">
        <v>1</v>
      </c>
      <c r="I2810" s="1">
        <v>1</v>
      </c>
      <c r="J2810" s="1">
        <v>1</v>
      </c>
      <c r="K2810" s="1">
        <v>1</v>
      </c>
      <c r="M2810" s="1">
        <v>694</v>
      </c>
      <c r="N2810" s="1">
        <v>828</v>
      </c>
      <c r="O2810" s="1">
        <v>842</v>
      </c>
      <c r="P2810" s="1">
        <v>14</v>
      </c>
      <c r="Q2810" s="1" t="s">
        <v>42</v>
      </c>
      <c r="S2810" s="1" t="s">
        <v>42</v>
      </c>
      <c r="T2810" s="1" t="s">
        <v>170</v>
      </c>
      <c r="U2810" s="1">
        <v>3</v>
      </c>
      <c r="V2810" s="5">
        <v>43724</v>
      </c>
      <c r="W2810" s="5">
        <v>43396</v>
      </c>
      <c r="X2810" s="1">
        <v>1399000</v>
      </c>
      <c r="Y2810" s="1">
        <v>1399000</v>
      </c>
      <c r="Z2810" s="5">
        <v>43399</v>
      </c>
      <c r="AA2810" s="1">
        <v>1397870.65</v>
      </c>
      <c r="AB2810" s="1" t="s">
        <v>2120</v>
      </c>
      <c r="AC2810" s="5">
        <v>43712</v>
      </c>
      <c r="AF2810" s="1">
        <v>10002</v>
      </c>
      <c r="AI2810" s="1" t="s">
        <v>163</v>
      </c>
      <c r="AJ2810" s="1">
        <v>2019</v>
      </c>
      <c r="AK2810" s="1" t="s">
        <v>73</v>
      </c>
      <c r="AL2810" s="1">
        <v>787</v>
      </c>
    </row>
    <row r="2811" spans="1:38" x14ac:dyDescent="0.2">
      <c r="A2811" s="2" t="str">
        <f>HYPERLINK("https://www.compass.com/listing/252-south-street-unit-34j-manhattan-ny-10002/157033392024692849/","252 South St, Unit 34J")</f>
        <v>252 South St, Unit 34J</v>
      </c>
      <c r="B2811" s="2" t="str">
        <f t="shared" si="388"/>
        <v>One Manhattan Square</v>
      </c>
      <c r="C2811" s="1" t="s">
        <v>66</v>
      </c>
      <c r="D2811" s="1" t="s">
        <v>41</v>
      </c>
      <c r="E2811" s="3">
        <v>1418328</v>
      </c>
      <c r="F2811" s="1">
        <v>2040.75971223021</v>
      </c>
      <c r="G2811" s="1">
        <v>3</v>
      </c>
      <c r="H2811" s="1">
        <v>1</v>
      </c>
      <c r="I2811" s="1">
        <v>1</v>
      </c>
      <c r="J2811" s="1">
        <v>1</v>
      </c>
      <c r="K2811" s="1">
        <v>1</v>
      </c>
      <c r="M2811" s="1">
        <v>695</v>
      </c>
      <c r="N2811" s="1">
        <v>822</v>
      </c>
      <c r="O2811" s="1">
        <v>836</v>
      </c>
      <c r="P2811" s="1">
        <v>14</v>
      </c>
      <c r="Q2811" s="1" t="s">
        <v>42</v>
      </c>
      <c r="S2811" s="1" t="s">
        <v>42</v>
      </c>
      <c r="T2811" s="1" t="s">
        <v>170</v>
      </c>
      <c r="V2811" s="5">
        <v>43684</v>
      </c>
      <c r="W2811" s="5">
        <v>43468</v>
      </c>
      <c r="X2811" s="1">
        <v>1430000</v>
      </c>
      <c r="Y2811" s="1">
        <v>1430000</v>
      </c>
      <c r="Z2811" s="5">
        <v>43469</v>
      </c>
      <c r="AA2811" s="1">
        <v>1418328</v>
      </c>
      <c r="AB2811" s="1" t="s">
        <v>2121</v>
      </c>
      <c r="AC2811" s="5">
        <v>43607</v>
      </c>
      <c r="AF2811" s="1">
        <v>10002</v>
      </c>
      <c r="AI2811" s="1" t="s">
        <v>163</v>
      </c>
      <c r="AJ2811" s="1">
        <v>2019</v>
      </c>
      <c r="AK2811" s="1" t="s">
        <v>73</v>
      </c>
      <c r="AL2811" s="1">
        <v>787</v>
      </c>
    </row>
    <row r="2812" spans="1:38" x14ac:dyDescent="0.2">
      <c r="A2812" s="2" t="str">
        <f>HYPERLINK("https://www.compass.com/listing/252-south-street-unit-10p-manhattan-ny-10002/29513533326751153/","252 South St, Unit 10P")</f>
        <v>252 South St, Unit 10P</v>
      </c>
      <c r="B2812" s="2" t="str">
        <f t="shared" si="388"/>
        <v>One Manhattan Square</v>
      </c>
      <c r="C2812" s="1" t="s">
        <v>66</v>
      </c>
      <c r="D2812" s="1" t="s">
        <v>41</v>
      </c>
      <c r="E2812" s="3">
        <v>1395134</v>
      </c>
      <c r="F2812" s="1">
        <v>1929.6459197786901</v>
      </c>
      <c r="G2812" s="1">
        <v>3</v>
      </c>
      <c r="H2812" s="1">
        <v>1</v>
      </c>
      <c r="I2812" s="1">
        <v>1</v>
      </c>
      <c r="J2812" s="1">
        <v>1</v>
      </c>
      <c r="M2812" s="1">
        <v>723</v>
      </c>
      <c r="N2812" s="1">
        <v>771</v>
      </c>
      <c r="O2812" s="1">
        <v>784</v>
      </c>
      <c r="P2812" s="1">
        <v>13</v>
      </c>
      <c r="Q2812" s="1" t="s">
        <v>42</v>
      </c>
      <c r="S2812" s="1" t="s">
        <v>42</v>
      </c>
      <c r="T2812" s="1" t="s">
        <v>170</v>
      </c>
      <c r="U2812" s="1">
        <v>2</v>
      </c>
      <c r="V2812" s="5">
        <v>43683</v>
      </c>
      <c r="W2812" s="5">
        <v>43054</v>
      </c>
      <c r="X2812" s="1">
        <v>1380000</v>
      </c>
      <c r="Y2812" s="1">
        <v>1380000</v>
      </c>
      <c r="Z2812" s="5">
        <v>43056</v>
      </c>
      <c r="AA2812" s="1">
        <v>1395134</v>
      </c>
      <c r="AB2812" s="1" t="s">
        <v>2122</v>
      </c>
      <c r="AC2812" s="5">
        <v>43564</v>
      </c>
      <c r="AF2812" s="1">
        <v>10002</v>
      </c>
      <c r="AI2812" s="1" t="s">
        <v>163</v>
      </c>
      <c r="AJ2812" s="1">
        <v>2019</v>
      </c>
      <c r="AK2812" s="1" t="s">
        <v>73</v>
      </c>
      <c r="AL2812" s="1">
        <v>787</v>
      </c>
    </row>
    <row r="2813" spans="1:38" x14ac:dyDescent="0.2">
      <c r="A2813" s="2" t="str">
        <f>HYPERLINK("https://www.compass.com/listing/252-south-street-unit-38e-manhattan-ny-10002/4849516455055596897/","252 South St, Unit 38E")</f>
        <v>252 South St, Unit 38E</v>
      </c>
      <c r="B2813" s="2" t="str">
        <f t="shared" si="388"/>
        <v>One Manhattan Square</v>
      </c>
      <c r="C2813" s="1" t="s">
        <v>66</v>
      </c>
      <c r="D2813" s="1" t="s">
        <v>41</v>
      </c>
      <c r="E2813" s="3">
        <v>1364929</v>
      </c>
      <c r="F2813" s="1">
        <v>1966.7564841498499</v>
      </c>
      <c r="G2813" s="1">
        <v>3</v>
      </c>
      <c r="H2813" s="1">
        <v>1</v>
      </c>
      <c r="I2813" s="1">
        <v>1</v>
      </c>
      <c r="J2813" s="1">
        <v>1</v>
      </c>
      <c r="M2813" s="1">
        <v>694</v>
      </c>
      <c r="N2813" s="1">
        <v>835</v>
      </c>
      <c r="O2813" s="1">
        <v>849</v>
      </c>
      <c r="P2813" s="1">
        <v>14</v>
      </c>
      <c r="Q2813" s="1" t="s">
        <v>42</v>
      </c>
      <c r="S2813" s="1" t="s">
        <v>42</v>
      </c>
      <c r="T2813" s="1" t="s">
        <v>170</v>
      </c>
      <c r="U2813" s="1">
        <v>16</v>
      </c>
      <c r="V2813" s="5">
        <v>43696</v>
      </c>
      <c r="W2813" s="5">
        <v>43054</v>
      </c>
      <c r="X2813" s="1">
        <v>1409000</v>
      </c>
      <c r="Y2813" s="1">
        <v>1409000</v>
      </c>
      <c r="Z2813" s="5">
        <v>43070</v>
      </c>
      <c r="AA2813" s="1">
        <v>1394929.5</v>
      </c>
      <c r="AB2813" s="1" t="s">
        <v>2123</v>
      </c>
      <c r="AC2813" s="5">
        <v>43647</v>
      </c>
      <c r="AF2813" s="1">
        <v>10002</v>
      </c>
      <c r="AI2813" s="1" t="s">
        <v>163</v>
      </c>
      <c r="AJ2813" s="1">
        <v>2019</v>
      </c>
      <c r="AK2813" s="1" t="s">
        <v>73</v>
      </c>
      <c r="AL2813" s="1">
        <v>787</v>
      </c>
    </row>
    <row r="2814" spans="1:38" x14ac:dyDescent="0.2">
      <c r="A2814" s="2" t="str">
        <f>HYPERLINK("https://www.compass.com/listing/252-south-street-unit-18c-manhattan-ny-10002/29513530323593729/","252 South St, Unit 18C")</f>
        <v>252 South St, Unit 18C</v>
      </c>
      <c r="B2814" s="2" t="str">
        <f t="shared" si="388"/>
        <v>One Manhattan Square</v>
      </c>
      <c r="C2814" s="1" t="s">
        <v>66</v>
      </c>
      <c r="D2814" s="1" t="s">
        <v>41</v>
      </c>
      <c r="E2814" s="3">
        <v>1527302</v>
      </c>
      <c r="F2814" s="1">
        <v>2197.55683453237</v>
      </c>
      <c r="G2814" s="1">
        <v>3</v>
      </c>
      <c r="H2814" s="1">
        <v>1</v>
      </c>
      <c r="I2814" s="1">
        <v>1</v>
      </c>
      <c r="J2814" s="1">
        <v>1</v>
      </c>
      <c r="M2814" s="1">
        <v>695</v>
      </c>
      <c r="N2814" s="1">
        <v>759</v>
      </c>
      <c r="O2814" s="1">
        <v>772</v>
      </c>
      <c r="P2814" s="1">
        <v>13</v>
      </c>
      <c r="Q2814" s="1" t="s">
        <v>42</v>
      </c>
      <c r="S2814" s="1" t="s">
        <v>42</v>
      </c>
      <c r="T2814" s="1" t="s">
        <v>170</v>
      </c>
      <c r="U2814" s="1">
        <v>5</v>
      </c>
      <c r="V2814" s="5">
        <v>43683</v>
      </c>
      <c r="W2814" s="5">
        <v>42931</v>
      </c>
      <c r="X2814" s="1">
        <v>1482000</v>
      </c>
      <c r="Y2814" s="1">
        <v>1496000</v>
      </c>
      <c r="Z2814" s="5">
        <v>42936</v>
      </c>
      <c r="AA2814" s="1">
        <v>1527302</v>
      </c>
      <c r="AB2814" s="1" t="s">
        <v>2124</v>
      </c>
      <c r="AC2814" s="5">
        <v>43654</v>
      </c>
      <c r="AF2814" s="1">
        <v>10002</v>
      </c>
      <c r="AI2814" s="1" t="s">
        <v>163</v>
      </c>
      <c r="AJ2814" s="1">
        <v>2019</v>
      </c>
      <c r="AK2814" s="1" t="s">
        <v>73</v>
      </c>
      <c r="AL2814" s="1">
        <v>787</v>
      </c>
    </row>
    <row r="2815" spans="1:38" x14ac:dyDescent="0.2">
      <c r="A2815" s="2" t="str">
        <f>HYPERLINK("https://www.compass.com/listing/252-south-street-unit-41m-manhattan-ny-10002/29513530927522849/","252 South St, Unit 41M")</f>
        <v>252 South St, Unit 41M</v>
      </c>
      <c r="B2815" s="2" t="str">
        <f t="shared" si="388"/>
        <v>One Manhattan Square</v>
      </c>
      <c r="C2815" s="1" t="s">
        <v>66</v>
      </c>
      <c r="D2815" s="1" t="s">
        <v>41</v>
      </c>
      <c r="E2815" s="3">
        <v>1629013</v>
      </c>
      <c r="F2815" s="1">
        <v>2343.9035971223002</v>
      </c>
      <c r="G2815" s="1">
        <v>3</v>
      </c>
      <c r="H2815" s="1">
        <v>1</v>
      </c>
      <c r="I2815" s="1">
        <v>1</v>
      </c>
      <c r="J2815" s="1">
        <v>1</v>
      </c>
      <c r="M2815" s="1">
        <v>695</v>
      </c>
      <c r="N2815" s="1">
        <v>851</v>
      </c>
      <c r="O2815" s="1">
        <v>865</v>
      </c>
      <c r="P2815" s="1">
        <v>14</v>
      </c>
      <c r="Q2815" s="1" t="s">
        <v>42</v>
      </c>
      <c r="S2815" s="1" t="s">
        <v>42</v>
      </c>
      <c r="T2815" s="1" t="s">
        <v>170</v>
      </c>
      <c r="U2815" s="1">
        <v>8</v>
      </c>
      <c r="V2815" s="5">
        <v>43696</v>
      </c>
      <c r="W2815" s="5">
        <v>42943</v>
      </c>
      <c r="X2815" s="1">
        <v>1671000</v>
      </c>
      <c r="Y2815" s="1">
        <v>1671000</v>
      </c>
      <c r="Z2815" s="5">
        <v>42951</v>
      </c>
      <c r="AA2815" s="1">
        <v>1629013</v>
      </c>
      <c r="AB2815" s="1" t="s">
        <v>2125</v>
      </c>
      <c r="AC2815" s="5">
        <v>43642</v>
      </c>
      <c r="AF2815" s="1">
        <v>10002</v>
      </c>
      <c r="AI2815" s="1" t="s">
        <v>163</v>
      </c>
      <c r="AJ2815" s="1">
        <v>2019</v>
      </c>
      <c r="AK2815" s="1" t="s">
        <v>73</v>
      </c>
      <c r="AL2815" s="1">
        <v>787</v>
      </c>
    </row>
    <row r="2816" spans="1:38" x14ac:dyDescent="0.2">
      <c r="A2816" s="2" t="str">
        <f>HYPERLINK("https://www.compass.com/listing/252-south-street-unit-62k-manhattan-ny-10002/29513538997450465/","252 South St, Unit 62K")</f>
        <v>252 South St, Unit 62K</v>
      </c>
      <c r="B2816" s="2" t="str">
        <f t="shared" si="388"/>
        <v>One Manhattan Square</v>
      </c>
      <c r="C2816" s="1" t="s">
        <v>66</v>
      </c>
      <c r="D2816" s="1" t="s">
        <v>41</v>
      </c>
      <c r="E2816" s="3">
        <v>1701860</v>
      </c>
      <c r="F2816" s="1">
        <v>2473.6337209302301</v>
      </c>
      <c r="G2816" s="1">
        <v>3</v>
      </c>
      <c r="H2816" s="1">
        <v>1</v>
      </c>
      <c r="I2816" s="1">
        <v>1</v>
      </c>
      <c r="J2816" s="1">
        <v>1</v>
      </c>
      <c r="M2816" s="1">
        <v>688</v>
      </c>
      <c r="N2816" s="1">
        <v>918</v>
      </c>
      <c r="O2816" s="1">
        <v>933</v>
      </c>
      <c r="P2816" s="1">
        <v>15</v>
      </c>
      <c r="Q2816" s="1" t="s">
        <v>42</v>
      </c>
      <c r="S2816" s="1" t="s">
        <v>42</v>
      </c>
      <c r="T2816" s="1" t="s">
        <v>170</v>
      </c>
      <c r="U2816" s="1">
        <v>5</v>
      </c>
      <c r="V2816" s="5">
        <v>43704</v>
      </c>
      <c r="W2816" s="5">
        <v>42987</v>
      </c>
      <c r="X2816" s="1">
        <v>1746000</v>
      </c>
      <c r="Y2816" s="1">
        <v>1746000</v>
      </c>
      <c r="Z2816" s="5">
        <v>42992</v>
      </c>
      <c r="AA2816" s="1">
        <v>1701860</v>
      </c>
      <c r="AB2816" s="1" t="s">
        <v>2126</v>
      </c>
      <c r="AC2816" s="5">
        <v>43693</v>
      </c>
      <c r="AF2816" s="1">
        <v>10002</v>
      </c>
      <c r="AI2816" s="1" t="s">
        <v>163</v>
      </c>
      <c r="AJ2816" s="1">
        <v>2019</v>
      </c>
      <c r="AK2816" s="1" t="s">
        <v>73</v>
      </c>
      <c r="AL2816" s="1">
        <v>787</v>
      </c>
    </row>
    <row r="2817" spans="1:38" x14ac:dyDescent="0.2">
      <c r="A2817" s="2" t="str">
        <f>HYPERLINK("https://www.compass.com/listing/252-south-street-unit-75g-manhattan-ny-10002/29513539290965521/","252 South St, Unit 75G")</f>
        <v>252 South St, Unit 75G</v>
      </c>
      <c r="B2817" s="2" t="str">
        <f t="shared" si="388"/>
        <v>One Manhattan Square</v>
      </c>
      <c r="C2817" s="1" t="s">
        <v>66</v>
      </c>
      <c r="D2817" s="1" t="s">
        <v>41</v>
      </c>
      <c r="E2817" s="3">
        <v>1615484</v>
      </c>
      <c r="F2817" s="1">
        <v>2348.0872819767401</v>
      </c>
      <c r="G2817" s="1">
        <v>3</v>
      </c>
      <c r="H2817" s="1">
        <v>1</v>
      </c>
      <c r="I2817" s="1">
        <v>1</v>
      </c>
      <c r="J2817" s="1">
        <v>1</v>
      </c>
      <c r="M2817" s="1">
        <v>688</v>
      </c>
      <c r="N2817" s="1">
        <v>969</v>
      </c>
      <c r="O2817" s="1">
        <v>985</v>
      </c>
      <c r="P2817" s="1">
        <v>16</v>
      </c>
      <c r="Q2817" s="1" t="s">
        <v>42</v>
      </c>
      <c r="S2817" s="1" t="s">
        <v>42</v>
      </c>
      <c r="T2817" s="1" t="s">
        <v>170</v>
      </c>
      <c r="U2817" s="1">
        <v>5</v>
      </c>
      <c r="V2817" s="5">
        <v>43823</v>
      </c>
      <c r="W2817" s="5">
        <v>42987</v>
      </c>
      <c r="X2817" s="1">
        <v>1640000</v>
      </c>
      <c r="Y2817" s="1">
        <v>1640000</v>
      </c>
      <c r="Z2817" s="5">
        <v>42992</v>
      </c>
      <c r="AA2817" s="1">
        <v>1615484.05</v>
      </c>
      <c r="AB2817" s="1" t="s">
        <v>2127</v>
      </c>
      <c r="AC2817" s="5">
        <v>43804</v>
      </c>
      <c r="AF2817" s="1">
        <v>10002</v>
      </c>
      <c r="AI2817" s="1" t="s">
        <v>163</v>
      </c>
      <c r="AJ2817" s="1">
        <v>2019</v>
      </c>
      <c r="AK2817" s="1" t="s">
        <v>73</v>
      </c>
      <c r="AL2817" s="1">
        <v>787</v>
      </c>
    </row>
    <row r="2818" spans="1:38" x14ac:dyDescent="0.2">
      <c r="A2818" s="2" t="str">
        <f>HYPERLINK("https://www.compass.com/listing/252-south-street-unit-76k-manhattan-ny-10002/29513539626560561/","252 South St, Unit 76K")</f>
        <v>252 South St, Unit 76K</v>
      </c>
      <c r="B2818" s="2" t="str">
        <f t="shared" si="388"/>
        <v>One Manhattan Square</v>
      </c>
      <c r="C2818" s="1" t="s">
        <v>66</v>
      </c>
      <c r="D2818" s="1" t="s">
        <v>41</v>
      </c>
      <c r="E2818" s="3">
        <v>1763125</v>
      </c>
      <c r="F2818" s="1">
        <v>2562.6820203488301</v>
      </c>
      <c r="G2818" s="1">
        <v>3</v>
      </c>
      <c r="H2818" s="1">
        <v>1</v>
      </c>
      <c r="I2818" s="1">
        <v>1</v>
      </c>
      <c r="J2818" s="1">
        <v>1</v>
      </c>
      <c r="M2818" s="1">
        <v>688</v>
      </c>
      <c r="N2818" s="1">
        <v>972</v>
      </c>
      <c r="O2818" s="1">
        <v>988</v>
      </c>
      <c r="P2818" s="1">
        <v>16</v>
      </c>
      <c r="Q2818" s="1" t="s">
        <v>42</v>
      </c>
      <c r="S2818" s="1" t="s">
        <v>42</v>
      </c>
      <c r="T2818" s="1" t="s">
        <v>170</v>
      </c>
      <c r="U2818" s="1">
        <v>5</v>
      </c>
      <c r="V2818" s="5">
        <v>43816</v>
      </c>
      <c r="W2818" s="5">
        <v>42987</v>
      </c>
      <c r="X2818" s="1">
        <v>1809000</v>
      </c>
      <c r="Y2818" s="1">
        <v>1809000</v>
      </c>
      <c r="Z2818" s="5">
        <v>42992</v>
      </c>
      <c r="AA2818" s="1">
        <v>1763125.23</v>
      </c>
      <c r="AB2818" s="1" t="s">
        <v>2128</v>
      </c>
      <c r="AC2818" s="5">
        <v>43802</v>
      </c>
      <c r="AF2818" s="1">
        <v>10002</v>
      </c>
      <c r="AI2818" s="1" t="s">
        <v>163</v>
      </c>
      <c r="AJ2818" s="1">
        <v>2019</v>
      </c>
      <c r="AK2818" s="1" t="s">
        <v>73</v>
      </c>
      <c r="AL2818" s="1">
        <v>787</v>
      </c>
    </row>
    <row r="2819" spans="1:38" x14ac:dyDescent="0.2">
      <c r="A2819" s="2" t="str">
        <f>HYPERLINK("https://www.compass.com/listing/252-south-street-unit-47m-manhattan-ny-10002/29513550338849025/","252 South St, Unit 47M")</f>
        <v>252 South St, Unit 47M</v>
      </c>
      <c r="B2819" s="2" t="str">
        <f t="shared" si="388"/>
        <v>One Manhattan Square</v>
      </c>
      <c r="C2819" s="1" t="s">
        <v>66</v>
      </c>
      <c r="D2819" s="1" t="s">
        <v>41</v>
      </c>
      <c r="E2819" s="3">
        <v>1674205</v>
      </c>
      <c r="F2819" s="1">
        <v>2408.9280575539501</v>
      </c>
      <c r="G2819" s="1">
        <v>3</v>
      </c>
      <c r="H2819" s="1">
        <v>1</v>
      </c>
      <c r="I2819" s="1">
        <v>1</v>
      </c>
      <c r="J2819" s="1">
        <v>1</v>
      </c>
      <c r="M2819" s="1">
        <v>695</v>
      </c>
      <c r="N2819" s="1">
        <v>869</v>
      </c>
      <c r="O2819" s="1">
        <v>884</v>
      </c>
      <c r="P2819" s="1">
        <v>15</v>
      </c>
      <c r="Q2819" s="1" t="s">
        <v>42</v>
      </c>
      <c r="S2819" s="1" t="s">
        <v>42</v>
      </c>
      <c r="T2819" s="1" t="s">
        <v>170</v>
      </c>
      <c r="U2819" s="1">
        <v>1</v>
      </c>
      <c r="V2819" s="5">
        <v>43696</v>
      </c>
      <c r="W2819" s="5">
        <v>43041</v>
      </c>
      <c r="X2819" s="1">
        <v>1691000</v>
      </c>
      <c r="Y2819" s="1">
        <v>1691000</v>
      </c>
      <c r="Z2819" s="5">
        <v>43042</v>
      </c>
      <c r="AA2819" s="1">
        <v>1674205</v>
      </c>
      <c r="AB2819" s="1" t="s">
        <v>2129</v>
      </c>
      <c r="AC2819" s="5">
        <v>43665</v>
      </c>
      <c r="AF2819" s="1">
        <v>10002</v>
      </c>
      <c r="AI2819" s="1" t="s">
        <v>163</v>
      </c>
      <c r="AJ2819" s="1">
        <v>2019</v>
      </c>
      <c r="AK2819" s="1" t="s">
        <v>73</v>
      </c>
      <c r="AL2819" s="1">
        <v>787</v>
      </c>
    </row>
    <row r="2820" spans="1:38" x14ac:dyDescent="0.2">
      <c r="A2820" s="2" t="str">
        <f>HYPERLINK("https://www.compass.com/listing/252-south-street-unit-34m-manhattan-ny-10002/4849516424227461089/","252 South St, Unit 34M")</f>
        <v>252 South St, Unit 34M</v>
      </c>
      <c r="B2820" s="2" t="str">
        <f t="shared" si="388"/>
        <v>One Manhattan Square</v>
      </c>
      <c r="C2820" s="1" t="s">
        <v>66</v>
      </c>
      <c r="D2820" s="1" t="s">
        <v>41</v>
      </c>
      <c r="E2820" s="3">
        <v>1597561</v>
      </c>
      <c r="F2820" s="1">
        <v>2298.6489208633002</v>
      </c>
      <c r="G2820" s="1">
        <v>3</v>
      </c>
      <c r="H2820" s="1">
        <v>1</v>
      </c>
      <c r="I2820" s="1">
        <v>1</v>
      </c>
      <c r="J2820" s="1">
        <v>1</v>
      </c>
      <c r="M2820" s="1">
        <v>695</v>
      </c>
      <c r="N2820" s="1">
        <v>822</v>
      </c>
      <c r="O2820" s="1">
        <v>836</v>
      </c>
      <c r="P2820" s="1">
        <v>14</v>
      </c>
      <c r="Q2820" s="1" t="s">
        <v>42</v>
      </c>
      <c r="S2820" s="1" t="s">
        <v>42</v>
      </c>
      <c r="T2820" s="1" t="s">
        <v>170</v>
      </c>
      <c r="U2820" s="1">
        <v>14</v>
      </c>
      <c r="V2820" s="5">
        <v>43696</v>
      </c>
      <c r="W2820" s="5">
        <v>43056</v>
      </c>
      <c r="X2820" s="1">
        <v>1630000</v>
      </c>
      <c r="Y2820" s="1">
        <v>1630000</v>
      </c>
      <c r="Z2820" s="5">
        <v>43070</v>
      </c>
      <c r="AA2820" s="1">
        <v>1597561</v>
      </c>
      <c r="AB2820" s="1" t="s">
        <v>2130</v>
      </c>
      <c r="AC2820" s="5">
        <v>43648</v>
      </c>
      <c r="AF2820" s="1">
        <v>10002</v>
      </c>
      <c r="AI2820" s="1" t="s">
        <v>163</v>
      </c>
      <c r="AJ2820" s="1">
        <v>2019</v>
      </c>
      <c r="AK2820" s="1" t="s">
        <v>73</v>
      </c>
      <c r="AL2820" s="1">
        <v>787</v>
      </c>
    </row>
    <row r="2821" spans="1:38" x14ac:dyDescent="0.2">
      <c r="A2821" s="2" t="str">
        <f>HYPERLINK("https://www.compass.com/listing/252-south-street-unit-18b-manhattan-ny-10002/54884995411490977/","252 South St, Unit 18B")</f>
        <v>252 South St, Unit 18B</v>
      </c>
      <c r="B2821" s="2" t="str">
        <f t="shared" si="388"/>
        <v>One Manhattan Square</v>
      </c>
      <c r="C2821" s="1" t="s">
        <v>66</v>
      </c>
      <c r="D2821" s="1" t="s">
        <v>41</v>
      </c>
      <c r="E2821" s="3">
        <v>1530356</v>
      </c>
      <c r="F2821" s="1">
        <v>2198.78735632183</v>
      </c>
      <c r="G2821" s="1">
        <v>3</v>
      </c>
      <c r="H2821" s="1">
        <v>1</v>
      </c>
      <c r="I2821" s="1">
        <v>1</v>
      </c>
      <c r="J2821" s="1">
        <v>1</v>
      </c>
      <c r="K2821" s="1">
        <v>1</v>
      </c>
      <c r="M2821" s="1">
        <v>696</v>
      </c>
      <c r="N2821" s="1">
        <v>764</v>
      </c>
      <c r="O2821" s="1">
        <v>777</v>
      </c>
      <c r="P2821" s="1">
        <v>13</v>
      </c>
      <c r="Q2821" s="1" t="s">
        <v>42</v>
      </c>
      <c r="S2821" s="1" t="s">
        <v>42</v>
      </c>
      <c r="T2821" s="1" t="s">
        <v>170</v>
      </c>
      <c r="U2821" s="1">
        <v>4</v>
      </c>
      <c r="V2821" s="5">
        <v>43683</v>
      </c>
      <c r="W2821" s="5">
        <v>43328</v>
      </c>
      <c r="X2821" s="1">
        <v>1499000</v>
      </c>
      <c r="Y2821" s="1">
        <v>1499000</v>
      </c>
      <c r="Z2821" s="5">
        <v>43332</v>
      </c>
      <c r="AA2821" s="1">
        <v>1530356</v>
      </c>
      <c r="AB2821" s="1" t="s">
        <v>2131</v>
      </c>
      <c r="AC2821" s="5">
        <v>43530</v>
      </c>
      <c r="AF2821" s="1">
        <v>10002</v>
      </c>
      <c r="AI2821" s="1" t="s">
        <v>163</v>
      </c>
      <c r="AJ2821" s="1">
        <v>2019</v>
      </c>
      <c r="AK2821" s="1" t="s">
        <v>73</v>
      </c>
      <c r="AL2821" s="1">
        <v>787</v>
      </c>
    </row>
    <row r="2822" spans="1:38" x14ac:dyDescent="0.2">
      <c r="A2822" s="2" t="str">
        <f>HYPERLINK("https://www.compass.com/listing/252-south-street-unit-7g-manhattan-ny-10002/756553463631080089/","252 South St, Unit 7G")</f>
        <v>252 South St, Unit 7G</v>
      </c>
      <c r="B2822" s="2" t="str">
        <f t="shared" si="388"/>
        <v>One Manhattan Square</v>
      </c>
      <c r="C2822" s="1" t="s">
        <v>66</v>
      </c>
      <c r="D2822" s="1" t="s">
        <v>41</v>
      </c>
      <c r="E2822" s="3">
        <v>1047706</v>
      </c>
      <c r="F2822" s="1">
        <v>1449.1096127247499</v>
      </c>
      <c r="G2822" s="1">
        <v>3</v>
      </c>
      <c r="H2822" s="1">
        <v>1</v>
      </c>
      <c r="I2822" s="1">
        <v>1</v>
      </c>
      <c r="J2822" s="1">
        <v>1</v>
      </c>
      <c r="K2822" s="1">
        <v>1</v>
      </c>
      <c r="M2822" s="1">
        <v>723</v>
      </c>
      <c r="N2822" s="1">
        <v>771</v>
      </c>
      <c r="O2822" s="1">
        <v>783</v>
      </c>
      <c r="P2822" s="1">
        <v>12</v>
      </c>
      <c r="Q2822" s="1" t="s">
        <v>42</v>
      </c>
      <c r="S2822" s="1" t="s">
        <v>42</v>
      </c>
      <c r="T2822" s="1" t="s">
        <v>170</v>
      </c>
      <c r="U2822" s="1">
        <v>77</v>
      </c>
      <c r="V2822" s="5">
        <v>44296</v>
      </c>
      <c r="W2822" s="5">
        <v>44219</v>
      </c>
      <c r="X2822" s="1">
        <v>1251000</v>
      </c>
      <c r="Y2822" s="1">
        <v>1251000</v>
      </c>
      <c r="Z2822" s="5">
        <v>44296</v>
      </c>
      <c r="AA2822" s="1">
        <v>1047706.25</v>
      </c>
      <c r="AB2822" s="1" t="s">
        <v>2132</v>
      </c>
      <c r="AC2822" s="5">
        <v>44355</v>
      </c>
      <c r="AF2822" s="1">
        <v>10002</v>
      </c>
      <c r="AI2822" s="1" t="s">
        <v>163</v>
      </c>
      <c r="AJ2822" s="1">
        <v>2019</v>
      </c>
      <c r="AK2822" s="1" t="s">
        <v>73</v>
      </c>
      <c r="AL2822" s="1">
        <v>787</v>
      </c>
    </row>
    <row r="2823" spans="1:38" x14ac:dyDescent="0.2">
      <c r="A2823" s="2" t="str">
        <f>HYPERLINK("https://www.compass.com/listing/252-south-street-unit-35f-manhattan-ny-10002/308592528592816737/","252 South St, Unit 35F")</f>
        <v>252 South St, Unit 35F</v>
      </c>
      <c r="B2823" s="2" t="str">
        <f t="shared" si="388"/>
        <v>One Manhattan Square</v>
      </c>
      <c r="C2823" s="1" t="s">
        <v>66</v>
      </c>
      <c r="D2823" s="1" t="s">
        <v>41</v>
      </c>
      <c r="E2823" s="3">
        <v>1364430</v>
      </c>
      <c r="F2823" s="1">
        <v>1889.7917451523499</v>
      </c>
      <c r="G2823" s="1">
        <v>3</v>
      </c>
      <c r="H2823" s="1">
        <v>1</v>
      </c>
      <c r="I2823" s="1">
        <v>1</v>
      </c>
      <c r="J2823" s="1">
        <v>1</v>
      </c>
      <c r="K2823" s="1">
        <v>1</v>
      </c>
      <c r="M2823" s="1">
        <v>722</v>
      </c>
      <c r="N2823" s="1">
        <v>870</v>
      </c>
      <c r="O2823" s="1">
        <v>884</v>
      </c>
      <c r="P2823" s="1">
        <v>14</v>
      </c>
      <c r="Q2823" s="1" t="s">
        <v>42</v>
      </c>
      <c r="S2823" s="1" t="s">
        <v>42</v>
      </c>
      <c r="T2823" s="1" t="s">
        <v>170</v>
      </c>
      <c r="U2823" s="1">
        <v>29</v>
      </c>
      <c r="V2823" s="5">
        <v>43938</v>
      </c>
      <c r="W2823" s="5">
        <v>43677</v>
      </c>
      <c r="Y2823" s="1">
        <v>1336045</v>
      </c>
      <c r="Z2823" s="5">
        <v>43707</v>
      </c>
      <c r="AA2823" s="1">
        <v>1364429.64</v>
      </c>
      <c r="AB2823" s="1" t="s">
        <v>2133</v>
      </c>
      <c r="AC2823" s="5">
        <v>43795</v>
      </c>
      <c r="AF2823" s="1">
        <v>10002</v>
      </c>
      <c r="AI2823" s="1" t="s">
        <v>163</v>
      </c>
      <c r="AJ2823" s="1">
        <v>2019</v>
      </c>
      <c r="AK2823" s="1" t="s">
        <v>73</v>
      </c>
      <c r="AL2823" s="1">
        <v>787</v>
      </c>
    </row>
    <row r="2824" spans="1:38" x14ac:dyDescent="0.2">
      <c r="A2824" s="2" t="str">
        <f>HYPERLINK("https://www.compass.com/listing/252-south-street-unit-38b-manhattan-ny-10002/56364690237842145/","252 South St, Unit 38B")</f>
        <v>252 South St, Unit 38B</v>
      </c>
      <c r="B2824" s="2" t="str">
        <f t="shared" si="388"/>
        <v>One Manhattan Square</v>
      </c>
      <c r="C2824" s="1" t="s">
        <v>66</v>
      </c>
      <c r="D2824" s="1" t="s">
        <v>41</v>
      </c>
      <c r="E2824" s="3">
        <v>2321741</v>
      </c>
      <c r="F2824" s="1">
        <v>2221.76172248803</v>
      </c>
      <c r="G2824" s="1">
        <v>3</v>
      </c>
      <c r="H2824" s="1">
        <v>2</v>
      </c>
      <c r="I2824" s="1">
        <v>2</v>
      </c>
      <c r="J2824" s="1">
        <v>2</v>
      </c>
      <c r="K2824" s="1">
        <v>2</v>
      </c>
      <c r="M2824" s="4">
        <v>1045</v>
      </c>
      <c r="N2824" s="1">
        <v>1257</v>
      </c>
      <c r="O2824" s="1">
        <v>1278</v>
      </c>
      <c r="P2824" s="1">
        <v>21</v>
      </c>
      <c r="Q2824" s="1" t="s">
        <v>42</v>
      </c>
      <c r="S2824" s="1" t="s">
        <v>42</v>
      </c>
      <c r="T2824" s="1" t="s">
        <v>170</v>
      </c>
      <c r="U2824" s="1">
        <v>3</v>
      </c>
      <c r="V2824" s="5">
        <v>43696</v>
      </c>
      <c r="W2824" s="5">
        <v>43332</v>
      </c>
      <c r="X2824" s="1">
        <v>2396000</v>
      </c>
      <c r="Y2824" s="1">
        <v>2396000</v>
      </c>
      <c r="Z2824" s="5">
        <v>43335</v>
      </c>
      <c r="AA2824" s="1">
        <v>2321741</v>
      </c>
      <c r="AB2824" s="1" t="s">
        <v>2134</v>
      </c>
      <c r="AC2824" s="5">
        <v>43645</v>
      </c>
      <c r="AF2824" s="1">
        <v>10002</v>
      </c>
      <c r="AI2824" s="1" t="s">
        <v>163</v>
      </c>
      <c r="AJ2824" s="1">
        <v>2019</v>
      </c>
      <c r="AK2824" s="1" t="s">
        <v>73</v>
      </c>
      <c r="AL2824" s="1">
        <v>787</v>
      </c>
    </row>
    <row r="2825" spans="1:38" x14ac:dyDescent="0.2">
      <c r="A2825" s="2" t="str">
        <f>HYPERLINK("https://www.compass.com/listing/252-south-street-unit-8a-manhattan-ny-10002/95450018005126833/","252 South St, Unit 8A")</f>
        <v>252 South St, Unit 8A</v>
      </c>
      <c r="B2825" s="2" t="str">
        <f t="shared" si="388"/>
        <v>One Manhattan Square</v>
      </c>
      <c r="C2825" s="1" t="s">
        <v>66</v>
      </c>
      <c r="D2825" s="1" t="s">
        <v>41</v>
      </c>
      <c r="E2825" s="3">
        <v>2223369</v>
      </c>
      <c r="F2825" s="1">
        <v>1913.39858864027</v>
      </c>
      <c r="G2825" s="1">
        <v>4</v>
      </c>
      <c r="H2825" s="1">
        <v>2</v>
      </c>
      <c r="I2825" s="1">
        <v>2</v>
      </c>
      <c r="J2825" s="1">
        <v>2</v>
      </c>
      <c r="K2825" s="1">
        <v>2</v>
      </c>
      <c r="M2825" s="4">
        <v>1162</v>
      </c>
      <c r="N2825" s="1">
        <v>1227</v>
      </c>
      <c r="O2825" s="1">
        <v>1248</v>
      </c>
      <c r="P2825" s="1">
        <v>21</v>
      </c>
      <c r="Q2825" s="1" t="s">
        <v>42</v>
      </c>
      <c r="S2825" s="1" t="s">
        <v>42</v>
      </c>
      <c r="T2825" s="1" t="s">
        <v>170</v>
      </c>
      <c r="U2825" s="1">
        <v>11</v>
      </c>
      <c r="V2825" s="5">
        <v>43949</v>
      </c>
      <c r="W2825" s="5">
        <v>43384</v>
      </c>
      <c r="X2825" s="1">
        <v>2247000</v>
      </c>
      <c r="Y2825" s="1">
        <v>2179590</v>
      </c>
      <c r="Z2825" s="5">
        <v>43396</v>
      </c>
      <c r="AA2825" s="1">
        <v>2223369.16</v>
      </c>
      <c r="AB2825" s="1" t="s">
        <v>2135</v>
      </c>
      <c r="AC2825" s="5">
        <v>43945</v>
      </c>
      <c r="AF2825" s="1">
        <v>10002</v>
      </c>
      <c r="AI2825" s="1" t="s">
        <v>163</v>
      </c>
      <c r="AJ2825" s="1">
        <v>2019</v>
      </c>
      <c r="AK2825" s="1" t="s">
        <v>73</v>
      </c>
      <c r="AL2825" s="1">
        <v>787</v>
      </c>
    </row>
    <row r="2826" spans="1:38" x14ac:dyDescent="0.2">
      <c r="A2826" s="2" t="str">
        <f>HYPERLINK("https://www.compass.com/listing/252-south-street-unit-39d-manhattan-ny-10002/739098575450402225/","252 South St, Unit 39D")</f>
        <v>252 South St, Unit 39D</v>
      </c>
      <c r="B2826" s="2" t="str">
        <f t="shared" si="388"/>
        <v>One Manhattan Square</v>
      </c>
      <c r="C2826" s="1" t="s">
        <v>66</v>
      </c>
      <c r="D2826" s="1" t="s">
        <v>41</v>
      </c>
      <c r="E2826" s="3">
        <v>2336811</v>
      </c>
      <c r="F2826" s="1">
        <v>2007.5693728522299</v>
      </c>
      <c r="G2826" s="1">
        <v>4</v>
      </c>
      <c r="H2826" s="1">
        <v>2</v>
      </c>
      <c r="I2826" s="1">
        <v>2</v>
      </c>
      <c r="J2826" s="1">
        <v>2</v>
      </c>
      <c r="K2826" s="1">
        <v>2</v>
      </c>
      <c r="M2826" s="4">
        <v>1164</v>
      </c>
      <c r="N2826" s="1">
        <v>1434</v>
      </c>
      <c r="O2826" s="1">
        <v>1457</v>
      </c>
      <c r="P2826" s="1">
        <v>23</v>
      </c>
      <c r="Q2826" s="1" t="s">
        <v>42</v>
      </c>
      <c r="S2826" s="1" t="s">
        <v>42</v>
      </c>
      <c r="T2826" s="1" t="s">
        <v>170</v>
      </c>
      <c r="V2826" s="5">
        <v>44354</v>
      </c>
      <c r="W2826" s="5">
        <v>44261</v>
      </c>
      <c r="X2826" s="1">
        <v>2838000</v>
      </c>
      <c r="Y2826" s="1">
        <v>2838000</v>
      </c>
      <c r="Z2826" s="5">
        <v>44261</v>
      </c>
      <c r="AA2826" s="1">
        <v>2336810.75</v>
      </c>
      <c r="AB2826" s="1" t="s">
        <v>2136</v>
      </c>
      <c r="AC2826" s="5">
        <v>44344</v>
      </c>
      <c r="AF2826" s="1">
        <v>10002</v>
      </c>
      <c r="AI2826" s="1" t="s">
        <v>163</v>
      </c>
      <c r="AJ2826" s="1">
        <v>2019</v>
      </c>
      <c r="AK2826" s="1" t="s">
        <v>73</v>
      </c>
      <c r="AL2826" s="1">
        <v>787</v>
      </c>
    </row>
    <row r="2827" spans="1:38" x14ac:dyDescent="0.2">
      <c r="A2827" s="2" t="str">
        <f>HYPERLINK("https://www.compass.com/listing/252-south-street-unit-18l-manhattan-ny-10002/739097526211668625/","252 South St, Unit 18L")</f>
        <v>252 South St, Unit 18L</v>
      </c>
      <c r="B2827" s="2" t="str">
        <f t="shared" si="388"/>
        <v>One Manhattan Square</v>
      </c>
      <c r="C2827" s="1" t="s">
        <v>66</v>
      </c>
      <c r="D2827" s="1" t="s">
        <v>41</v>
      </c>
      <c r="E2827" s="3">
        <v>1910000</v>
      </c>
      <c r="F2827" s="1">
        <v>1700.80142475512</v>
      </c>
      <c r="G2827" s="1">
        <v>4</v>
      </c>
      <c r="H2827" s="1">
        <v>2</v>
      </c>
      <c r="I2827" s="1">
        <v>2</v>
      </c>
      <c r="J2827" s="1">
        <v>2</v>
      </c>
      <c r="K2827" s="1">
        <v>2</v>
      </c>
      <c r="M2827" s="4">
        <v>1123</v>
      </c>
      <c r="N2827" s="1">
        <v>1251</v>
      </c>
      <c r="O2827" s="1">
        <v>1271</v>
      </c>
      <c r="P2827" s="1">
        <v>20</v>
      </c>
      <c r="Q2827" s="1" t="s">
        <v>42</v>
      </c>
      <c r="S2827" s="1" t="s">
        <v>42</v>
      </c>
      <c r="T2827" s="1" t="s">
        <v>170</v>
      </c>
      <c r="U2827" s="1">
        <v>88</v>
      </c>
      <c r="V2827" s="5">
        <v>44272</v>
      </c>
      <c r="W2827" s="5">
        <v>44183</v>
      </c>
      <c r="X2827" s="1">
        <v>1910000</v>
      </c>
      <c r="Y2827" s="1">
        <v>1910000</v>
      </c>
      <c r="AA2827" s="1">
        <v>1910000</v>
      </c>
      <c r="AB2827" s="1" t="s">
        <v>181</v>
      </c>
      <c r="AC2827" s="5">
        <v>44272</v>
      </c>
      <c r="AF2827" s="1">
        <v>10002</v>
      </c>
      <c r="AI2827" s="1" t="s">
        <v>163</v>
      </c>
      <c r="AJ2827" s="1">
        <v>2019</v>
      </c>
      <c r="AK2827" s="1" t="s">
        <v>73</v>
      </c>
      <c r="AL2827" s="1">
        <v>787</v>
      </c>
    </row>
    <row r="2828" spans="1:38" x14ac:dyDescent="0.2">
      <c r="A2828" s="2" t="str">
        <f>HYPERLINK("https://www.compass.com/listing/252-south-street-unit-58b-manhattan-ny-10002/675435458158790953/","252 South St, Unit 58B")</f>
        <v>252 South St, Unit 58B</v>
      </c>
      <c r="B2828" s="2" t="str">
        <f t="shared" si="388"/>
        <v>One Manhattan Square</v>
      </c>
      <c r="C2828" s="1" t="s">
        <v>66</v>
      </c>
      <c r="D2828" s="1" t="s">
        <v>41</v>
      </c>
      <c r="E2828" s="3">
        <v>1978592</v>
      </c>
      <c r="F2828" s="1">
        <v>1913.5315280464199</v>
      </c>
      <c r="G2828" s="1">
        <v>4</v>
      </c>
      <c r="H2828" s="1">
        <v>2</v>
      </c>
      <c r="I2828" s="1">
        <v>2</v>
      </c>
      <c r="J2828" s="1">
        <v>2</v>
      </c>
      <c r="K2828" s="1">
        <v>2</v>
      </c>
      <c r="M2828" s="4">
        <v>1034</v>
      </c>
      <c r="N2828" s="1">
        <v>1373</v>
      </c>
      <c r="O2828" s="1">
        <v>1395</v>
      </c>
      <c r="P2828" s="1">
        <v>22</v>
      </c>
      <c r="Q2828" s="1" t="s">
        <v>42</v>
      </c>
      <c r="S2828" s="1" t="s">
        <v>42</v>
      </c>
      <c r="T2828" s="1" t="s">
        <v>170</v>
      </c>
      <c r="U2828" s="1">
        <v>110</v>
      </c>
      <c r="V2828" s="5">
        <v>44417</v>
      </c>
      <c r="W2828" s="5">
        <v>44183</v>
      </c>
      <c r="X2828" s="1">
        <v>2040000</v>
      </c>
      <c r="Y2828" s="1">
        <v>2040000</v>
      </c>
      <c r="Z2828" s="5">
        <v>44293</v>
      </c>
      <c r="AA2828" s="1">
        <v>1978591.6</v>
      </c>
      <c r="AB2828" s="1" t="s">
        <v>2137</v>
      </c>
      <c r="AC2828" s="5">
        <v>44393</v>
      </c>
      <c r="AF2828" s="1">
        <v>10002</v>
      </c>
      <c r="AI2828" s="1" t="s">
        <v>113</v>
      </c>
      <c r="AJ2828" s="1">
        <v>2019</v>
      </c>
      <c r="AK2828" s="1" t="s">
        <v>73</v>
      </c>
      <c r="AL2828" s="1">
        <v>787</v>
      </c>
    </row>
    <row r="2829" spans="1:38" x14ac:dyDescent="0.2">
      <c r="A2829" s="2" t="str">
        <f>HYPERLINK("https://www.compass.com/listing/252-south-street-unit-18h-manhattan-ny-10002/586919114742967449/","252 South St, Unit 18H")</f>
        <v>252 South St, Unit 18H</v>
      </c>
      <c r="B2829" s="2" t="str">
        <f t="shared" si="388"/>
        <v>One Manhattan Square</v>
      </c>
      <c r="C2829" s="1" t="s">
        <v>66</v>
      </c>
      <c r="D2829" s="1" t="s">
        <v>41</v>
      </c>
      <c r="E2829" s="3">
        <v>1919110</v>
      </c>
      <c r="F2829" s="1">
        <v>1660.1299221453201</v>
      </c>
      <c r="G2829" s="1">
        <v>4</v>
      </c>
      <c r="H2829" s="1">
        <v>2</v>
      </c>
      <c r="I2829" s="1">
        <v>2</v>
      </c>
      <c r="J2829" s="1">
        <v>2</v>
      </c>
      <c r="K2829" s="1">
        <v>2</v>
      </c>
      <c r="M2829" s="4">
        <v>1156</v>
      </c>
      <c r="N2829" s="1">
        <v>1289</v>
      </c>
      <c r="O2829" s="1">
        <v>1309</v>
      </c>
      <c r="P2829" s="1">
        <v>20</v>
      </c>
      <c r="Q2829" s="1" t="s">
        <v>42</v>
      </c>
      <c r="S2829" s="1" t="s">
        <v>42</v>
      </c>
      <c r="T2829" s="1" t="s">
        <v>170</v>
      </c>
      <c r="V2829" s="5">
        <v>44292</v>
      </c>
      <c r="W2829" s="5">
        <v>44062</v>
      </c>
      <c r="X2829" s="1">
        <v>2087000</v>
      </c>
      <c r="Y2829" s="1">
        <v>1880785</v>
      </c>
      <c r="Z2829" s="5">
        <v>44062</v>
      </c>
      <c r="AA2829" s="1">
        <v>1919110.19</v>
      </c>
      <c r="AB2829" s="1" t="s">
        <v>2138</v>
      </c>
      <c r="AC2829" s="5">
        <v>44273</v>
      </c>
      <c r="AF2829" s="1">
        <v>10002</v>
      </c>
      <c r="AI2829" s="1" t="s">
        <v>163</v>
      </c>
      <c r="AJ2829" s="1">
        <v>2019</v>
      </c>
      <c r="AK2829" s="1" t="s">
        <v>73</v>
      </c>
      <c r="AL2829" s="1">
        <v>787</v>
      </c>
    </row>
    <row r="2830" spans="1:38" x14ac:dyDescent="0.2">
      <c r="A2830" s="2" t="str">
        <f>HYPERLINK("https://www.compass.com/listing/252-south-street-unit-9h-manhattan-ny-10002/801629555571737305/","252 South St, Unit 9H")</f>
        <v>252 South St, Unit 9H</v>
      </c>
      <c r="B2830" s="2" t="str">
        <f t="shared" si="388"/>
        <v>One Manhattan Square</v>
      </c>
      <c r="C2830" s="1" t="s">
        <v>66</v>
      </c>
      <c r="D2830" s="1" t="s">
        <v>41</v>
      </c>
      <c r="E2830" s="3">
        <v>1785938</v>
      </c>
      <c r="F2830" s="1">
        <v>1544.92863321799</v>
      </c>
      <c r="G2830" s="1">
        <v>4</v>
      </c>
      <c r="H2830" s="1">
        <v>2</v>
      </c>
      <c r="I2830" s="1">
        <v>2</v>
      </c>
      <c r="J2830" s="1">
        <v>2</v>
      </c>
      <c r="K2830" s="1">
        <v>2</v>
      </c>
      <c r="M2830" s="4">
        <v>1156</v>
      </c>
      <c r="N2830" s="1">
        <v>1245</v>
      </c>
      <c r="O2830" s="1">
        <v>1265</v>
      </c>
      <c r="P2830" s="1">
        <v>20</v>
      </c>
      <c r="Q2830" s="1" t="s">
        <v>42</v>
      </c>
      <c r="S2830" s="1" t="s">
        <v>42</v>
      </c>
      <c r="T2830" s="1" t="s">
        <v>170</v>
      </c>
      <c r="U2830" s="1">
        <v>279</v>
      </c>
      <c r="V2830" s="5">
        <v>44048</v>
      </c>
      <c r="W2830" s="5">
        <v>44048</v>
      </c>
      <c r="X2830" s="1">
        <v>1895000</v>
      </c>
      <c r="Y2830" s="1">
        <v>1895000</v>
      </c>
      <c r="AA2830" s="1">
        <v>1785937.5</v>
      </c>
      <c r="AB2830" s="1" t="s">
        <v>2098</v>
      </c>
      <c r="AC2830" s="5">
        <v>44327</v>
      </c>
      <c r="AF2830" s="1">
        <v>10002</v>
      </c>
      <c r="AI2830" s="1" t="s">
        <v>163</v>
      </c>
      <c r="AJ2830" s="1">
        <v>2019</v>
      </c>
      <c r="AK2830" s="1" t="s">
        <v>73</v>
      </c>
      <c r="AL2830" s="1">
        <v>787</v>
      </c>
    </row>
    <row r="2831" spans="1:38" x14ac:dyDescent="0.2">
      <c r="A2831" s="2" t="str">
        <f>HYPERLINK("https://www.compass.com/listing/252-south-street-unit-phc-manhattan-ny-10002/86013027345850849/","252 South St, Unit PHC")</f>
        <v>252 South St, Unit PHC</v>
      </c>
      <c r="B2831" s="2" t="str">
        <f t="shared" si="388"/>
        <v>One Manhattan Square</v>
      </c>
      <c r="C2831" s="1" t="s">
        <v>66</v>
      </c>
      <c r="D2831" s="1" t="s">
        <v>41</v>
      </c>
      <c r="E2831" s="3">
        <v>12519100</v>
      </c>
      <c r="F2831" s="1">
        <v>3384.4552581778798</v>
      </c>
      <c r="G2831" s="1">
        <v>8</v>
      </c>
      <c r="H2831" s="1">
        <v>5</v>
      </c>
      <c r="I2831" s="1">
        <v>5</v>
      </c>
      <c r="J2831" s="1">
        <v>4.5</v>
      </c>
      <c r="K2831" s="1">
        <v>4</v>
      </c>
      <c r="L2831" s="1">
        <v>1</v>
      </c>
      <c r="M2831" s="4">
        <v>3699</v>
      </c>
      <c r="N2831" s="1">
        <v>5400</v>
      </c>
      <c r="O2831" s="1">
        <v>5491</v>
      </c>
      <c r="P2831" s="1">
        <v>91</v>
      </c>
      <c r="Q2831" s="1" t="s">
        <v>42</v>
      </c>
      <c r="S2831" s="1" t="s">
        <v>42</v>
      </c>
      <c r="T2831" s="1" t="s">
        <v>170</v>
      </c>
      <c r="U2831" s="1">
        <v>3</v>
      </c>
      <c r="V2831" s="5">
        <v>43844</v>
      </c>
      <c r="W2831" s="5">
        <v>43371</v>
      </c>
      <c r="X2831" s="1">
        <v>13178000</v>
      </c>
      <c r="Y2831" s="1">
        <v>13178000</v>
      </c>
      <c r="Z2831" s="5">
        <v>43374</v>
      </c>
      <c r="AA2831" s="1">
        <v>12519100</v>
      </c>
      <c r="AB2831" s="1" t="s">
        <v>181</v>
      </c>
      <c r="AC2831" s="5">
        <v>43833</v>
      </c>
      <c r="AF2831" s="1">
        <v>10002</v>
      </c>
      <c r="AI2831" s="1" t="s">
        <v>163</v>
      </c>
      <c r="AJ2831" s="1">
        <v>2019</v>
      </c>
      <c r="AK2831" s="1" t="s">
        <v>73</v>
      </c>
      <c r="AL2831" s="1">
        <v>787</v>
      </c>
    </row>
    <row r="2832" spans="1:38" x14ac:dyDescent="0.2">
      <c r="A2832" s="2" t="str">
        <f>HYPERLINK("https://www.compass.com/listing/252-south-street-unit-26f-manhattan-ny-10002/263520546623374545/","252 South St, Unit 26F")</f>
        <v>252 South St, Unit 26F</v>
      </c>
      <c r="B2832" s="2" t="str">
        <f t="shared" si="388"/>
        <v>One Manhattan Square</v>
      </c>
      <c r="C2832" s="1" t="s">
        <v>66</v>
      </c>
      <c r="D2832" s="1" t="s">
        <v>41</v>
      </c>
      <c r="E2832" s="3">
        <v>1285854</v>
      </c>
      <c r="F2832" s="1">
        <v>1850.14968345323</v>
      </c>
      <c r="G2832" s="1">
        <v>3</v>
      </c>
      <c r="H2832" s="1">
        <v>1</v>
      </c>
      <c r="I2832" s="1">
        <v>1</v>
      </c>
      <c r="J2832" s="1">
        <v>1</v>
      </c>
      <c r="K2832" s="1">
        <v>1</v>
      </c>
      <c r="M2832" s="1">
        <v>695</v>
      </c>
      <c r="N2832" s="1">
        <v>807.59</v>
      </c>
      <c r="O2832" s="1">
        <v>820.34</v>
      </c>
      <c r="P2832" s="1">
        <v>12.75</v>
      </c>
      <c r="Q2832" s="1" t="s">
        <v>42</v>
      </c>
      <c r="S2832" s="1" t="s">
        <v>42</v>
      </c>
      <c r="T2832" s="1" t="s">
        <v>170</v>
      </c>
      <c r="U2832" s="1">
        <v>26</v>
      </c>
      <c r="V2832" s="5">
        <v>43759</v>
      </c>
      <c r="W2832" s="5">
        <v>43616</v>
      </c>
      <c r="X2832" s="1">
        <v>1336000</v>
      </c>
      <c r="Y2832" s="1">
        <v>1336000</v>
      </c>
      <c r="Z2832" s="5">
        <v>43642</v>
      </c>
      <c r="AA2832" s="1">
        <v>1285854.03</v>
      </c>
      <c r="AB2832" s="1" t="s">
        <v>2139</v>
      </c>
      <c r="AC2832" s="5">
        <v>43748</v>
      </c>
      <c r="AF2832" s="1">
        <v>10002</v>
      </c>
      <c r="AI2832" s="1" t="s">
        <v>163</v>
      </c>
      <c r="AJ2832" s="1">
        <v>2019</v>
      </c>
      <c r="AK2832" s="1" t="s">
        <v>73</v>
      </c>
      <c r="AL2832" s="1">
        <v>787</v>
      </c>
    </row>
    <row r="2833" spans="1:38" x14ac:dyDescent="0.2">
      <c r="A2833" s="2" t="str">
        <f>HYPERLINK("https://www.compass.com/listing/252-south-street-unit-53d-manhattan-ny-10002/694111941321626673/","252 South St, Unit 53D")</f>
        <v>252 South St, Unit 53D</v>
      </c>
      <c r="B2833" s="2" t="str">
        <f t="shared" si="388"/>
        <v>One Manhattan Square</v>
      </c>
      <c r="C2833" s="1" t="s">
        <v>66</v>
      </c>
      <c r="D2833" s="1" t="s">
        <v>41</v>
      </c>
      <c r="E2833" s="3">
        <v>2447800</v>
      </c>
      <c r="F2833" s="1">
        <v>2102.92096219931</v>
      </c>
      <c r="G2833" s="1">
        <v>4</v>
      </c>
      <c r="H2833" s="1">
        <v>2</v>
      </c>
      <c r="I2833" s="1">
        <v>2</v>
      </c>
      <c r="J2833" s="1">
        <v>2</v>
      </c>
      <c r="K2833" s="1">
        <v>2</v>
      </c>
      <c r="M2833" s="4">
        <v>1164</v>
      </c>
      <c r="N2833" s="1">
        <v>1521</v>
      </c>
      <c r="O2833" s="1">
        <v>1545</v>
      </c>
      <c r="P2833" s="1">
        <v>24</v>
      </c>
      <c r="Q2833" s="1" t="s">
        <v>42</v>
      </c>
      <c r="S2833" s="1" t="s">
        <v>42</v>
      </c>
      <c r="T2833" s="1" t="s">
        <v>170</v>
      </c>
      <c r="U2833" s="1">
        <v>4</v>
      </c>
      <c r="V2833" s="5">
        <v>44252</v>
      </c>
      <c r="W2833" s="5">
        <v>44205</v>
      </c>
      <c r="X2833" s="1">
        <v>2721000</v>
      </c>
      <c r="Y2833" s="1">
        <v>2400000</v>
      </c>
      <c r="Z2833" s="5">
        <v>44209</v>
      </c>
      <c r="AA2833" s="1">
        <v>2447800</v>
      </c>
      <c r="AB2833" s="1" t="s">
        <v>2140</v>
      </c>
      <c r="AC2833" s="5">
        <v>44244</v>
      </c>
      <c r="AF2833" s="1">
        <v>10002</v>
      </c>
      <c r="AI2833" s="1" t="s">
        <v>163</v>
      </c>
      <c r="AJ2833" s="1">
        <v>2019</v>
      </c>
      <c r="AK2833" s="1" t="s">
        <v>73</v>
      </c>
      <c r="AL2833" s="1">
        <v>787</v>
      </c>
    </row>
    <row r="2834" spans="1:38" x14ac:dyDescent="0.2">
      <c r="A2834" s="2" t="str">
        <f>HYPERLINK("https://www.compass.com/listing/252-south-street-unit-46l-manhattan-ny-10002/29513535524480225/","252 South St, Unit 46L")</f>
        <v>252 South St, Unit 46L</v>
      </c>
      <c r="B2834" s="2" t="str">
        <f t="shared" si="388"/>
        <v>One Manhattan Square</v>
      </c>
      <c r="C2834" s="1" t="s">
        <v>66</v>
      </c>
      <c r="D2834" s="1" t="s">
        <v>41</v>
      </c>
      <c r="E2834" s="3">
        <v>2615811</v>
      </c>
      <c r="F2834" s="1">
        <v>2329.3065449688302</v>
      </c>
      <c r="G2834" s="1">
        <v>4</v>
      </c>
      <c r="H2834" s="1">
        <v>2</v>
      </c>
      <c r="I2834" s="1">
        <v>2</v>
      </c>
      <c r="J2834" s="1">
        <v>2</v>
      </c>
      <c r="M2834" s="4">
        <v>1123</v>
      </c>
      <c r="N2834" s="1">
        <v>1398</v>
      </c>
      <c r="O2834" s="1">
        <v>1422</v>
      </c>
      <c r="P2834" s="1">
        <v>24</v>
      </c>
      <c r="Q2834" s="1" t="s">
        <v>42</v>
      </c>
      <c r="S2834" s="1" t="s">
        <v>42</v>
      </c>
      <c r="T2834" s="1" t="s">
        <v>170</v>
      </c>
      <c r="U2834" s="1">
        <v>5</v>
      </c>
      <c r="V2834" s="5">
        <v>43766</v>
      </c>
      <c r="W2834" s="5">
        <v>43006</v>
      </c>
      <c r="X2834" s="1">
        <v>2701000</v>
      </c>
      <c r="Y2834" s="1">
        <v>2701000</v>
      </c>
      <c r="Z2834" s="5">
        <v>43011</v>
      </c>
      <c r="AA2834" s="1">
        <v>2615811.25</v>
      </c>
      <c r="AB2834" s="1" t="s">
        <v>2141</v>
      </c>
      <c r="AC2834" s="5">
        <v>43755</v>
      </c>
      <c r="AF2834" s="1">
        <v>10002</v>
      </c>
      <c r="AI2834" s="1" t="s">
        <v>163</v>
      </c>
      <c r="AJ2834" s="1">
        <v>2019</v>
      </c>
      <c r="AK2834" s="1" t="s">
        <v>73</v>
      </c>
      <c r="AL2834" s="1">
        <v>787</v>
      </c>
    </row>
    <row r="2835" spans="1:38" x14ac:dyDescent="0.2">
      <c r="A2835" s="2" t="str">
        <f>HYPERLINK("https://www.compass.com/listing/252-south-street-unit-61b-manhattan-ny-10002/29513545523787793/","252 South St, Unit 61B")</f>
        <v>252 South St, Unit 61B</v>
      </c>
      <c r="B2835" s="2" t="str">
        <f t="shared" si="388"/>
        <v>One Manhattan Square</v>
      </c>
      <c r="C2835" s="1" t="s">
        <v>66</v>
      </c>
      <c r="D2835" s="1" t="s">
        <v>41</v>
      </c>
      <c r="E2835" s="3">
        <v>2610869</v>
      </c>
      <c r="F2835" s="1">
        <v>2525.0184429400301</v>
      </c>
      <c r="G2835" s="1">
        <v>4</v>
      </c>
      <c r="H2835" s="1">
        <v>2</v>
      </c>
      <c r="I2835" s="1">
        <v>2</v>
      </c>
      <c r="J2835" s="1">
        <v>2</v>
      </c>
      <c r="M2835" s="4">
        <v>1034</v>
      </c>
      <c r="N2835" s="1">
        <v>1374</v>
      </c>
      <c r="O2835" s="1">
        <v>1397</v>
      </c>
      <c r="P2835" s="1">
        <v>23</v>
      </c>
      <c r="Q2835" s="1" t="s">
        <v>42</v>
      </c>
      <c r="S2835" s="1" t="s">
        <v>42</v>
      </c>
      <c r="T2835" s="1" t="s">
        <v>170</v>
      </c>
      <c r="U2835" s="1">
        <v>2</v>
      </c>
      <c r="V2835" s="5">
        <v>43717</v>
      </c>
      <c r="W2835" s="5">
        <v>43006</v>
      </c>
      <c r="X2835" s="1">
        <v>2653000</v>
      </c>
      <c r="Y2835" s="1">
        <v>2653000</v>
      </c>
      <c r="Z2835" s="5">
        <v>43008</v>
      </c>
      <c r="AA2835" s="1">
        <v>2610869.0699999998</v>
      </c>
      <c r="AB2835" s="1" t="s">
        <v>2142</v>
      </c>
      <c r="AC2835" s="5">
        <v>43707</v>
      </c>
      <c r="AF2835" s="1">
        <v>10002</v>
      </c>
      <c r="AI2835" s="1" t="s">
        <v>163</v>
      </c>
      <c r="AJ2835" s="1">
        <v>2019</v>
      </c>
      <c r="AK2835" s="1" t="s">
        <v>73</v>
      </c>
      <c r="AL2835" s="1">
        <v>787</v>
      </c>
    </row>
    <row r="2836" spans="1:38" x14ac:dyDescent="0.2">
      <c r="A2836" s="2" t="str">
        <f>HYPERLINK("https://www.compass.com/listing/252-south-street-unit-9e-manhattan-ny-10002/29513548375828385/","252 South St, Unit 9E")</f>
        <v>252 South St, Unit 9E</v>
      </c>
      <c r="B2836" s="2" t="str">
        <f t="shared" si="388"/>
        <v>One Manhattan Square</v>
      </c>
      <c r="C2836" s="1" t="s">
        <v>66</v>
      </c>
      <c r="D2836" s="1" t="s">
        <v>41</v>
      </c>
      <c r="E2836" s="3">
        <v>2061883</v>
      </c>
      <c r="F2836" s="1">
        <v>1836.0489759572499</v>
      </c>
      <c r="G2836" s="1">
        <v>4</v>
      </c>
      <c r="H2836" s="1">
        <v>2</v>
      </c>
      <c r="I2836" s="1">
        <v>2</v>
      </c>
      <c r="J2836" s="1">
        <v>2</v>
      </c>
      <c r="K2836" s="1">
        <v>2</v>
      </c>
      <c r="M2836" s="4">
        <v>1123</v>
      </c>
      <c r="N2836" s="1">
        <v>1192</v>
      </c>
      <c r="O2836" s="1">
        <v>1212</v>
      </c>
      <c r="P2836" s="1">
        <v>20</v>
      </c>
      <c r="Q2836" s="1" t="s">
        <v>42</v>
      </c>
      <c r="S2836" s="1" t="s">
        <v>42</v>
      </c>
      <c r="T2836" s="1" t="s">
        <v>170</v>
      </c>
      <c r="U2836" s="1">
        <v>4</v>
      </c>
      <c r="V2836" s="5">
        <v>43696</v>
      </c>
      <c r="W2836" s="5">
        <v>43273</v>
      </c>
      <c r="X2836" s="1">
        <v>2115000</v>
      </c>
      <c r="Y2836" s="1">
        <v>2115000</v>
      </c>
      <c r="Z2836" s="5">
        <v>43277</v>
      </c>
      <c r="AA2836" s="1">
        <v>2061883</v>
      </c>
      <c r="AB2836" s="1" t="s">
        <v>2143</v>
      </c>
      <c r="AC2836" s="5">
        <v>43680</v>
      </c>
      <c r="AF2836" s="1">
        <v>10002</v>
      </c>
      <c r="AI2836" s="1" t="s">
        <v>163</v>
      </c>
      <c r="AJ2836" s="1">
        <v>2019</v>
      </c>
      <c r="AK2836" s="1" t="s">
        <v>73</v>
      </c>
      <c r="AL2836" s="1">
        <v>787</v>
      </c>
    </row>
    <row r="2837" spans="1:38" x14ac:dyDescent="0.2">
      <c r="A2837" s="2" t="str">
        <f>HYPERLINK("https://www.compass.com/listing/252-south-street-unit-42c-manhattan-ny-10002/675433960473577761/","252 South St, Unit 42C")</f>
        <v>252 South St, Unit 42C</v>
      </c>
      <c r="B2837" s="2" t="str">
        <f t="shared" si="388"/>
        <v>One Manhattan Square</v>
      </c>
      <c r="C2837" s="1" t="s">
        <v>66</v>
      </c>
      <c r="D2837" s="1" t="s">
        <v>41</v>
      </c>
      <c r="E2837" s="3">
        <v>3193844</v>
      </c>
      <c r="F2837" s="1">
        <v>2147.8438130464001</v>
      </c>
      <c r="G2837" s="1">
        <v>5</v>
      </c>
      <c r="H2837" s="1">
        <v>3</v>
      </c>
      <c r="I2837" s="1">
        <v>3</v>
      </c>
      <c r="J2837" s="1">
        <v>3</v>
      </c>
      <c r="K2837" s="1">
        <v>3</v>
      </c>
      <c r="M2837" s="4">
        <v>1487</v>
      </c>
      <c r="N2837" s="1">
        <v>1856</v>
      </c>
      <c r="O2837" s="1">
        <v>1885</v>
      </c>
      <c r="P2837" s="1">
        <v>29</v>
      </c>
      <c r="Q2837" s="1" t="s">
        <v>42</v>
      </c>
      <c r="S2837" s="1" t="s">
        <v>42</v>
      </c>
      <c r="T2837" s="1" t="s">
        <v>170</v>
      </c>
      <c r="U2837" s="1">
        <v>146</v>
      </c>
      <c r="V2837" s="5">
        <v>44420</v>
      </c>
      <c r="W2837" s="5">
        <v>44183</v>
      </c>
      <c r="X2837" s="1">
        <v>3230000</v>
      </c>
      <c r="Y2837" s="1">
        <v>3230000</v>
      </c>
      <c r="Z2837" s="5">
        <v>44330</v>
      </c>
      <c r="AA2837" s="1">
        <v>3193843.75</v>
      </c>
      <c r="AB2837" s="1" t="s">
        <v>2144</v>
      </c>
      <c r="AC2837" s="5">
        <v>44393</v>
      </c>
      <c r="AF2837" s="1">
        <v>10002</v>
      </c>
      <c r="AI2837" s="1" t="s">
        <v>113</v>
      </c>
      <c r="AJ2837" s="1">
        <v>2019</v>
      </c>
      <c r="AK2837" s="1" t="s">
        <v>73</v>
      </c>
      <c r="AL2837" s="1">
        <v>787</v>
      </c>
    </row>
    <row r="2838" spans="1:38" x14ac:dyDescent="0.2">
      <c r="A2838" s="2" t="str">
        <f>HYPERLINK("https://www.compass.com/listing/252-south-street-unit-50g-manhattan-ny-10002/630339857031781553/","252 South St, Unit 50G")</f>
        <v>252 South St, Unit 50G</v>
      </c>
      <c r="B2838" s="2" t="str">
        <f t="shared" si="388"/>
        <v>One Manhattan Square</v>
      </c>
      <c r="C2838" s="1" t="s">
        <v>66</v>
      </c>
      <c r="D2838" s="1" t="s">
        <v>41</v>
      </c>
      <c r="E2838" s="3">
        <v>2348989</v>
      </c>
      <c r="F2838" s="1">
        <v>2031.9975605536299</v>
      </c>
      <c r="G2838" s="1">
        <v>4</v>
      </c>
      <c r="H2838" s="1">
        <v>2</v>
      </c>
      <c r="I2838" s="1">
        <v>2</v>
      </c>
      <c r="J2838" s="1">
        <v>2</v>
      </c>
      <c r="K2838" s="1">
        <v>2</v>
      </c>
      <c r="M2838" s="4">
        <v>1156</v>
      </c>
      <c r="N2838" s="1">
        <v>1492</v>
      </c>
      <c r="O2838" s="1">
        <v>1516</v>
      </c>
      <c r="P2838" s="1">
        <v>24</v>
      </c>
      <c r="Q2838" s="1" t="s">
        <v>42</v>
      </c>
      <c r="S2838" s="1" t="s">
        <v>42</v>
      </c>
      <c r="T2838" s="1" t="s">
        <v>170</v>
      </c>
      <c r="V2838" s="5">
        <v>44224</v>
      </c>
      <c r="W2838" s="5">
        <v>44121</v>
      </c>
      <c r="X2838" s="1">
        <v>2617000</v>
      </c>
      <c r="Y2838" s="1">
        <v>2302960</v>
      </c>
      <c r="Z2838" s="5">
        <v>44121</v>
      </c>
      <c r="AA2838" s="1">
        <v>2348989.1800000002</v>
      </c>
      <c r="AB2838" s="1" t="s">
        <v>2145</v>
      </c>
      <c r="AC2838" s="5">
        <v>44217</v>
      </c>
      <c r="AF2838" s="1">
        <v>10002</v>
      </c>
      <c r="AI2838" s="1" t="s">
        <v>163</v>
      </c>
      <c r="AJ2838" s="1">
        <v>2019</v>
      </c>
      <c r="AK2838" s="1" t="s">
        <v>73</v>
      </c>
      <c r="AL2838" s="1">
        <v>787</v>
      </c>
    </row>
    <row r="2839" spans="1:38" x14ac:dyDescent="0.2">
      <c r="A2839" s="2" t="str">
        <f>HYPERLINK("https://www.compass.com/listing/252-south-street-unit-21m-manhattan-ny-10002/612963617150858953/","252 South St, Unit 21M")</f>
        <v>252 South St, Unit 21M</v>
      </c>
      <c r="B2839" s="2" t="str">
        <f t="shared" si="388"/>
        <v>One Manhattan Square</v>
      </c>
      <c r="C2839" s="1" t="s">
        <v>66</v>
      </c>
      <c r="D2839" s="1" t="s">
        <v>41</v>
      </c>
      <c r="E2839" s="3">
        <v>2157682</v>
      </c>
      <c r="F2839" s="1">
        <v>1921.3552003561799</v>
      </c>
      <c r="G2839" s="1">
        <v>4</v>
      </c>
      <c r="H2839" s="1">
        <v>2</v>
      </c>
      <c r="I2839" s="1">
        <v>2</v>
      </c>
      <c r="J2839" s="1">
        <v>2</v>
      </c>
      <c r="K2839" s="1">
        <v>2</v>
      </c>
      <c r="M2839" s="4">
        <v>1123</v>
      </c>
      <c r="N2839" s="1">
        <v>1276</v>
      </c>
      <c r="O2839" s="1">
        <v>1296</v>
      </c>
      <c r="P2839" s="1">
        <v>20</v>
      </c>
      <c r="Q2839" s="1" t="s">
        <v>42</v>
      </c>
      <c r="S2839" s="1" t="s">
        <v>42</v>
      </c>
      <c r="T2839" s="1" t="s">
        <v>170</v>
      </c>
      <c r="U2839" s="1">
        <v>1</v>
      </c>
      <c r="V2839" s="5">
        <v>44183</v>
      </c>
      <c r="W2839" s="5">
        <v>44098</v>
      </c>
      <c r="X2839" s="1">
        <v>2299000</v>
      </c>
      <c r="Y2839" s="1">
        <v>2115080</v>
      </c>
      <c r="Z2839" s="5">
        <v>44099</v>
      </c>
      <c r="AA2839" s="1">
        <v>2157681.89</v>
      </c>
      <c r="AB2839" s="1" t="s">
        <v>2146</v>
      </c>
      <c r="AC2839" s="5">
        <v>44180</v>
      </c>
      <c r="AF2839" s="1">
        <v>10002</v>
      </c>
      <c r="AI2839" s="1" t="s">
        <v>163</v>
      </c>
      <c r="AJ2839" s="1">
        <v>2019</v>
      </c>
      <c r="AK2839" s="1" t="s">
        <v>73</v>
      </c>
      <c r="AL2839" s="1">
        <v>787</v>
      </c>
    </row>
    <row r="2840" spans="1:38" x14ac:dyDescent="0.2">
      <c r="A2840" s="2" t="str">
        <f>HYPERLINK("https://www.compass.com/listing/252-south-street-unit-36b-manhattan-ny-10002/157048637556348353/","252 South St, Unit 36B")</f>
        <v>252 South St, Unit 36B</v>
      </c>
      <c r="B2840" s="2" t="str">
        <f t="shared" si="388"/>
        <v>One Manhattan Square</v>
      </c>
      <c r="C2840" s="1" t="s">
        <v>66</v>
      </c>
      <c r="D2840" s="1" t="s">
        <v>41</v>
      </c>
      <c r="E2840" s="3">
        <v>2223785</v>
      </c>
      <c r="F2840" s="1">
        <v>2128.02392344497</v>
      </c>
      <c r="G2840" s="1">
        <v>4</v>
      </c>
      <c r="H2840" s="1">
        <v>2</v>
      </c>
      <c r="I2840" s="1">
        <v>2</v>
      </c>
      <c r="J2840" s="1">
        <v>2</v>
      </c>
      <c r="K2840" s="1">
        <v>2</v>
      </c>
      <c r="M2840" s="4">
        <v>1045</v>
      </c>
      <c r="N2840" s="1">
        <v>1246</v>
      </c>
      <c r="O2840" s="1">
        <v>1267</v>
      </c>
      <c r="P2840" s="1">
        <v>21</v>
      </c>
      <c r="Q2840" s="1" t="s">
        <v>42</v>
      </c>
      <c r="S2840" s="1" t="s">
        <v>42</v>
      </c>
      <c r="T2840" s="1" t="s">
        <v>170</v>
      </c>
      <c r="U2840" s="1">
        <v>1</v>
      </c>
      <c r="V2840" s="5">
        <v>43710</v>
      </c>
      <c r="W2840" s="5">
        <v>43469</v>
      </c>
      <c r="X2840" s="1">
        <v>2314000</v>
      </c>
      <c r="Y2840" s="1">
        <v>2314000</v>
      </c>
      <c r="Z2840" s="5">
        <v>43470</v>
      </c>
      <c r="AA2840" s="1">
        <v>2223785</v>
      </c>
      <c r="AB2840" s="1" t="s">
        <v>2147</v>
      </c>
      <c r="AC2840" s="5">
        <v>43696</v>
      </c>
      <c r="AF2840" s="1">
        <v>10002</v>
      </c>
      <c r="AI2840" s="1" t="s">
        <v>163</v>
      </c>
      <c r="AJ2840" s="1">
        <v>2019</v>
      </c>
      <c r="AK2840" s="1" t="s">
        <v>73</v>
      </c>
      <c r="AL2840" s="1">
        <v>787</v>
      </c>
    </row>
    <row r="2841" spans="1:38" x14ac:dyDescent="0.2">
      <c r="A2841" s="2" t="str">
        <f>HYPERLINK("https://www.compass.com/listing/252-south-street-unit-18a-manhattan-ny-10002/29513521490389073/","252 South St, Unit 18A")</f>
        <v>252 South St, Unit 18A</v>
      </c>
      <c r="B2841" s="2" t="str">
        <f t="shared" si="388"/>
        <v>One Manhattan Square</v>
      </c>
      <c r="C2841" s="1" t="s">
        <v>66</v>
      </c>
      <c r="D2841" s="1" t="s">
        <v>41</v>
      </c>
      <c r="E2841" s="3">
        <v>2306258</v>
      </c>
      <c r="F2841" s="1">
        <v>1984.73149741824</v>
      </c>
      <c r="G2841" s="1">
        <v>4</v>
      </c>
      <c r="H2841" s="1">
        <v>2</v>
      </c>
      <c r="I2841" s="1">
        <v>2</v>
      </c>
      <c r="J2841" s="1">
        <v>2</v>
      </c>
      <c r="M2841" s="4">
        <v>1162</v>
      </c>
      <c r="N2841" s="1">
        <v>1276</v>
      </c>
      <c r="O2841" s="1">
        <v>1297</v>
      </c>
      <c r="P2841" s="1">
        <v>21</v>
      </c>
      <c r="Q2841" s="1" t="s">
        <v>42</v>
      </c>
      <c r="S2841" s="1" t="s">
        <v>42</v>
      </c>
      <c r="T2841" s="1" t="s">
        <v>170</v>
      </c>
      <c r="U2841" s="1">
        <v>35</v>
      </c>
      <c r="V2841" s="5">
        <v>43696</v>
      </c>
      <c r="W2841" s="5">
        <v>43077</v>
      </c>
      <c r="X2841" s="1">
        <v>2343000</v>
      </c>
      <c r="Y2841" s="1">
        <v>2343000</v>
      </c>
      <c r="Z2841" s="5">
        <v>43112</v>
      </c>
      <c r="AA2841" s="1">
        <v>2306258</v>
      </c>
      <c r="AB2841" s="1" t="s">
        <v>2148</v>
      </c>
      <c r="AC2841" s="5">
        <v>43571</v>
      </c>
      <c r="AF2841" s="1">
        <v>10002</v>
      </c>
      <c r="AI2841" s="1" t="s">
        <v>163</v>
      </c>
      <c r="AJ2841" s="1">
        <v>2019</v>
      </c>
      <c r="AK2841" s="1" t="s">
        <v>73</v>
      </c>
      <c r="AL2841" s="1">
        <v>787</v>
      </c>
    </row>
    <row r="2842" spans="1:38" x14ac:dyDescent="0.2">
      <c r="A2842" s="2" t="str">
        <f>HYPERLINK("https://www.compass.com/listing/252-south-street-unit-10d-manhattan-ny-10002/29513534241109457/","252 South St, Unit 10D")</f>
        <v>252 South St, Unit 10D</v>
      </c>
      <c r="B2842" s="2" t="str">
        <f t="shared" si="388"/>
        <v>One Manhattan Square</v>
      </c>
      <c r="C2842" s="1" t="s">
        <v>66</v>
      </c>
      <c r="D2842" s="1" t="s">
        <v>41</v>
      </c>
      <c r="E2842" s="3">
        <v>2315428</v>
      </c>
      <c r="F2842" s="1">
        <v>2061.8232413178898</v>
      </c>
      <c r="G2842" s="1">
        <v>4</v>
      </c>
      <c r="H2842" s="1">
        <v>2</v>
      </c>
      <c r="I2842" s="1">
        <v>2</v>
      </c>
      <c r="J2842" s="1">
        <v>2</v>
      </c>
      <c r="M2842" s="4">
        <v>1123</v>
      </c>
      <c r="N2842" s="1">
        <v>1198</v>
      </c>
      <c r="O2842" s="1">
        <v>1218</v>
      </c>
      <c r="P2842" s="1">
        <v>20</v>
      </c>
      <c r="Q2842" s="1" t="s">
        <v>42</v>
      </c>
      <c r="S2842" s="1" t="s">
        <v>42</v>
      </c>
      <c r="T2842" s="1" t="s">
        <v>170</v>
      </c>
      <c r="U2842" s="1">
        <v>4</v>
      </c>
      <c r="V2842" s="5">
        <v>43683</v>
      </c>
      <c r="W2842" s="5">
        <v>43035</v>
      </c>
      <c r="X2842" s="1">
        <v>2378000</v>
      </c>
      <c r="Y2842" s="1">
        <v>2378000</v>
      </c>
      <c r="Z2842" s="5">
        <v>43039</v>
      </c>
      <c r="AA2842" s="1">
        <v>2315427.5</v>
      </c>
      <c r="AB2842" s="1" t="s">
        <v>2149</v>
      </c>
      <c r="AC2842" s="5">
        <v>43573</v>
      </c>
      <c r="AF2842" s="1">
        <v>10002</v>
      </c>
      <c r="AI2842" s="1" t="s">
        <v>163</v>
      </c>
      <c r="AJ2842" s="1">
        <v>2019</v>
      </c>
      <c r="AK2842" s="1" t="s">
        <v>73</v>
      </c>
      <c r="AL2842" s="1">
        <v>787</v>
      </c>
    </row>
    <row r="2843" spans="1:38" x14ac:dyDescent="0.2">
      <c r="A2843" s="2" t="str">
        <f>HYPERLINK("https://www.compass.com/listing/252-south-street-unit-57b-manhattan-ny-10002/29513534517847217/","252 South St, Unit 57B")</f>
        <v>252 South St, Unit 57B</v>
      </c>
      <c r="B2843" s="2" t="str">
        <f t="shared" si="388"/>
        <v>One Manhattan Square</v>
      </c>
      <c r="C2843" s="1" t="s">
        <v>66</v>
      </c>
      <c r="D2843" s="1" t="s">
        <v>41</v>
      </c>
      <c r="E2843" s="3">
        <v>2589251</v>
      </c>
      <c r="F2843" s="1">
        <v>2504.11077369439</v>
      </c>
      <c r="G2843" s="1">
        <v>4</v>
      </c>
      <c r="H2843" s="1">
        <v>2</v>
      </c>
      <c r="I2843" s="1">
        <v>2</v>
      </c>
      <c r="J2843" s="1">
        <v>2</v>
      </c>
      <c r="M2843" s="4">
        <v>1034</v>
      </c>
      <c r="N2843" s="1">
        <v>1347</v>
      </c>
      <c r="O2843" s="1">
        <v>1370</v>
      </c>
      <c r="P2843" s="1">
        <v>23</v>
      </c>
      <c r="Q2843" s="1" t="s">
        <v>42</v>
      </c>
      <c r="S2843" s="1" t="s">
        <v>42</v>
      </c>
      <c r="T2843" s="1" t="s">
        <v>170</v>
      </c>
      <c r="U2843" s="1">
        <v>2</v>
      </c>
      <c r="V2843" s="5">
        <v>43717</v>
      </c>
      <c r="W2843" s="5">
        <v>43019</v>
      </c>
      <c r="X2843" s="1">
        <v>2631000</v>
      </c>
      <c r="Y2843" s="1">
        <v>2631000</v>
      </c>
      <c r="Z2843" s="5">
        <v>43021</v>
      </c>
      <c r="AA2843" s="1">
        <v>2589250.54</v>
      </c>
      <c r="AB2843" s="1" t="s">
        <v>2150</v>
      </c>
      <c r="AC2843" s="5">
        <v>43707</v>
      </c>
      <c r="AF2843" s="1">
        <v>10002</v>
      </c>
      <c r="AI2843" s="1" t="s">
        <v>163</v>
      </c>
      <c r="AJ2843" s="1">
        <v>2019</v>
      </c>
      <c r="AK2843" s="1" t="s">
        <v>73</v>
      </c>
      <c r="AL2843" s="1">
        <v>787</v>
      </c>
    </row>
    <row r="2844" spans="1:38" x14ac:dyDescent="0.2">
      <c r="A2844" s="2" t="str">
        <f>HYPERLINK("https://www.compass.com/listing/252-south-street-unit-65b-manhattan-ny-10002/29513535860075313/","252 South St, Unit 65B")</f>
        <v>252 South St, Unit 65B</v>
      </c>
      <c r="B2844" s="2" t="str">
        <f t="shared" si="388"/>
        <v>One Manhattan Square</v>
      </c>
      <c r="C2844" s="1" t="s">
        <v>66</v>
      </c>
      <c r="D2844" s="1" t="s">
        <v>41</v>
      </c>
      <c r="E2844" s="3">
        <v>2629537</v>
      </c>
      <c r="F2844" s="1">
        <v>2543.0728626692398</v>
      </c>
      <c r="G2844" s="1">
        <v>4</v>
      </c>
      <c r="H2844" s="1">
        <v>2</v>
      </c>
      <c r="I2844" s="1">
        <v>2</v>
      </c>
      <c r="J2844" s="1">
        <v>2</v>
      </c>
      <c r="M2844" s="4">
        <v>1034</v>
      </c>
      <c r="N2844" s="1">
        <v>1396</v>
      </c>
      <c r="O2844" s="1">
        <v>1420</v>
      </c>
      <c r="P2844" s="1">
        <v>24</v>
      </c>
      <c r="Q2844" s="1" t="s">
        <v>42</v>
      </c>
      <c r="S2844" s="1" t="s">
        <v>42</v>
      </c>
      <c r="T2844" s="1" t="s">
        <v>170</v>
      </c>
      <c r="U2844" s="1">
        <v>2</v>
      </c>
      <c r="V2844" s="5">
        <v>43717</v>
      </c>
      <c r="W2844" s="5">
        <v>43006</v>
      </c>
      <c r="X2844" s="1">
        <v>2672000</v>
      </c>
      <c r="Y2844" s="1">
        <v>2672000</v>
      </c>
      <c r="Z2844" s="5">
        <v>43008</v>
      </c>
      <c r="AA2844" s="1">
        <v>2629537.34</v>
      </c>
      <c r="AB2844" s="1" t="s">
        <v>2151</v>
      </c>
      <c r="AC2844" s="5">
        <v>43707</v>
      </c>
      <c r="AF2844" s="1">
        <v>10002</v>
      </c>
      <c r="AI2844" s="1" t="s">
        <v>163</v>
      </c>
      <c r="AJ2844" s="1">
        <v>2019</v>
      </c>
      <c r="AK2844" s="1" t="s">
        <v>73</v>
      </c>
      <c r="AL2844" s="1">
        <v>787</v>
      </c>
    </row>
    <row r="2845" spans="1:38" x14ac:dyDescent="0.2">
      <c r="A2845" s="2" t="str">
        <f>HYPERLINK("https://www.compass.com/listing/252-south-street-unit-48k-manhattan-ny-10002/308624830303662929/","252 South St, Unit 48K")</f>
        <v>252 South St, Unit 48K</v>
      </c>
      <c r="B2845" s="2" t="str">
        <f t="shared" si="388"/>
        <v>One Manhattan Square</v>
      </c>
      <c r="C2845" s="1" t="s">
        <v>66</v>
      </c>
      <c r="D2845" s="1" t="s">
        <v>41</v>
      </c>
      <c r="E2845" s="3">
        <v>2520573</v>
      </c>
      <c r="F2845" s="1">
        <v>2244.4999376669598</v>
      </c>
      <c r="G2845" s="1">
        <v>4</v>
      </c>
      <c r="H2845" s="1">
        <v>2</v>
      </c>
      <c r="I2845" s="1">
        <v>2</v>
      </c>
      <c r="J2845" s="1">
        <v>2</v>
      </c>
      <c r="K2845" s="1">
        <v>2</v>
      </c>
      <c r="M2845" s="4">
        <v>1123</v>
      </c>
      <c r="N2845" s="1">
        <v>1431</v>
      </c>
      <c r="O2845" s="1">
        <v>1454</v>
      </c>
      <c r="P2845" s="1">
        <v>23</v>
      </c>
      <c r="Q2845" s="1" t="s">
        <v>42</v>
      </c>
      <c r="S2845" s="1" t="s">
        <v>42</v>
      </c>
      <c r="T2845" s="1" t="s">
        <v>170</v>
      </c>
      <c r="U2845" s="1">
        <v>13</v>
      </c>
      <c r="V2845" s="5">
        <v>43731</v>
      </c>
      <c r="W2845" s="5">
        <v>43678</v>
      </c>
      <c r="X2845" s="1">
        <v>2602000</v>
      </c>
      <c r="Y2845" s="1">
        <v>2602000</v>
      </c>
      <c r="Z2845" s="5">
        <v>43691</v>
      </c>
      <c r="AA2845" s="1">
        <v>2520573.4300000002</v>
      </c>
      <c r="AB2845" s="1" t="s">
        <v>2152</v>
      </c>
      <c r="AC2845" s="5">
        <v>43721</v>
      </c>
      <c r="AF2845" s="1">
        <v>10002</v>
      </c>
      <c r="AI2845" s="1" t="s">
        <v>163</v>
      </c>
      <c r="AJ2845" s="1">
        <v>2019</v>
      </c>
      <c r="AK2845" s="1" t="s">
        <v>73</v>
      </c>
      <c r="AL2845" s="1">
        <v>787</v>
      </c>
    </row>
    <row r="2846" spans="1:38" x14ac:dyDescent="0.2">
      <c r="A2846" s="2" t="str">
        <f>HYPERLINK("https://www.compass.com/listing/252-south-street-unit-40l-manhattan-ny-10002/404232563502711089/","252 South St, Unit 40L")</f>
        <v>252 South St, Unit 40L</v>
      </c>
      <c r="B2846" s="2" t="str">
        <f t="shared" si="388"/>
        <v>One Manhattan Square</v>
      </c>
      <c r="C2846" s="1" t="s">
        <v>66</v>
      </c>
      <c r="D2846" s="1" t="s">
        <v>41</v>
      </c>
      <c r="E2846" s="3">
        <v>2601150</v>
      </c>
      <c r="F2846" s="1">
        <v>2316.2511576135298</v>
      </c>
      <c r="G2846" s="1">
        <v>4</v>
      </c>
      <c r="H2846" s="1">
        <v>2</v>
      </c>
      <c r="I2846" s="1">
        <v>2</v>
      </c>
      <c r="J2846" s="1">
        <v>2</v>
      </c>
      <c r="K2846" s="1">
        <v>2</v>
      </c>
      <c r="M2846" s="4">
        <v>1123</v>
      </c>
      <c r="N2846" s="1">
        <v>1388.74</v>
      </c>
      <c r="O2846" s="1">
        <v>1410.67</v>
      </c>
      <c r="P2846" s="1">
        <v>21.9166666666666</v>
      </c>
      <c r="Q2846" s="1" t="s">
        <v>42</v>
      </c>
      <c r="S2846" s="1" t="s">
        <v>42</v>
      </c>
      <c r="T2846" s="1" t="s">
        <v>170</v>
      </c>
      <c r="U2846" s="1">
        <v>1</v>
      </c>
      <c r="V2846" s="5">
        <v>44117</v>
      </c>
      <c r="W2846" s="5">
        <v>43810</v>
      </c>
      <c r="X2846" s="1">
        <v>2834000</v>
      </c>
      <c r="Y2846" s="1">
        <v>2550600</v>
      </c>
      <c r="Z2846" s="5">
        <v>43811</v>
      </c>
      <c r="AA2846" s="1">
        <v>2601150.0499999998</v>
      </c>
      <c r="AB2846" s="1" t="s">
        <v>2153</v>
      </c>
      <c r="AC2846" s="5">
        <v>43958</v>
      </c>
      <c r="AF2846" s="1">
        <v>10002</v>
      </c>
      <c r="AI2846" s="1" t="s">
        <v>163</v>
      </c>
      <c r="AJ2846" s="1">
        <v>2019</v>
      </c>
      <c r="AK2846" s="1" t="s">
        <v>73</v>
      </c>
      <c r="AL2846" s="1">
        <v>787</v>
      </c>
    </row>
    <row r="2847" spans="1:38" x14ac:dyDescent="0.2">
      <c r="A2847" s="2" t="str">
        <f>HYPERLINK("https://www.compass.com/listing/252-south-street-unit-40n-manhattan-ny-10002/766634889688430209/","252 South St, Unit 40N")</f>
        <v>252 South St, Unit 40N</v>
      </c>
      <c r="B2847" s="2" t="str">
        <f t="shared" si="388"/>
        <v>One Manhattan Square</v>
      </c>
      <c r="C2847" s="1" t="s">
        <v>66</v>
      </c>
      <c r="D2847" s="1" t="s">
        <v>41</v>
      </c>
      <c r="E2847" s="3">
        <v>1388820</v>
      </c>
      <c r="F2847" s="1">
        <v>1920.91286307053</v>
      </c>
      <c r="G2847" s="1">
        <v>3</v>
      </c>
      <c r="H2847" s="1">
        <v>1</v>
      </c>
      <c r="I2847" s="1">
        <v>1</v>
      </c>
      <c r="J2847" s="1">
        <v>1</v>
      </c>
      <c r="K2847" s="1">
        <v>1</v>
      </c>
      <c r="M2847" s="1">
        <v>723</v>
      </c>
      <c r="N2847" s="1">
        <v>895</v>
      </c>
      <c r="O2847" s="1">
        <v>909</v>
      </c>
      <c r="P2847" s="1">
        <v>14</v>
      </c>
      <c r="Q2847" s="1" t="s">
        <v>42</v>
      </c>
      <c r="S2847" s="1" t="s">
        <v>42</v>
      </c>
      <c r="T2847" s="1" t="s">
        <v>170</v>
      </c>
      <c r="U2847" s="1">
        <v>6</v>
      </c>
      <c r="V2847" s="5">
        <v>44310</v>
      </c>
      <c r="W2847" s="5">
        <v>44303</v>
      </c>
      <c r="X2847" s="1">
        <v>1640000</v>
      </c>
      <c r="Y2847" s="1">
        <v>1640000</v>
      </c>
      <c r="Z2847" s="5">
        <v>44310</v>
      </c>
      <c r="AA2847" s="1">
        <v>1388820</v>
      </c>
      <c r="AB2847" s="1" t="s">
        <v>2154</v>
      </c>
      <c r="AC2847" s="5">
        <v>44330</v>
      </c>
      <c r="AF2847" s="1">
        <v>10002</v>
      </c>
      <c r="AI2847" s="1" t="s">
        <v>163</v>
      </c>
      <c r="AJ2847" s="1">
        <v>2019</v>
      </c>
      <c r="AK2847" s="1" t="s">
        <v>73</v>
      </c>
      <c r="AL2847" s="1">
        <v>787</v>
      </c>
    </row>
    <row r="2848" spans="1:38" x14ac:dyDescent="0.2">
      <c r="A2848" s="2" t="str">
        <f>HYPERLINK("https://www.compass.com/listing/252-south-street-unit-66c-manhattan-ny-10002/265103026040181249/","252 South St, Unit 66C")</f>
        <v>252 South St, Unit 66C</v>
      </c>
      <c r="B2848" s="2" t="str">
        <f t="shared" si="388"/>
        <v>One Manhattan Square</v>
      </c>
      <c r="C2848" s="1" t="s">
        <v>66</v>
      </c>
      <c r="D2848" s="1" t="s">
        <v>41</v>
      </c>
      <c r="E2848" s="3">
        <v>4057869</v>
      </c>
      <c r="F2848" s="1">
        <v>2728.89643577673</v>
      </c>
      <c r="G2848" s="1">
        <v>5</v>
      </c>
      <c r="H2848" s="1">
        <v>3</v>
      </c>
      <c r="I2848" s="1">
        <v>3</v>
      </c>
      <c r="J2848" s="1">
        <v>3</v>
      </c>
      <c r="K2848" s="1">
        <v>3</v>
      </c>
      <c r="M2848" s="4">
        <v>1487</v>
      </c>
      <c r="N2848" s="1">
        <v>2044.95</v>
      </c>
      <c r="O2848" s="1">
        <v>2077.2399999999998</v>
      </c>
      <c r="P2848" s="1">
        <v>32.25</v>
      </c>
      <c r="Q2848" s="1" t="s">
        <v>42</v>
      </c>
      <c r="S2848" s="1" t="s">
        <v>42</v>
      </c>
      <c r="T2848" s="1" t="s">
        <v>170</v>
      </c>
      <c r="U2848" s="1">
        <v>24</v>
      </c>
      <c r="V2848" s="5">
        <v>43696</v>
      </c>
      <c r="W2848" s="5">
        <v>43509</v>
      </c>
      <c r="X2848" s="1">
        <v>4277000</v>
      </c>
      <c r="Y2848" s="1">
        <v>4277000</v>
      </c>
      <c r="Z2848" s="5">
        <v>43618</v>
      </c>
      <c r="AA2848" s="1">
        <v>4057869</v>
      </c>
      <c r="AB2848" s="1" t="s">
        <v>2155</v>
      </c>
      <c r="AC2848" s="5">
        <v>43642</v>
      </c>
      <c r="AF2848" s="1">
        <v>10002</v>
      </c>
      <c r="AI2848" s="1" t="s">
        <v>163</v>
      </c>
      <c r="AJ2848" s="1">
        <v>2019</v>
      </c>
      <c r="AK2848" s="1" t="s">
        <v>73</v>
      </c>
      <c r="AL2848" s="1">
        <v>787</v>
      </c>
    </row>
    <row r="2849" spans="1:38" x14ac:dyDescent="0.2">
      <c r="A2849" s="2" t="str">
        <f>HYPERLINK("https://www.compass.com/listing/252-south-street-unit-66c-manhattan-ny-10002/175967903189859905/","252 South St, Unit 66C")</f>
        <v>252 South St, Unit 66C</v>
      </c>
      <c r="B2849" s="2" t="str">
        <f t="shared" si="388"/>
        <v>One Manhattan Square</v>
      </c>
      <c r="C2849" s="1" t="s">
        <v>66</v>
      </c>
      <c r="D2849" s="1" t="s">
        <v>41</v>
      </c>
      <c r="E2849" s="3">
        <v>4057870</v>
      </c>
      <c r="F2849" s="1">
        <v>2728.8968056489498</v>
      </c>
      <c r="G2849" s="1">
        <v>5</v>
      </c>
      <c r="H2849" s="1">
        <v>3</v>
      </c>
      <c r="I2849" s="1">
        <v>3</v>
      </c>
      <c r="J2849" s="1">
        <v>3</v>
      </c>
      <c r="K2849" s="1">
        <v>3</v>
      </c>
      <c r="M2849" s="4">
        <v>1487</v>
      </c>
      <c r="N2849" s="1">
        <v>2016</v>
      </c>
      <c r="O2849" s="1">
        <v>2050</v>
      </c>
      <c r="P2849" s="1">
        <v>34</v>
      </c>
      <c r="Q2849" s="1" t="s">
        <v>42</v>
      </c>
      <c r="S2849" s="1" t="s">
        <v>42</v>
      </c>
      <c r="T2849" s="1" t="s">
        <v>170</v>
      </c>
      <c r="U2849" s="1">
        <v>37</v>
      </c>
      <c r="V2849" s="5">
        <v>43533</v>
      </c>
      <c r="W2849" s="5">
        <v>43495</v>
      </c>
      <c r="X2849" s="1">
        <v>4277000</v>
      </c>
      <c r="Y2849" s="1">
        <v>4277000</v>
      </c>
      <c r="AA2849" s="1">
        <v>4057869.55</v>
      </c>
      <c r="AB2849" s="1" t="s">
        <v>2155</v>
      </c>
      <c r="AC2849" s="5">
        <v>43641</v>
      </c>
      <c r="AF2849" s="1">
        <v>10002</v>
      </c>
      <c r="AI2849" s="1" t="s">
        <v>163</v>
      </c>
      <c r="AJ2849" s="1">
        <v>2019</v>
      </c>
      <c r="AK2849" s="1" t="s">
        <v>73</v>
      </c>
      <c r="AL2849" s="1">
        <v>787</v>
      </c>
    </row>
    <row r="2850" spans="1:38" x14ac:dyDescent="0.2">
      <c r="A2850" s="2" t="str">
        <f>HYPERLINK("https://www.compass.com/listing/252-south-street-unit-45c-manhattan-ny-10002/308637356332225537/","252 South St, Unit 45C")</f>
        <v>252 South St, Unit 45C</v>
      </c>
      <c r="B2850" s="2" t="str">
        <f t="shared" si="388"/>
        <v>One Manhattan Square</v>
      </c>
      <c r="C2850" s="1" t="s">
        <v>66</v>
      </c>
      <c r="D2850" s="1" t="s">
        <v>41</v>
      </c>
      <c r="E2850" s="3">
        <v>3603229</v>
      </c>
      <c r="F2850" s="1">
        <v>2423.1530665770001</v>
      </c>
      <c r="G2850" s="1">
        <v>5</v>
      </c>
      <c r="H2850" s="1">
        <v>3</v>
      </c>
      <c r="I2850" s="1">
        <v>3</v>
      </c>
      <c r="J2850" s="1">
        <v>3</v>
      </c>
      <c r="K2850" s="1">
        <v>3</v>
      </c>
      <c r="M2850" s="4">
        <v>1487</v>
      </c>
      <c r="N2850" s="1">
        <v>1871</v>
      </c>
      <c r="O2850" s="1">
        <v>1901</v>
      </c>
      <c r="P2850" s="1">
        <v>30</v>
      </c>
      <c r="Q2850" s="1" t="s">
        <v>42</v>
      </c>
      <c r="S2850" s="1" t="s">
        <v>42</v>
      </c>
      <c r="T2850" s="1" t="s">
        <v>170</v>
      </c>
      <c r="U2850" s="1">
        <v>30</v>
      </c>
      <c r="V2850" s="5">
        <v>43708</v>
      </c>
      <c r="W2850" s="5">
        <v>43678</v>
      </c>
      <c r="X2850" s="1">
        <v>3849000</v>
      </c>
      <c r="Y2850" s="1">
        <v>3849000</v>
      </c>
      <c r="AA2850" s="1">
        <v>3603228.61</v>
      </c>
      <c r="AB2850" s="1" t="s">
        <v>2156</v>
      </c>
      <c r="AC2850" s="5">
        <v>43796</v>
      </c>
      <c r="AF2850" s="1">
        <v>10002</v>
      </c>
      <c r="AI2850" s="1" t="s">
        <v>163</v>
      </c>
      <c r="AJ2850" s="1">
        <v>2019</v>
      </c>
      <c r="AK2850" s="1" t="s">
        <v>73</v>
      </c>
      <c r="AL2850" s="1">
        <v>787</v>
      </c>
    </row>
    <row r="2851" spans="1:38" x14ac:dyDescent="0.2">
      <c r="A2851" s="2" t="str">
        <f>HYPERLINK("https://www.compass.com/listing/252-south-street-unit-45c-manhattan-ny-10002/330982544916659025/","252 South St, Unit 45C")</f>
        <v>252 South St, Unit 45C</v>
      </c>
      <c r="B2851" s="2" t="str">
        <f t="shared" si="388"/>
        <v>One Manhattan Square</v>
      </c>
      <c r="C2851" s="1" t="s">
        <v>66</v>
      </c>
      <c r="D2851" s="1" t="s">
        <v>41</v>
      </c>
      <c r="E2851" s="3">
        <v>3603229</v>
      </c>
      <c r="F2851" s="1">
        <v>2423.1530665770001</v>
      </c>
      <c r="G2851" s="1">
        <v>5</v>
      </c>
      <c r="H2851" s="1">
        <v>3</v>
      </c>
      <c r="I2851" s="1">
        <v>3</v>
      </c>
      <c r="J2851" s="1">
        <v>3</v>
      </c>
      <c r="K2851" s="1">
        <v>3</v>
      </c>
      <c r="M2851" s="4">
        <v>1487</v>
      </c>
      <c r="N2851" s="1">
        <v>1871</v>
      </c>
      <c r="O2851" s="1">
        <v>1901</v>
      </c>
      <c r="P2851" s="1">
        <v>30</v>
      </c>
      <c r="Q2851" s="1" t="s">
        <v>42</v>
      </c>
      <c r="S2851" s="1" t="s">
        <v>42</v>
      </c>
      <c r="T2851" s="1" t="s">
        <v>170</v>
      </c>
      <c r="U2851" s="1">
        <v>31</v>
      </c>
      <c r="V2851" s="5">
        <v>43808</v>
      </c>
      <c r="W2851" s="5">
        <v>43678</v>
      </c>
      <c r="X2851" s="1">
        <v>3849000</v>
      </c>
      <c r="Y2851" s="1">
        <v>3849000</v>
      </c>
      <c r="Z2851" s="5">
        <v>43709</v>
      </c>
      <c r="AA2851" s="1">
        <v>3603228.61</v>
      </c>
      <c r="AB2851" s="1" t="s">
        <v>2156</v>
      </c>
      <c r="AC2851" s="5">
        <v>43796</v>
      </c>
      <c r="AF2851" s="1">
        <v>10002</v>
      </c>
      <c r="AI2851" s="1" t="s">
        <v>163</v>
      </c>
      <c r="AJ2851" s="1">
        <v>2019</v>
      </c>
      <c r="AK2851" s="1" t="s">
        <v>73</v>
      </c>
      <c r="AL2851" s="1">
        <v>787</v>
      </c>
    </row>
    <row r="2852" spans="1:38" x14ac:dyDescent="0.2">
      <c r="A2852" s="2" t="str">
        <f>HYPERLINK("https://www.compass.com/listing/252-south-street-unit-29n-manhattan-ny-10002/29513524518625985/","252 South St, Unit 29N")</f>
        <v>252 South St, Unit 29N</v>
      </c>
      <c r="B2852" s="2" t="str">
        <f t="shared" si="388"/>
        <v>One Manhattan Square</v>
      </c>
      <c r="C2852" s="1" t="s">
        <v>66</v>
      </c>
      <c r="D2852" s="1" t="s">
        <v>41</v>
      </c>
      <c r="E2852" s="3">
        <v>1519156</v>
      </c>
      <c r="F2852" s="1">
        <v>2185.8359712230199</v>
      </c>
      <c r="G2852" s="1">
        <v>3</v>
      </c>
      <c r="H2852" s="1">
        <v>1</v>
      </c>
      <c r="I2852" s="1">
        <v>1</v>
      </c>
      <c r="J2852" s="1">
        <v>1</v>
      </c>
      <c r="M2852" s="1">
        <v>695</v>
      </c>
      <c r="N2852" s="1">
        <v>807</v>
      </c>
      <c r="O2852" s="1">
        <v>821</v>
      </c>
      <c r="P2852" s="1">
        <v>14</v>
      </c>
      <c r="Q2852" s="1" t="s">
        <v>42</v>
      </c>
      <c r="S2852" s="1" t="s">
        <v>42</v>
      </c>
      <c r="T2852" s="1" t="s">
        <v>170</v>
      </c>
      <c r="U2852" s="1">
        <v>4</v>
      </c>
      <c r="V2852" s="5">
        <v>43696</v>
      </c>
      <c r="W2852" s="5">
        <v>42969</v>
      </c>
      <c r="X2852" s="1">
        <v>1580000</v>
      </c>
      <c r="Y2852" s="1">
        <v>1580000</v>
      </c>
      <c r="Z2852" s="5">
        <v>42973</v>
      </c>
      <c r="AA2852" s="1">
        <v>1519156</v>
      </c>
      <c r="AB2852" s="1" t="s">
        <v>2157</v>
      </c>
      <c r="AC2852" s="5">
        <v>43655</v>
      </c>
      <c r="AF2852" s="1">
        <v>10002</v>
      </c>
      <c r="AI2852" s="1" t="s">
        <v>163</v>
      </c>
      <c r="AJ2852" s="1">
        <v>2019</v>
      </c>
      <c r="AK2852" s="1" t="s">
        <v>73</v>
      </c>
      <c r="AL2852" s="1">
        <v>787</v>
      </c>
    </row>
    <row r="2853" spans="1:38" x14ac:dyDescent="0.2">
      <c r="A2853" s="2" t="str">
        <f>HYPERLINK("https://www.compass.com/listing/252-south-street-unit-51m-manhattan-ny-10002/29513538359829969/","252 South St, Unit 51M")</f>
        <v>252 South St, Unit 51M</v>
      </c>
      <c r="B2853" s="2" t="str">
        <f t="shared" si="388"/>
        <v>One Manhattan Square</v>
      </c>
      <c r="C2853" s="1" t="s">
        <v>66</v>
      </c>
      <c r="D2853" s="1" t="s">
        <v>41</v>
      </c>
      <c r="E2853" s="3">
        <v>1668798</v>
      </c>
      <c r="F2853" s="1">
        <v>2401.1482014388398</v>
      </c>
      <c r="G2853" s="1">
        <v>3</v>
      </c>
      <c r="H2853" s="1">
        <v>1</v>
      </c>
      <c r="I2853" s="1">
        <v>1</v>
      </c>
      <c r="J2853" s="1">
        <v>1</v>
      </c>
      <c r="M2853" s="1">
        <v>695</v>
      </c>
      <c r="N2853" s="1">
        <v>887</v>
      </c>
      <c r="O2853" s="1">
        <v>902</v>
      </c>
      <c r="P2853" s="1">
        <v>15</v>
      </c>
      <c r="Q2853" s="1" t="s">
        <v>42</v>
      </c>
      <c r="S2853" s="1" t="s">
        <v>42</v>
      </c>
      <c r="T2853" s="1" t="s">
        <v>170</v>
      </c>
      <c r="U2853" s="1">
        <v>5</v>
      </c>
      <c r="V2853" s="5">
        <v>43696</v>
      </c>
      <c r="W2853" s="5">
        <v>42979</v>
      </c>
      <c r="X2853" s="1">
        <v>1712000</v>
      </c>
      <c r="Y2853" s="1">
        <v>1712000</v>
      </c>
      <c r="Z2853" s="5">
        <v>42984</v>
      </c>
      <c r="AA2853" s="1">
        <v>1668798</v>
      </c>
      <c r="AB2853" s="1" t="s">
        <v>2158</v>
      </c>
      <c r="AC2853" s="5">
        <v>43645</v>
      </c>
      <c r="AF2853" s="1">
        <v>10002</v>
      </c>
      <c r="AI2853" s="1" t="s">
        <v>163</v>
      </c>
      <c r="AJ2853" s="1">
        <v>2019</v>
      </c>
      <c r="AK2853" s="1" t="s">
        <v>73</v>
      </c>
      <c r="AL2853" s="1">
        <v>787</v>
      </c>
    </row>
    <row r="2854" spans="1:38" x14ac:dyDescent="0.2">
      <c r="A2854" s="2" t="str">
        <f>HYPERLINK("https://www.compass.com/listing/252-south-street-unit-48e-manhattan-ny-10002/29513538687036417/","252 South St, Unit 48E")</f>
        <v>252 South St, Unit 48E</v>
      </c>
      <c r="B2854" s="2" t="str">
        <f t="shared" si="388"/>
        <v>One Manhattan Square</v>
      </c>
      <c r="C2854" s="1" t="s">
        <v>66</v>
      </c>
      <c r="D2854" s="1" t="s">
        <v>41</v>
      </c>
      <c r="E2854" s="3">
        <v>1463514</v>
      </c>
      <c r="F2854" s="1">
        <v>2108.80979827089</v>
      </c>
      <c r="G2854" s="1">
        <v>3</v>
      </c>
      <c r="H2854" s="1">
        <v>1</v>
      </c>
      <c r="I2854" s="1">
        <v>1</v>
      </c>
      <c r="J2854" s="1">
        <v>1</v>
      </c>
      <c r="M2854" s="1">
        <v>694</v>
      </c>
      <c r="N2854" s="1">
        <v>871</v>
      </c>
      <c r="O2854" s="1">
        <v>886</v>
      </c>
      <c r="P2854" s="1">
        <v>15</v>
      </c>
      <c r="Q2854" s="1" t="s">
        <v>42</v>
      </c>
      <c r="S2854" s="1" t="s">
        <v>42</v>
      </c>
      <c r="T2854" s="1" t="s">
        <v>170</v>
      </c>
      <c r="U2854" s="1">
        <v>5</v>
      </c>
      <c r="V2854" s="5">
        <v>43696</v>
      </c>
      <c r="W2854" s="5">
        <v>42979</v>
      </c>
      <c r="X2854" s="1">
        <v>1460000</v>
      </c>
      <c r="Y2854" s="1">
        <v>1460000</v>
      </c>
      <c r="Z2854" s="5">
        <v>42984</v>
      </c>
      <c r="AA2854" s="1">
        <v>1463514</v>
      </c>
      <c r="AB2854" s="1" t="s">
        <v>2159</v>
      </c>
      <c r="AC2854" s="5">
        <v>43655</v>
      </c>
      <c r="AF2854" s="1">
        <v>10002</v>
      </c>
      <c r="AI2854" s="1" t="s">
        <v>163</v>
      </c>
      <c r="AJ2854" s="1">
        <v>2019</v>
      </c>
      <c r="AK2854" s="1" t="s">
        <v>73</v>
      </c>
      <c r="AL2854" s="1">
        <v>787</v>
      </c>
    </row>
    <row r="2855" spans="1:38" x14ac:dyDescent="0.2">
      <c r="A2855" s="2" t="str">
        <f>HYPERLINK("https://www.compass.com/listing/252-south-street-unit-20k-manhattan-ny-10002/530648684348879609/","252 South St, Unit 20K")</f>
        <v>252 South St, Unit 20K</v>
      </c>
      <c r="B2855" s="2" t="str">
        <f t="shared" si="388"/>
        <v>One Manhattan Square</v>
      </c>
      <c r="C2855" s="1" t="s">
        <v>66</v>
      </c>
      <c r="D2855" s="1" t="s">
        <v>41</v>
      </c>
      <c r="E2855" s="3">
        <v>1255747</v>
      </c>
      <c r="F2855" s="1">
        <v>1806.82975539568</v>
      </c>
      <c r="G2855" s="1">
        <v>3</v>
      </c>
      <c r="H2855" s="1">
        <v>1</v>
      </c>
      <c r="I2855" s="1">
        <v>1</v>
      </c>
      <c r="J2855" s="1">
        <v>1</v>
      </c>
      <c r="K2855" s="1">
        <v>1</v>
      </c>
      <c r="M2855" s="1">
        <v>695</v>
      </c>
      <c r="N2855" s="1">
        <v>786</v>
      </c>
      <c r="O2855" s="1">
        <v>798</v>
      </c>
      <c r="P2855" s="1">
        <v>12</v>
      </c>
      <c r="Q2855" s="1" t="s">
        <v>42</v>
      </c>
      <c r="S2855" s="1" t="s">
        <v>42</v>
      </c>
      <c r="T2855" s="1" t="s">
        <v>170</v>
      </c>
      <c r="U2855" s="1">
        <v>43</v>
      </c>
      <c r="V2855" s="5">
        <v>44226</v>
      </c>
      <c r="W2855" s="5">
        <v>43984</v>
      </c>
      <c r="X2855" s="1">
        <v>1430000</v>
      </c>
      <c r="Y2855" s="1">
        <v>1229311</v>
      </c>
      <c r="Z2855" s="5">
        <v>44076</v>
      </c>
      <c r="AA2855" s="1">
        <v>1255746.68</v>
      </c>
      <c r="AB2855" s="1" t="s">
        <v>2160</v>
      </c>
      <c r="AC2855" s="5">
        <v>44223</v>
      </c>
      <c r="AF2855" s="1">
        <v>10002</v>
      </c>
      <c r="AI2855" s="1" t="s">
        <v>163</v>
      </c>
      <c r="AJ2855" s="1">
        <v>2019</v>
      </c>
      <c r="AK2855" s="1" t="s">
        <v>73</v>
      </c>
      <c r="AL2855" s="1">
        <v>787</v>
      </c>
    </row>
    <row r="2856" spans="1:38" x14ac:dyDescent="0.2">
      <c r="A2856" s="2" t="str">
        <f>HYPERLINK("https://www.compass.com/listing/252-south-street-unit-37n-manhattan-ny-10002/29513529426012609/","252 South St, Unit 37N")</f>
        <v>252 South St, Unit 37N</v>
      </c>
      <c r="B2856" s="2" t="str">
        <f t="shared" si="388"/>
        <v>One Manhattan Square</v>
      </c>
      <c r="C2856" s="1" t="s">
        <v>66</v>
      </c>
      <c r="D2856" s="1" t="s">
        <v>41</v>
      </c>
      <c r="E2856" s="3">
        <v>1613957</v>
      </c>
      <c r="F2856" s="1">
        <v>2232.3052282157601</v>
      </c>
      <c r="G2856" s="1">
        <v>3</v>
      </c>
      <c r="H2856" s="1">
        <v>1</v>
      </c>
      <c r="I2856" s="1">
        <v>1</v>
      </c>
      <c r="J2856" s="1">
        <v>1</v>
      </c>
      <c r="M2856" s="1">
        <v>723</v>
      </c>
      <c r="N2856" s="1">
        <v>866</v>
      </c>
      <c r="O2856" s="1">
        <v>881</v>
      </c>
      <c r="P2856" s="1">
        <v>15</v>
      </c>
      <c r="Q2856" s="1" t="s">
        <v>42</v>
      </c>
      <c r="S2856" s="1" t="s">
        <v>42</v>
      </c>
      <c r="T2856" s="1" t="s">
        <v>170</v>
      </c>
      <c r="U2856" s="1">
        <v>6</v>
      </c>
      <c r="V2856" s="5">
        <v>43685</v>
      </c>
      <c r="W2856" s="5">
        <v>42935</v>
      </c>
      <c r="X2856" s="1">
        <v>1630000</v>
      </c>
      <c r="Y2856" s="1">
        <v>1630000</v>
      </c>
      <c r="Z2856" s="5">
        <v>42942</v>
      </c>
      <c r="AA2856" s="1">
        <v>1613956.68</v>
      </c>
      <c r="AB2856" s="1" t="s">
        <v>2161</v>
      </c>
      <c r="AC2856" s="5">
        <v>43621</v>
      </c>
      <c r="AF2856" s="1">
        <v>10002</v>
      </c>
      <c r="AI2856" s="1" t="s">
        <v>163</v>
      </c>
      <c r="AJ2856" s="1">
        <v>2019</v>
      </c>
      <c r="AK2856" s="1" t="s">
        <v>73</v>
      </c>
      <c r="AL2856" s="1">
        <v>787</v>
      </c>
    </row>
    <row r="2857" spans="1:38" x14ac:dyDescent="0.2">
      <c r="A2857" s="2" t="str">
        <f>HYPERLINK("https://www.compass.com/listing/252-south-street-unit-33j-manhattan-ny-10002/665195328717588489/","252 South St, Unit 33J")</f>
        <v>252 South St, Unit 33J</v>
      </c>
      <c r="B2857" s="2" t="str">
        <f t="shared" si="388"/>
        <v>One Manhattan Square</v>
      </c>
      <c r="C2857" s="1" t="s">
        <v>66</v>
      </c>
      <c r="D2857" s="1" t="s">
        <v>41</v>
      </c>
      <c r="E2857" s="3">
        <v>1321235</v>
      </c>
      <c r="F2857" s="1">
        <v>1901.0577841726599</v>
      </c>
      <c r="G2857" s="1">
        <v>3</v>
      </c>
      <c r="H2857" s="1">
        <v>1</v>
      </c>
      <c r="I2857" s="1">
        <v>1</v>
      </c>
      <c r="J2857" s="1">
        <v>1</v>
      </c>
      <c r="K2857" s="1">
        <v>1</v>
      </c>
      <c r="M2857" s="1">
        <v>695</v>
      </c>
      <c r="N2857" s="1">
        <v>830</v>
      </c>
      <c r="O2857" s="1">
        <v>843</v>
      </c>
      <c r="P2857" s="1">
        <v>13</v>
      </c>
      <c r="Q2857" s="1" t="s">
        <v>42</v>
      </c>
      <c r="S2857" s="1" t="s">
        <v>42</v>
      </c>
      <c r="T2857" s="1" t="s">
        <v>170</v>
      </c>
      <c r="U2857" s="1">
        <v>14</v>
      </c>
      <c r="V2857" s="5">
        <v>44184</v>
      </c>
      <c r="W2857" s="5">
        <v>44170</v>
      </c>
      <c r="X2857" s="1">
        <v>1310000</v>
      </c>
      <c r="Y2857" s="1">
        <v>1310000</v>
      </c>
      <c r="AA2857" s="1">
        <v>1321235.1599999999</v>
      </c>
      <c r="AB2857" s="1" t="s">
        <v>2102</v>
      </c>
      <c r="AC2857" s="5">
        <v>44294</v>
      </c>
      <c r="AF2857" s="1">
        <v>10002</v>
      </c>
      <c r="AI2857" s="1" t="s">
        <v>163</v>
      </c>
      <c r="AJ2857" s="1">
        <v>2019</v>
      </c>
      <c r="AK2857" s="1" t="s">
        <v>73</v>
      </c>
      <c r="AL2857" s="1">
        <v>787</v>
      </c>
    </row>
    <row r="2858" spans="1:38" x14ac:dyDescent="0.2">
      <c r="A2858" s="2" t="str">
        <f>HYPERLINK("https://www.compass.com/listing/252-south-street-unit-23j-manhattan-ny-10002/29513521867912065/","252 South St, Unit 23J")</f>
        <v>252 South St, Unit 23J</v>
      </c>
      <c r="B2858" s="2" t="str">
        <f t="shared" si="388"/>
        <v>One Manhattan Square</v>
      </c>
      <c r="C2858" s="1" t="s">
        <v>66</v>
      </c>
      <c r="D2858" s="1" t="s">
        <v>41</v>
      </c>
      <c r="E2858" s="3">
        <v>1321595</v>
      </c>
      <c r="F2858" s="1">
        <v>1898.8433908045899</v>
      </c>
      <c r="G2858" s="1">
        <v>3</v>
      </c>
      <c r="H2858" s="1">
        <v>1</v>
      </c>
      <c r="I2858" s="1">
        <v>1</v>
      </c>
      <c r="J2858" s="1">
        <v>1</v>
      </c>
      <c r="M2858" s="1">
        <v>696</v>
      </c>
      <c r="N2858" s="1">
        <v>786</v>
      </c>
      <c r="O2858" s="1">
        <v>799</v>
      </c>
      <c r="P2858" s="1">
        <v>13</v>
      </c>
      <c r="Q2858" s="1" t="s">
        <v>42</v>
      </c>
      <c r="S2858" s="1" t="s">
        <v>42</v>
      </c>
      <c r="T2858" s="1" t="s">
        <v>170</v>
      </c>
      <c r="U2858" s="1">
        <v>6</v>
      </c>
      <c r="V2858" s="5">
        <v>43696</v>
      </c>
      <c r="W2858" s="5">
        <v>43082</v>
      </c>
      <c r="X2858" s="1">
        <v>1334000</v>
      </c>
      <c r="Y2858" s="1">
        <v>1334000</v>
      </c>
      <c r="Z2858" s="5">
        <v>43088</v>
      </c>
      <c r="AA2858" s="1">
        <v>1321595</v>
      </c>
      <c r="AB2858" s="1" t="s">
        <v>2162</v>
      </c>
      <c r="AC2858" s="5">
        <v>43589</v>
      </c>
      <c r="AF2858" s="1">
        <v>10002</v>
      </c>
      <c r="AI2858" s="1" t="s">
        <v>163</v>
      </c>
      <c r="AJ2858" s="1">
        <v>2019</v>
      </c>
      <c r="AK2858" s="1" t="s">
        <v>73</v>
      </c>
      <c r="AL2858" s="1">
        <v>787</v>
      </c>
    </row>
    <row r="2859" spans="1:38" x14ac:dyDescent="0.2">
      <c r="A2859" s="2" t="str">
        <f>HYPERLINK("https://www.compass.com/listing/252-south-street-unit-35n-manhattan-ny-10002/384071561972474177/","252 South St, Unit 35N")</f>
        <v>252 South St, Unit 35N</v>
      </c>
      <c r="B2859" s="2" t="str">
        <f t="shared" si="388"/>
        <v>One Manhattan Square</v>
      </c>
      <c r="C2859" s="1" t="s">
        <v>66</v>
      </c>
      <c r="D2859" s="1" t="s">
        <v>41</v>
      </c>
      <c r="E2859" s="3">
        <v>1554592</v>
      </c>
      <c r="F2859" s="1">
        <v>2150.1962655601601</v>
      </c>
      <c r="G2859" s="1">
        <v>3</v>
      </c>
      <c r="H2859" s="1">
        <v>1</v>
      </c>
      <c r="I2859" s="1">
        <v>1</v>
      </c>
      <c r="J2859" s="1">
        <v>1</v>
      </c>
      <c r="K2859" s="1">
        <v>1</v>
      </c>
      <c r="M2859" s="1">
        <v>723</v>
      </c>
      <c r="N2859" s="1">
        <v>8790.9599999999991</v>
      </c>
      <c r="O2859" s="1">
        <v>8804.9599999999991</v>
      </c>
      <c r="P2859" s="1">
        <v>14</v>
      </c>
      <c r="Q2859" s="1" t="s">
        <v>42</v>
      </c>
      <c r="S2859" s="1" t="s">
        <v>42</v>
      </c>
      <c r="T2859" s="1" t="s">
        <v>170</v>
      </c>
      <c r="U2859" s="1">
        <v>2</v>
      </c>
      <c r="V2859" s="5">
        <v>44161</v>
      </c>
      <c r="W2859" s="5">
        <v>43782</v>
      </c>
      <c r="X2859" s="1">
        <v>1620000</v>
      </c>
      <c r="Y2859" s="1">
        <v>1522800</v>
      </c>
      <c r="Z2859" s="5">
        <v>43784</v>
      </c>
      <c r="AA2859" s="1">
        <v>1554591.9</v>
      </c>
      <c r="AB2859" s="1" t="s">
        <v>2163</v>
      </c>
      <c r="AC2859" s="5">
        <v>44152</v>
      </c>
      <c r="AF2859" s="1">
        <v>10002</v>
      </c>
      <c r="AI2859" s="1" t="s">
        <v>163</v>
      </c>
      <c r="AJ2859" s="1">
        <v>2019</v>
      </c>
      <c r="AK2859" s="1" t="s">
        <v>73</v>
      </c>
      <c r="AL2859" s="1">
        <v>787</v>
      </c>
    </row>
    <row r="2860" spans="1:38" x14ac:dyDescent="0.2">
      <c r="A2860" s="2" t="str">
        <f>HYPERLINK("https://www.compass.com/listing/252-south-street-unit-23n-manhattan-ny-10002/29513535197410801/","252 South St, Unit 23N")</f>
        <v>252 South St, Unit 23N</v>
      </c>
      <c r="B2860" s="2" t="str">
        <f t="shared" si="388"/>
        <v>One Manhattan Square</v>
      </c>
      <c r="C2860" s="1" t="s">
        <v>66</v>
      </c>
      <c r="D2860" s="1" t="s">
        <v>41</v>
      </c>
      <c r="E2860" s="3">
        <v>1543594</v>
      </c>
      <c r="F2860" s="1">
        <v>2220.9985611510701</v>
      </c>
      <c r="G2860" s="1">
        <v>3</v>
      </c>
      <c r="H2860" s="1">
        <v>1</v>
      </c>
      <c r="I2860" s="1">
        <v>1</v>
      </c>
      <c r="J2860" s="1">
        <v>1</v>
      </c>
      <c r="M2860" s="1">
        <v>695</v>
      </c>
      <c r="N2860" s="1">
        <v>785</v>
      </c>
      <c r="O2860" s="1">
        <v>798</v>
      </c>
      <c r="P2860" s="1">
        <v>13</v>
      </c>
      <c r="Q2860" s="1" t="s">
        <v>42</v>
      </c>
      <c r="S2860" s="1" t="s">
        <v>42</v>
      </c>
      <c r="T2860" s="1" t="s">
        <v>170</v>
      </c>
      <c r="U2860" s="1">
        <v>2</v>
      </c>
      <c r="V2860" s="5">
        <v>43960</v>
      </c>
      <c r="W2860" s="5">
        <v>43019</v>
      </c>
      <c r="X2860" s="1">
        <v>1550000</v>
      </c>
      <c r="Y2860" s="1">
        <v>1550000</v>
      </c>
      <c r="Z2860" s="5">
        <v>43021</v>
      </c>
      <c r="AA2860" s="1">
        <v>1543594</v>
      </c>
      <c r="AB2860" s="1" t="s">
        <v>2164</v>
      </c>
      <c r="AC2860" s="5">
        <v>43865</v>
      </c>
      <c r="AF2860" s="1">
        <v>10002</v>
      </c>
      <c r="AI2860" s="1" t="s">
        <v>163</v>
      </c>
      <c r="AJ2860" s="1">
        <v>2019</v>
      </c>
      <c r="AK2860" s="1" t="s">
        <v>73</v>
      </c>
      <c r="AL2860" s="1">
        <v>787</v>
      </c>
    </row>
    <row r="2861" spans="1:38" x14ac:dyDescent="0.2">
      <c r="A2861" s="2" t="str">
        <f>HYPERLINK("https://www.compass.com/listing/252-south-street-unit-66k-manhattan-ny-10002/29513538074703553/","252 South St, Unit 66K")</f>
        <v>252 South St, Unit 66K</v>
      </c>
      <c r="B2861" s="2" t="str">
        <f t="shared" si="388"/>
        <v>One Manhattan Square</v>
      </c>
      <c r="C2861" s="1" t="s">
        <v>66</v>
      </c>
      <c r="D2861" s="1" t="s">
        <v>41</v>
      </c>
      <c r="E2861" s="3">
        <v>1716448</v>
      </c>
      <c r="F2861" s="1">
        <v>2494.8372238371999</v>
      </c>
      <c r="G2861" s="1">
        <v>3</v>
      </c>
      <c r="H2861" s="1">
        <v>1</v>
      </c>
      <c r="I2861" s="1">
        <v>1</v>
      </c>
      <c r="J2861" s="1">
        <v>1</v>
      </c>
      <c r="M2861" s="1">
        <v>688</v>
      </c>
      <c r="N2861" s="1">
        <v>953</v>
      </c>
      <c r="O2861" s="1">
        <v>969</v>
      </c>
      <c r="P2861" s="1">
        <v>16</v>
      </c>
      <c r="Q2861" s="1" t="s">
        <v>42</v>
      </c>
      <c r="S2861" s="1" t="s">
        <v>42</v>
      </c>
      <c r="T2861" s="1" t="s">
        <v>170</v>
      </c>
      <c r="U2861" s="1">
        <v>5</v>
      </c>
      <c r="V2861" s="5">
        <v>43717</v>
      </c>
      <c r="W2861" s="5">
        <v>42979</v>
      </c>
      <c r="X2861" s="1">
        <v>1761000</v>
      </c>
      <c r="Y2861" s="1">
        <v>1761000</v>
      </c>
      <c r="Z2861" s="5">
        <v>42984</v>
      </c>
      <c r="AA2861" s="1">
        <v>1716448.01</v>
      </c>
      <c r="AB2861" s="1" t="s">
        <v>2165</v>
      </c>
      <c r="AC2861" s="5">
        <v>43707</v>
      </c>
      <c r="AF2861" s="1">
        <v>10002</v>
      </c>
      <c r="AI2861" s="1" t="s">
        <v>163</v>
      </c>
      <c r="AJ2861" s="1">
        <v>2019</v>
      </c>
      <c r="AK2861" s="1" t="s">
        <v>73</v>
      </c>
      <c r="AL2861" s="1">
        <v>787</v>
      </c>
    </row>
    <row r="2862" spans="1:38" x14ac:dyDescent="0.2">
      <c r="A2862" s="2" t="str">
        <f>HYPERLINK("https://www.compass.com/listing/252-south-street-unit-57g-manhattan-ny-10002/29513548812086737/","252 South St, Unit 57G")</f>
        <v>252 South St, Unit 57G</v>
      </c>
      <c r="B2862" s="2" t="str">
        <f t="shared" si="388"/>
        <v>One Manhattan Square</v>
      </c>
      <c r="C2862" s="1" t="s">
        <v>66</v>
      </c>
      <c r="D2862" s="1" t="s">
        <v>41</v>
      </c>
      <c r="E2862" s="3">
        <v>1546649</v>
      </c>
      <c r="F2862" s="1">
        <v>2248.0363372093002</v>
      </c>
      <c r="G2862" s="1">
        <v>3</v>
      </c>
      <c r="H2862" s="1">
        <v>1</v>
      </c>
      <c r="I2862" s="1">
        <v>1</v>
      </c>
      <c r="J2862" s="1">
        <v>1</v>
      </c>
      <c r="M2862" s="1">
        <v>688</v>
      </c>
      <c r="N2862" s="1">
        <v>896</v>
      </c>
      <c r="O2862" s="1">
        <v>911</v>
      </c>
      <c r="P2862" s="1">
        <v>15</v>
      </c>
      <c r="Q2862" s="1" t="s">
        <v>42</v>
      </c>
      <c r="S2862" s="1" t="s">
        <v>42</v>
      </c>
      <c r="T2862" s="1" t="s">
        <v>170</v>
      </c>
      <c r="U2862" s="1">
        <v>8</v>
      </c>
      <c r="V2862" s="5">
        <v>43710</v>
      </c>
      <c r="W2862" s="5">
        <v>42936</v>
      </c>
      <c r="X2862" s="1">
        <v>1567000</v>
      </c>
      <c r="Y2862" s="1">
        <v>1567000</v>
      </c>
      <c r="Z2862" s="5">
        <v>42944</v>
      </c>
      <c r="AA2862" s="1">
        <v>1546649</v>
      </c>
      <c r="AB2862" s="1" t="s">
        <v>2166</v>
      </c>
      <c r="AC2862" s="5">
        <v>43697</v>
      </c>
      <c r="AF2862" s="1">
        <v>10002</v>
      </c>
      <c r="AI2862" s="1" t="s">
        <v>163</v>
      </c>
      <c r="AJ2862" s="1">
        <v>2019</v>
      </c>
      <c r="AK2862" s="1" t="s">
        <v>73</v>
      </c>
      <c r="AL2862" s="1">
        <v>787</v>
      </c>
    </row>
    <row r="2863" spans="1:38" x14ac:dyDescent="0.2">
      <c r="A2863" s="2" t="str">
        <f>HYPERLINK("https://www.compass.com/listing/252-south-street-unit-69k-manhattan-ny-10002/404246238124545953/","252 South St, Unit 69K")</f>
        <v>252 South St, Unit 69K</v>
      </c>
      <c r="B2863" s="2" t="str">
        <f t="shared" si="388"/>
        <v>One Manhattan Square</v>
      </c>
      <c r="C2863" s="1" t="s">
        <v>66</v>
      </c>
      <c r="D2863" s="1" t="s">
        <v>41</v>
      </c>
      <c r="E2863" s="3">
        <v>1887763</v>
      </c>
      <c r="F2863" s="1">
        <v>2743.8408430232498</v>
      </c>
      <c r="G2863" s="1">
        <v>3</v>
      </c>
      <c r="H2863" s="1">
        <v>1</v>
      </c>
      <c r="I2863" s="1">
        <v>1</v>
      </c>
      <c r="J2863" s="1">
        <v>1</v>
      </c>
      <c r="K2863" s="1">
        <v>1</v>
      </c>
      <c r="M2863" s="1">
        <v>688</v>
      </c>
      <c r="N2863" s="1">
        <v>960.82</v>
      </c>
      <c r="O2863" s="1">
        <v>975.99</v>
      </c>
      <c r="P2863" s="1">
        <v>15.1666666666666</v>
      </c>
      <c r="Q2863" s="1" t="s">
        <v>42</v>
      </c>
      <c r="S2863" s="1" t="s">
        <v>42</v>
      </c>
      <c r="T2863" s="1" t="s">
        <v>170</v>
      </c>
      <c r="U2863" s="1">
        <v>1</v>
      </c>
      <c r="V2863" s="5">
        <v>43901</v>
      </c>
      <c r="W2863" s="5">
        <v>43810</v>
      </c>
      <c r="X2863" s="1">
        <v>1939000</v>
      </c>
      <c r="Y2863" s="1">
        <v>1939000</v>
      </c>
      <c r="Z2863" s="5">
        <v>43811</v>
      </c>
      <c r="AA2863" s="1">
        <v>1887762.5</v>
      </c>
      <c r="AB2863" s="1" t="s">
        <v>2167</v>
      </c>
      <c r="AC2863" s="5">
        <v>43889</v>
      </c>
      <c r="AF2863" s="1">
        <v>10002</v>
      </c>
      <c r="AI2863" s="1" t="s">
        <v>163</v>
      </c>
      <c r="AJ2863" s="1">
        <v>2019</v>
      </c>
      <c r="AK2863" s="1" t="s">
        <v>73</v>
      </c>
      <c r="AL2863" s="1">
        <v>787</v>
      </c>
    </row>
    <row r="2864" spans="1:38" x14ac:dyDescent="0.2">
      <c r="A2864" s="2" t="str">
        <f>HYPERLINK("https://www.compass.com/listing/252-south-street-unit-57k-manhattan-ny-10002/4849516345768820113/","252 South St, Unit 57K")</f>
        <v>252 South St, Unit 57K</v>
      </c>
      <c r="B2864" s="2" t="str">
        <f t="shared" si="388"/>
        <v>One Manhattan Square</v>
      </c>
      <c r="C2864" s="1" t="s">
        <v>66</v>
      </c>
      <c r="D2864" s="1" t="s">
        <v>41</v>
      </c>
      <c r="E2864" s="3">
        <v>1658656</v>
      </c>
      <c r="F2864" s="1">
        <v>2410.8372093023199</v>
      </c>
      <c r="G2864" s="1">
        <v>3</v>
      </c>
      <c r="H2864" s="1">
        <v>1</v>
      </c>
      <c r="I2864" s="1">
        <v>1</v>
      </c>
      <c r="J2864" s="1">
        <v>1</v>
      </c>
      <c r="M2864" s="1">
        <v>688</v>
      </c>
      <c r="N2864" s="1">
        <v>896</v>
      </c>
      <c r="O2864" s="1">
        <v>911</v>
      </c>
      <c r="P2864" s="1">
        <v>15</v>
      </c>
      <c r="Q2864" s="1" t="s">
        <v>42</v>
      </c>
      <c r="S2864" s="1" t="s">
        <v>42</v>
      </c>
      <c r="T2864" s="1" t="s">
        <v>170</v>
      </c>
      <c r="U2864" s="1">
        <v>3</v>
      </c>
      <c r="V2864" s="5">
        <v>43696</v>
      </c>
      <c r="W2864" s="5">
        <v>42994</v>
      </c>
      <c r="X2864" s="1">
        <v>1721000</v>
      </c>
      <c r="Y2864" s="1">
        <v>1721000</v>
      </c>
      <c r="Z2864" s="5">
        <v>42997</v>
      </c>
      <c r="AA2864" s="1">
        <v>1658656</v>
      </c>
      <c r="AB2864" s="1" t="s">
        <v>2168</v>
      </c>
      <c r="AC2864" s="5">
        <v>43663</v>
      </c>
      <c r="AF2864" s="1">
        <v>10002</v>
      </c>
      <c r="AI2864" s="1" t="s">
        <v>163</v>
      </c>
      <c r="AJ2864" s="1">
        <v>2019</v>
      </c>
      <c r="AK2864" s="1" t="s">
        <v>73</v>
      </c>
      <c r="AL2864" s="1">
        <v>787</v>
      </c>
    </row>
    <row r="2865" spans="1:38" x14ac:dyDescent="0.2">
      <c r="A2865" s="2" t="str">
        <f>HYPERLINK("https://www.compass.com/listing/252-south-street-unit-47j-manhattan-ny-10002/293237712251537617/","252 South St, Unit 47J")</f>
        <v>252 South St, Unit 47J</v>
      </c>
      <c r="B2865" s="2" t="str">
        <f t="shared" si="388"/>
        <v>One Manhattan Square</v>
      </c>
      <c r="C2865" s="1" t="s">
        <v>66</v>
      </c>
      <c r="D2865" s="1" t="s">
        <v>41</v>
      </c>
      <c r="E2865" s="3">
        <v>1441429</v>
      </c>
      <c r="F2865" s="1">
        <v>2073.9988920863302</v>
      </c>
      <c r="G2865" s="1">
        <v>3</v>
      </c>
      <c r="H2865" s="1">
        <v>1</v>
      </c>
      <c r="I2865" s="1">
        <v>1</v>
      </c>
      <c r="J2865" s="1">
        <v>1</v>
      </c>
      <c r="K2865" s="1">
        <v>1</v>
      </c>
      <c r="M2865" s="1">
        <v>695</v>
      </c>
      <c r="N2865" s="1">
        <v>882</v>
      </c>
      <c r="O2865" s="1">
        <v>896</v>
      </c>
      <c r="P2865" s="1">
        <v>14</v>
      </c>
      <c r="Q2865" s="1" t="s">
        <v>42</v>
      </c>
      <c r="S2865" s="1" t="s">
        <v>42</v>
      </c>
      <c r="T2865" s="1" t="s">
        <v>170</v>
      </c>
      <c r="U2865" s="1">
        <v>1</v>
      </c>
      <c r="V2865" s="5">
        <v>43876</v>
      </c>
      <c r="W2865" s="5">
        <v>43656</v>
      </c>
      <c r="X2865" s="1">
        <v>1482000</v>
      </c>
      <c r="Y2865" s="1">
        <v>1411665</v>
      </c>
      <c r="Z2865" s="5">
        <v>43657</v>
      </c>
      <c r="AA2865" s="1">
        <v>1441429.23</v>
      </c>
      <c r="AB2865" s="1" t="s">
        <v>2169</v>
      </c>
      <c r="AC2865" s="5">
        <v>43873</v>
      </c>
      <c r="AF2865" s="1">
        <v>10002</v>
      </c>
      <c r="AI2865" s="1" t="s">
        <v>163</v>
      </c>
      <c r="AJ2865" s="1">
        <v>2019</v>
      </c>
      <c r="AK2865" s="1" t="s">
        <v>73</v>
      </c>
      <c r="AL2865" s="1">
        <v>787</v>
      </c>
    </row>
    <row r="2866" spans="1:38" x14ac:dyDescent="0.2">
      <c r="A2866" s="2" t="str">
        <f>HYPERLINK("https://www.compass.com/listing/252-south-street-unit-49m-manhattan-ny-10002/265103026509933745/","252 South St, Unit 49M")</f>
        <v>252 South St, Unit 49M</v>
      </c>
      <c r="B2866" s="2" t="str">
        <f t="shared" si="388"/>
        <v>One Manhattan Square</v>
      </c>
      <c r="C2866" s="1" t="s">
        <v>66</v>
      </c>
      <c r="D2866" s="1" t="s">
        <v>41</v>
      </c>
      <c r="E2866" s="3">
        <v>1734452</v>
      </c>
      <c r="F2866" s="1">
        <v>2495.61435971223</v>
      </c>
      <c r="G2866" s="1">
        <v>3</v>
      </c>
      <c r="H2866" s="1">
        <v>1</v>
      </c>
      <c r="I2866" s="1">
        <v>1</v>
      </c>
      <c r="J2866" s="1">
        <v>1</v>
      </c>
      <c r="K2866" s="1">
        <v>1</v>
      </c>
      <c r="M2866" s="1">
        <v>695</v>
      </c>
      <c r="N2866" s="1">
        <v>892.8</v>
      </c>
      <c r="O2866" s="1">
        <v>906.9</v>
      </c>
      <c r="P2866" s="1">
        <v>14.0833333333333</v>
      </c>
      <c r="Q2866" s="1" t="s">
        <v>42</v>
      </c>
      <c r="S2866" s="1" t="s">
        <v>42</v>
      </c>
      <c r="T2866" s="1" t="s">
        <v>170</v>
      </c>
      <c r="V2866" s="5">
        <v>43872</v>
      </c>
      <c r="W2866" s="5">
        <v>43618</v>
      </c>
      <c r="X2866" s="1">
        <v>1787000</v>
      </c>
      <c r="Y2866" s="1">
        <v>1787000</v>
      </c>
      <c r="Z2866" s="5">
        <v>43618</v>
      </c>
      <c r="AA2866" s="1">
        <v>1734451.98</v>
      </c>
      <c r="AB2866" s="1" t="s">
        <v>2170</v>
      </c>
      <c r="AC2866" s="5">
        <v>43861</v>
      </c>
      <c r="AF2866" s="1">
        <v>10002</v>
      </c>
      <c r="AI2866" s="1" t="s">
        <v>163</v>
      </c>
      <c r="AJ2866" s="1">
        <v>2019</v>
      </c>
      <c r="AK2866" s="1" t="s">
        <v>73</v>
      </c>
      <c r="AL2866" s="1">
        <v>787</v>
      </c>
    </row>
    <row r="2867" spans="1:38" x14ac:dyDescent="0.2">
      <c r="A2867" s="2" t="str">
        <f>HYPERLINK("https://www.compass.com/listing/252-south-street-unit-61k-manhattan-ny-10002/29513543141387505/","252 South St, Unit 61K")</f>
        <v>252 South St, Unit 61K</v>
      </c>
      <c r="B2867" s="2" t="str">
        <f t="shared" si="388"/>
        <v>One Manhattan Square</v>
      </c>
      <c r="C2867" s="1" t="s">
        <v>66</v>
      </c>
      <c r="D2867" s="1" t="s">
        <v>41</v>
      </c>
      <c r="E2867" s="3">
        <v>1700404</v>
      </c>
      <c r="F2867" s="1">
        <v>2471.5174418604602</v>
      </c>
      <c r="G2867" s="1">
        <v>3</v>
      </c>
      <c r="H2867" s="1">
        <v>1</v>
      </c>
      <c r="I2867" s="1">
        <v>1</v>
      </c>
      <c r="J2867" s="1">
        <v>1</v>
      </c>
      <c r="K2867" s="1">
        <v>1</v>
      </c>
      <c r="M2867" s="1">
        <v>688</v>
      </c>
      <c r="N2867" s="1">
        <v>915</v>
      </c>
      <c r="O2867" s="1">
        <v>930</v>
      </c>
      <c r="P2867" s="1">
        <v>15</v>
      </c>
      <c r="Q2867" s="1" t="s">
        <v>42</v>
      </c>
      <c r="S2867" s="1" t="s">
        <v>42</v>
      </c>
      <c r="T2867" s="1" t="s">
        <v>170</v>
      </c>
      <c r="U2867" s="1">
        <v>13</v>
      </c>
      <c r="V2867" s="5">
        <v>43696</v>
      </c>
      <c r="W2867" s="5">
        <v>43229</v>
      </c>
      <c r="X2867" s="1">
        <v>1737000</v>
      </c>
      <c r="Y2867" s="1">
        <v>1737000</v>
      </c>
      <c r="Z2867" s="5">
        <v>43242</v>
      </c>
      <c r="AA2867" s="1">
        <v>1700404</v>
      </c>
      <c r="AB2867" s="1" t="s">
        <v>2171</v>
      </c>
      <c r="AC2867" s="5">
        <v>43672</v>
      </c>
      <c r="AF2867" s="1">
        <v>10002</v>
      </c>
      <c r="AI2867" s="1" t="s">
        <v>163</v>
      </c>
      <c r="AJ2867" s="1">
        <v>2019</v>
      </c>
      <c r="AK2867" s="1" t="s">
        <v>73</v>
      </c>
      <c r="AL2867" s="1">
        <v>787</v>
      </c>
    </row>
    <row r="2868" spans="1:38" x14ac:dyDescent="0.2">
      <c r="A2868" s="2" t="str">
        <f>HYPERLINK("https://www.compass.com/listing/252-south-street-unit-52j-manhattan-ny-10002/223122407098005569/","252 South St, Unit 52J")</f>
        <v>252 South St, Unit 52J</v>
      </c>
      <c r="B2868" s="2" t="str">
        <f t="shared" si="388"/>
        <v>One Manhattan Square</v>
      </c>
      <c r="C2868" s="1" t="s">
        <v>66</v>
      </c>
      <c r="D2868" s="1" t="s">
        <v>41</v>
      </c>
      <c r="E2868" s="3">
        <v>1528770</v>
      </c>
      <c r="F2868" s="1">
        <v>2199.6690647482001</v>
      </c>
      <c r="G2868" s="1">
        <v>3</v>
      </c>
      <c r="H2868" s="1">
        <v>1</v>
      </c>
      <c r="I2868" s="1">
        <v>1</v>
      </c>
      <c r="J2868" s="1">
        <v>1</v>
      </c>
      <c r="K2868" s="1">
        <v>1</v>
      </c>
      <c r="M2868" s="1">
        <v>695</v>
      </c>
      <c r="N2868" s="1">
        <v>891</v>
      </c>
      <c r="O2868" s="1">
        <v>906</v>
      </c>
      <c r="P2868" s="1">
        <v>15</v>
      </c>
      <c r="Q2868" s="1" t="s">
        <v>42</v>
      </c>
      <c r="S2868" s="1" t="s">
        <v>42</v>
      </c>
      <c r="T2868" s="1" t="s">
        <v>170</v>
      </c>
      <c r="U2868" s="1">
        <v>2</v>
      </c>
      <c r="V2868" s="5">
        <v>43717</v>
      </c>
      <c r="W2868" s="5">
        <v>43560</v>
      </c>
      <c r="X2868" s="1">
        <v>1509000</v>
      </c>
      <c r="Y2868" s="1">
        <v>1509000</v>
      </c>
      <c r="Z2868" s="5">
        <v>43562</v>
      </c>
      <c r="AA2868" s="1">
        <v>1528770</v>
      </c>
      <c r="AB2868" s="1" t="s">
        <v>2172</v>
      </c>
      <c r="AC2868" s="5">
        <v>43707</v>
      </c>
      <c r="AF2868" s="1">
        <v>10002</v>
      </c>
      <c r="AI2868" s="1" t="s">
        <v>163</v>
      </c>
      <c r="AJ2868" s="1">
        <v>2019</v>
      </c>
      <c r="AK2868" s="1" t="s">
        <v>73</v>
      </c>
      <c r="AL2868" s="1">
        <v>787</v>
      </c>
    </row>
    <row r="2869" spans="1:38" x14ac:dyDescent="0.2">
      <c r="A2869" s="2" t="str">
        <f>HYPERLINK("https://www.compass.com/listing/252-south-street-unit-15e-manhattan-ny-10002/462344882474942985/","252 South St, Unit 15E")</f>
        <v>252 South St, Unit 15E</v>
      </c>
      <c r="B2869" s="2" t="str">
        <f t="shared" si="388"/>
        <v>One Manhattan Square</v>
      </c>
      <c r="C2869" s="1" t="s">
        <v>66</v>
      </c>
      <c r="D2869" s="1" t="s">
        <v>41</v>
      </c>
      <c r="E2869" s="3">
        <v>1931038</v>
      </c>
      <c r="F2869" s="1">
        <v>1719.5352894033799</v>
      </c>
      <c r="G2869" s="1">
        <v>4</v>
      </c>
      <c r="H2869" s="1">
        <v>2</v>
      </c>
      <c r="I2869" s="1">
        <v>2</v>
      </c>
      <c r="J2869" s="1">
        <v>2</v>
      </c>
      <c r="K2869" s="1">
        <v>2</v>
      </c>
      <c r="M2869" s="4">
        <v>1123</v>
      </c>
      <c r="N2869" s="1">
        <v>1233</v>
      </c>
      <c r="O2869" s="1">
        <v>1252</v>
      </c>
      <c r="P2869" s="1">
        <v>19</v>
      </c>
      <c r="Q2869" s="1" t="s">
        <v>42</v>
      </c>
      <c r="S2869" s="1" t="s">
        <v>42</v>
      </c>
      <c r="T2869" s="1" t="s">
        <v>170</v>
      </c>
      <c r="U2869" s="1">
        <v>20</v>
      </c>
      <c r="V2869" s="5">
        <v>43958</v>
      </c>
      <c r="W2869" s="5">
        <v>43890</v>
      </c>
      <c r="X2869" s="1">
        <v>2150000</v>
      </c>
      <c r="Y2869" s="1">
        <v>2150000</v>
      </c>
      <c r="AA2869" s="1">
        <v>1931038.13</v>
      </c>
      <c r="AB2869" s="1" t="s">
        <v>2173</v>
      </c>
      <c r="AC2869" s="5">
        <v>44049</v>
      </c>
      <c r="AF2869" s="1">
        <v>10002</v>
      </c>
      <c r="AI2869" s="1" t="s">
        <v>163</v>
      </c>
      <c r="AJ2869" s="1">
        <v>2019</v>
      </c>
      <c r="AK2869" s="1" t="s">
        <v>73</v>
      </c>
      <c r="AL2869" s="1">
        <v>787</v>
      </c>
    </row>
    <row r="2870" spans="1:38" x14ac:dyDescent="0.2">
      <c r="A2870" s="2" t="str">
        <f>HYPERLINK("https://www.compass.com/listing/252-south-street-unit-17e-manhattan-ny-10002/522513833485890961/","252 South St, Unit 17E")</f>
        <v>252 South St, Unit 17E</v>
      </c>
      <c r="B2870" s="2" t="str">
        <f t="shared" si="388"/>
        <v>One Manhattan Square</v>
      </c>
      <c r="C2870" s="1" t="s">
        <v>66</v>
      </c>
      <c r="D2870" s="1" t="s">
        <v>41</v>
      </c>
      <c r="E2870" s="3">
        <v>1922494</v>
      </c>
      <c r="F2870" s="1">
        <v>1711.9265538735499</v>
      </c>
      <c r="G2870" s="1">
        <v>4</v>
      </c>
      <c r="H2870" s="1">
        <v>2</v>
      </c>
      <c r="I2870" s="1">
        <v>2</v>
      </c>
      <c r="J2870" s="1">
        <v>2</v>
      </c>
      <c r="K2870" s="1">
        <v>2</v>
      </c>
      <c r="M2870" s="4">
        <v>1123</v>
      </c>
      <c r="N2870" s="1">
        <v>1245.8399999999999</v>
      </c>
      <c r="O2870" s="1">
        <v>1265.5</v>
      </c>
      <c r="P2870" s="1">
        <v>19.6666666666666</v>
      </c>
      <c r="Q2870" s="1" t="s">
        <v>42</v>
      </c>
      <c r="S2870" s="1" t="s">
        <v>42</v>
      </c>
      <c r="T2870" s="1" t="s">
        <v>170</v>
      </c>
      <c r="V2870" s="5">
        <v>44118</v>
      </c>
      <c r="W2870" s="5">
        <v>43973</v>
      </c>
      <c r="X2870" s="1">
        <v>2165000</v>
      </c>
      <c r="Y2870" s="1">
        <v>1905200</v>
      </c>
      <c r="Z2870" s="5">
        <v>43978</v>
      </c>
      <c r="AA2870" s="1">
        <v>1922493.52</v>
      </c>
      <c r="AB2870" s="1" t="s">
        <v>2174</v>
      </c>
      <c r="AC2870" s="5">
        <v>44103</v>
      </c>
      <c r="AF2870" s="1">
        <v>10002</v>
      </c>
      <c r="AI2870" s="1" t="s">
        <v>163</v>
      </c>
      <c r="AJ2870" s="1">
        <v>2019</v>
      </c>
      <c r="AK2870" s="1" t="s">
        <v>73</v>
      </c>
      <c r="AL2870" s="1">
        <v>787</v>
      </c>
    </row>
    <row r="2871" spans="1:38" x14ac:dyDescent="0.2">
      <c r="A2871" s="2" t="str">
        <f>HYPERLINK("https://www.compass.com/listing/252-south-street-unit-15e-manhattan-ny-10002/530392349577426785/","252 South St, Unit 15E")</f>
        <v>252 South St, Unit 15E</v>
      </c>
      <c r="B2871" s="2" t="str">
        <f t="shared" si="388"/>
        <v>One Manhattan Square</v>
      </c>
      <c r="C2871" s="1" t="s">
        <v>66</v>
      </c>
      <c r="D2871" s="1" t="s">
        <v>41</v>
      </c>
      <c r="E2871" s="3">
        <v>1931038</v>
      </c>
      <c r="F2871" s="1">
        <v>1719.5352894033799</v>
      </c>
      <c r="G2871" s="1">
        <v>4</v>
      </c>
      <c r="H2871" s="1">
        <v>2</v>
      </c>
      <c r="I2871" s="1">
        <v>2</v>
      </c>
      <c r="J2871" s="1">
        <v>2</v>
      </c>
      <c r="K2871" s="1">
        <v>2</v>
      </c>
      <c r="M2871" s="4">
        <v>1123</v>
      </c>
      <c r="N2871" s="1">
        <v>1233</v>
      </c>
      <c r="O2871" s="1">
        <v>1252</v>
      </c>
      <c r="P2871" s="1">
        <v>19</v>
      </c>
      <c r="Q2871" s="1" t="s">
        <v>42</v>
      </c>
      <c r="S2871" s="1" t="s">
        <v>42</v>
      </c>
      <c r="T2871" s="1" t="s">
        <v>170</v>
      </c>
      <c r="V2871" s="5">
        <v>44182</v>
      </c>
      <c r="W2871" s="5">
        <v>43983</v>
      </c>
      <c r="X2871" s="1">
        <v>2150000</v>
      </c>
      <c r="Y2871" s="1">
        <v>2150000</v>
      </c>
      <c r="Z2871" s="5">
        <v>43994</v>
      </c>
      <c r="AA2871" s="1">
        <v>1931038.13</v>
      </c>
      <c r="AB2871" s="1" t="s">
        <v>2173</v>
      </c>
      <c r="AC2871" s="5">
        <v>44049</v>
      </c>
      <c r="AF2871" s="1">
        <v>10002</v>
      </c>
      <c r="AI2871" s="1" t="s">
        <v>163</v>
      </c>
      <c r="AJ2871" s="1">
        <v>2019</v>
      </c>
      <c r="AK2871" s="1" t="s">
        <v>73</v>
      </c>
      <c r="AL2871" s="1">
        <v>787</v>
      </c>
    </row>
    <row r="2872" spans="1:38" x14ac:dyDescent="0.2">
      <c r="A2872" s="2" t="str">
        <f>HYPERLINK("https://www.compass.com/listing/252-south-street-unit-51k-manhattan-ny-10002/29513524845832417/","252 South St, Unit 51K")</f>
        <v>252 South St, Unit 51K</v>
      </c>
      <c r="B2872" s="2" t="str">
        <f t="shared" si="388"/>
        <v>One Manhattan Square</v>
      </c>
      <c r="C2872" s="1" t="s">
        <v>66</v>
      </c>
      <c r="D2872" s="1" t="s">
        <v>41</v>
      </c>
      <c r="E2872" s="3">
        <v>2492054</v>
      </c>
      <c r="F2872" s="1">
        <v>2219.1039626001698</v>
      </c>
      <c r="G2872" s="1">
        <v>4</v>
      </c>
      <c r="H2872" s="1">
        <v>2</v>
      </c>
      <c r="I2872" s="1">
        <v>2</v>
      </c>
      <c r="J2872" s="1">
        <v>2</v>
      </c>
      <c r="M2872" s="4">
        <v>1123</v>
      </c>
      <c r="N2872" s="1">
        <v>1434</v>
      </c>
      <c r="O2872" s="1">
        <v>1458</v>
      </c>
      <c r="P2872" s="1">
        <v>24</v>
      </c>
      <c r="Q2872" s="1" t="s">
        <v>42</v>
      </c>
      <c r="S2872" s="1" t="s">
        <v>42</v>
      </c>
      <c r="T2872" s="1" t="s">
        <v>170</v>
      </c>
      <c r="U2872" s="1">
        <v>3</v>
      </c>
      <c r="V2872" s="5">
        <v>43704</v>
      </c>
      <c r="W2872" s="5">
        <v>42970</v>
      </c>
      <c r="X2872" s="1">
        <v>2529000</v>
      </c>
      <c r="Y2872" s="1">
        <v>2529000</v>
      </c>
      <c r="Z2872" s="5">
        <v>42973</v>
      </c>
      <c r="AA2872" s="1">
        <v>2492053.75</v>
      </c>
      <c r="AB2872" s="1" t="s">
        <v>2175</v>
      </c>
      <c r="AC2872" s="5">
        <v>43691</v>
      </c>
      <c r="AF2872" s="1">
        <v>10002</v>
      </c>
      <c r="AI2872" s="1" t="s">
        <v>163</v>
      </c>
      <c r="AJ2872" s="1">
        <v>2019</v>
      </c>
      <c r="AK2872" s="1" t="s">
        <v>73</v>
      </c>
      <c r="AL2872" s="1">
        <v>787</v>
      </c>
    </row>
    <row r="2873" spans="1:38" x14ac:dyDescent="0.2">
      <c r="A2873" s="2" t="str">
        <f>HYPERLINK("https://www.compass.com/listing/252-south-street-unit-57h-manhattan-ny-10002/384082274770350049/","252 South St, Unit 57H")</f>
        <v>252 South St, Unit 57H</v>
      </c>
      <c r="B2873" s="2" t="str">
        <f t="shared" si="388"/>
        <v>One Manhattan Square</v>
      </c>
      <c r="C2873" s="1" t="s">
        <v>66</v>
      </c>
      <c r="D2873" s="1" t="s">
        <v>41</v>
      </c>
      <c r="E2873" s="3">
        <v>1489801</v>
      </c>
      <c r="F2873" s="1">
        <v>2194.1107069219402</v>
      </c>
      <c r="G2873" s="1">
        <v>3</v>
      </c>
      <c r="H2873" s="1">
        <v>1</v>
      </c>
      <c r="I2873" s="1">
        <v>1</v>
      </c>
      <c r="J2873" s="1">
        <v>1</v>
      </c>
      <c r="K2873" s="1">
        <v>1</v>
      </c>
      <c r="M2873" s="1">
        <v>679</v>
      </c>
      <c r="N2873" s="1">
        <v>898</v>
      </c>
      <c r="O2873" s="1">
        <v>912</v>
      </c>
      <c r="P2873" s="1">
        <v>14</v>
      </c>
      <c r="Q2873" s="1" t="s">
        <v>42</v>
      </c>
      <c r="S2873" s="1" t="s">
        <v>42</v>
      </c>
      <c r="T2873" s="1" t="s">
        <v>170</v>
      </c>
      <c r="U2873" s="1">
        <v>2</v>
      </c>
      <c r="V2873" s="5">
        <v>43973</v>
      </c>
      <c r="W2873" s="5">
        <v>43782</v>
      </c>
      <c r="X2873" s="1">
        <v>1569000</v>
      </c>
      <c r="Y2873" s="1">
        <v>1459170</v>
      </c>
      <c r="Z2873" s="5">
        <v>43784</v>
      </c>
      <c r="AA2873" s="1">
        <v>1489801.17</v>
      </c>
      <c r="AB2873" s="1" t="s">
        <v>2176</v>
      </c>
      <c r="AC2873" s="5">
        <v>43966</v>
      </c>
      <c r="AF2873" s="1">
        <v>10002</v>
      </c>
      <c r="AI2873" s="1" t="s">
        <v>163</v>
      </c>
      <c r="AJ2873" s="1">
        <v>2019</v>
      </c>
      <c r="AK2873" s="1" t="s">
        <v>73</v>
      </c>
      <c r="AL2873" s="1">
        <v>787</v>
      </c>
    </row>
    <row r="2874" spans="1:38" x14ac:dyDescent="0.2">
      <c r="A2874" s="2" t="str">
        <f>HYPERLINK("https://www.compass.com/listing/252-south-street-unit-45g-manhattan-ny-10002/668833220975052169/","252 South St, Unit 45G")</f>
        <v>252 South St, Unit 45G</v>
      </c>
      <c r="B2874" s="2" t="str">
        <f t="shared" si="388"/>
        <v>One Manhattan Square</v>
      </c>
      <c r="C2874" s="1" t="s">
        <v>66</v>
      </c>
      <c r="D2874" s="1" t="s">
        <v>41</v>
      </c>
      <c r="E2874" s="3">
        <v>2276558</v>
      </c>
      <c r="F2874" s="1">
        <v>1969.34041522491</v>
      </c>
      <c r="G2874" s="1">
        <v>5</v>
      </c>
      <c r="H2874" s="1">
        <v>2</v>
      </c>
      <c r="I2874" s="1">
        <v>2</v>
      </c>
      <c r="J2874" s="1">
        <v>2</v>
      </c>
      <c r="K2874" s="1">
        <v>2</v>
      </c>
      <c r="M2874" s="4">
        <v>1156</v>
      </c>
      <c r="N2874" s="1">
        <v>1455</v>
      </c>
      <c r="O2874" s="1">
        <v>1478</v>
      </c>
      <c r="P2874" s="1">
        <v>23</v>
      </c>
      <c r="Q2874" s="1" t="s">
        <v>42</v>
      </c>
      <c r="S2874" s="1" t="s">
        <v>42</v>
      </c>
      <c r="T2874" s="1" t="s">
        <v>170</v>
      </c>
      <c r="V2874" s="5">
        <v>44292</v>
      </c>
      <c r="W2874" s="5">
        <v>44170</v>
      </c>
      <c r="X2874" s="1">
        <v>2575000</v>
      </c>
      <c r="Y2874" s="1">
        <v>2231826</v>
      </c>
      <c r="Z2874" s="5">
        <v>44170</v>
      </c>
      <c r="AA2874" s="1">
        <v>2276557.52</v>
      </c>
      <c r="AB2874" s="1" t="s">
        <v>2177</v>
      </c>
      <c r="AC2874" s="5">
        <v>44285</v>
      </c>
      <c r="AF2874" s="1">
        <v>10002</v>
      </c>
      <c r="AI2874" s="1" t="s">
        <v>2178</v>
      </c>
      <c r="AJ2874" s="1">
        <v>2019</v>
      </c>
      <c r="AK2874" s="1" t="s">
        <v>73</v>
      </c>
      <c r="AL2874" s="1">
        <v>787</v>
      </c>
    </row>
    <row r="2875" spans="1:38" x14ac:dyDescent="0.2">
      <c r="A2875" s="2" t="str">
        <f>HYPERLINK("https://www.compass.com/listing/252-south-street-unit-18e-manhattan-ny-10002/419560741683322289/","252 South St, Unit 18E")</f>
        <v>252 South St, Unit 18E</v>
      </c>
      <c r="B2875" s="2" t="str">
        <f t="shared" si="388"/>
        <v>One Manhattan Square</v>
      </c>
      <c r="C2875" s="1" t="s">
        <v>66</v>
      </c>
      <c r="D2875" s="1" t="s">
        <v>41</v>
      </c>
      <c r="E2875" s="3">
        <v>2153424</v>
      </c>
      <c r="F2875" s="1">
        <v>1917.56396260017</v>
      </c>
      <c r="G2875" s="1">
        <v>4</v>
      </c>
      <c r="H2875" s="1">
        <v>2</v>
      </c>
      <c r="I2875" s="1">
        <v>2</v>
      </c>
      <c r="J2875" s="1">
        <v>2</v>
      </c>
      <c r="K2875" s="1">
        <v>2</v>
      </c>
      <c r="M2875" s="4">
        <v>1123</v>
      </c>
      <c r="N2875" s="1">
        <v>1251</v>
      </c>
      <c r="O2875" s="1">
        <v>1271</v>
      </c>
      <c r="P2875" s="1">
        <v>20</v>
      </c>
      <c r="Q2875" s="1" t="s">
        <v>42</v>
      </c>
      <c r="S2875" s="1" t="s">
        <v>42</v>
      </c>
      <c r="T2875" s="1" t="s">
        <v>170</v>
      </c>
      <c r="V2875" s="5">
        <v>44261</v>
      </c>
      <c r="W2875" s="5">
        <v>44112</v>
      </c>
      <c r="Y2875" s="1">
        <v>2222000</v>
      </c>
      <c r="Z2875" s="5">
        <v>44112</v>
      </c>
      <c r="AA2875" s="1">
        <v>2153424.33</v>
      </c>
      <c r="AB2875" s="1" t="s">
        <v>2179</v>
      </c>
      <c r="AC2875" s="5">
        <v>44327</v>
      </c>
      <c r="AF2875" s="1">
        <v>10002</v>
      </c>
      <c r="AI2875" s="1" t="s">
        <v>163</v>
      </c>
      <c r="AJ2875" s="1">
        <v>2019</v>
      </c>
      <c r="AK2875" s="1" t="s">
        <v>73</v>
      </c>
      <c r="AL2875" s="1">
        <v>787</v>
      </c>
    </row>
    <row r="2876" spans="1:38" x14ac:dyDescent="0.2">
      <c r="A2876" s="2" t="str">
        <f>HYPERLINK("https://www.compass.com/listing/252-south-street-unit-52k-manhattan-ny-10002/108631936007790561/","252 South St, Unit 52K")</f>
        <v>252 South St, Unit 52K</v>
      </c>
      <c r="B2876" s="2" t="str">
        <f t="shared" si="388"/>
        <v>One Manhattan Square</v>
      </c>
      <c r="C2876" s="1" t="s">
        <v>66</v>
      </c>
      <c r="D2876" s="1" t="s">
        <v>41</v>
      </c>
      <c r="E2876" s="3">
        <v>2490812</v>
      </c>
      <c r="F2876" s="1">
        <v>2217.9981478183399</v>
      </c>
      <c r="G2876" s="1">
        <v>5</v>
      </c>
      <c r="H2876" s="1">
        <v>2</v>
      </c>
      <c r="I2876" s="1">
        <v>2</v>
      </c>
      <c r="J2876" s="1">
        <v>2</v>
      </c>
      <c r="K2876" s="1">
        <v>2</v>
      </c>
      <c r="M2876" s="4">
        <v>1123</v>
      </c>
      <c r="N2876" s="1">
        <v>1440</v>
      </c>
      <c r="O2876" s="1">
        <v>1464</v>
      </c>
      <c r="P2876" s="1">
        <v>24</v>
      </c>
      <c r="Q2876" s="1" t="s">
        <v>42</v>
      </c>
      <c r="S2876" s="1" t="s">
        <v>42</v>
      </c>
      <c r="T2876" s="1" t="s">
        <v>170</v>
      </c>
      <c r="U2876" s="1">
        <v>4</v>
      </c>
      <c r="V2876" s="5">
        <v>43696</v>
      </c>
      <c r="W2876" s="5">
        <v>43402</v>
      </c>
      <c r="X2876" s="1">
        <v>2544000</v>
      </c>
      <c r="Y2876" s="1">
        <v>2633000</v>
      </c>
      <c r="Z2876" s="5">
        <v>43406</v>
      </c>
      <c r="AA2876" s="1">
        <v>2490811.92</v>
      </c>
      <c r="AB2876" s="1" t="s">
        <v>2180</v>
      </c>
      <c r="AC2876" s="5">
        <v>43679</v>
      </c>
      <c r="AF2876" s="1">
        <v>10002</v>
      </c>
      <c r="AI2876" s="1" t="s">
        <v>163</v>
      </c>
      <c r="AJ2876" s="1">
        <v>2019</v>
      </c>
      <c r="AK2876" s="1" t="s">
        <v>73</v>
      </c>
      <c r="AL2876" s="1">
        <v>787</v>
      </c>
    </row>
    <row r="2877" spans="1:38" x14ac:dyDescent="0.2">
      <c r="A2877" s="2" t="str">
        <f>HYPERLINK("https://www.compass.com/listing/252-south-street-unit-36l-manhattan-ny-10002/29513528201275809/","252 South St, Unit 36L")</f>
        <v>252 South St, Unit 36L</v>
      </c>
      <c r="B2877" s="2" t="str">
        <f t="shared" si="388"/>
        <v>One Manhattan Square</v>
      </c>
      <c r="C2877" s="1" t="s">
        <v>66</v>
      </c>
      <c r="D2877" s="1" t="s">
        <v>41</v>
      </c>
      <c r="E2877" s="3">
        <v>2568972</v>
      </c>
      <c r="F2877" s="1">
        <v>2287.59728406055</v>
      </c>
      <c r="G2877" s="1">
        <v>4</v>
      </c>
      <c r="H2877" s="1">
        <v>2</v>
      </c>
      <c r="I2877" s="1">
        <v>2</v>
      </c>
      <c r="J2877" s="1">
        <v>2</v>
      </c>
      <c r="K2877" s="1">
        <v>2</v>
      </c>
      <c r="M2877" s="4">
        <v>1123</v>
      </c>
      <c r="N2877" s="1">
        <v>1339</v>
      </c>
      <c r="O2877" s="1">
        <v>1362</v>
      </c>
      <c r="P2877" s="1">
        <v>23</v>
      </c>
      <c r="Q2877" s="1" t="s">
        <v>42</v>
      </c>
      <c r="S2877" s="1" t="s">
        <v>42</v>
      </c>
      <c r="T2877" s="1" t="s">
        <v>170</v>
      </c>
      <c r="U2877" s="1">
        <v>4</v>
      </c>
      <c r="V2877" s="5">
        <v>43837</v>
      </c>
      <c r="W2877" s="5">
        <v>43247</v>
      </c>
      <c r="X2877" s="1">
        <v>2652000</v>
      </c>
      <c r="Y2877" s="1">
        <v>2519000</v>
      </c>
      <c r="Z2877" s="5">
        <v>43252</v>
      </c>
      <c r="AA2877" s="1">
        <v>2568971.75</v>
      </c>
      <c r="AB2877" s="1" t="s">
        <v>2181</v>
      </c>
      <c r="AC2877" s="5">
        <v>43819</v>
      </c>
      <c r="AF2877" s="1">
        <v>10002</v>
      </c>
      <c r="AI2877" s="1" t="s">
        <v>163</v>
      </c>
      <c r="AJ2877" s="1">
        <v>2019</v>
      </c>
      <c r="AK2877" s="1" t="s">
        <v>73</v>
      </c>
      <c r="AL2877" s="1">
        <v>787</v>
      </c>
    </row>
    <row r="2878" spans="1:38" x14ac:dyDescent="0.2">
      <c r="A2878" s="2" t="str">
        <f>HYPERLINK("https://www.compass.com/listing/252-south-street-unit-28a-manhattan-ny-10002/29513532429170065/","252 South St, Unit 28A")</f>
        <v>252 South St, Unit 28A</v>
      </c>
      <c r="B2878" s="2" t="str">
        <f t="shared" si="388"/>
        <v>One Manhattan Square</v>
      </c>
      <c r="C2878" s="1" t="s">
        <v>66</v>
      </c>
      <c r="D2878" s="1" t="s">
        <v>41</v>
      </c>
      <c r="E2878" s="3">
        <v>2508895</v>
      </c>
      <c r="F2878" s="1">
        <v>2159.1179001721098</v>
      </c>
      <c r="G2878" s="1">
        <v>4</v>
      </c>
      <c r="H2878" s="1">
        <v>2</v>
      </c>
      <c r="I2878" s="1">
        <v>2</v>
      </c>
      <c r="J2878" s="1">
        <v>2</v>
      </c>
      <c r="M2878" s="4">
        <v>1162</v>
      </c>
      <c r="N2878" s="1">
        <v>1343</v>
      </c>
      <c r="O2878" s="1">
        <v>1366</v>
      </c>
      <c r="P2878" s="1">
        <v>23</v>
      </c>
      <c r="Q2878" s="1" t="s">
        <v>42</v>
      </c>
      <c r="S2878" s="1" t="s">
        <v>42</v>
      </c>
      <c r="T2878" s="1" t="s">
        <v>170</v>
      </c>
      <c r="U2878" s="1">
        <v>16</v>
      </c>
      <c r="V2878" s="5">
        <v>43696</v>
      </c>
      <c r="W2878" s="5">
        <v>43054</v>
      </c>
      <c r="X2878" s="1">
        <v>2585000</v>
      </c>
      <c r="Y2878" s="1">
        <v>2585000</v>
      </c>
      <c r="Z2878" s="5">
        <v>43070</v>
      </c>
      <c r="AA2878" s="1">
        <v>2508895</v>
      </c>
      <c r="AB2878" s="1" t="s">
        <v>2182</v>
      </c>
      <c r="AC2878" s="5">
        <v>43613</v>
      </c>
      <c r="AF2878" s="1">
        <v>10002</v>
      </c>
      <c r="AI2878" s="1" t="s">
        <v>163</v>
      </c>
      <c r="AJ2878" s="1">
        <v>2019</v>
      </c>
      <c r="AK2878" s="1" t="s">
        <v>73</v>
      </c>
      <c r="AL2878" s="1">
        <v>787</v>
      </c>
    </row>
    <row r="2879" spans="1:38" x14ac:dyDescent="0.2">
      <c r="A2879" s="2" t="str">
        <f>HYPERLINK("https://www.compass.com/listing/252-south-street-unit-33b-manhattan-ny-10002/375198637782045681/","252 South St, Unit 33B")</f>
        <v>252 South St, Unit 33B</v>
      </c>
      <c r="B2879" s="2" t="str">
        <f t="shared" si="388"/>
        <v>One Manhattan Square</v>
      </c>
      <c r="C2879" s="1" t="s">
        <v>66</v>
      </c>
      <c r="D2879" s="1" t="s">
        <v>41</v>
      </c>
      <c r="E2879" s="3">
        <v>2243991</v>
      </c>
      <c r="F2879" s="1">
        <v>2147.3595789473602</v>
      </c>
      <c r="G2879" s="1">
        <v>4</v>
      </c>
      <c r="H2879" s="1">
        <v>2</v>
      </c>
      <c r="I2879" s="1">
        <v>2</v>
      </c>
      <c r="J2879" s="1">
        <v>2</v>
      </c>
      <c r="K2879" s="1">
        <v>2</v>
      </c>
      <c r="M2879" s="4">
        <v>1045</v>
      </c>
      <c r="N2879" s="1">
        <v>1248</v>
      </c>
      <c r="O2879" s="1">
        <v>1268</v>
      </c>
      <c r="P2879" s="1">
        <v>20</v>
      </c>
      <c r="Q2879" s="1" t="s">
        <v>42</v>
      </c>
      <c r="S2879" s="1" t="s">
        <v>42</v>
      </c>
      <c r="T2879" s="1" t="s">
        <v>170</v>
      </c>
      <c r="U2879" s="1">
        <v>40</v>
      </c>
      <c r="V2879" s="5">
        <v>44176</v>
      </c>
      <c r="W2879" s="5">
        <v>43770</v>
      </c>
      <c r="X2879" s="1">
        <v>2305000</v>
      </c>
      <c r="Y2879" s="1">
        <v>2243226</v>
      </c>
      <c r="Z2879" s="5">
        <v>43810</v>
      </c>
      <c r="AA2879" s="1">
        <v>2243990.7599999998</v>
      </c>
      <c r="AB2879" s="1" t="s">
        <v>2183</v>
      </c>
      <c r="AC2879" s="5">
        <v>44174</v>
      </c>
      <c r="AF2879" s="1">
        <v>10002</v>
      </c>
      <c r="AI2879" s="1" t="s">
        <v>163</v>
      </c>
      <c r="AJ2879" s="1">
        <v>2019</v>
      </c>
      <c r="AK2879" s="1" t="s">
        <v>73</v>
      </c>
      <c r="AL2879" s="1">
        <v>787</v>
      </c>
    </row>
    <row r="2880" spans="1:38" x14ac:dyDescent="0.2">
      <c r="A2880" s="2" t="str">
        <f>HYPERLINK("https://www.compass.com/listing/252-south-street-unit-27p-manhattan-ny-10002/102086256279702833/","252 South St, Unit 27P")</f>
        <v>252 South St, Unit 27P</v>
      </c>
      <c r="B2880" s="2" t="str">
        <f t="shared" si="388"/>
        <v>One Manhattan Square</v>
      </c>
      <c r="C2880" s="1" t="s">
        <v>66</v>
      </c>
      <c r="D2880" s="1" t="s">
        <v>41</v>
      </c>
      <c r="E2880" s="3">
        <v>1534938</v>
      </c>
      <c r="F2880" s="1">
        <v>2123.0124481327798</v>
      </c>
      <c r="G2880" s="1">
        <v>3</v>
      </c>
      <c r="H2880" s="1">
        <v>1</v>
      </c>
      <c r="I2880" s="1">
        <v>1</v>
      </c>
      <c r="J2880" s="1">
        <v>1</v>
      </c>
      <c r="K2880" s="1">
        <v>1</v>
      </c>
      <c r="M2880" s="1">
        <v>723</v>
      </c>
      <c r="N2880" s="1">
        <v>832</v>
      </c>
      <c r="O2880" s="1">
        <v>846</v>
      </c>
      <c r="P2880" s="1">
        <v>14</v>
      </c>
      <c r="Q2880" s="1" t="s">
        <v>42</v>
      </c>
      <c r="S2880" s="1" t="s">
        <v>42</v>
      </c>
      <c r="T2880" s="1" t="s">
        <v>170</v>
      </c>
      <c r="U2880" s="1">
        <v>3</v>
      </c>
      <c r="V2880" s="5">
        <v>43696</v>
      </c>
      <c r="W2880" s="5">
        <v>43396</v>
      </c>
      <c r="X2880" s="1">
        <v>1550000</v>
      </c>
      <c r="Y2880" s="1">
        <v>1550000</v>
      </c>
      <c r="Z2880" s="5">
        <v>43399</v>
      </c>
      <c r="AA2880" s="1">
        <v>1534938.88</v>
      </c>
      <c r="AB2880" s="1" t="s">
        <v>2184</v>
      </c>
      <c r="AC2880" s="5">
        <v>43592</v>
      </c>
      <c r="AF2880" s="1">
        <v>10002</v>
      </c>
      <c r="AI2880" s="1" t="s">
        <v>163</v>
      </c>
      <c r="AJ2880" s="1">
        <v>2019</v>
      </c>
      <c r="AK2880" s="1" t="s">
        <v>73</v>
      </c>
      <c r="AL2880" s="1">
        <v>787</v>
      </c>
    </row>
    <row r="2881" spans="1:38" x14ac:dyDescent="0.2">
      <c r="A2881" s="2" t="str">
        <f>HYPERLINK("https://www.compass.com/listing/252-south-street-unit-33m-manhattan-ny-10002/29513529065251777/","252 South St, Unit 33M")</f>
        <v>252 South St, Unit 33M</v>
      </c>
      <c r="B2881" s="2" t="str">
        <f t="shared" si="388"/>
        <v>One Manhattan Square</v>
      </c>
      <c r="C2881" s="1" t="s">
        <v>66</v>
      </c>
      <c r="D2881" s="1" t="s">
        <v>41</v>
      </c>
      <c r="E2881" s="3">
        <v>1613957</v>
      </c>
      <c r="F2881" s="1">
        <v>2322.23982733812</v>
      </c>
      <c r="G2881" s="1">
        <v>3</v>
      </c>
      <c r="H2881" s="1">
        <v>1</v>
      </c>
      <c r="I2881" s="1">
        <v>1</v>
      </c>
      <c r="J2881" s="1">
        <v>1</v>
      </c>
      <c r="M2881" s="1">
        <v>695</v>
      </c>
      <c r="N2881" s="1">
        <v>818</v>
      </c>
      <c r="O2881" s="1">
        <v>832</v>
      </c>
      <c r="P2881" s="1">
        <v>14</v>
      </c>
      <c r="Q2881" s="1" t="s">
        <v>42</v>
      </c>
      <c r="S2881" s="1" t="s">
        <v>42</v>
      </c>
      <c r="T2881" s="1" t="s">
        <v>170</v>
      </c>
      <c r="U2881" s="1">
        <v>6</v>
      </c>
      <c r="V2881" s="5">
        <v>43684</v>
      </c>
      <c r="W2881" s="5">
        <v>42935</v>
      </c>
      <c r="X2881" s="1">
        <v>1630000</v>
      </c>
      <c r="Y2881" s="1">
        <v>1630000</v>
      </c>
      <c r="Z2881" s="5">
        <v>42942</v>
      </c>
      <c r="AA2881" s="1">
        <v>1613956.68</v>
      </c>
      <c r="AB2881" s="1" t="s">
        <v>2185</v>
      </c>
      <c r="AC2881" s="5">
        <v>43621</v>
      </c>
      <c r="AF2881" s="1">
        <v>10002</v>
      </c>
      <c r="AI2881" s="1" t="s">
        <v>163</v>
      </c>
      <c r="AJ2881" s="1">
        <v>2019</v>
      </c>
      <c r="AK2881" s="1" t="s">
        <v>73</v>
      </c>
      <c r="AL2881" s="1">
        <v>787</v>
      </c>
    </row>
    <row r="2882" spans="1:38" x14ac:dyDescent="0.2">
      <c r="A2882" s="2" t="str">
        <f>HYPERLINK("https://www.compass.com/listing/252-south-street-unit-25n-manhattan-ny-10002/29513529753203985/","252 South St, Unit 25N")</f>
        <v>252 South St, Unit 25N</v>
      </c>
      <c r="B2882" s="2" t="str">
        <f t="shared" si="388"/>
        <v>One Manhattan Square</v>
      </c>
      <c r="C2882" s="1" t="s">
        <v>66</v>
      </c>
      <c r="D2882" s="1" t="s">
        <v>41</v>
      </c>
      <c r="E2882" s="3">
        <v>1524961</v>
      </c>
      <c r="F2882" s="1">
        <v>2194.18848920863</v>
      </c>
      <c r="G2882" s="1">
        <v>3</v>
      </c>
      <c r="H2882" s="1">
        <v>1</v>
      </c>
      <c r="I2882" s="1">
        <v>1</v>
      </c>
      <c r="J2882" s="1">
        <v>1</v>
      </c>
      <c r="M2882" s="1">
        <v>695</v>
      </c>
      <c r="N2882" s="1">
        <v>792</v>
      </c>
      <c r="O2882" s="1">
        <v>805</v>
      </c>
      <c r="P2882" s="1">
        <v>13</v>
      </c>
      <c r="Q2882" s="1" t="s">
        <v>42</v>
      </c>
      <c r="S2882" s="1" t="s">
        <v>42</v>
      </c>
      <c r="T2882" s="1" t="s">
        <v>170</v>
      </c>
      <c r="U2882" s="1">
        <v>6</v>
      </c>
      <c r="V2882" s="5">
        <v>43696</v>
      </c>
      <c r="W2882" s="5">
        <v>42936</v>
      </c>
      <c r="X2882" s="1">
        <v>1560000</v>
      </c>
      <c r="Y2882" s="1">
        <v>1560000</v>
      </c>
      <c r="Z2882" s="5">
        <v>42942</v>
      </c>
      <c r="AA2882" s="1">
        <v>1524961</v>
      </c>
      <c r="AB2882" s="1" t="s">
        <v>2186</v>
      </c>
      <c r="AC2882" s="5">
        <v>43587</v>
      </c>
      <c r="AF2882" s="1">
        <v>10002</v>
      </c>
      <c r="AI2882" s="1" t="s">
        <v>163</v>
      </c>
      <c r="AJ2882" s="1">
        <v>2019</v>
      </c>
      <c r="AK2882" s="1" t="s">
        <v>73</v>
      </c>
      <c r="AL2882" s="1">
        <v>787</v>
      </c>
    </row>
    <row r="2883" spans="1:38" x14ac:dyDescent="0.2">
      <c r="A2883" s="2" t="str">
        <f>HYPERLINK("https://www.compass.com/listing/252-south-street-unit-24n-manhattan-ny-10002/29513537160345233/","252 South St, Unit 24N")</f>
        <v>252 South St, Unit 24N</v>
      </c>
      <c r="B2883" s="2" t="str">
        <f t="shared" si="388"/>
        <v>One Manhattan Square</v>
      </c>
      <c r="C2883" s="1" t="s">
        <v>66</v>
      </c>
      <c r="D2883" s="1" t="s">
        <v>41</v>
      </c>
      <c r="E2883" s="3">
        <v>1592470</v>
      </c>
      <c r="F2883" s="1">
        <v>2291.3237410071902</v>
      </c>
      <c r="G2883" s="1">
        <v>3</v>
      </c>
      <c r="H2883" s="1">
        <v>1</v>
      </c>
      <c r="I2883" s="1">
        <v>1</v>
      </c>
      <c r="J2883" s="1">
        <v>1</v>
      </c>
      <c r="M2883" s="1">
        <v>695</v>
      </c>
      <c r="N2883" s="1">
        <v>789</v>
      </c>
      <c r="O2883" s="1">
        <v>802</v>
      </c>
      <c r="P2883" s="1">
        <v>13</v>
      </c>
      <c r="Q2883" s="1" t="s">
        <v>42</v>
      </c>
      <c r="S2883" s="1" t="s">
        <v>42</v>
      </c>
      <c r="T2883" s="1" t="s">
        <v>170</v>
      </c>
      <c r="U2883" s="1">
        <v>5</v>
      </c>
      <c r="V2883" s="5">
        <v>43837</v>
      </c>
      <c r="W2883" s="5">
        <v>42978</v>
      </c>
      <c r="X2883" s="1">
        <v>1560000</v>
      </c>
      <c r="Y2883" s="1">
        <v>1560000</v>
      </c>
      <c r="Z2883" s="5">
        <v>42983</v>
      </c>
      <c r="AA2883" s="1">
        <v>1592470</v>
      </c>
      <c r="AB2883" s="1" t="s">
        <v>2187</v>
      </c>
      <c r="AC2883" s="5">
        <v>43822</v>
      </c>
      <c r="AF2883" s="1">
        <v>10002</v>
      </c>
      <c r="AI2883" s="1" t="s">
        <v>163</v>
      </c>
      <c r="AJ2883" s="1">
        <v>2019</v>
      </c>
      <c r="AK2883" s="1" t="s">
        <v>73</v>
      </c>
      <c r="AL2883" s="1">
        <v>787</v>
      </c>
    </row>
    <row r="2884" spans="1:38" x14ac:dyDescent="0.2">
      <c r="A2884" s="2" t="str">
        <f>HYPERLINK("https://www.compass.com/listing/252-south-street-unit-28n-manhattan-ny-10002/29513542747072145/","252 South St, Unit 28N")</f>
        <v>252 South St, Unit 28N</v>
      </c>
      <c r="B2884" s="2" t="str">
        <f t="shared" si="388"/>
        <v>One Manhattan Square</v>
      </c>
      <c r="C2884" s="1" t="s">
        <v>66</v>
      </c>
      <c r="D2884" s="1" t="s">
        <v>41</v>
      </c>
      <c r="E2884" s="3">
        <v>1612835</v>
      </c>
      <c r="F2884" s="1">
        <v>2320.6258992805701</v>
      </c>
      <c r="G2884" s="1">
        <v>3</v>
      </c>
      <c r="H2884" s="1">
        <v>1</v>
      </c>
      <c r="I2884" s="1">
        <v>1</v>
      </c>
      <c r="J2884" s="1">
        <v>1</v>
      </c>
      <c r="M2884" s="1">
        <v>695</v>
      </c>
      <c r="N2884" s="1">
        <v>803</v>
      </c>
      <c r="O2884" s="1">
        <v>817</v>
      </c>
      <c r="P2884" s="1">
        <v>14</v>
      </c>
      <c r="Q2884" s="1" t="s">
        <v>42</v>
      </c>
      <c r="S2884" s="1" t="s">
        <v>42</v>
      </c>
      <c r="T2884" s="1" t="s">
        <v>170</v>
      </c>
      <c r="U2884" s="1">
        <v>72</v>
      </c>
      <c r="V2884" s="5">
        <v>43683</v>
      </c>
      <c r="W2884" s="5">
        <v>42830</v>
      </c>
      <c r="X2884" s="1">
        <v>1580000</v>
      </c>
      <c r="Y2884" s="1">
        <v>1580000</v>
      </c>
      <c r="Z2884" s="5">
        <v>42902</v>
      </c>
      <c r="AA2884" s="1">
        <v>1612835</v>
      </c>
      <c r="AB2884" s="1" t="s">
        <v>2188</v>
      </c>
      <c r="AC2884" s="5">
        <v>43637</v>
      </c>
      <c r="AF2884" s="1">
        <v>10002</v>
      </c>
      <c r="AI2884" s="1" t="s">
        <v>163</v>
      </c>
      <c r="AJ2884" s="1">
        <v>2019</v>
      </c>
      <c r="AK2884" s="1" t="s">
        <v>73</v>
      </c>
      <c r="AL2884" s="1">
        <v>787</v>
      </c>
    </row>
    <row r="2885" spans="1:38" x14ac:dyDescent="0.2">
      <c r="A2885" s="2" t="str">
        <f>HYPERLINK("https://www.compass.com/listing/252-south-street-unit-26n-manhattan-ny-10002/4849516313489444913/","252 South St, Unit 26N")</f>
        <v>252 South St, Unit 26N</v>
      </c>
      <c r="B2885" s="2" t="str">
        <f t="shared" si="388"/>
        <v>One Manhattan Square</v>
      </c>
      <c r="C2885" s="1" t="s">
        <v>66</v>
      </c>
      <c r="D2885" s="1" t="s">
        <v>41</v>
      </c>
      <c r="E2885" s="3">
        <v>1530713</v>
      </c>
      <c r="F2885" s="1">
        <v>2202.4647482014302</v>
      </c>
      <c r="G2885" s="1">
        <v>3</v>
      </c>
      <c r="H2885" s="1">
        <v>1</v>
      </c>
      <c r="I2885" s="1">
        <v>1</v>
      </c>
      <c r="J2885" s="1">
        <v>1</v>
      </c>
      <c r="M2885" s="1">
        <v>695</v>
      </c>
      <c r="N2885" s="1">
        <v>796</v>
      </c>
      <c r="O2885" s="1">
        <v>809</v>
      </c>
      <c r="P2885" s="1">
        <v>13</v>
      </c>
      <c r="Q2885" s="1" t="s">
        <v>42</v>
      </c>
      <c r="S2885" s="1" t="s">
        <v>42</v>
      </c>
      <c r="T2885" s="1" t="s">
        <v>170</v>
      </c>
      <c r="U2885" s="1">
        <v>7</v>
      </c>
      <c r="V2885" s="5">
        <v>43696</v>
      </c>
      <c r="W2885" s="5">
        <v>42944</v>
      </c>
      <c r="X2885" s="1">
        <v>1570000</v>
      </c>
      <c r="Y2885" s="1">
        <v>1570000</v>
      </c>
      <c r="Z2885" s="5">
        <v>42959</v>
      </c>
      <c r="AA2885" s="1">
        <v>1530713.74</v>
      </c>
      <c r="AB2885" s="1" t="s">
        <v>2189</v>
      </c>
      <c r="AC2885" s="5">
        <v>43587</v>
      </c>
      <c r="AF2885" s="1">
        <v>10002</v>
      </c>
      <c r="AI2885" s="1" t="s">
        <v>163</v>
      </c>
      <c r="AJ2885" s="1">
        <v>2019</v>
      </c>
      <c r="AK2885" s="1" t="s">
        <v>73</v>
      </c>
      <c r="AL2885" s="1">
        <v>787</v>
      </c>
    </row>
    <row r="2886" spans="1:38" x14ac:dyDescent="0.2">
      <c r="A2886" s="2" t="str">
        <f>HYPERLINK("https://www.compass.com/listing/252-south-street-unit-72g-manhattan-ny-10002/263532624851579297/","252 South St, Unit 72G")</f>
        <v>252 South St, Unit 72G</v>
      </c>
      <c r="B2886" s="2" t="str">
        <f t="shared" si="388"/>
        <v>One Manhattan Square</v>
      </c>
      <c r="C2886" s="1" t="s">
        <v>66</v>
      </c>
      <c r="D2886" s="1" t="s">
        <v>41</v>
      </c>
      <c r="E2886" s="3">
        <v>1607204</v>
      </c>
      <c r="F2886" s="1">
        <v>2336.0526162790602</v>
      </c>
      <c r="G2886" s="1">
        <v>3</v>
      </c>
      <c r="H2886" s="1">
        <v>1</v>
      </c>
      <c r="I2886" s="1">
        <v>1</v>
      </c>
      <c r="J2886" s="1">
        <v>1</v>
      </c>
      <c r="K2886" s="1">
        <v>1</v>
      </c>
      <c r="M2886" s="1">
        <v>688</v>
      </c>
      <c r="N2886" s="1">
        <v>972</v>
      </c>
      <c r="O2886" s="1">
        <v>987</v>
      </c>
      <c r="P2886" s="1">
        <v>15</v>
      </c>
      <c r="Q2886" s="1" t="s">
        <v>42</v>
      </c>
      <c r="S2886" s="1" t="s">
        <v>42</v>
      </c>
      <c r="T2886" s="1" t="s">
        <v>170</v>
      </c>
      <c r="U2886" s="1">
        <v>12</v>
      </c>
      <c r="V2886" s="5">
        <v>43816</v>
      </c>
      <c r="W2886" s="5">
        <v>43617</v>
      </c>
      <c r="X2886" s="1">
        <v>1630000</v>
      </c>
      <c r="Y2886" s="1">
        <v>1630000</v>
      </c>
      <c r="Z2886" s="5">
        <v>43629</v>
      </c>
      <c r="AA2886" s="1">
        <v>1607204.2</v>
      </c>
      <c r="AB2886" s="1" t="s">
        <v>2190</v>
      </c>
      <c r="AC2886" s="5">
        <v>43801</v>
      </c>
      <c r="AF2886" s="1">
        <v>10002</v>
      </c>
      <c r="AI2886" s="1" t="s">
        <v>163</v>
      </c>
      <c r="AJ2886" s="1">
        <v>2019</v>
      </c>
      <c r="AK2886" s="1" t="s">
        <v>73</v>
      </c>
      <c r="AL2886" s="1">
        <v>787</v>
      </c>
    </row>
    <row r="2887" spans="1:38" x14ac:dyDescent="0.2">
      <c r="A2887" s="2" t="str">
        <f>HYPERLINK("https://www.compass.com/listing/252-south-street-unit-53m-manhattan-ny-10002/29513533016337025/","252 South St, Unit 53M")</f>
        <v>252 South St, Unit 53M</v>
      </c>
      <c r="B2887" s="2" t="str">
        <f t="shared" si="388"/>
        <v>One Manhattan Square</v>
      </c>
      <c r="C2887" s="1" t="s">
        <v>66</v>
      </c>
      <c r="D2887" s="1" t="s">
        <v>41</v>
      </c>
      <c r="E2887" s="3">
        <v>1705812</v>
      </c>
      <c r="F2887" s="1">
        <v>2454.40575539568</v>
      </c>
      <c r="G2887" s="1">
        <v>3</v>
      </c>
      <c r="H2887" s="1">
        <v>1</v>
      </c>
      <c r="I2887" s="1">
        <v>1</v>
      </c>
      <c r="J2887" s="1">
        <v>1</v>
      </c>
      <c r="M2887" s="1">
        <v>695</v>
      </c>
      <c r="N2887" s="1">
        <v>895</v>
      </c>
      <c r="O2887" s="1">
        <v>910</v>
      </c>
      <c r="P2887" s="1">
        <v>15</v>
      </c>
      <c r="Q2887" s="1" t="s">
        <v>42</v>
      </c>
      <c r="S2887" s="1" t="s">
        <v>42</v>
      </c>
      <c r="T2887" s="1" t="s">
        <v>170</v>
      </c>
      <c r="U2887" s="1">
        <v>2</v>
      </c>
      <c r="V2887" s="5">
        <v>43704</v>
      </c>
      <c r="W2887" s="5">
        <v>43054</v>
      </c>
      <c r="X2887" s="1">
        <v>1723000</v>
      </c>
      <c r="Y2887" s="1">
        <v>1723000</v>
      </c>
      <c r="Z2887" s="5">
        <v>43056</v>
      </c>
      <c r="AA2887" s="1">
        <v>1705812</v>
      </c>
      <c r="AB2887" s="1" t="s">
        <v>2191</v>
      </c>
      <c r="AC2887" s="5">
        <v>43691</v>
      </c>
      <c r="AF2887" s="1">
        <v>10002</v>
      </c>
      <c r="AI2887" s="1" t="s">
        <v>163</v>
      </c>
      <c r="AJ2887" s="1">
        <v>2019</v>
      </c>
      <c r="AK2887" s="1" t="s">
        <v>73</v>
      </c>
      <c r="AL2887" s="1">
        <v>787</v>
      </c>
    </row>
    <row r="2888" spans="1:38" x14ac:dyDescent="0.2">
      <c r="A2888" s="2" t="str">
        <f>HYPERLINK("https://www.compass.com/listing/252-south-street-unit-43m-manhattan-ny-10002/29513534903773921/","252 South St, Unit 43M")</f>
        <v>252 South St, Unit 43M</v>
      </c>
      <c r="B2888" s="2" t="str">
        <f t="shared" si="388"/>
        <v>One Manhattan Square</v>
      </c>
      <c r="C2888" s="1" t="s">
        <v>66</v>
      </c>
      <c r="D2888" s="1" t="s">
        <v>41</v>
      </c>
      <c r="E2888" s="3">
        <v>1663747</v>
      </c>
      <c r="F2888" s="1">
        <v>2393.8805755395601</v>
      </c>
      <c r="G2888" s="1">
        <v>3</v>
      </c>
      <c r="H2888" s="1">
        <v>1</v>
      </c>
      <c r="I2888" s="1">
        <v>1</v>
      </c>
      <c r="J2888" s="1">
        <v>1</v>
      </c>
      <c r="M2888" s="1">
        <v>695</v>
      </c>
      <c r="N2888" s="1">
        <v>858</v>
      </c>
      <c r="O2888" s="1">
        <v>872</v>
      </c>
      <c r="P2888" s="1">
        <v>14</v>
      </c>
      <c r="Q2888" s="1" t="s">
        <v>42</v>
      </c>
      <c r="S2888" s="1" t="s">
        <v>42</v>
      </c>
      <c r="T2888" s="1" t="s">
        <v>170</v>
      </c>
      <c r="U2888" s="1">
        <v>2</v>
      </c>
      <c r="V2888" s="5">
        <v>43696</v>
      </c>
      <c r="W2888" s="5">
        <v>43019</v>
      </c>
      <c r="X2888" s="1">
        <v>1681000</v>
      </c>
      <c r="Y2888" s="1">
        <v>1681000</v>
      </c>
      <c r="Z2888" s="5">
        <v>43021</v>
      </c>
      <c r="AA2888" s="1">
        <v>1663747</v>
      </c>
      <c r="AB2888" s="1" t="s">
        <v>2192</v>
      </c>
      <c r="AC2888" s="5">
        <v>43624</v>
      </c>
      <c r="AF2888" s="1">
        <v>10002</v>
      </c>
      <c r="AI2888" s="1" t="s">
        <v>163</v>
      </c>
      <c r="AJ2888" s="1">
        <v>2019</v>
      </c>
      <c r="AK2888" s="1" t="s">
        <v>73</v>
      </c>
      <c r="AL2888" s="1">
        <v>787</v>
      </c>
    </row>
    <row r="2889" spans="1:38" x14ac:dyDescent="0.2">
      <c r="A2889" s="2" t="str">
        <f>HYPERLINK("https://www.compass.com/listing/252-south-street-unit-59k-manhattan-ny-10002/29513537479026049/","252 South St, Unit 59K")</f>
        <v>252 South St, Unit 59K</v>
      </c>
      <c r="B2889" s="2" t="str">
        <f t="shared" si="388"/>
        <v>One Manhattan Square</v>
      </c>
      <c r="C2889" s="1" t="s">
        <v>66</v>
      </c>
      <c r="D2889" s="1" t="s">
        <v>41</v>
      </c>
      <c r="E2889" s="3">
        <v>1684113</v>
      </c>
      <c r="F2889" s="1">
        <v>2447.8379360465101</v>
      </c>
      <c r="G2889" s="1">
        <v>3</v>
      </c>
      <c r="H2889" s="1">
        <v>1</v>
      </c>
      <c r="I2889" s="1">
        <v>1</v>
      </c>
      <c r="J2889" s="1">
        <v>1</v>
      </c>
      <c r="M2889" s="1">
        <v>688</v>
      </c>
      <c r="N2889" s="1">
        <v>904</v>
      </c>
      <c r="O2889" s="1">
        <v>919</v>
      </c>
      <c r="P2889" s="1">
        <v>15</v>
      </c>
      <c r="Q2889" s="1" t="s">
        <v>42</v>
      </c>
      <c r="S2889" s="1" t="s">
        <v>42</v>
      </c>
      <c r="T2889" s="1" t="s">
        <v>170</v>
      </c>
      <c r="U2889" s="1">
        <v>1</v>
      </c>
      <c r="V2889" s="5">
        <v>43774</v>
      </c>
      <c r="W2889" s="5">
        <v>42993</v>
      </c>
      <c r="X2889" s="1">
        <v>1728000</v>
      </c>
      <c r="Y2889" s="1">
        <v>1728000</v>
      </c>
      <c r="Z2889" s="5">
        <v>42994</v>
      </c>
      <c r="AA2889" s="1">
        <v>1684112.5</v>
      </c>
      <c r="AB2889" s="1" t="s">
        <v>2193</v>
      </c>
      <c r="AC2889" s="5">
        <v>43756</v>
      </c>
      <c r="AF2889" s="1">
        <v>10002</v>
      </c>
      <c r="AI2889" s="1" t="s">
        <v>163</v>
      </c>
      <c r="AJ2889" s="1">
        <v>2019</v>
      </c>
      <c r="AK2889" s="1" t="s">
        <v>73</v>
      </c>
      <c r="AL2889" s="1">
        <v>787</v>
      </c>
    </row>
    <row r="2890" spans="1:38" x14ac:dyDescent="0.2">
      <c r="A2890" s="2" t="str">
        <f>HYPERLINK("https://www.compass.com/listing/252-south-street-unit-50j-manhattan-ny-10002/29513523906308257/","252 South St, Unit 50J")</f>
        <v>252 South St, Unit 50J</v>
      </c>
      <c r="B2890" s="2" t="str">
        <f t="shared" si="388"/>
        <v>One Manhattan Square</v>
      </c>
      <c r="C2890" s="1" t="s">
        <v>66</v>
      </c>
      <c r="D2890" s="1" t="s">
        <v>41</v>
      </c>
      <c r="E2890" s="3">
        <v>1487529</v>
      </c>
      <c r="F2890" s="1">
        <v>2140.3294964028701</v>
      </c>
      <c r="G2890" s="1">
        <v>3</v>
      </c>
      <c r="H2890" s="1">
        <v>1</v>
      </c>
      <c r="I2890" s="1">
        <v>1</v>
      </c>
      <c r="J2890" s="1">
        <v>1</v>
      </c>
      <c r="M2890" s="1">
        <v>695</v>
      </c>
      <c r="N2890" s="1">
        <v>884</v>
      </c>
      <c r="O2890" s="1">
        <v>899</v>
      </c>
      <c r="P2890" s="1">
        <v>15</v>
      </c>
      <c r="Q2890" s="1" t="s">
        <v>42</v>
      </c>
      <c r="S2890" s="1" t="s">
        <v>42</v>
      </c>
      <c r="T2890" s="1" t="s">
        <v>170</v>
      </c>
      <c r="U2890" s="1">
        <v>7</v>
      </c>
      <c r="V2890" s="5">
        <v>43696</v>
      </c>
      <c r="W2890" s="5">
        <v>43075</v>
      </c>
      <c r="X2890" s="1">
        <v>1502000</v>
      </c>
      <c r="Y2890" s="1">
        <v>1502000</v>
      </c>
      <c r="Z2890" s="5">
        <v>43082</v>
      </c>
      <c r="AA2890" s="1">
        <v>1487529</v>
      </c>
      <c r="AB2890" s="1" t="s">
        <v>2194</v>
      </c>
      <c r="AC2890" s="5">
        <v>43645</v>
      </c>
      <c r="AF2890" s="1">
        <v>10002</v>
      </c>
      <c r="AI2890" s="1" t="s">
        <v>163</v>
      </c>
      <c r="AJ2890" s="1">
        <v>2019</v>
      </c>
      <c r="AK2890" s="1" t="s">
        <v>73</v>
      </c>
      <c r="AL2890" s="1">
        <v>787</v>
      </c>
    </row>
    <row r="2891" spans="1:38" x14ac:dyDescent="0.2">
      <c r="A2891" s="2" t="str">
        <f>HYPERLINK("https://www.compass.com/listing/265-east-houston-street-unit-8-manhattan-ny-10002/110429430219801041/","265 E Houston St, Unit 8")</f>
        <v>265 E Houston St, Unit 8</v>
      </c>
      <c r="B2891" s="2" t="str">
        <f>HYPERLINK("https://www.compass.com/building/265-e-houston-st-manhattan-ny-10002/281886808264939173/","265 E Houston St")</f>
        <v>265 E Houston St</v>
      </c>
      <c r="C2891" s="1" t="s">
        <v>66</v>
      </c>
      <c r="D2891" s="1" t="s">
        <v>41</v>
      </c>
      <c r="E2891" s="3">
        <v>2495000</v>
      </c>
      <c r="F2891" s="1">
        <v>1782.1428571428501</v>
      </c>
      <c r="G2891" s="1">
        <v>4.5</v>
      </c>
      <c r="H2891" s="1">
        <v>2</v>
      </c>
      <c r="I2891" s="1">
        <v>2</v>
      </c>
      <c r="J2891" s="1">
        <v>2</v>
      </c>
      <c r="M2891" s="4">
        <v>1400</v>
      </c>
      <c r="N2891" s="1">
        <v>2478</v>
      </c>
      <c r="O2891" s="1">
        <v>3497</v>
      </c>
      <c r="P2891" s="1">
        <v>1019</v>
      </c>
      <c r="Q2891" s="1" t="s">
        <v>42</v>
      </c>
      <c r="S2891" s="1" t="s">
        <v>42</v>
      </c>
      <c r="T2891" s="1" t="s">
        <v>170</v>
      </c>
      <c r="U2891" s="1">
        <v>9</v>
      </c>
      <c r="V2891" s="5">
        <v>43642</v>
      </c>
      <c r="W2891" s="5">
        <v>43404</v>
      </c>
      <c r="X2891" s="1">
        <v>2495000</v>
      </c>
      <c r="Y2891" s="1">
        <v>2495000</v>
      </c>
      <c r="Z2891" s="5">
        <v>43413</v>
      </c>
      <c r="AA2891" s="1">
        <v>2495000</v>
      </c>
      <c r="AB2891" s="1" t="s">
        <v>181</v>
      </c>
      <c r="AC2891" s="5">
        <v>43420</v>
      </c>
      <c r="AF2891" s="1">
        <v>10002</v>
      </c>
      <c r="AI2891" s="1" t="s">
        <v>138</v>
      </c>
      <c r="AJ2891" s="1">
        <v>2011</v>
      </c>
      <c r="AL2891" s="1">
        <v>7</v>
      </c>
    </row>
    <row r="2892" spans="1:38" x14ac:dyDescent="0.2">
      <c r="A2892" s="2" t="str">
        <f>HYPERLINK("https://www.compass.com/listing/10-madison-square-west-unit-2d-manhattan-ny-10010/29374712668819857/","10 Madison Sq W, Unit 2D")</f>
        <v>10 Madison Sq W, Unit 2D</v>
      </c>
      <c r="B2892" s="2" t="str">
        <f t="shared" ref="B2892:B2933" si="389">HYPERLINK("https://www.compass.com/building/10-madison-square-west-manhattan-ny/294838725091521285/","10 Madison Square West")</f>
        <v>10 Madison Square West</v>
      </c>
      <c r="C2892" s="1" t="s">
        <v>154</v>
      </c>
      <c r="D2892" s="1" t="s">
        <v>41</v>
      </c>
      <c r="E2892" s="3">
        <v>4250000</v>
      </c>
      <c r="F2892" s="1">
        <v>2514.7928994082799</v>
      </c>
      <c r="G2892" s="1">
        <v>5</v>
      </c>
      <c r="H2892" s="1">
        <v>2</v>
      </c>
      <c r="I2892" s="1">
        <v>3</v>
      </c>
      <c r="J2892" s="1">
        <v>2.5</v>
      </c>
      <c r="M2892" s="4">
        <v>1690</v>
      </c>
      <c r="N2892" s="1">
        <v>2123</v>
      </c>
      <c r="O2892" s="1">
        <v>5414</v>
      </c>
      <c r="P2892" s="1">
        <v>3291</v>
      </c>
      <c r="Q2892" s="1" t="s">
        <v>42</v>
      </c>
      <c r="S2892" s="1" t="s">
        <v>42</v>
      </c>
      <c r="T2892" s="1" t="s">
        <v>170</v>
      </c>
      <c r="U2892" s="1">
        <v>115</v>
      </c>
      <c r="V2892" s="5">
        <v>43654</v>
      </c>
      <c r="W2892" s="5">
        <v>43032</v>
      </c>
      <c r="X2892" s="1">
        <v>4795000</v>
      </c>
      <c r="Y2892" s="1">
        <v>4500000</v>
      </c>
      <c r="Z2892" s="5">
        <v>43147</v>
      </c>
      <c r="AA2892" s="1">
        <v>4250000</v>
      </c>
      <c r="AB2892" s="1" t="s">
        <v>2195</v>
      </c>
      <c r="AC2892" s="5">
        <v>43220</v>
      </c>
      <c r="AF2892" s="1">
        <v>10010</v>
      </c>
      <c r="AI2892" s="1" t="s">
        <v>59</v>
      </c>
      <c r="AJ2892" s="1">
        <v>1915</v>
      </c>
      <c r="AK2892" s="1" t="s">
        <v>46</v>
      </c>
      <c r="AL2892" s="1">
        <v>125</v>
      </c>
    </row>
    <row r="2893" spans="1:38" x14ac:dyDescent="0.2">
      <c r="A2893" s="2" t="str">
        <f>HYPERLINK("https://www.compass.com/listing/10-madison-square-west-unit-15c-manhattan-ny-10010/644225380869507097/","10 Madison Sq W, Unit 15C")</f>
        <v>10 Madison Sq W, Unit 15C</v>
      </c>
      <c r="B2893" s="2" t="str">
        <f t="shared" si="389"/>
        <v>10 Madison Square West</v>
      </c>
      <c r="D2893" s="1" t="s">
        <v>41</v>
      </c>
      <c r="E2893" s="3">
        <v>4215000</v>
      </c>
      <c r="G2893" s="1">
        <v>4</v>
      </c>
      <c r="H2893" s="1">
        <v>2</v>
      </c>
      <c r="I2893" s="1">
        <v>3</v>
      </c>
      <c r="J2893" s="1">
        <v>2.5</v>
      </c>
      <c r="K2893" s="1">
        <v>2</v>
      </c>
      <c r="L2893" s="1">
        <v>1</v>
      </c>
      <c r="N2893" s="1">
        <v>2235</v>
      </c>
      <c r="O2893" s="1">
        <v>6022</v>
      </c>
      <c r="P2893" s="1">
        <v>3787</v>
      </c>
      <c r="Q2893" s="1" t="s">
        <v>42</v>
      </c>
      <c r="S2893" s="1" t="s">
        <v>42</v>
      </c>
      <c r="T2893" s="1" t="s">
        <v>170</v>
      </c>
      <c r="U2893" s="1">
        <v>198</v>
      </c>
      <c r="V2893" s="5">
        <v>44399</v>
      </c>
      <c r="W2893" s="5">
        <v>44140</v>
      </c>
      <c r="X2893" s="1">
        <v>4795000</v>
      </c>
      <c r="Y2893" s="1">
        <v>4495000</v>
      </c>
      <c r="Z2893" s="5">
        <v>44342</v>
      </c>
      <c r="AA2893" s="1">
        <v>4215000</v>
      </c>
      <c r="AB2893" s="1" t="s">
        <v>2196</v>
      </c>
      <c r="AC2893" s="5">
        <v>44397</v>
      </c>
      <c r="AF2893" s="1">
        <v>10010</v>
      </c>
      <c r="AI2893" s="1" t="s">
        <v>59</v>
      </c>
      <c r="AJ2893" s="1">
        <v>1915</v>
      </c>
      <c r="AK2893" s="1" t="s">
        <v>73</v>
      </c>
      <c r="AL2893" s="1">
        <v>125</v>
      </c>
    </row>
    <row r="2894" spans="1:38" x14ac:dyDescent="0.2">
      <c r="A2894" s="2" t="str">
        <f>HYPERLINK("https://www.compass.com/listing/10-madison-square-west-unit-17c-manhattan-ny-10010/114656563230235857/","10 Madison Sq W, Unit 17C")</f>
        <v>10 Madison Sq W, Unit 17C</v>
      </c>
      <c r="B2894" s="2" t="str">
        <f t="shared" si="389"/>
        <v>10 Madison Square West</v>
      </c>
      <c r="D2894" s="1" t="s">
        <v>41</v>
      </c>
      <c r="E2894" s="3">
        <v>4850000</v>
      </c>
      <c r="F2894" s="1">
        <v>2726.2507026419298</v>
      </c>
      <c r="G2894" s="1">
        <v>4.5</v>
      </c>
      <c r="H2894" s="1">
        <v>2</v>
      </c>
      <c r="I2894" s="1">
        <v>3</v>
      </c>
      <c r="J2894" s="1">
        <v>2.5</v>
      </c>
      <c r="K2894" s="1">
        <v>2</v>
      </c>
      <c r="L2894" s="1">
        <v>1</v>
      </c>
      <c r="M2894" s="4">
        <v>1779</v>
      </c>
      <c r="N2894" s="1">
        <v>2228</v>
      </c>
      <c r="O2894" s="1">
        <v>5779</v>
      </c>
      <c r="P2894" s="1">
        <v>3551</v>
      </c>
      <c r="Q2894" s="1" t="s">
        <v>42</v>
      </c>
      <c r="S2894" s="1" t="s">
        <v>42</v>
      </c>
      <c r="T2894" s="1" t="s">
        <v>170</v>
      </c>
      <c r="U2894" s="1">
        <v>36</v>
      </c>
      <c r="V2894" s="5">
        <v>43558</v>
      </c>
      <c r="W2894" s="5">
        <v>43409</v>
      </c>
      <c r="X2894" s="1">
        <v>5325000</v>
      </c>
      <c r="Y2894" s="1">
        <v>5325000</v>
      </c>
      <c r="Z2894" s="5">
        <v>43446</v>
      </c>
      <c r="AA2894" s="1">
        <v>4850000</v>
      </c>
      <c r="AB2894" s="1" t="s">
        <v>2197</v>
      </c>
      <c r="AC2894" s="5">
        <v>43509</v>
      </c>
      <c r="AF2894" s="1">
        <v>10010</v>
      </c>
      <c r="AI2894" s="1" t="s">
        <v>59</v>
      </c>
      <c r="AJ2894" s="1">
        <v>1915</v>
      </c>
      <c r="AK2894" s="1" t="s">
        <v>73</v>
      </c>
      <c r="AL2894" s="1">
        <v>125</v>
      </c>
    </row>
    <row r="2895" spans="1:38" x14ac:dyDescent="0.2">
      <c r="A2895" s="2" t="str">
        <f>HYPERLINK("https://www.compass.com/listing/10-madison-square-west-unit-6d-manhattan-ny-10010/29374724362539697/","10 Madison Sq W, Unit 6D")</f>
        <v>10 Madison Sq W, Unit 6D</v>
      </c>
      <c r="B2895" s="2" t="str">
        <f t="shared" si="389"/>
        <v>10 Madison Square West</v>
      </c>
      <c r="D2895" s="1" t="s">
        <v>41</v>
      </c>
      <c r="E2895" s="3">
        <v>4100000</v>
      </c>
      <c r="F2895" s="1">
        <v>2426.0355029585799</v>
      </c>
      <c r="G2895" s="1">
        <v>4</v>
      </c>
      <c r="H2895" s="1">
        <v>2</v>
      </c>
      <c r="I2895" s="1">
        <v>2</v>
      </c>
      <c r="J2895" s="1">
        <v>2</v>
      </c>
      <c r="K2895" s="1">
        <v>2</v>
      </c>
      <c r="M2895" s="4">
        <v>1690</v>
      </c>
      <c r="N2895" s="1">
        <v>2122.92</v>
      </c>
      <c r="O2895" s="1">
        <v>4012.92</v>
      </c>
      <c r="P2895" s="1">
        <v>1890</v>
      </c>
      <c r="Q2895" s="1" t="s">
        <v>42</v>
      </c>
      <c r="S2895" s="1" t="s">
        <v>42</v>
      </c>
      <c r="T2895" s="1" t="s">
        <v>170</v>
      </c>
      <c r="U2895" s="1">
        <v>151</v>
      </c>
      <c r="V2895" s="5">
        <v>42722</v>
      </c>
      <c r="W2895" s="5">
        <v>42365</v>
      </c>
      <c r="X2895" s="1">
        <v>4875000</v>
      </c>
      <c r="Y2895" s="1">
        <v>4400000</v>
      </c>
      <c r="Z2895" s="5">
        <v>42517</v>
      </c>
      <c r="AA2895" s="1">
        <v>4100000</v>
      </c>
      <c r="AB2895" s="1" t="s">
        <v>2198</v>
      </c>
      <c r="AC2895" s="5">
        <v>42538</v>
      </c>
      <c r="AF2895" s="1">
        <v>10010</v>
      </c>
      <c r="AI2895" s="1" t="s">
        <v>59</v>
      </c>
      <c r="AJ2895" s="1">
        <v>1915</v>
      </c>
      <c r="AK2895" s="1" t="s">
        <v>73</v>
      </c>
      <c r="AL2895" s="1">
        <v>125</v>
      </c>
    </row>
    <row r="2896" spans="1:38" x14ac:dyDescent="0.2">
      <c r="A2896" s="2" t="str">
        <f>HYPERLINK("https://www.compass.com/listing/10-madison-square-west-unit-5f-manhattan-ny-10010/29374722181501569/","10 Madison Sq W, Unit 5F")</f>
        <v>10 Madison Sq W, Unit 5F</v>
      </c>
      <c r="B2896" s="2" t="str">
        <f t="shared" si="389"/>
        <v>10 Madison Square West</v>
      </c>
      <c r="D2896" s="1" t="s">
        <v>41</v>
      </c>
      <c r="E2896" s="3">
        <v>8650000</v>
      </c>
      <c r="F2896" s="1">
        <v>3617.7331660393102</v>
      </c>
      <c r="G2896" s="1">
        <v>6</v>
      </c>
      <c r="H2896" s="1">
        <v>3</v>
      </c>
      <c r="I2896" s="1">
        <v>3</v>
      </c>
      <c r="J2896" s="1">
        <v>3</v>
      </c>
      <c r="M2896" s="4">
        <v>2391</v>
      </c>
      <c r="N2896" s="1">
        <v>3100</v>
      </c>
      <c r="O2896" s="1">
        <v>5773</v>
      </c>
      <c r="P2896" s="1">
        <v>2673</v>
      </c>
      <c r="Q2896" s="1" t="s">
        <v>42</v>
      </c>
      <c r="S2896" s="1" t="s">
        <v>42</v>
      </c>
      <c r="T2896" s="1" t="s">
        <v>170</v>
      </c>
      <c r="U2896" s="1">
        <v>39</v>
      </c>
      <c r="V2896" s="5">
        <v>42502</v>
      </c>
      <c r="W2896" s="5">
        <v>42436</v>
      </c>
      <c r="X2896" s="1">
        <v>10499000</v>
      </c>
      <c r="Y2896" s="1">
        <v>9500000</v>
      </c>
      <c r="Z2896" s="5">
        <v>42476</v>
      </c>
      <c r="AA2896" s="1">
        <v>8650000</v>
      </c>
      <c r="AB2896" s="1" t="s">
        <v>2199</v>
      </c>
      <c r="AC2896" s="5">
        <v>42499</v>
      </c>
      <c r="AF2896" s="1">
        <v>10010</v>
      </c>
      <c r="AI2896" s="1" t="s">
        <v>59</v>
      </c>
      <c r="AJ2896" s="1">
        <v>1915</v>
      </c>
      <c r="AK2896" s="1" t="s">
        <v>46</v>
      </c>
      <c r="AL2896" s="1">
        <v>125</v>
      </c>
    </row>
    <row r="2897" spans="1:38" x14ac:dyDescent="0.2">
      <c r="A2897" s="2" t="str">
        <f>HYPERLINK("https://www.compass.com/listing/10-madison-square-west-unit-14e-manhattan-ny-10010/29374742825921457/","10 Madison Sq W, Unit 14E")</f>
        <v>10 Madison Sq W, Unit 14E</v>
      </c>
      <c r="B2897" s="2" t="str">
        <f t="shared" si="389"/>
        <v>10 Madison Square West</v>
      </c>
      <c r="C2897" s="1" t="s">
        <v>154</v>
      </c>
      <c r="D2897" s="1" t="s">
        <v>41</v>
      </c>
      <c r="E2897" s="3">
        <v>7723750</v>
      </c>
      <c r="F2897" s="1">
        <v>3290.9032807839699</v>
      </c>
      <c r="G2897" s="1">
        <v>6</v>
      </c>
      <c r="H2897" s="1">
        <v>3</v>
      </c>
      <c r="I2897" s="1">
        <v>4</v>
      </c>
      <c r="J2897" s="1">
        <v>3.5</v>
      </c>
      <c r="M2897" s="4">
        <v>2347</v>
      </c>
      <c r="N2897" s="1">
        <v>2948</v>
      </c>
      <c r="O2897" s="1">
        <v>7518</v>
      </c>
      <c r="P2897" s="1">
        <v>4570</v>
      </c>
      <c r="Q2897" s="1" t="s">
        <v>42</v>
      </c>
      <c r="S2897" s="1" t="s">
        <v>42</v>
      </c>
      <c r="T2897" s="1" t="s">
        <v>170</v>
      </c>
      <c r="U2897" s="1">
        <v>586</v>
      </c>
      <c r="V2897" s="5">
        <v>43662</v>
      </c>
      <c r="W2897" s="5">
        <v>42630</v>
      </c>
      <c r="X2897" s="1">
        <v>10500000</v>
      </c>
      <c r="Y2897" s="1">
        <v>7995000</v>
      </c>
      <c r="Z2897" s="5">
        <v>43216</v>
      </c>
      <c r="AA2897" s="1">
        <v>7723750</v>
      </c>
      <c r="AB2897" s="1" t="s">
        <v>2200</v>
      </c>
      <c r="AC2897" s="5">
        <v>43259</v>
      </c>
      <c r="AF2897" s="1">
        <v>10010</v>
      </c>
      <c r="AI2897" s="1" t="s">
        <v>59</v>
      </c>
      <c r="AJ2897" s="1">
        <v>1915</v>
      </c>
      <c r="AK2897" s="1" t="s">
        <v>46</v>
      </c>
      <c r="AL2897" s="1">
        <v>125</v>
      </c>
    </row>
    <row r="2898" spans="1:38" x14ac:dyDescent="0.2">
      <c r="A2898" s="2" t="str">
        <f>HYPERLINK("https://www.compass.com/listing/10-madison-square-west-unit-11f-manhattan-ny-10010/29374737213942609/","10 Madison Sq W, Unit 11F")</f>
        <v>10 Madison Sq W, Unit 11F</v>
      </c>
      <c r="B2898" s="2" t="str">
        <f t="shared" si="389"/>
        <v>10 Madison Square West</v>
      </c>
      <c r="D2898" s="1" t="s">
        <v>41</v>
      </c>
      <c r="E2898" s="3">
        <v>6100000</v>
      </c>
      <c r="F2898" s="1">
        <v>2164.6557842441398</v>
      </c>
      <c r="G2898" s="1">
        <v>7</v>
      </c>
      <c r="H2898" s="1">
        <v>4</v>
      </c>
      <c r="I2898" s="1">
        <v>5</v>
      </c>
      <c r="J2898" s="1">
        <v>4.5</v>
      </c>
      <c r="K2898" s="1">
        <v>4</v>
      </c>
      <c r="L2898" s="1">
        <v>1</v>
      </c>
      <c r="M2898" s="4">
        <v>2818</v>
      </c>
      <c r="N2898" s="1">
        <v>3539</v>
      </c>
      <c r="O2898" s="1">
        <v>7582</v>
      </c>
      <c r="P2898" s="1">
        <v>4043</v>
      </c>
      <c r="Q2898" s="1" t="s">
        <v>42</v>
      </c>
      <c r="S2898" s="1" t="s">
        <v>42</v>
      </c>
      <c r="T2898" s="1" t="s">
        <v>170</v>
      </c>
      <c r="U2898" s="1">
        <v>157</v>
      </c>
      <c r="V2898" s="5">
        <v>44335</v>
      </c>
      <c r="W2898" s="5">
        <v>42445</v>
      </c>
      <c r="X2898" s="1">
        <v>10450000</v>
      </c>
      <c r="Y2898" s="1">
        <v>6995000</v>
      </c>
      <c r="Z2898" s="5">
        <v>42817</v>
      </c>
      <c r="AA2898" s="1">
        <v>6100000</v>
      </c>
      <c r="AB2898" s="1" t="s">
        <v>2201</v>
      </c>
      <c r="AC2898" s="5">
        <v>42866</v>
      </c>
      <c r="AF2898" s="1">
        <v>10010</v>
      </c>
      <c r="AI2898" s="1" t="s">
        <v>2202</v>
      </c>
      <c r="AJ2898" s="1">
        <v>1915</v>
      </c>
      <c r="AK2898" s="1" t="s">
        <v>46</v>
      </c>
      <c r="AL2898" s="1">
        <v>125</v>
      </c>
    </row>
    <row r="2899" spans="1:38" x14ac:dyDescent="0.2">
      <c r="A2899" s="2" t="str">
        <f>HYPERLINK("https://www.compass.com/listing/10-madison-square-west-unit-7c-manhattan-ny-10010/29374726854011521/","10 Madison Sq W, Unit 7C")</f>
        <v>10 Madison Sq W, Unit 7C</v>
      </c>
      <c r="B2899" s="2" t="str">
        <f t="shared" si="389"/>
        <v>10 Madison Square West</v>
      </c>
      <c r="C2899" s="1" t="s">
        <v>154</v>
      </c>
      <c r="D2899" s="1" t="s">
        <v>41</v>
      </c>
      <c r="E2899" s="3">
        <v>4000000</v>
      </c>
      <c r="F2899" s="1">
        <v>2791.3468248429799</v>
      </c>
      <c r="G2899" s="1">
        <v>4</v>
      </c>
      <c r="H2899" s="1">
        <v>2</v>
      </c>
      <c r="I2899" s="1">
        <v>3</v>
      </c>
      <c r="J2899" s="1">
        <v>2.5</v>
      </c>
      <c r="K2899" s="1">
        <v>2</v>
      </c>
      <c r="L2899" s="1">
        <v>1</v>
      </c>
      <c r="M2899" s="4">
        <v>1433</v>
      </c>
      <c r="N2899" s="1">
        <v>1800</v>
      </c>
      <c r="O2899" s="1">
        <v>4266</v>
      </c>
      <c r="P2899" s="1">
        <v>2466</v>
      </c>
      <c r="Q2899" s="1" t="s">
        <v>42</v>
      </c>
      <c r="S2899" s="1" t="s">
        <v>42</v>
      </c>
      <c r="T2899" s="1" t="s">
        <v>170</v>
      </c>
      <c r="U2899" s="1">
        <v>76</v>
      </c>
      <c r="V2899" s="5">
        <v>44341</v>
      </c>
      <c r="W2899" s="5">
        <v>42474</v>
      </c>
      <c r="X2899" s="1">
        <v>4388000</v>
      </c>
      <c r="Y2899" s="1">
        <v>4388000</v>
      </c>
      <c r="Z2899" s="5">
        <v>42550</v>
      </c>
      <c r="AA2899" s="1">
        <v>4000000</v>
      </c>
      <c r="AB2899" s="1" t="s">
        <v>2203</v>
      </c>
      <c r="AC2899" s="5">
        <v>42580</v>
      </c>
      <c r="AF2899" s="1">
        <v>10010</v>
      </c>
      <c r="AI2899" s="1" t="s">
        <v>256</v>
      </c>
      <c r="AJ2899" s="1">
        <v>1915</v>
      </c>
      <c r="AK2899" s="1" t="s">
        <v>46</v>
      </c>
      <c r="AL2899" s="1">
        <v>125</v>
      </c>
    </row>
    <row r="2900" spans="1:38" x14ac:dyDescent="0.2">
      <c r="A2900" s="2" t="str">
        <f>HYPERLINK("https://www.compass.com/listing/10-madison-square-west-unit-8g-manhattan-ny-10010/747125788117236969/","10 Madison Sq W, Unit 8G")</f>
        <v>10 Madison Sq W, Unit 8G</v>
      </c>
      <c r="B2900" s="2" t="str">
        <f t="shared" si="389"/>
        <v>10 Madison Square West</v>
      </c>
      <c r="D2900" s="1" t="s">
        <v>41</v>
      </c>
      <c r="E2900" s="3">
        <v>5350000</v>
      </c>
      <c r="F2900" s="1">
        <v>2272.7272727272698</v>
      </c>
      <c r="G2900" s="1">
        <v>5</v>
      </c>
      <c r="H2900" s="1">
        <v>3</v>
      </c>
      <c r="I2900" s="1">
        <v>4</v>
      </c>
      <c r="J2900" s="1">
        <v>3.5</v>
      </c>
      <c r="K2900" s="1">
        <v>3</v>
      </c>
      <c r="L2900" s="1">
        <v>1</v>
      </c>
      <c r="M2900" s="4">
        <v>2354</v>
      </c>
      <c r="N2900" s="1">
        <v>2959</v>
      </c>
      <c r="O2900" s="1">
        <v>7887</v>
      </c>
      <c r="P2900" s="1">
        <v>4928</v>
      </c>
      <c r="Q2900" s="1" t="s">
        <v>42</v>
      </c>
      <c r="S2900" s="1" t="s">
        <v>42</v>
      </c>
      <c r="T2900" s="1" t="s">
        <v>170</v>
      </c>
      <c r="U2900" s="1">
        <v>35</v>
      </c>
      <c r="V2900" s="5">
        <v>44406</v>
      </c>
      <c r="W2900" s="5">
        <v>44281</v>
      </c>
      <c r="X2900" s="1">
        <v>5495000</v>
      </c>
      <c r="Y2900" s="1">
        <v>5495000</v>
      </c>
      <c r="Z2900" s="5">
        <v>44317</v>
      </c>
      <c r="AA2900" s="1">
        <v>5350000</v>
      </c>
      <c r="AB2900" s="1" t="s">
        <v>2204</v>
      </c>
      <c r="AC2900" s="5">
        <v>44396</v>
      </c>
      <c r="AF2900" s="1">
        <v>10010</v>
      </c>
      <c r="AI2900" s="1" t="s">
        <v>59</v>
      </c>
      <c r="AJ2900" s="1">
        <v>1915</v>
      </c>
      <c r="AK2900" s="1" t="s">
        <v>46</v>
      </c>
      <c r="AL2900" s="1">
        <v>125</v>
      </c>
    </row>
    <row r="2901" spans="1:38" x14ac:dyDescent="0.2">
      <c r="A2901" s="2" t="str">
        <f>HYPERLINK("https://www.compass.com/listing/10-madison-square-west-unit-5c-manhattan-ny-10010/29513460219993521/","10 Madison Sq W, Unit 5C")</f>
        <v>10 Madison Sq W, Unit 5C</v>
      </c>
      <c r="B2901" s="2" t="str">
        <f t="shared" si="389"/>
        <v>10 Madison Square West</v>
      </c>
      <c r="C2901" s="1" t="s">
        <v>154</v>
      </c>
      <c r="D2901" s="1" t="s">
        <v>41</v>
      </c>
      <c r="E2901" s="3">
        <v>3450000</v>
      </c>
      <c r="F2901" s="1">
        <v>2407.5366364270699</v>
      </c>
      <c r="G2901" s="1">
        <v>4</v>
      </c>
      <c r="H2901" s="1">
        <v>2</v>
      </c>
      <c r="I2901" s="1">
        <v>3</v>
      </c>
      <c r="J2901" s="1">
        <v>2.5</v>
      </c>
      <c r="K2901" s="1">
        <v>2</v>
      </c>
      <c r="L2901" s="1">
        <v>1</v>
      </c>
      <c r="M2901" s="4">
        <v>1433</v>
      </c>
      <c r="N2901" s="1">
        <v>1800</v>
      </c>
      <c r="O2901" s="1">
        <v>4717</v>
      </c>
      <c r="P2901" s="1">
        <v>2917</v>
      </c>
      <c r="Q2901" s="1" t="s">
        <v>42</v>
      </c>
      <c r="S2901" s="1" t="s">
        <v>42</v>
      </c>
      <c r="T2901" s="1" t="s">
        <v>170</v>
      </c>
      <c r="U2901" s="1">
        <v>556</v>
      </c>
      <c r="V2901" s="5">
        <v>43678</v>
      </c>
      <c r="W2901" s="5">
        <v>42766</v>
      </c>
      <c r="X2901" s="1">
        <v>4250000</v>
      </c>
      <c r="Y2901" s="1">
        <v>3600000</v>
      </c>
      <c r="Z2901" s="5">
        <v>43322</v>
      </c>
      <c r="AA2901" s="1">
        <v>3450000</v>
      </c>
      <c r="AB2901" s="1" t="s">
        <v>2205</v>
      </c>
      <c r="AC2901" s="5">
        <v>43398</v>
      </c>
      <c r="AF2901" s="1">
        <v>10010</v>
      </c>
      <c r="AI2901" s="1" t="s">
        <v>256</v>
      </c>
      <c r="AJ2901" s="1">
        <v>1915</v>
      </c>
      <c r="AK2901" s="1" t="s">
        <v>73</v>
      </c>
      <c r="AL2901" s="1">
        <v>125</v>
      </c>
    </row>
    <row r="2902" spans="1:38" x14ac:dyDescent="0.2">
      <c r="A2902" s="2" t="str">
        <f>HYPERLINK("https://www.compass.com/listing/10-madison-square-west-unit-5a-manhattan-ny-10010/29374719555923585/","10 Madison Sq W, Unit 5A")</f>
        <v>10 Madison Sq W, Unit 5A</v>
      </c>
      <c r="B2902" s="2" t="str">
        <f t="shared" si="389"/>
        <v>10 Madison Square West</v>
      </c>
      <c r="C2902" s="1" t="s">
        <v>154</v>
      </c>
      <c r="D2902" s="1" t="s">
        <v>41</v>
      </c>
      <c r="E2902" s="3">
        <v>1885000</v>
      </c>
      <c r="F2902" s="1">
        <v>2117.9775280898798</v>
      </c>
      <c r="G2902" s="1">
        <v>3</v>
      </c>
      <c r="H2902" s="1">
        <v>1</v>
      </c>
      <c r="I2902" s="1">
        <v>1</v>
      </c>
      <c r="J2902" s="1">
        <v>1</v>
      </c>
      <c r="M2902" s="1">
        <v>890</v>
      </c>
      <c r="N2902" s="1">
        <v>1118</v>
      </c>
      <c r="O2902" s="1">
        <v>2031</v>
      </c>
      <c r="P2902" s="1">
        <v>913</v>
      </c>
      <c r="Q2902" s="1" t="s">
        <v>42</v>
      </c>
      <c r="S2902" s="1" t="s">
        <v>42</v>
      </c>
      <c r="T2902" s="1" t="s">
        <v>170</v>
      </c>
      <c r="U2902" s="1">
        <v>21</v>
      </c>
      <c r="V2902" s="5">
        <v>43678</v>
      </c>
      <c r="W2902" s="5">
        <v>42412</v>
      </c>
      <c r="X2902" s="1">
        <v>1895000</v>
      </c>
      <c r="Y2902" s="1">
        <v>1895000</v>
      </c>
      <c r="Z2902" s="5">
        <v>42433</v>
      </c>
      <c r="AA2902" s="1">
        <v>1885000</v>
      </c>
      <c r="AB2902" s="1" t="s">
        <v>2206</v>
      </c>
      <c r="AC2902" s="5">
        <v>42489</v>
      </c>
      <c r="AF2902" s="1">
        <v>10010</v>
      </c>
      <c r="AI2902" s="1" t="s">
        <v>59</v>
      </c>
      <c r="AJ2902" s="1">
        <v>1915</v>
      </c>
      <c r="AK2902" s="1" t="s">
        <v>46</v>
      </c>
      <c r="AL2902" s="1">
        <v>125</v>
      </c>
    </row>
    <row r="2903" spans="1:38" x14ac:dyDescent="0.2">
      <c r="A2903" s="2" t="str">
        <f>HYPERLINK("https://www.compass.com/listing/10-madison-square-west-unit-3f-manhattan-ny-10010/675292028824757729/","10 Madison Sq W, Unit 3F")</f>
        <v>10 Madison Sq W, Unit 3F</v>
      </c>
      <c r="B2903" s="2" t="str">
        <f t="shared" si="389"/>
        <v>10 Madison Square West</v>
      </c>
      <c r="D2903" s="1" t="s">
        <v>41</v>
      </c>
      <c r="E2903" s="3">
        <v>6425000</v>
      </c>
      <c r="F2903" s="1">
        <v>2687.1601840234198</v>
      </c>
      <c r="G2903" s="1">
        <v>5</v>
      </c>
      <c r="H2903" s="1">
        <v>3</v>
      </c>
      <c r="I2903" s="1">
        <v>4</v>
      </c>
      <c r="J2903" s="1">
        <v>3.5</v>
      </c>
      <c r="K2903" s="1">
        <v>3</v>
      </c>
      <c r="L2903" s="1">
        <v>1</v>
      </c>
      <c r="M2903" s="4">
        <v>2391</v>
      </c>
      <c r="N2903" s="1">
        <v>3003.43</v>
      </c>
      <c r="O2903" s="1">
        <v>8008.8799999999901</v>
      </c>
      <c r="P2903" s="1">
        <v>5005.4166666666597</v>
      </c>
      <c r="Q2903" s="1" t="s">
        <v>42</v>
      </c>
      <c r="S2903" s="1" t="s">
        <v>42</v>
      </c>
      <c r="T2903" s="1" t="s">
        <v>170</v>
      </c>
      <c r="U2903" s="1">
        <v>104</v>
      </c>
      <c r="V2903" s="5">
        <v>44358</v>
      </c>
      <c r="W2903" s="5">
        <v>44183</v>
      </c>
      <c r="X2903" s="1">
        <v>6975000</v>
      </c>
      <c r="Y2903" s="1">
        <v>6975000</v>
      </c>
      <c r="Z2903" s="5">
        <v>44288</v>
      </c>
      <c r="AA2903" s="1">
        <v>6425000</v>
      </c>
      <c r="AB2903" s="1" t="s">
        <v>2207</v>
      </c>
      <c r="AC2903" s="5">
        <v>44351</v>
      </c>
      <c r="AF2903" s="1">
        <v>10010</v>
      </c>
      <c r="AI2903" s="1" t="s">
        <v>59</v>
      </c>
      <c r="AJ2903" s="1">
        <v>1915</v>
      </c>
      <c r="AK2903" s="1" t="s">
        <v>73</v>
      </c>
      <c r="AL2903" s="1">
        <v>125</v>
      </c>
    </row>
    <row r="2904" spans="1:38" x14ac:dyDescent="0.2">
      <c r="A2904" s="2" t="str">
        <f>HYPERLINK("https://www.compass.com/listing/10-madison-square-west-unit-12g-manhattan-ny-10010/803400657050596049/","10 Madison Sq W, Unit 12G")</f>
        <v>10 Madison Sq W, Unit 12G</v>
      </c>
      <c r="B2904" s="2" t="str">
        <f t="shared" si="389"/>
        <v>10 Madison Square West</v>
      </c>
      <c r="D2904" s="1" t="s">
        <v>41</v>
      </c>
      <c r="E2904" s="3">
        <v>2250000</v>
      </c>
      <c r="F2904" s="1">
        <v>2146.9465648854898</v>
      </c>
      <c r="G2904" s="1">
        <v>3</v>
      </c>
      <c r="H2904" s="1">
        <v>1</v>
      </c>
      <c r="I2904" s="1">
        <v>1</v>
      </c>
      <c r="J2904" s="1">
        <v>1.5</v>
      </c>
      <c r="K2904" s="1">
        <v>1</v>
      </c>
      <c r="L2904" s="1">
        <v>1</v>
      </c>
      <c r="M2904" s="4">
        <v>1048</v>
      </c>
      <c r="N2904" s="1">
        <v>1313.06</v>
      </c>
      <c r="O2904" s="1">
        <v>3116.06</v>
      </c>
      <c r="P2904" s="1">
        <v>1803</v>
      </c>
      <c r="Q2904" s="1" t="s">
        <v>42</v>
      </c>
      <c r="S2904" s="1" t="s">
        <v>42</v>
      </c>
      <c r="T2904" s="1" t="s">
        <v>170</v>
      </c>
      <c r="U2904" s="1">
        <v>141</v>
      </c>
      <c r="V2904" s="5">
        <v>42970</v>
      </c>
      <c r="W2904" s="5">
        <v>42619</v>
      </c>
      <c r="X2904" s="1">
        <v>2975000</v>
      </c>
      <c r="Y2904" s="1">
        <v>2250000</v>
      </c>
      <c r="Z2904" s="5">
        <v>42761</v>
      </c>
      <c r="AA2904" s="1">
        <v>2250000</v>
      </c>
      <c r="AB2904" s="1" t="s">
        <v>2208</v>
      </c>
      <c r="AC2904" s="5">
        <v>42795</v>
      </c>
      <c r="AF2904" s="1">
        <v>10010</v>
      </c>
      <c r="AI2904" s="1" t="s">
        <v>59</v>
      </c>
      <c r="AJ2904" s="1">
        <v>1915</v>
      </c>
      <c r="AK2904" s="1" t="s">
        <v>73</v>
      </c>
      <c r="AL2904" s="1">
        <v>125</v>
      </c>
    </row>
    <row r="2905" spans="1:38" x14ac:dyDescent="0.2">
      <c r="A2905" s="2" t="str">
        <f>HYPERLINK("https://www.compass.com/listing/10-madison-square-west-unit-18c-manhattan-ny-10010/634167098463132441/","10 Madison Sq W, Unit 18C")</f>
        <v>10 Madison Sq W, Unit 18C</v>
      </c>
      <c r="B2905" s="2" t="str">
        <f t="shared" si="389"/>
        <v>10 Madison Square West</v>
      </c>
      <c r="D2905" s="1" t="s">
        <v>41</v>
      </c>
      <c r="E2905" s="3">
        <v>10900000</v>
      </c>
      <c r="F2905" s="1">
        <v>4313.4151167392101</v>
      </c>
      <c r="G2905" s="1">
        <v>6</v>
      </c>
      <c r="H2905" s="1">
        <v>3</v>
      </c>
      <c r="I2905" s="1">
        <v>4</v>
      </c>
      <c r="J2905" s="1">
        <v>3.5</v>
      </c>
      <c r="K2905" s="1">
        <v>3</v>
      </c>
      <c r="L2905" s="1">
        <v>1</v>
      </c>
      <c r="M2905" s="4">
        <v>2527</v>
      </c>
      <c r="N2905" s="1">
        <v>3511</v>
      </c>
      <c r="O2905" s="1">
        <v>9460</v>
      </c>
      <c r="P2905" s="1">
        <v>5949</v>
      </c>
      <c r="Q2905" s="1" t="s">
        <v>42</v>
      </c>
      <c r="S2905" s="1" t="s">
        <v>42</v>
      </c>
      <c r="T2905" s="1" t="s">
        <v>170</v>
      </c>
      <c r="U2905" s="1">
        <v>125</v>
      </c>
      <c r="V2905" s="5">
        <v>44314</v>
      </c>
      <c r="W2905" s="5">
        <v>44118</v>
      </c>
      <c r="X2905" s="1">
        <v>12995000</v>
      </c>
      <c r="Y2905" s="1">
        <v>12995000</v>
      </c>
      <c r="Z2905" s="5">
        <v>44244</v>
      </c>
      <c r="AA2905" s="1">
        <v>10900000</v>
      </c>
      <c r="AB2905" s="1" t="s">
        <v>2209</v>
      </c>
      <c r="AC2905" s="5">
        <v>44294</v>
      </c>
      <c r="AF2905" s="1">
        <v>10010</v>
      </c>
      <c r="AI2905" s="1" t="s">
        <v>2210</v>
      </c>
      <c r="AJ2905" s="1">
        <v>1915</v>
      </c>
      <c r="AK2905" s="1" t="s">
        <v>46</v>
      </c>
      <c r="AL2905" s="1">
        <v>125</v>
      </c>
    </row>
    <row r="2906" spans="1:38" x14ac:dyDescent="0.2">
      <c r="A2906" s="2" t="str">
        <f>HYPERLINK("https://www.compass.com/listing/10-madison-square-west-unit-4f-manhattan-ny-10010/29374717995641249/","10 Madison Sq W, Unit 4F")</f>
        <v>10 Madison Sq W, Unit 4F</v>
      </c>
      <c r="B2906" s="2" t="str">
        <f t="shared" si="389"/>
        <v>10 Madison Square West</v>
      </c>
      <c r="C2906" s="1" t="s">
        <v>154</v>
      </c>
      <c r="D2906" s="1" t="s">
        <v>41</v>
      </c>
      <c r="E2906" s="3">
        <v>6950000</v>
      </c>
      <c r="F2906" s="1">
        <v>2906.7335842743601</v>
      </c>
      <c r="G2906" s="1">
        <v>6</v>
      </c>
      <c r="H2906" s="1">
        <v>3</v>
      </c>
      <c r="I2906" s="1">
        <v>4</v>
      </c>
      <c r="J2906" s="1">
        <v>3.5</v>
      </c>
      <c r="M2906" s="4">
        <v>2391</v>
      </c>
      <c r="N2906" s="1">
        <v>3003</v>
      </c>
      <c r="O2906" s="1">
        <v>7120</v>
      </c>
      <c r="P2906" s="1">
        <v>4117</v>
      </c>
      <c r="Q2906" s="1" t="s">
        <v>42</v>
      </c>
      <c r="S2906" s="1" t="s">
        <v>42</v>
      </c>
      <c r="T2906" s="1" t="s">
        <v>170</v>
      </c>
      <c r="U2906" s="1">
        <v>173</v>
      </c>
      <c r="V2906" s="5">
        <v>43649</v>
      </c>
      <c r="W2906" s="5">
        <v>42888</v>
      </c>
      <c r="X2906" s="1">
        <v>7695000</v>
      </c>
      <c r="Y2906" s="1">
        <v>7695000</v>
      </c>
      <c r="Z2906" s="5">
        <v>43061</v>
      </c>
      <c r="AA2906" s="1">
        <v>6950000</v>
      </c>
      <c r="AB2906" s="1" t="s">
        <v>2211</v>
      </c>
      <c r="AC2906" s="5">
        <v>43087</v>
      </c>
      <c r="AF2906" s="1">
        <v>10010</v>
      </c>
      <c r="AI2906" s="1" t="s">
        <v>59</v>
      </c>
      <c r="AJ2906" s="1">
        <v>1915</v>
      </c>
      <c r="AK2906" s="1" t="s">
        <v>46</v>
      </c>
      <c r="AL2906" s="1">
        <v>125</v>
      </c>
    </row>
    <row r="2907" spans="1:38" x14ac:dyDescent="0.2">
      <c r="A2907" s="2" t="str">
        <f>HYPERLINK("https://www.compass.com/listing/10-madison-square-west-unit-2c-manhattan-ny-10010/29374711418917233/","10 Madison Sq W, Unit 2C")</f>
        <v>10 Madison Sq W, Unit 2C</v>
      </c>
      <c r="B2907" s="2" t="str">
        <f t="shared" si="389"/>
        <v>10 Madison Square West</v>
      </c>
      <c r="D2907" s="1" t="s">
        <v>41</v>
      </c>
      <c r="E2907" s="3">
        <v>3563875</v>
      </c>
      <c r="F2907" s="1">
        <v>2487.0027913468198</v>
      </c>
      <c r="G2907" s="1">
        <v>4</v>
      </c>
      <c r="H2907" s="1">
        <v>2</v>
      </c>
      <c r="I2907" s="1">
        <v>3</v>
      </c>
      <c r="J2907" s="1">
        <v>2.5</v>
      </c>
      <c r="M2907" s="4">
        <v>1433</v>
      </c>
      <c r="N2907" s="1">
        <v>1795</v>
      </c>
      <c r="O2907" s="1">
        <v>3264</v>
      </c>
      <c r="P2907" s="1">
        <v>1469</v>
      </c>
      <c r="Q2907" s="1" t="s">
        <v>42</v>
      </c>
      <c r="S2907" s="1" t="s">
        <v>42</v>
      </c>
      <c r="T2907" s="1" t="s">
        <v>170</v>
      </c>
      <c r="U2907" s="1">
        <v>129</v>
      </c>
      <c r="V2907" s="5">
        <v>42930</v>
      </c>
      <c r="W2907" s="5">
        <v>41650</v>
      </c>
      <c r="X2907" s="1">
        <v>3500000</v>
      </c>
      <c r="Y2907" s="1">
        <v>3500000</v>
      </c>
      <c r="Z2907" s="5">
        <v>41816</v>
      </c>
      <c r="AA2907" s="1">
        <v>3563875</v>
      </c>
      <c r="AB2907" s="1" t="s">
        <v>2212</v>
      </c>
      <c r="AC2907" s="5">
        <v>42899</v>
      </c>
      <c r="AF2907" s="1">
        <v>10010</v>
      </c>
      <c r="AI2907" s="1" t="s">
        <v>59</v>
      </c>
      <c r="AJ2907" s="1">
        <v>1915</v>
      </c>
      <c r="AK2907" s="1" t="s">
        <v>73</v>
      </c>
      <c r="AL2907" s="1">
        <v>125</v>
      </c>
    </row>
    <row r="2908" spans="1:38" x14ac:dyDescent="0.2">
      <c r="A2908" s="2" t="str">
        <f>HYPERLINK("https://www.compass.com/listing/10-madison-square-west-unit-20a-manhattan-ny-10010/29374753060024625/","10 Madison Sq W, Unit 20A")</f>
        <v>10 Madison Sq W, Unit 20A</v>
      </c>
      <c r="B2908" s="2" t="str">
        <f t="shared" si="389"/>
        <v>10 Madison Square West</v>
      </c>
      <c r="C2908" s="1" t="s">
        <v>154</v>
      </c>
      <c r="D2908" s="1" t="s">
        <v>41</v>
      </c>
      <c r="E2908" s="3">
        <v>5250000</v>
      </c>
      <c r="F2908" s="1">
        <v>2724.4421380384001</v>
      </c>
      <c r="G2908" s="1">
        <v>4</v>
      </c>
      <c r="H2908" s="1">
        <v>2</v>
      </c>
      <c r="I2908" s="1">
        <v>3</v>
      </c>
      <c r="J2908" s="1">
        <v>2.5</v>
      </c>
      <c r="M2908" s="4">
        <v>1927</v>
      </c>
      <c r="N2908" s="1">
        <v>2414</v>
      </c>
      <c r="O2908" s="1">
        <v>5730</v>
      </c>
      <c r="P2908" s="1">
        <v>3316</v>
      </c>
      <c r="Q2908" s="1" t="s">
        <v>42</v>
      </c>
      <c r="S2908" s="1" t="s">
        <v>42</v>
      </c>
      <c r="T2908" s="1" t="s">
        <v>170</v>
      </c>
      <c r="U2908" s="1">
        <v>34</v>
      </c>
      <c r="V2908" s="5">
        <v>43670</v>
      </c>
      <c r="W2908" s="5">
        <v>42881</v>
      </c>
      <c r="X2908" s="1">
        <v>5850000</v>
      </c>
      <c r="Y2908" s="1">
        <v>5850000</v>
      </c>
      <c r="Z2908" s="5">
        <v>42915</v>
      </c>
      <c r="AA2908" s="1">
        <v>5250000</v>
      </c>
      <c r="AB2908" s="1" t="s">
        <v>2213</v>
      </c>
      <c r="AC2908" s="5">
        <v>42955</v>
      </c>
      <c r="AF2908" s="1">
        <v>10010</v>
      </c>
      <c r="AI2908" s="1" t="s">
        <v>59</v>
      </c>
      <c r="AJ2908" s="1">
        <v>1915</v>
      </c>
      <c r="AK2908" s="1" t="s">
        <v>46</v>
      </c>
      <c r="AL2908" s="1">
        <v>125</v>
      </c>
    </row>
    <row r="2909" spans="1:38" x14ac:dyDescent="0.2">
      <c r="A2909" s="2" t="str">
        <f>HYPERLINK("https://www.compass.com/listing/10-madison-square-west-unit-4c-manhattan-ny-10010/232432065348488657/","10 Madison Sq W, Unit 4C")</f>
        <v>10 Madison Sq W, Unit 4C</v>
      </c>
      <c r="B2909" s="2" t="str">
        <f t="shared" si="389"/>
        <v>10 Madison Square West</v>
      </c>
      <c r="D2909" s="1" t="s">
        <v>41</v>
      </c>
      <c r="E2909" s="3">
        <v>2900000</v>
      </c>
      <c r="F2909" s="1">
        <v>2023.7264480111601</v>
      </c>
      <c r="G2909" s="1">
        <v>4</v>
      </c>
      <c r="H2909" s="1">
        <v>2</v>
      </c>
      <c r="I2909" s="1">
        <v>3</v>
      </c>
      <c r="J2909" s="1">
        <v>2.5</v>
      </c>
      <c r="K2909" s="1">
        <v>2</v>
      </c>
      <c r="L2909" s="1">
        <v>1</v>
      </c>
      <c r="M2909" s="4">
        <v>1433</v>
      </c>
      <c r="N2909" s="1">
        <v>1800</v>
      </c>
      <c r="O2909" s="1">
        <v>4784</v>
      </c>
      <c r="P2909" s="1">
        <v>2984</v>
      </c>
      <c r="Q2909" s="1" t="s">
        <v>42</v>
      </c>
      <c r="S2909" s="1" t="s">
        <v>42</v>
      </c>
      <c r="T2909" s="1" t="s">
        <v>170</v>
      </c>
      <c r="U2909" s="1">
        <v>204</v>
      </c>
      <c r="V2909" s="5">
        <v>43839</v>
      </c>
      <c r="W2909" s="5">
        <v>43571</v>
      </c>
      <c r="X2909" s="1">
        <v>3485000</v>
      </c>
      <c r="Y2909" s="1">
        <v>3225000</v>
      </c>
      <c r="Z2909" s="5">
        <v>43777</v>
      </c>
      <c r="AA2909" s="1">
        <v>2900000</v>
      </c>
      <c r="AB2909" s="1" t="s">
        <v>2214</v>
      </c>
      <c r="AC2909" s="5">
        <v>43833</v>
      </c>
      <c r="AF2909" s="1">
        <v>10010</v>
      </c>
      <c r="AI2909" s="1" t="s">
        <v>59</v>
      </c>
      <c r="AJ2909" s="1">
        <v>1915</v>
      </c>
      <c r="AK2909" s="1" t="s">
        <v>46</v>
      </c>
      <c r="AL2909" s="1">
        <v>125</v>
      </c>
    </row>
    <row r="2910" spans="1:38" x14ac:dyDescent="0.2">
      <c r="A2910" s="2" t="str">
        <f>HYPERLINK("https://www.compass.com/listing/10-madison-square-west-unit-2f-manhattan-ny-10010/455789093709158225/","10 Madison Sq W, Unit 2F")</f>
        <v>10 Madison Sq W, Unit 2F</v>
      </c>
      <c r="B2910" s="2" t="str">
        <f t="shared" si="389"/>
        <v>10 Madison Square West</v>
      </c>
      <c r="D2910" s="1" t="s">
        <v>41</v>
      </c>
      <c r="E2910" s="3">
        <v>5800000</v>
      </c>
      <c r="F2910" s="1">
        <v>2425.7632789627701</v>
      </c>
      <c r="G2910" s="1">
        <v>5</v>
      </c>
      <c r="H2910" s="1">
        <v>3</v>
      </c>
      <c r="I2910" s="1">
        <v>3</v>
      </c>
      <c r="J2910" s="1">
        <v>3</v>
      </c>
      <c r="K2910" s="1">
        <v>3</v>
      </c>
      <c r="M2910" s="4">
        <v>2391</v>
      </c>
      <c r="N2910" s="1">
        <v>3003</v>
      </c>
      <c r="O2910" s="1">
        <v>7928</v>
      </c>
      <c r="P2910" s="1">
        <v>4925</v>
      </c>
      <c r="Q2910" s="1" t="s">
        <v>42</v>
      </c>
      <c r="S2910" s="1" t="s">
        <v>42</v>
      </c>
      <c r="T2910" s="1" t="s">
        <v>170</v>
      </c>
      <c r="U2910" s="1">
        <v>12</v>
      </c>
      <c r="V2910" s="5">
        <v>44317</v>
      </c>
      <c r="W2910" s="5">
        <v>43881</v>
      </c>
      <c r="X2910" s="1">
        <v>5995000</v>
      </c>
      <c r="Y2910" s="1">
        <v>5995000</v>
      </c>
      <c r="Z2910" s="5">
        <v>43894</v>
      </c>
      <c r="AA2910" s="1">
        <v>5800000</v>
      </c>
      <c r="AB2910" s="1" t="s">
        <v>2215</v>
      </c>
      <c r="AC2910" s="5">
        <v>43993</v>
      </c>
      <c r="AF2910" s="1">
        <v>10010</v>
      </c>
      <c r="AI2910" s="1" t="s">
        <v>256</v>
      </c>
      <c r="AJ2910" s="1">
        <v>1915</v>
      </c>
      <c r="AK2910" s="1" t="s">
        <v>73</v>
      </c>
      <c r="AL2910" s="1">
        <v>125</v>
      </c>
    </row>
    <row r="2911" spans="1:38" x14ac:dyDescent="0.2">
      <c r="A2911" s="2" t="str">
        <f>HYPERLINK("https://www.compass.com/listing/10-madison-square-west-unit-14b-manhattan-ny-10010/29374741290750961/","10 Madison Sq W, Unit 14B")</f>
        <v>10 Madison Sq W, Unit 14B</v>
      </c>
      <c r="B2911" s="2" t="str">
        <f t="shared" si="389"/>
        <v>10 Madison Square West</v>
      </c>
      <c r="D2911" s="1" t="s">
        <v>41</v>
      </c>
      <c r="E2911" s="3">
        <v>2241600</v>
      </c>
      <c r="F2911" s="1">
        <v>2184.7953216374199</v>
      </c>
      <c r="G2911" s="1">
        <v>4</v>
      </c>
      <c r="H2911" s="1">
        <v>1</v>
      </c>
      <c r="I2911" s="1">
        <v>2</v>
      </c>
      <c r="J2911" s="1">
        <v>1.5</v>
      </c>
      <c r="M2911" s="4">
        <v>1026</v>
      </c>
      <c r="N2911" s="1">
        <v>1285</v>
      </c>
      <c r="O2911" s="1">
        <v>2337</v>
      </c>
      <c r="P2911" s="1">
        <v>1052</v>
      </c>
      <c r="Q2911" s="1" t="s">
        <v>42</v>
      </c>
      <c r="S2911" s="1" t="s">
        <v>42</v>
      </c>
      <c r="T2911" s="1" t="s">
        <v>170</v>
      </c>
      <c r="U2911" s="1">
        <v>13</v>
      </c>
      <c r="V2911" s="5">
        <v>42763</v>
      </c>
      <c r="W2911" s="5">
        <v>42640</v>
      </c>
      <c r="X2911" s="1">
        <v>2300000</v>
      </c>
      <c r="Y2911" s="1">
        <v>2300000</v>
      </c>
      <c r="Z2911" s="5">
        <v>42654</v>
      </c>
      <c r="AA2911" s="1">
        <v>2241600</v>
      </c>
      <c r="AB2911" s="1" t="s">
        <v>2216</v>
      </c>
      <c r="AC2911" s="5">
        <v>42713</v>
      </c>
      <c r="AF2911" s="1">
        <v>10010</v>
      </c>
      <c r="AI2911" s="1" t="s">
        <v>59</v>
      </c>
      <c r="AJ2911" s="1">
        <v>1915</v>
      </c>
      <c r="AK2911" s="1" t="s">
        <v>73</v>
      </c>
      <c r="AL2911" s="1">
        <v>125</v>
      </c>
    </row>
    <row r="2912" spans="1:38" x14ac:dyDescent="0.2">
      <c r="A2912" s="2" t="str">
        <f>HYPERLINK("https://www.compass.com/listing/10-madison-square-west-unit-15b-manhattan-ny-10010/698702974362130249/","10 Madison Sq W, Unit 15B")</f>
        <v>10 Madison Sq W, Unit 15B</v>
      </c>
      <c r="B2912" s="2" t="str">
        <f t="shared" si="389"/>
        <v>10 Madison Square West</v>
      </c>
      <c r="D2912" s="1" t="s">
        <v>41</v>
      </c>
      <c r="E2912" s="3">
        <v>2100000</v>
      </c>
      <c r="F2912" s="1">
        <v>2046.78362573099</v>
      </c>
      <c r="G2912" s="1">
        <v>3</v>
      </c>
      <c r="H2912" s="1">
        <v>1</v>
      </c>
      <c r="I2912" s="1">
        <v>2</v>
      </c>
      <c r="J2912" s="1">
        <v>1.5</v>
      </c>
      <c r="K2912" s="1">
        <v>1</v>
      </c>
      <c r="L2912" s="1">
        <v>1</v>
      </c>
      <c r="M2912" s="4">
        <v>1026</v>
      </c>
      <c r="N2912" s="1">
        <v>1288</v>
      </c>
      <c r="O2912" s="1">
        <v>3090</v>
      </c>
      <c r="P2912" s="1">
        <v>1802</v>
      </c>
      <c r="Q2912" s="1" t="s">
        <v>42</v>
      </c>
      <c r="S2912" s="1" t="s">
        <v>42</v>
      </c>
      <c r="T2912" s="1" t="s">
        <v>170</v>
      </c>
      <c r="U2912" s="1">
        <v>20</v>
      </c>
      <c r="V2912" s="5">
        <v>44323</v>
      </c>
      <c r="W2912" s="5">
        <v>44195</v>
      </c>
      <c r="Z2912" s="5">
        <v>44216</v>
      </c>
      <c r="AA2912" s="1">
        <v>2100000</v>
      </c>
      <c r="AB2912" s="1" t="s">
        <v>2217</v>
      </c>
      <c r="AC2912" s="5">
        <v>44306</v>
      </c>
      <c r="AF2912" s="1">
        <v>10010</v>
      </c>
      <c r="AI2912" s="1" t="s">
        <v>256</v>
      </c>
      <c r="AJ2912" s="1">
        <v>1915</v>
      </c>
      <c r="AK2912" s="1" t="s">
        <v>46</v>
      </c>
      <c r="AL2912" s="1">
        <v>125</v>
      </c>
    </row>
    <row r="2913" spans="1:38" x14ac:dyDescent="0.2">
      <c r="A2913" s="2" t="str">
        <f>HYPERLINK("https://www.compass.com/listing/10-madison-square-west-unit-9c-manhattan-ny-10010/29374732004616945/","10 Madison Sq W, Unit 9C")</f>
        <v>10 Madison Sq W, Unit 9C</v>
      </c>
      <c r="B2913" s="2" t="str">
        <f t="shared" si="389"/>
        <v>10 Madison Square West</v>
      </c>
      <c r="D2913" s="1" t="s">
        <v>41</v>
      </c>
      <c r="E2913" s="3">
        <v>4836688</v>
      </c>
      <c r="F2913" s="1">
        <v>2718.7675660483401</v>
      </c>
      <c r="G2913" s="1">
        <v>5</v>
      </c>
      <c r="H2913" s="1">
        <v>2</v>
      </c>
      <c r="I2913" s="1">
        <v>3</v>
      </c>
      <c r="J2913" s="1">
        <v>2.5</v>
      </c>
      <c r="M2913" s="4">
        <v>1779</v>
      </c>
      <c r="N2913" s="1">
        <v>2228</v>
      </c>
      <c r="O2913" s="1">
        <v>4052</v>
      </c>
      <c r="P2913" s="1">
        <v>1824</v>
      </c>
      <c r="Q2913" s="1" t="s">
        <v>42</v>
      </c>
      <c r="S2913" s="1" t="s">
        <v>42</v>
      </c>
      <c r="T2913" s="1" t="s">
        <v>170</v>
      </c>
      <c r="U2913" s="1">
        <v>217</v>
      </c>
      <c r="V2913" s="5">
        <v>42507</v>
      </c>
      <c r="W2913" s="5">
        <v>41596</v>
      </c>
      <c r="X2913" s="1">
        <v>4750000</v>
      </c>
      <c r="Y2913" s="1">
        <v>4750000</v>
      </c>
      <c r="Z2913" s="5">
        <v>41814</v>
      </c>
      <c r="AA2913" s="1">
        <v>4836687.5</v>
      </c>
      <c r="AB2913" s="1" t="s">
        <v>2218</v>
      </c>
      <c r="AC2913" s="5">
        <v>42430</v>
      </c>
      <c r="AF2913" s="1">
        <v>10010</v>
      </c>
      <c r="AI2913" s="1" t="s">
        <v>59</v>
      </c>
      <c r="AJ2913" s="1">
        <v>1915</v>
      </c>
      <c r="AK2913" s="1" t="s">
        <v>46</v>
      </c>
      <c r="AL2913" s="1">
        <v>125</v>
      </c>
    </row>
    <row r="2914" spans="1:38" x14ac:dyDescent="0.2">
      <c r="A2914" s="2" t="str">
        <f>HYPERLINK("https://www.compass.com/listing/10-madison-square-west-unit-9a-manhattan-ny-10010/29374731325140849/","10 Madison Sq W, Unit 9A")</f>
        <v>10 Madison Sq W, Unit 9A</v>
      </c>
      <c r="B2914" s="2" t="str">
        <f t="shared" si="389"/>
        <v>10 Madison Square West</v>
      </c>
      <c r="D2914" s="1" t="s">
        <v>41</v>
      </c>
      <c r="E2914" s="3">
        <v>4450000</v>
      </c>
      <c r="F2914" s="1">
        <v>2018.1405895691601</v>
      </c>
      <c r="G2914" s="1">
        <v>6</v>
      </c>
      <c r="H2914" s="1">
        <v>3</v>
      </c>
      <c r="I2914" s="1">
        <v>4</v>
      </c>
      <c r="J2914" s="1">
        <v>3.5</v>
      </c>
      <c r="M2914" s="4">
        <v>2205</v>
      </c>
      <c r="N2914" s="1">
        <v>2770</v>
      </c>
      <c r="O2914" s="1">
        <v>6565</v>
      </c>
      <c r="P2914" s="1">
        <v>3795</v>
      </c>
      <c r="Q2914" s="1" t="s">
        <v>42</v>
      </c>
      <c r="S2914" s="1" t="s">
        <v>42</v>
      </c>
      <c r="T2914" s="1" t="s">
        <v>170</v>
      </c>
      <c r="U2914" s="1">
        <v>273</v>
      </c>
      <c r="V2914" s="5">
        <v>42908</v>
      </c>
      <c r="W2914" s="5">
        <v>42475</v>
      </c>
      <c r="X2914" s="1">
        <v>5960000</v>
      </c>
      <c r="Y2914" s="1">
        <v>4625000</v>
      </c>
      <c r="Z2914" s="5">
        <v>42760</v>
      </c>
      <c r="AA2914" s="1">
        <v>4450000</v>
      </c>
      <c r="AB2914" s="1" t="s">
        <v>2219</v>
      </c>
      <c r="AC2914" s="5">
        <v>42845</v>
      </c>
      <c r="AF2914" s="1">
        <v>10010</v>
      </c>
      <c r="AI2914" s="1" t="s">
        <v>59</v>
      </c>
      <c r="AJ2914" s="1">
        <v>1915</v>
      </c>
      <c r="AK2914" s="1" t="s">
        <v>46</v>
      </c>
      <c r="AL2914" s="1">
        <v>125</v>
      </c>
    </row>
    <row r="2915" spans="1:38" x14ac:dyDescent="0.2">
      <c r="A2915" s="2" t="str">
        <f>HYPERLINK("https://www.compass.com/listing/10-madison-square-west-unit-17e-manhattan-ny-10010/29374750920929553/","10 Madison Sq W, Unit 17E")</f>
        <v>10 Madison Sq W, Unit 17E</v>
      </c>
      <c r="B2915" s="2" t="str">
        <f t="shared" si="389"/>
        <v>10 Madison Square West</v>
      </c>
      <c r="D2915" s="1" t="s">
        <v>41</v>
      </c>
      <c r="E2915" s="3">
        <v>8326975</v>
      </c>
      <c r="F2915" s="1">
        <v>3547.9228802726798</v>
      </c>
      <c r="G2915" s="1">
        <v>7</v>
      </c>
      <c r="H2915" s="1">
        <v>3</v>
      </c>
      <c r="I2915" s="1">
        <v>4</v>
      </c>
      <c r="J2915" s="1">
        <v>3.5</v>
      </c>
      <c r="M2915" s="4">
        <v>2347</v>
      </c>
      <c r="N2915" s="1">
        <v>2946</v>
      </c>
      <c r="O2915" s="1">
        <v>6985</v>
      </c>
      <c r="P2915" s="1">
        <v>4039</v>
      </c>
      <c r="Q2915" s="1" t="s">
        <v>42</v>
      </c>
      <c r="S2915" s="1" t="s">
        <v>42</v>
      </c>
      <c r="T2915" s="1" t="s">
        <v>170</v>
      </c>
      <c r="U2915" s="1">
        <v>134</v>
      </c>
      <c r="V2915" s="5">
        <v>42929</v>
      </c>
      <c r="W2915" s="5">
        <v>42779</v>
      </c>
      <c r="X2915" s="1">
        <v>9495000</v>
      </c>
      <c r="Y2915" s="1">
        <v>9495000</v>
      </c>
      <c r="Z2915" s="5">
        <v>42915</v>
      </c>
      <c r="AA2915" s="1">
        <v>8326975</v>
      </c>
      <c r="AB2915" s="1" t="s">
        <v>2220</v>
      </c>
      <c r="AC2915" s="5">
        <v>42914</v>
      </c>
      <c r="AF2915" s="1">
        <v>10010</v>
      </c>
      <c r="AI2915" s="1" t="s">
        <v>59</v>
      </c>
      <c r="AJ2915" s="1">
        <v>1915</v>
      </c>
      <c r="AK2915" s="1" t="s">
        <v>73</v>
      </c>
      <c r="AL2915" s="1">
        <v>125</v>
      </c>
    </row>
    <row r="2916" spans="1:38" x14ac:dyDescent="0.2">
      <c r="A2916" s="2" t="str">
        <f>HYPERLINK("https://www.compass.com/listing/10-madison-square-west-unit-11g-manhattan-ny-10010/29513460664625489/","10 Madison Sq W, Unit 11G")</f>
        <v>10 Madison Sq W, Unit 11G</v>
      </c>
      <c r="B2916" s="2" t="str">
        <f t="shared" si="389"/>
        <v>10 Madison Square West</v>
      </c>
      <c r="D2916" s="1" t="s">
        <v>41</v>
      </c>
      <c r="E2916" s="3">
        <v>1835000</v>
      </c>
      <c r="F2916" s="1">
        <v>1750.95419847328</v>
      </c>
      <c r="G2916" s="1">
        <v>3</v>
      </c>
      <c r="H2916" s="1">
        <v>1</v>
      </c>
      <c r="I2916" s="1">
        <v>2</v>
      </c>
      <c r="J2916" s="1">
        <v>1.5</v>
      </c>
      <c r="K2916" s="1">
        <v>1</v>
      </c>
      <c r="L2916" s="1">
        <v>1</v>
      </c>
      <c r="M2916" s="4">
        <v>1048</v>
      </c>
      <c r="N2916" s="1">
        <v>1316.44</v>
      </c>
      <c r="O2916" s="1">
        <v>3121.27</v>
      </c>
      <c r="P2916" s="1">
        <v>1804.8333333333301</v>
      </c>
      <c r="Q2916" s="1" t="s">
        <v>42</v>
      </c>
      <c r="S2916" s="1" t="s">
        <v>42</v>
      </c>
      <c r="T2916" s="1" t="s">
        <v>170</v>
      </c>
      <c r="U2916" s="1">
        <v>166</v>
      </c>
      <c r="V2916" s="5">
        <v>43712</v>
      </c>
      <c r="W2916" s="5">
        <v>42847</v>
      </c>
      <c r="X2916" s="1">
        <v>2748000</v>
      </c>
      <c r="Y2916" s="1">
        <v>2150000</v>
      </c>
      <c r="AA2916" s="1">
        <v>1835000</v>
      </c>
      <c r="AB2916" s="1" t="s">
        <v>2221</v>
      </c>
      <c r="AC2916" s="5">
        <v>43788</v>
      </c>
      <c r="AF2916" s="1">
        <v>10010</v>
      </c>
      <c r="AI2916" s="1" t="s">
        <v>59</v>
      </c>
      <c r="AJ2916" s="1">
        <v>1915</v>
      </c>
      <c r="AK2916" s="1" t="s">
        <v>73</v>
      </c>
      <c r="AL2916" s="1">
        <v>125</v>
      </c>
    </row>
    <row r="2917" spans="1:38" x14ac:dyDescent="0.2">
      <c r="A2917" s="2" t="str">
        <f>HYPERLINK("https://www.compass.com/listing/10-madison-square-west-unit-14d-manhattan-ny-10010/29374741970284609/","10 Madison Sq W, Unit 14D")</f>
        <v>10 Madison Sq W, Unit 14D</v>
      </c>
      <c r="B2917" s="2" t="str">
        <f t="shared" si="389"/>
        <v>10 Madison Square West</v>
      </c>
      <c r="C2917" s="1" t="s">
        <v>154</v>
      </c>
      <c r="D2917" s="1" t="s">
        <v>41</v>
      </c>
      <c r="E2917" s="3">
        <v>14255500</v>
      </c>
      <c r="F2917" s="1">
        <v>4308.0991236022901</v>
      </c>
      <c r="G2917" s="1">
        <v>8</v>
      </c>
      <c r="H2917" s="1">
        <v>4</v>
      </c>
      <c r="I2917" s="1">
        <v>5</v>
      </c>
      <c r="J2917" s="1">
        <v>4.5</v>
      </c>
      <c r="M2917" s="4">
        <v>3309</v>
      </c>
      <c r="N2917" s="1">
        <v>4146</v>
      </c>
      <c r="O2917" s="1">
        <v>4146</v>
      </c>
      <c r="Q2917" s="1" t="s">
        <v>42</v>
      </c>
      <c r="S2917" s="1" t="s">
        <v>42</v>
      </c>
      <c r="T2917" s="1" t="s">
        <v>170</v>
      </c>
      <c r="U2917" s="1">
        <v>197</v>
      </c>
      <c r="V2917" s="5">
        <v>43678</v>
      </c>
      <c r="W2917" s="5">
        <v>41976</v>
      </c>
      <c r="X2917" s="1">
        <v>14000000</v>
      </c>
      <c r="Y2917" s="1">
        <v>14000000</v>
      </c>
      <c r="Z2917" s="5">
        <v>42173</v>
      </c>
      <c r="AA2917" s="1">
        <v>14255500</v>
      </c>
      <c r="AB2917" s="1" t="s">
        <v>2222</v>
      </c>
      <c r="AC2917" s="5">
        <v>42494</v>
      </c>
      <c r="AF2917" s="1">
        <v>10010</v>
      </c>
      <c r="AI2917" s="1" t="s">
        <v>59</v>
      </c>
      <c r="AJ2917" s="1">
        <v>1915</v>
      </c>
      <c r="AK2917" s="1" t="s">
        <v>46</v>
      </c>
      <c r="AL2917" s="1">
        <v>125</v>
      </c>
    </row>
    <row r="2918" spans="1:38" x14ac:dyDescent="0.2">
      <c r="A2918" s="2" t="str">
        <f>HYPERLINK("https://www.compass.com/listing/10-madison-square-west-unit-14f-manhattan-ny-10010/212982211467563105/","10 Madison Sq W, Unit 14F")</f>
        <v>10 Madison Sq W, Unit 14F</v>
      </c>
      <c r="B2918" s="2" t="str">
        <f t="shared" si="389"/>
        <v>10 Madison Square West</v>
      </c>
      <c r="D2918" s="1" t="s">
        <v>41</v>
      </c>
      <c r="E2918" s="3">
        <v>7229575</v>
      </c>
      <c r="F2918" s="1">
        <v>2565.4985805535798</v>
      </c>
      <c r="G2918" s="1">
        <v>7</v>
      </c>
      <c r="H2918" s="1">
        <v>4</v>
      </c>
      <c r="I2918" s="1">
        <v>5</v>
      </c>
      <c r="J2918" s="1">
        <v>4.5</v>
      </c>
      <c r="M2918" s="4">
        <v>2818</v>
      </c>
      <c r="N2918" s="1">
        <v>3530</v>
      </c>
      <c r="O2918" s="1">
        <v>6419</v>
      </c>
      <c r="P2918" s="1">
        <v>2889</v>
      </c>
      <c r="Q2918" s="1" t="s">
        <v>42</v>
      </c>
      <c r="S2918" s="1" t="s">
        <v>42</v>
      </c>
      <c r="T2918" s="1" t="s">
        <v>170</v>
      </c>
      <c r="U2918" s="1">
        <v>133</v>
      </c>
      <c r="V2918" s="5">
        <v>42739</v>
      </c>
      <c r="W2918" s="5">
        <v>41655</v>
      </c>
      <c r="X2918" s="1">
        <v>7100000</v>
      </c>
      <c r="Y2918" s="1">
        <v>7100000</v>
      </c>
      <c r="Z2918" s="5">
        <v>42544</v>
      </c>
      <c r="AA2918" s="1">
        <v>7229575</v>
      </c>
      <c r="AB2918" s="1" t="s">
        <v>2223</v>
      </c>
      <c r="AC2918" s="5">
        <v>42559</v>
      </c>
      <c r="AF2918" s="1">
        <v>10010</v>
      </c>
      <c r="AI2918" s="1" t="s">
        <v>59</v>
      </c>
      <c r="AJ2918" s="1">
        <v>1915</v>
      </c>
      <c r="AK2918" s="1" t="s">
        <v>73</v>
      </c>
      <c r="AL2918" s="1">
        <v>125</v>
      </c>
    </row>
    <row r="2919" spans="1:38" x14ac:dyDescent="0.2">
      <c r="A2919" s="2" t="str">
        <f>HYPERLINK("https://www.compass.com/listing/10-madison-square-west-unit-phfl22-manhattan-ny-10010/4703712510434365201/","10 Madison Sq W, Unit PHFL22")</f>
        <v>10 Madison Sq W, Unit PHFL22</v>
      </c>
      <c r="B2919" s="2" t="str">
        <f t="shared" si="389"/>
        <v>10 Madison Square West</v>
      </c>
      <c r="D2919" s="1" t="s">
        <v>41</v>
      </c>
      <c r="E2919" s="3">
        <v>32500000</v>
      </c>
      <c r="F2919" s="1">
        <v>4988.4881043745199</v>
      </c>
      <c r="G2919" s="1">
        <v>16</v>
      </c>
      <c r="H2919" s="1">
        <v>5</v>
      </c>
      <c r="I2919" s="1">
        <v>6</v>
      </c>
      <c r="J2919" s="1">
        <v>6</v>
      </c>
      <c r="M2919" s="4">
        <v>6515</v>
      </c>
      <c r="N2919" s="1">
        <v>8106</v>
      </c>
      <c r="O2919" s="1">
        <v>8106</v>
      </c>
      <c r="Q2919" s="1" t="s">
        <v>42</v>
      </c>
      <c r="S2919" s="1" t="s">
        <v>42</v>
      </c>
      <c r="T2919" s="1" t="s">
        <v>170</v>
      </c>
      <c r="U2919" s="1">
        <v>197</v>
      </c>
      <c r="V2919" s="5">
        <v>42742</v>
      </c>
      <c r="W2919" s="5">
        <v>41760</v>
      </c>
      <c r="X2919" s="1">
        <v>35000000</v>
      </c>
      <c r="Y2919" s="1">
        <v>35000000</v>
      </c>
      <c r="Z2919" s="5">
        <v>41958</v>
      </c>
      <c r="AA2919" s="1">
        <v>32500000</v>
      </c>
      <c r="AB2919" s="1" t="s">
        <v>181</v>
      </c>
      <c r="AC2919" s="5">
        <v>42629</v>
      </c>
      <c r="AF2919" s="1">
        <v>10010</v>
      </c>
      <c r="AI2919" s="1" t="s">
        <v>72</v>
      </c>
      <c r="AJ2919" s="1">
        <v>1915</v>
      </c>
      <c r="AK2919" s="1" t="s">
        <v>73</v>
      </c>
      <c r="AL2919" s="1">
        <v>125</v>
      </c>
    </row>
    <row r="2920" spans="1:38" x14ac:dyDescent="0.2">
      <c r="A2920" s="2" t="str">
        <f>HYPERLINK("https://www.compass.com/listing/10-madison-square-west-unit-9f-manhattan-ny-10010/173184707071072161/","10 Madison Sq W, Unit 9F")</f>
        <v>10 Madison Sq W, Unit 9F</v>
      </c>
      <c r="B2920" s="2" t="str">
        <f t="shared" si="389"/>
        <v>10 Madison Square West</v>
      </c>
      <c r="D2920" s="1" t="s">
        <v>41</v>
      </c>
      <c r="E2920" s="3">
        <v>5220000</v>
      </c>
      <c r="F2920" s="1">
        <v>1852.37757274662</v>
      </c>
      <c r="G2920" s="1">
        <v>6</v>
      </c>
      <c r="H2920" s="1">
        <v>4</v>
      </c>
      <c r="I2920" s="1">
        <v>5</v>
      </c>
      <c r="J2920" s="1">
        <v>4.5</v>
      </c>
      <c r="K2920" s="1">
        <v>4</v>
      </c>
      <c r="L2920" s="1">
        <v>1</v>
      </c>
      <c r="M2920" s="4">
        <v>2818</v>
      </c>
      <c r="N2920" s="1">
        <v>3540</v>
      </c>
      <c r="O2920" s="1">
        <v>9345</v>
      </c>
      <c r="P2920" s="1">
        <v>5805</v>
      </c>
      <c r="Q2920" s="1" t="s">
        <v>42</v>
      </c>
      <c r="S2920" s="1" t="s">
        <v>42</v>
      </c>
      <c r="T2920" s="1" t="s">
        <v>170</v>
      </c>
      <c r="U2920" s="1">
        <v>410</v>
      </c>
      <c r="V2920" s="5">
        <v>44023</v>
      </c>
      <c r="W2920" s="5">
        <v>43489</v>
      </c>
      <c r="X2920" s="1">
        <v>6995000</v>
      </c>
      <c r="Y2920" s="1">
        <v>6300000</v>
      </c>
      <c r="Z2920" s="5">
        <v>43902</v>
      </c>
      <c r="AA2920" s="1">
        <v>5220000</v>
      </c>
      <c r="AB2920" s="1" t="s">
        <v>2224</v>
      </c>
      <c r="AC2920" s="5">
        <v>44019</v>
      </c>
      <c r="AF2920" s="1">
        <v>10010</v>
      </c>
      <c r="AI2920" s="1" t="s">
        <v>59</v>
      </c>
      <c r="AJ2920" s="1">
        <v>1915</v>
      </c>
      <c r="AK2920" s="1" t="s">
        <v>46</v>
      </c>
      <c r="AL2920" s="1">
        <v>125</v>
      </c>
    </row>
    <row r="2921" spans="1:38" x14ac:dyDescent="0.2">
      <c r="A2921" s="2" t="str">
        <f>HYPERLINK("https://www.compass.com/listing/10-madison-square-west-unit-11b-manhattan-ny-10010/276921850708103009/","10 Madison Sq W, Unit 11B")</f>
        <v>10 Madison Sq W, Unit 11B</v>
      </c>
      <c r="B2921" s="2" t="str">
        <f t="shared" si="389"/>
        <v>10 Madison Square West</v>
      </c>
      <c r="D2921" s="1" t="s">
        <v>41</v>
      </c>
      <c r="E2921" s="3">
        <v>1578288</v>
      </c>
      <c r="F2921" s="1">
        <v>1538.29191033138</v>
      </c>
      <c r="H2921" s="1">
        <v>1</v>
      </c>
      <c r="J2921" s="1">
        <v>1.5</v>
      </c>
      <c r="K2921" s="1">
        <v>1</v>
      </c>
      <c r="L2921" s="1">
        <v>1</v>
      </c>
      <c r="M2921" s="4">
        <v>1026</v>
      </c>
      <c r="Q2921" s="1" t="s">
        <v>42</v>
      </c>
      <c r="S2921" s="1" t="s">
        <v>42</v>
      </c>
      <c r="T2921" s="1" t="s">
        <v>170</v>
      </c>
      <c r="AA2921" s="1">
        <v>1578287.5</v>
      </c>
      <c r="AB2921" s="1" t="s">
        <v>2225</v>
      </c>
      <c r="AC2921" s="5">
        <v>42529</v>
      </c>
      <c r="AF2921" s="1">
        <v>10010</v>
      </c>
      <c r="AI2921" s="1" t="s">
        <v>59</v>
      </c>
      <c r="AJ2921" s="1">
        <v>1915</v>
      </c>
      <c r="AK2921" s="1" t="s">
        <v>46</v>
      </c>
      <c r="AL2921" s="1">
        <v>125</v>
      </c>
    </row>
    <row r="2922" spans="1:38" x14ac:dyDescent="0.2">
      <c r="A2922" s="2" t="str">
        <f>HYPERLINK("https://www.compass.com/listing/10-madison-square-west-unit-4b-manhattan-ny-10010/276921809343985889/","10 Madison Sq W, Unit 4B")</f>
        <v>10 Madison Sq W, Unit 4B</v>
      </c>
      <c r="B2922" s="2" t="str">
        <f t="shared" si="389"/>
        <v>10 Madison Square West</v>
      </c>
      <c r="D2922" s="1" t="s">
        <v>41</v>
      </c>
      <c r="E2922" s="3">
        <v>5142163</v>
      </c>
      <c r="F2922" s="1">
        <v>2544.3654131618</v>
      </c>
      <c r="H2922" s="1">
        <v>3</v>
      </c>
      <c r="J2922" s="1">
        <v>3.5</v>
      </c>
      <c r="M2922" s="4">
        <v>2021</v>
      </c>
      <c r="N2922" s="1">
        <v>2532</v>
      </c>
      <c r="O2922" s="1">
        <v>4604</v>
      </c>
      <c r="P2922" s="1">
        <v>2072</v>
      </c>
      <c r="Q2922" s="1" t="s">
        <v>42</v>
      </c>
      <c r="S2922" s="1" t="s">
        <v>42</v>
      </c>
      <c r="T2922" s="1" t="s">
        <v>170</v>
      </c>
      <c r="AA2922" s="1">
        <v>5142162.5</v>
      </c>
      <c r="AB2922" s="1" t="s">
        <v>2226</v>
      </c>
      <c r="AC2922" s="5">
        <v>42654</v>
      </c>
      <c r="AF2922" s="1">
        <v>10010</v>
      </c>
      <c r="AI2922" s="1" t="s">
        <v>59</v>
      </c>
      <c r="AJ2922" s="1">
        <v>1915</v>
      </c>
      <c r="AK2922" s="1" t="s">
        <v>46</v>
      </c>
      <c r="AL2922" s="1">
        <v>125</v>
      </c>
    </row>
    <row r="2923" spans="1:38" x14ac:dyDescent="0.2">
      <c r="A2923" s="2" t="str">
        <f>HYPERLINK("https://www.compass.com/listing/10-madison-square-west-unit-8g-manhattan-ny-10010/276921839836592001/","10 Madison Sq W, Unit 8G")</f>
        <v>10 Madison Sq W, Unit 8G</v>
      </c>
      <c r="B2923" s="2" t="str">
        <f t="shared" si="389"/>
        <v>10 Madison Square West</v>
      </c>
      <c r="D2923" s="1" t="s">
        <v>41</v>
      </c>
      <c r="E2923" s="3">
        <v>5753113</v>
      </c>
      <c r="F2923" s="1">
        <v>2443.9730246389099</v>
      </c>
      <c r="H2923" s="1">
        <v>3</v>
      </c>
      <c r="J2923" s="1">
        <v>3.5</v>
      </c>
      <c r="K2923" s="1">
        <v>3</v>
      </c>
      <c r="L2923" s="1">
        <v>1</v>
      </c>
      <c r="M2923" s="4">
        <v>2354</v>
      </c>
      <c r="N2923" s="1">
        <v>2857</v>
      </c>
      <c r="O2923" s="1">
        <v>7379</v>
      </c>
      <c r="P2923" s="1">
        <v>4522</v>
      </c>
      <c r="Q2923" s="1" t="s">
        <v>42</v>
      </c>
      <c r="S2923" s="1" t="s">
        <v>42</v>
      </c>
      <c r="T2923" s="1" t="s">
        <v>170</v>
      </c>
      <c r="AA2923" s="1">
        <v>5753112.5</v>
      </c>
      <c r="AB2923" s="1" t="s">
        <v>2227</v>
      </c>
      <c r="AC2923" s="5">
        <v>42489</v>
      </c>
      <c r="AF2923" s="1">
        <v>10010</v>
      </c>
      <c r="AI2923" s="1" t="s">
        <v>59</v>
      </c>
      <c r="AJ2923" s="1">
        <v>1915</v>
      </c>
      <c r="AK2923" s="1" t="s">
        <v>46</v>
      </c>
      <c r="AL2923" s="1">
        <v>125</v>
      </c>
    </row>
    <row r="2924" spans="1:38" x14ac:dyDescent="0.2">
      <c r="A2924" s="2" t="str">
        <f>HYPERLINK("https://www.compass.com/listing/10-madison-square-west-unit-18c-manhattan-ny-10010/276921884262552273/","10 Madison Sq W, Unit 18C")</f>
        <v>10 Madison Sq W, Unit 18C</v>
      </c>
      <c r="B2924" s="2" t="str">
        <f t="shared" si="389"/>
        <v>10 Madison Square West</v>
      </c>
      <c r="D2924" s="1" t="s">
        <v>41</v>
      </c>
      <c r="E2924" s="3">
        <v>13621140</v>
      </c>
      <c r="F2924" s="1">
        <v>5390.2414483577304</v>
      </c>
      <c r="H2924" s="1">
        <v>3</v>
      </c>
      <c r="J2924" s="1">
        <v>3.5</v>
      </c>
      <c r="M2924" s="4">
        <v>2527</v>
      </c>
      <c r="Q2924" s="1" t="s">
        <v>42</v>
      </c>
      <c r="S2924" s="1" t="s">
        <v>42</v>
      </c>
      <c r="T2924" s="1" t="s">
        <v>170</v>
      </c>
      <c r="AA2924" s="1">
        <v>13621140.140000001</v>
      </c>
      <c r="AB2924" s="1" t="s">
        <v>2228</v>
      </c>
      <c r="AC2924" s="5">
        <v>42881</v>
      </c>
      <c r="AF2924" s="1">
        <v>10010</v>
      </c>
      <c r="AI2924" s="1" t="s">
        <v>59</v>
      </c>
      <c r="AJ2924" s="1">
        <v>1915</v>
      </c>
      <c r="AK2924" s="1" t="s">
        <v>46</v>
      </c>
      <c r="AL2924" s="1">
        <v>125</v>
      </c>
    </row>
    <row r="2925" spans="1:38" x14ac:dyDescent="0.2">
      <c r="A2925" s="2" t="str">
        <f>HYPERLINK("https://www.compass.com/listing/10-madison-square-west-unit-6c-manhattan-ny-10010/276921823478766305/","10 Madison Sq W, Unit 6C")</f>
        <v>10 Madison Sq W, Unit 6C</v>
      </c>
      <c r="B2925" s="2" t="str">
        <f t="shared" si="389"/>
        <v>10 Madison Square West</v>
      </c>
      <c r="D2925" s="1" t="s">
        <v>41</v>
      </c>
      <c r="E2925" s="3">
        <v>3869350</v>
      </c>
      <c r="F2925" s="1">
        <v>2700.17445917655</v>
      </c>
      <c r="H2925" s="1">
        <v>2</v>
      </c>
      <c r="J2925" s="1">
        <v>2.5</v>
      </c>
      <c r="M2925" s="4">
        <v>1433</v>
      </c>
      <c r="N2925" s="1">
        <v>1795</v>
      </c>
      <c r="O2925" s="1">
        <v>1796</v>
      </c>
      <c r="P2925" s="1">
        <v>1</v>
      </c>
      <c r="Q2925" s="1" t="s">
        <v>42</v>
      </c>
      <c r="S2925" s="1" t="s">
        <v>42</v>
      </c>
      <c r="T2925" s="1" t="s">
        <v>170</v>
      </c>
      <c r="AA2925" s="1">
        <v>3869350</v>
      </c>
      <c r="AB2925" s="1" t="s">
        <v>2229</v>
      </c>
      <c r="AC2925" s="5">
        <v>42391</v>
      </c>
      <c r="AF2925" s="1">
        <v>10010</v>
      </c>
      <c r="AI2925" s="1" t="s">
        <v>59</v>
      </c>
      <c r="AJ2925" s="1">
        <v>1915</v>
      </c>
      <c r="AK2925" s="1" t="s">
        <v>46</v>
      </c>
      <c r="AL2925" s="1">
        <v>125</v>
      </c>
    </row>
    <row r="2926" spans="1:38" x14ac:dyDescent="0.2">
      <c r="A2926" s="2" t="str">
        <f>HYPERLINK("https://www.compass.com/listing/10-madison-square-west-unit-6g-manhattan-ny-10010/192573848175003985/","10 Madison Sq W, Unit 6G")</f>
        <v>10 Madison Sq W, Unit 6G</v>
      </c>
      <c r="B2926" s="2" t="str">
        <f t="shared" si="389"/>
        <v>10 Madison Square West</v>
      </c>
      <c r="D2926" s="1" t="s">
        <v>41</v>
      </c>
      <c r="E2926" s="3">
        <v>5950000</v>
      </c>
      <c r="F2926" s="1">
        <v>2527.61257434154</v>
      </c>
      <c r="G2926" s="1">
        <v>6</v>
      </c>
      <c r="H2926" s="1">
        <v>3</v>
      </c>
      <c r="I2926" s="1">
        <v>3</v>
      </c>
      <c r="J2926" s="1">
        <v>3</v>
      </c>
      <c r="M2926" s="4">
        <v>2354</v>
      </c>
      <c r="N2926" s="1">
        <v>2867</v>
      </c>
      <c r="O2926" s="1">
        <v>5099</v>
      </c>
      <c r="P2926" s="1">
        <v>2232</v>
      </c>
      <c r="Q2926" s="1" t="s">
        <v>42</v>
      </c>
      <c r="S2926" s="1" t="s">
        <v>42</v>
      </c>
      <c r="T2926" s="1" t="s">
        <v>170</v>
      </c>
      <c r="U2926" s="1">
        <v>3</v>
      </c>
      <c r="V2926" s="5">
        <v>42540</v>
      </c>
      <c r="W2926" s="5">
        <v>42534</v>
      </c>
      <c r="X2926" s="1">
        <v>5950000</v>
      </c>
      <c r="Y2926" s="1">
        <v>5950000</v>
      </c>
      <c r="AA2926" s="1">
        <v>5950000</v>
      </c>
      <c r="AB2926" s="1" t="s">
        <v>181</v>
      </c>
      <c r="AC2926" s="5">
        <v>42537</v>
      </c>
      <c r="AF2926" s="1">
        <v>10010</v>
      </c>
      <c r="AI2926" s="1" t="s">
        <v>59</v>
      </c>
      <c r="AJ2926" s="1">
        <v>1915</v>
      </c>
      <c r="AK2926" s="1" t="s">
        <v>46</v>
      </c>
      <c r="AL2926" s="1">
        <v>125</v>
      </c>
    </row>
    <row r="2927" spans="1:38" x14ac:dyDescent="0.2">
      <c r="A2927" s="2" t="str">
        <f>HYPERLINK("https://www.compass.com/listing/10-madison-square-west-unit-12d-manhattan-ny-10010/70924431685337825/","10 Madison Sq W, Unit 12D")</f>
        <v>10 Madison Sq W, Unit 12D</v>
      </c>
      <c r="B2927" s="2" t="str">
        <f t="shared" si="389"/>
        <v>10 Madison Square West</v>
      </c>
      <c r="C2927" s="1" t="s">
        <v>154</v>
      </c>
      <c r="D2927" s="1" t="s">
        <v>41</v>
      </c>
      <c r="E2927" s="3">
        <v>9750000</v>
      </c>
      <c r="F2927" s="1">
        <v>2946.5095194922901</v>
      </c>
      <c r="G2927" s="1">
        <v>6</v>
      </c>
      <c r="H2927" s="1">
        <v>3</v>
      </c>
      <c r="I2927" s="1">
        <v>3</v>
      </c>
      <c r="J2927" s="1">
        <v>3</v>
      </c>
      <c r="M2927" s="4">
        <v>3309</v>
      </c>
      <c r="Q2927" s="1" t="s">
        <v>42</v>
      </c>
      <c r="S2927" s="1" t="s">
        <v>42</v>
      </c>
      <c r="T2927" s="1" t="s">
        <v>170</v>
      </c>
      <c r="V2927" s="5">
        <v>43679</v>
      </c>
      <c r="W2927" s="5">
        <v>41480</v>
      </c>
      <c r="X2927" s="1">
        <v>9750000</v>
      </c>
      <c r="Y2927" s="1">
        <v>9750000</v>
      </c>
      <c r="Z2927" s="5">
        <v>41480</v>
      </c>
      <c r="AA2927" s="1">
        <v>9750000</v>
      </c>
      <c r="AB2927" s="1" t="s">
        <v>181</v>
      </c>
      <c r="AC2927" s="5">
        <v>42486</v>
      </c>
      <c r="AF2927" s="1">
        <v>10010</v>
      </c>
      <c r="AI2927" s="1" t="s">
        <v>59</v>
      </c>
      <c r="AJ2927" s="1">
        <v>1915</v>
      </c>
      <c r="AK2927" s="1" t="s">
        <v>46</v>
      </c>
      <c r="AL2927" s="1">
        <v>125</v>
      </c>
    </row>
    <row r="2928" spans="1:38" x14ac:dyDescent="0.2">
      <c r="A2928" s="2" t="str">
        <f>HYPERLINK("https://www.compass.com/listing/10-madison-square-west-unit-10c-manhattan-ny-10010/29374734319873969/","10 Madison Sq W, Unit 10C")</f>
        <v>10 Madison Sq W, Unit 10C</v>
      </c>
      <c r="B2928" s="2" t="str">
        <f t="shared" si="389"/>
        <v>10 Madison Square West</v>
      </c>
      <c r="D2928" s="1" t="s">
        <v>41</v>
      </c>
      <c r="E2928" s="3">
        <v>3996631</v>
      </c>
      <c r="F2928" s="1">
        <v>2246.5605677346798</v>
      </c>
      <c r="G2928" s="1">
        <v>6</v>
      </c>
      <c r="H2928" s="1">
        <v>2</v>
      </c>
      <c r="I2928" s="1">
        <v>3</v>
      </c>
      <c r="J2928" s="1">
        <v>2.5</v>
      </c>
      <c r="M2928" s="4">
        <v>1779</v>
      </c>
      <c r="Q2928" s="1" t="s">
        <v>42</v>
      </c>
      <c r="S2928" s="1" t="s">
        <v>42</v>
      </c>
      <c r="T2928" s="1" t="s">
        <v>170</v>
      </c>
      <c r="V2928" s="5">
        <v>42655</v>
      </c>
      <c r="W2928" s="5">
        <v>42486</v>
      </c>
      <c r="X2928" s="1">
        <v>3925000</v>
      </c>
      <c r="Y2928" s="1">
        <v>3925000</v>
      </c>
      <c r="AA2928" s="1">
        <v>3996631.25</v>
      </c>
      <c r="AB2928" s="1" t="s">
        <v>2230</v>
      </c>
      <c r="AC2928" s="5">
        <v>42486</v>
      </c>
      <c r="AF2928" s="1">
        <v>10010</v>
      </c>
      <c r="AI2928" s="1" t="s">
        <v>59</v>
      </c>
      <c r="AJ2928" s="1">
        <v>1915</v>
      </c>
      <c r="AK2928" s="1" t="s">
        <v>46</v>
      </c>
      <c r="AL2928" s="1">
        <v>125</v>
      </c>
    </row>
    <row r="2929" spans="1:38" x14ac:dyDescent="0.2">
      <c r="A2929" s="2" t="str">
        <f>HYPERLINK("https://www.compass.com/listing/10-madison-square-west-unit-12g-manhattan-ny-10010/70929299762376385/","10 Madison Sq W, Unit 12G")</f>
        <v>10 Madison Sq W, Unit 12G</v>
      </c>
      <c r="B2929" s="2" t="str">
        <f t="shared" si="389"/>
        <v>10 Madison Square West</v>
      </c>
      <c r="D2929" s="1" t="s">
        <v>41</v>
      </c>
      <c r="E2929" s="3">
        <v>2250000</v>
      </c>
      <c r="F2929" s="1">
        <v>2146.9465648854898</v>
      </c>
      <c r="G2929" s="1">
        <v>3</v>
      </c>
      <c r="H2929" s="1">
        <v>4</v>
      </c>
      <c r="I2929" s="1">
        <v>4</v>
      </c>
      <c r="J2929" s="1">
        <v>4.5</v>
      </c>
      <c r="K2929" s="1">
        <v>4</v>
      </c>
      <c r="L2929" s="1">
        <v>1</v>
      </c>
      <c r="M2929" s="4">
        <v>1048</v>
      </c>
      <c r="N2929" s="1">
        <v>1313</v>
      </c>
      <c r="O2929" s="1">
        <v>3116</v>
      </c>
      <c r="P2929" s="1">
        <v>1803</v>
      </c>
      <c r="Q2929" s="1" t="s">
        <v>42</v>
      </c>
      <c r="S2929" s="1" t="s">
        <v>42</v>
      </c>
      <c r="T2929" s="1" t="s">
        <v>170</v>
      </c>
      <c r="U2929" s="1">
        <v>35</v>
      </c>
      <c r="V2929" s="5">
        <v>43141</v>
      </c>
      <c r="W2929" s="5">
        <v>42760</v>
      </c>
      <c r="X2929" s="1">
        <v>2250000</v>
      </c>
      <c r="Y2929" s="1">
        <v>2250000</v>
      </c>
      <c r="AA2929" s="1">
        <v>2250000</v>
      </c>
      <c r="AB2929" s="1" t="s">
        <v>2208</v>
      </c>
      <c r="AC2929" s="5">
        <v>42795</v>
      </c>
      <c r="AF2929" s="1">
        <v>10010</v>
      </c>
      <c r="AI2929" s="1" t="s">
        <v>59</v>
      </c>
      <c r="AJ2929" s="1">
        <v>1915</v>
      </c>
      <c r="AK2929" s="1" t="s">
        <v>73</v>
      </c>
      <c r="AL2929" s="1">
        <v>125</v>
      </c>
    </row>
    <row r="2930" spans="1:38" x14ac:dyDescent="0.2">
      <c r="A2930" s="2" t="str">
        <f>HYPERLINK("https://www.compass.com/listing/10-madison-square-west-unit-12g-manhattan-ny-10010/276921859096797745/","10 Madison Sq W, Unit 12G")</f>
        <v>10 Madison Sq W, Unit 12G</v>
      </c>
      <c r="B2930" s="2" t="str">
        <f t="shared" si="389"/>
        <v>10 Madison Square West</v>
      </c>
      <c r="D2930" s="1" t="s">
        <v>41</v>
      </c>
      <c r="E2930" s="3">
        <v>1960131</v>
      </c>
      <c r="F2930" s="1">
        <v>1870.3542461832001</v>
      </c>
      <c r="H2930" s="1">
        <v>1</v>
      </c>
      <c r="J2930" s="1">
        <v>1.5</v>
      </c>
      <c r="K2930" s="1">
        <v>1</v>
      </c>
      <c r="L2930" s="1">
        <v>1</v>
      </c>
      <c r="M2930" s="4">
        <v>1048</v>
      </c>
      <c r="N2930" s="1">
        <v>1313.06</v>
      </c>
      <c r="O2930" s="1">
        <v>3116.06</v>
      </c>
      <c r="P2930" s="1">
        <v>1803</v>
      </c>
      <c r="Q2930" s="1" t="s">
        <v>42</v>
      </c>
      <c r="S2930" s="1" t="s">
        <v>42</v>
      </c>
      <c r="T2930" s="1" t="s">
        <v>170</v>
      </c>
      <c r="AA2930" s="1">
        <v>1960131.25</v>
      </c>
      <c r="AB2930" s="1" t="s">
        <v>2231</v>
      </c>
      <c r="AC2930" s="5">
        <v>42613</v>
      </c>
      <c r="AF2930" s="1">
        <v>10010</v>
      </c>
      <c r="AI2930" s="1" t="s">
        <v>59</v>
      </c>
      <c r="AJ2930" s="1">
        <v>1915</v>
      </c>
      <c r="AK2930" s="1" t="s">
        <v>46</v>
      </c>
      <c r="AL2930" s="1">
        <v>125</v>
      </c>
    </row>
    <row r="2931" spans="1:38" x14ac:dyDescent="0.2">
      <c r="A2931" s="2" t="str">
        <f>HYPERLINK("https://www.compass.com/listing/10-madison-square-west-unit-7a-manhattan-ny-10010/276921828369310289/","10 Madison Sq W, Unit 7A")</f>
        <v>10 Madison Sq W, Unit 7A</v>
      </c>
      <c r="B2931" s="2" t="str">
        <f t="shared" si="389"/>
        <v>10 Madison Square West</v>
      </c>
      <c r="D2931" s="1" t="s">
        <v>41</v>
      </c>
      <c r="E2931" s="3">
        <v>1705569</v>
      </c>
      <c r="F2931" s="1">
        <v>1916.3693820224701</v>
      </c>
      <c r="M2931" s="1">
        <v>890</v>
      </c>
      <c r="Q2931" s="1" t="s">
        <v>42</v>
      </c>
      <c r="S2931" s="1" t="s">
        <v>42</v>
      </c>
      <c r="T2931" s="1" t="s">
        <v>170</v>
      </c>
      <c r="AA2931" s="1">
        <v>1705568.75</v>
      </c>
      <c r="AB2931" s="1" t="s">
        <v>2232</v>
      </c>
      <c r="AC2931" s="5">
        <v>42440</v>
      </c>
      <c r="AF2931" s="1">
        <v>10010</v>
      </c>
      <c r="AI2931" s="1" t="s">
        <v>59</v>
      </c>
      <c r="AJ2931" s="1">
        <v>1915</v>
      </c>
      <c r="AK2931" s="1" t="s">
        <v>46</v>
      </c>
      <c r="AL2931" s="1">
        <v>125</v>
      </c>
    </row>
    <row r="2932" spans="1:38" x14ac:dyDescent="0.2">
      <c r="A2932" s="2" t="str">
        <f>HYPERLINK("https://www.compass.com/listing/10-madison-square-west-unit-10e-manhattan-ny-10010/276921848485219249/","10 Madison Sq W, Unit 10E")</f>
        <v>10 Madison Sq W, Unit 10E</v>
      </c>
      <c r="B2932" s="2" t="str">
        <f t="shared" si="389"/>
        <v>10 Madison Square West</v>
      </c>
      <c r="D2932" s="1" t="s">
        <v>41</v>
      </c>
      <c r="E2932" s="3">
        <v>8095088</v>
      </c>
      <c r="F2932" s="1">
        <v>3449.1212185769</v>
      </c>
      <c r="M2932" s="4">
        <v>2347</v>
      </c>
      <c r="Q2932" s="1" t="s">
        <v>42</v>
      </c>
      <c r="S2932" s="1" t="s">
        <v>42</v>
      </c>
      <c r="T2932" s="1" t="s">
        <v>170</v>
      </c>
      <c r="AA2932" s="1">
        <v>8095087.5</v>
      </c>
      <c r="AB2932" s="1" t="s">
        <v>2233</v>
      </c>
      <c r="AC2932" s="5">
        <v>42461</v>
      </c>
      <c r="AF2932" s="1">
        <v>10010</v>
      </c>
      <c r="AI2932" s="1" t="s">
        <v>59</v>
      </c>
      <c r="AJ2932" s="1">
        <v>1915</v>
      </c>
      <c r="AK2932" s="1" t="s">
        <v>46</v>
      </c>
      <c r="AL2932" s="1">
        <v>125</v>
      </c>
    </row>
    <row r="2933" spans="1:38" x14ac:dyDescent="0.2">
      <c r="A2933" s="2" t="str">
        <f>HYPERLINK("https://www.compass.com/listing/10-madison-square-west-unit-9b-manhattan-ny-10010/505496812506117153/","10 Madison Sq W, Unit 9B")</f>
        <v>10 Madison Sq W, Unit 9B</v>
      </c>
      <c r="B2933" s="2" t="str">
        <f t="shared" si="389"/>
        <v>10 Madison Square West</v>
      </c>
      <c r="D2933" s="1" t="s">
        <v>41</v>
      </c>
      <c r="E2933" s="3">
        <v>1662500</v>
      </c>
      <c r="F2933" s="1">
        <v>1620.37037037037</v>
      </c>
      <c r="M2933" s="4">
        <v>1026</v>
      </c>
      <c r="Q2933" s="1" t="s">
        <v>42</v>
      </c>
      <c r="S2933" s="1" t="s">
        <v>42</v>
      </c>
      <c r="T2933" s="1" t="s">
        <v>170</v>
      </c>
      <c r="AA2933" s="1">
        <v>1662500</v>
      </c>
      <c r="AB2933" s="1" t="s">
        <v>2234</v>
      </c>
      <c r="AC2933" s="5">
        <v>43942</v>
      </c>
      <c r="AF2933" s="1">
        <v>10010</v>
      </c>
      <c r="AI2933" s="1" t="s">
        <v>59</v>
      </c>
      <c r="AJ2933" s="1">
        <v>1915</v>
      </c>
      <c r="AK2933" s="1" t="s">
        <v>46</v>
      </c>
      <c r="AL2933" s="1">
        <v>125</v>
      </c>
    </row>
    <row r="2934" spans="1:38" x14ac:dyDescent="0.2">
      <c r="A2934" s="2" t="str">
        <f>HYPERLINK("https://www.compass.com/listing/252-south-street-unit-10c-manhattan-ny-10002/754944425564619721/","252 South St, Unit 10C")</f>
        <v>252 South St, Unit 10C</v>
      </c>
      <c r="B2934" s="2" t="str">
        <f>HYPERLINK("https://www.compass.com/building/one-manhattan-square-manhattan-ny/294844950218926165/","One Manhattan Square")</f>
        <v>One Manhattan Square</v>
      </c>
      <c r="C2934" s="1" t="s">
        <v>66</v>
      </c>
      <c r="D2934" s="1" t="s">
        <v>41</v>
      </c>
      <c r="E2934" s="3">
        <v>1200000</v>
      </c>
      <c r="F2934" s="1">
        <v>1726.6187050359699</v>
      </c>
      <c r="G2934" s="1">
        <v>3</v>
      </c>
      <c r="H2934" s="1">
        <v>1</v>
      </c>
      <c r="I2934" s="1">
        <v>1</v>
      </c>
      <c r="J2934" s="1">
        <v>1</v>
      </c>
      <c r="K2934" s="1">
        <v>1</v>
      </c>
      <c r="M2934" s="1">
        <v>695</v>
      </c>
      <c r="N2934" s="1">
        <v>752.49</v>
      </c>
      <c r="O2934" s="1">
        <v>764.49</v>
      </c>
      <c r="P2934" s="1">
        <v>12</v>
      </c>
      <c r="Q2934" s="1" t="s">
        <v>42</v>
      </c>
      <c r="S2934" s="1" t="s">
        <v>42</v>
      </c>
      <c r="T2934" s="1" t="s">
        <v>170</v>
      </c>
      <c r="U2934" s="1">
        <v>1</v>
      </c>
      <c r="V2934" s="5">
        <v>44293</v>
      </c>
      <c r="W2934" s="5">
        <v>44292</v>
      </c>
      <c r="X2934" s="1">
        <v>1200000</v>
      </c>
      <c r="Y2934" s="1">
        <v>1200000</v>
      </c>
      <c r="AA2934" s="1">
        <v>1200000</v>
      </c>
      <c r="AB2934" s="1" t="s">
        <v>181</v>
      </c>
      <c r="AC2934" s="5">
        <v>44293</v>
      </c>
      <c r="AF2934" s="1">
        <v>10002</v>
      </c>
      <c r="AI2934" s="1" t="s">
        <v>163</v>
      </c>
      <c r="AJ2934" s="1">
        <v>2019</v>
      </c>
      <c r="AK2934" s="1" t="s">
        <v>73</v>
      </c>
      <c r="AL2934" s="1">
        <v>787</v>
      </c>
    </row>
    <row r="2935" spans="1:38" x14ac:dyDescent="0.2">
      <c r="A2935" s="2" t="str">
        <f>HYPERLINK("https://www.compass.com/listing/555-main-street-unit-908-manhattan-ny-10044/661748274350802785/","555 Main St, Unit 908")</f>
        <v>555 Main St, Unit 908</v>
      </c>
      <c r="B2935" s="2" t="str">
        <f>HYPERLINK("https://www.compass.com/building/island-house-manhattan-ny/282034908468103317/","Island House")</f>
        <v>Island House</v>
      </c>
      <c r="C2935" s="1" t="s">
        <v>128</v>
      </c>
      <c r="D2935" s="1" t="s">
        <v>41</v>
      </c>
      <c r="E2935" s="3">
        <v>448103</v>
      </c>
      <c r="F2935" s="1">
        <v>558.03611457036095</v>
      </c>
      <c r="G2935" s="1">
        <v>3</v>
      </c>
      <c r="H2935" s="1">
        <v>1</v>
      </c>
      <c r="I2935" s="1">
        <v>1</v>
      </c>
      <c r="J2935" s="1">
        <v>1</v>
      </c>
      <c r="K2935" s="1">
        <v>1</v>
      </c>
      <c r="M2935" s="1">
        <v>803</v>
      </c>
      <c r="N2935" s="1">
        <v>761</v>
      </c>
      <c r="O2935" s="1">
        <v>761</v>
      </c>
      <c r="Q2935" s="1" t="s">
        <v>129</v>
      </c>
      <c r="S2935" s="1" t="s">
        <v>129</v>
      </c>
      <c r="T2935" s="1" t="s">
        <v>170</v>
      </c>
      <c r="V2935" s="5">
        <v>44384</v>
      </c>
      <c r="W2935" s="5">
        <v>44164</v>
      </c>
      <c r="X2935" s="1">
        <v>448103</v>
      </c>
      <c r="Y2935" s="1">
        <v>448103</v>
      </c>
      <c r="Z2935" s="5">
        <v>44164</v>
      </c>
      <c r="AA2935" s="1">
        <v>448103</v>
      </c>
      <c r="AB2935" s="1" t="s">
        <v>181</v>
      </c>
      <c r="AC2935" s="5">
        <v>44284</v>
      </c>
      <c r="AF2935" s="1">
        <v>10044</v>
      </c>
      <c r="AI2935" s="1" t="s">
        <v>132</v>
      </c>
      <c r="AJ2935" s="1">
        <v>1975</v>
      </c>
      <c r="AK2935" s="1" t="s">
        <v>77</v>
      </c>
      <c r="AL2935" s="1">
        <v>400</v>
      </c>
    </row>
    <row r="2936" spans="1:38" x14ac:dyDescent="0.2">
      <c r="A2936" s="2" t="str">
        <f>HYPERLINK("https://www.compass.com/listing/252-south-street-unit-39l-manhattan-ny-10002/645558917777277289/","252 South St, Unit 39L")</f>
        <v>252 South St, Unit 39L</v>
      </c>
      <c r="B2936" s="2" t="str">
        <f t="shared" ref="B2936:B2937" si="390">HYPERLINK("https://www.compass.com/building/one-manhattan-square-manhattan-ny/294844950218926165/","One Manhattan Square")</f>
        <v>One Manhattan Square</v>
      </c>
      <c r="C2936" s="1" t="s">
        <v>66</v>
      </c>
      <c r="D2936" s="1" t="s">
        <v>41</v>
      </c>
      <c r="E2936" s="3">
        <v>2541000</v>
      </c>
      <c r="F2936" s="1">
        <v>2262.6892252893999</v>
      </c>
      <c r="G2936" s="1">
        <v>4</v>
      </c>
      <c r="H2936" s="1">
        <v>2</v>
      </c>
      <c r="I2936" s="1">
        <v>2</v>
      </c>
      <c r="J2936" s="1">
        <v>2</v>
      </c>
      <c r="K2936" s="1">
        <v>2</v>
      </c>
      <c r="M2936" s="4">
        <v>1123</v>
      </c>
      <c r="N2936" s="1">
        <v>1384</v>
      </c>
      <c r="O2936" s="1">
        <v>1406</v>
      </c>
      <c r="P2936" s="1">
        <v>22</v>
      </c>
      <c r="Q2936" s="1" t="s">
        <v>42</v>
      </c>
      <c r="S2936" s="1" t="s">
        <v>42</v>
      </c>
      <c r="T2936" s="1" t="s">
        <v>170</v>
      </c>
      <c r="U2936" s="1">
        <v>3</v>
      </c>
      <c r="V2936" s="5">
        <v>44142</v>
      </c>
      <c r="W2936" s="5">
        <v>44139</v>
      </c>
      <c r="X2936" s="1">
        <v>2541000</v>
      </c>
      <c r="Y2936" s="1">
        <v>2541000</v>
      </c>
      <c r="AA2936" s="1">
        <v>2541000</v>
      </c>
      <c r="AB2936" s="1" t="s">
        <v>181</v>
      </c>
      <c r="AC2936" s="5">
        <v>44142</v>
      </c>
      <c r="AF2936" s="1">
        <v>10002</v>
      </c>
      <c r="AI2936" s="1" t="s">
        <v>163</v>
      </c>
      <c r="AJ2936" s="1">
        <v>2019</v>
      </c>
      <c r="AK2936" s="1" t="s">
        <v>73</v>
      </c>
      <c r="AL2936" s="1">
        <v>787</v>
      </c>
    </row>
    <row r="2937" spans="1:38" x14ac:dyDescent="0.2">
      <c r="A2937" s="2" t="str">
        <f>HYPERLINK("https://www.compass.com/listing/252-south-street-unit-65k-manhattan-ny-10002/640493089481679881/","252 South St, Unit 65K")</f>
        <v>252 South St, Unit 65K</v>
      </c>
      <c r="B2937" s="2" t="str">
        <f t="shared" si="390"/>
        <v>One Manhattan Square</v>
      </c>
      <c r="C2937" s="1" t="s">
        <v>66</v>
      </c>
      <c r="D2937" s="1" t="s">
        <v>41</v>
      </c>
      <c r="E2937" s="3">
        <v>1508000</v>
      </c>
      <c r="F2937" s="1">
        <v>2191.86046511627</v>
      </c>
      <c r="G2937" s="1">
        <v>3</v>
      </c>
      <c r="H2937" s="1">
        <v>1</v>
      </c>
      <c r="I2937" s="1">
        <v>1</v>
      </c>
      <c r="J2937" s="1">
        <v>1</v>
      </c>
      <c r="K2937" s="1">
        <v>1</v>
      </c>
      <c r="M2937" s="1">
        <v>688</v>
      </c>
      <c r="N2937" s="1">
        <v>943.07</v>
      </c>
      <c r="O2937" s="1">
        <v>958.07</v>
      </c>
      <c r="P2937" s="1">
        <v>15</v>
      </c>
      <c r="Q2937" s="1" t="s">
        <v>42</v>
      </c>
      <c r="S2937" s="1" t="s">
        <v>42</v>
      </c>
      <c r="T2937" s="1" t="s">
        <v>170</v>
      </c>
      <c r="V2937" s="5">
        <v>44136</v>
      </c>
      <c r="W2937" s="5">
        <v>44135</v>
      </c>
      <c r="X2937" s="1">
        <v>1808000</v>
      </c>
      <c r="Y2937" s="1">
        <v>1508000</v>
      </c>
      <c r="AA2937" s="1">
        <v>1508000</v>
      </c>
      <c r="AB2937" s="1" t="s">
        <v>181</v>
      </c>
      <c r="AC2937" s="5">
        <v>44136</v>
      </c>
      <c r="AF2937" s="1">
        <v>10002</v>
      </c>
      <c r="AI2937" s="1" t="s">
        <v>163</v>
      </c>
      <c r="AJ2937" s="1">
        <v>2019</v>
      </c>
      <c r="AK2937" s="1" t="s">
        <v>73</v>
      </c>
      <c r="AL2937" s="1">
        <v>787</v>
      </c>
    </row>
    <row r="2938" spans="1:38" x14ac:dyDescent="0.2">
      <c r="A2938" s="2" t="str">
        <f>HYPERLINK("https://www.compass.com/listing/520-park-avenue-unit-15-manhattan-ny-10065/803376513218767041/","520 Park Ave, Unit 15")</f>
        <v>520 Park Ave, Unit 15</v>
      </c>
      <c r="B2938" s="2" t="str">
        <f>HYPERLINK("https://www.compass.com/building/520-park-ave-manhattan-ny-10065/344158009579879061/","520 Park Ave")</f>
        <v>520 Park Ave</v>
      </c>
      <c r="C2938" s="1" t="s">
        <v>115</v>
      </c>
      <c r="D2938" s="1" t="s">
        <v>41</v>
      </c>
      <c r="E2938" s="3">
        <v>11200000</v>
      </c>
      <c r="G2938" s="1">
        <v>7</v>
      </c>
      <c r="H2938" s="1">
        <v>4</v>
      </c>
      <c r="I2938" s="1">
        <v>6</v>
      </c>
      <c r="J2938" s="1">
        <v>5.5</v>
      </c>
      <c r="K2938" s="1">
        <v>5</v>
      </c>
      <c r="L2938" s="1">
        <v>1</v>
      </c>
      <c r="N2938" s="1">
        <v>7513</v>
      </c>
      <c r="O2938" s="1">
        <v>25990</v>
      </c>
      <c r="P2938" s="1">
        <v>18477</v>
      </c>
      <c r="Q2938" s="1" t="s">
        <v>42</v>
      </c>
      <c r="S2938" s="1" t="s">
        <v>42</v>
      </c>
      <c r="T2938" s="1" t="s">
        <v>170</v>
      </c>
      <c r="U2938" s="1">
        <v>131</v>
      </c>
      <c r="V2938" s="5">
        <v>44329</v>
      </c>
      <c r="W2938" s="5">
        <v>44132</v>
      </c>
      <c r="X2938" s="1">
        <v>14250000</v>
      </c>
      <c r="Y2938" s="1">
        <v>14250000</v>
      </c>
      <c r="Z2938" s="5">
        <v>44264</v>
      </c>
      <c r="AA2938" s="1">
        <v>11200000</v>
      </c>
      <c r="AB2938" s="1" t="s">
        <v>1327</v>
      </c>
      <c r="AC2938" s="5">
        <v>44302</v>
      </c>
      <c r="AF2938" s="1">
        <v>10065</v>
      </c>
      <c r="AI2938" s="1" t="s">
        <v>48</v>
      </c>
      <c r="AJ2938" s="1">
        <v>2018</v>
      </c>
      <c r="AK2938" s="1" t="s">
        <v>73</v>
      </c>
      <c r="AL2938" s="1">
        <v>35</v>
      </c>
    </row>
    <row r="2939" spans="1:38" x14ac:dyDescent="0.2">
      <c r="A2939" s="2" t="str">
        <f>HYPERLINK("https://www.compass.com/listing/225-east-19th-street-unit-501-manhattan-ny-10003/100400647240737457/","225 E 19th St, Unit 501")</f>
        <v>225 E 19th St, Unit 501</v>
      </c>
      <c r="B2939" s="2" t="str">
        <f>HYPERLINK("https://www.compass.com/building/the-prewar-at-gramercy-square-manhattan-ny/282059248584654437/","The Prewar at Gramercy Square")</f>
        <v>The Prewar at Gramercy Square</v>
      </c>
      <c r="C2939" s="1" t="s">
        <v>54</v>
      </c>
      <c r="D2939" s="1" t="s">
        <v>41</v>
      </c>
      <c r="E2939" s="3">
        <v>1619018</v>
      </c>
      <c r="F2939" s="1">
        <v>1979.23899755501</v>
      </c>
      <c r="M2939" s="1">
        <v>818</v>
      </c>
      <c r="Q2939" s="1" t="s">
        <v>42</v>
      </c>
      <c r="S2939" s="1" t="s">
        <v>42</v>
      </c>
      <c r="T2939" s="1" t="s">
        <v>170</v>
      </c>
      <c r="AA2939" s="1">
        <v>1619017.5</v>
      </c>
      <c r="AB2939" s="1" t="s">
        <v>2235</v>
      </c>
      <c r="AC2939" s="5">
        <v>43376</v>
      </c>
      <c r="AF2939" s="1">
        <v>10003</v>
      </c>
      <c r="AI2939" s="1" t="s">
        <v>76</v>
      </c>
      <c r="AJ2939" s="1">
        <v>1920</v>
      </c>
      <c r="AK2939" s="1" t="s">
        <v>46</v>
      </c>
      <c r="AL2939" s="1">
        <v>48</v>
      </c>
    </row>
    <row r="2940" spans="1:38" x14ac:dyDescent="0.2">
      <c r="A2940" s="2" t="str">
        <f>HYPERLINK("https://www.compass.com/listing/200-east-21st-street-unit-19b-manhattan-ny-10010/104366068482478865/","200 E 21st St, Unit 19B")</f>
        <v>200 E 21st St, Unit 19B</v>
      </c>
      <c r="B2940" s="2" t="str">
        <f>HYPERLINK("https://www.compass.com/building/200-east-21st-street-manhattan-ny/292796762689658005/","200 East 21st Street")</f>
        <v>200 East 21st Street</v>
      </c>
      <c r="C2940" s="1" t="s">
        <v>54</v>
      </c>
      <c r="D2940" s="1" t="s">
        <v>41</v>
      </c>
      <c r="E2940" s="3">
        <v>5310174</v>
      </c>
      <c r="F2940" s="1">
        <v>2549.29128660585</v>
      </c>
      <c r="G2940" s="1">
        <v>4</v>
      </c>
      <c r="H2940" s="1">
        <v>2</v>
      </c>
      <c r="I2940" s="1">
        <v>3</v>
      </c>
      <c r="J2940" s="1">
        <v>2.5</v>
      </c>
      <c r="K2940" s="1">
        <v>2</v>
      </c>
      <c r="L2940" s="1">
        <v>1</v>
      </c>
      <c r="M2940" s="4">
        <v>2083</v>
      </c>
      <c r="N2940" s="1">
        <v>2188</v>
      </c>
      <c r="O2940" s="1">
        <v>6285</v>
      </c>
      <c r="P2940" s="1">
        <v>4097</v>
      </c>
      <c r="Q2940" s="1" t="s">
        <v>42</v>
      </c>
      <c r="S2940" s="1" t="s">
        <v>42</v>
      </c>
      <c r="T2940" s="1" t="s">
        <v>170</v>
      </c>
      <c r="V2940" s="5">
        <v>43694</v>
      </c>
      <c r="W2940" s="5">
        <v>43396</v>
      </c>
      <c r="X2940" s="1">
        <v>5495000</v>
      </c>
      <c r="Y2940" s="1">
        <v>5495000</v>
      </c>
      <c r="Z2940" s="5">
        <v>43396</v>
      </c>
      <c r="AA2940" s="1">
        <v>5310173.75</v>
      </c>
      <c r="AB2940" s="1" t="s">
        <v>2236</v>
      </c>
      <c r="AC2940" s="5">
        <v>43635</v>
      </c>
      <c r="AF2940" s="1">
        <v>10010</v>
      </c>
      <c r="AI2940" s="1" t="s">
        <v>86</v>
      </c>
      <c r="AJ2940" s="1">
        <v>2018</v>
      </c>
      <c r="AK2940" s="1" t="s">
        <v>49</v>
      </c>
      <c r="AL2940" s="1">
        <v>67</v>
      </c>
    </row>
    <row r="2941" spans="1:38" x14ac:dyDescent="0.2">
      <c r="A2941" s="2" t="str">
        <f>HYPERLINK("https://www.compass.com/listing/225-east-19th-street-unit-706-manhattan-ny-10003/117084761486328929/","225 E 19th St, Unit 706")</f>
        <v>225 E 19th St, Unit 706</v>
      </c>
      <c r="B2941" s="2" t="str">
        <f>HYPERLINK("https://www.compass.com/building/the-prewar-at-gramercy-square-manhattan-ny/282059248584654437/","The Prewar at Gramercy Square")</f>
        <v>The Prewar at Gramercy Square</v>
      </c>
      <c r="C2941" s="1" t="s">
        <v>54</v>
      </c>
      <c r="D2941" s="1" t="s">
        <v>41</v>
      </c>
      <c r="E2941" s="3">
        <v>2698363</v>
      </c>
      <c r="F2941" s="1">
        <v>2156.96442845723</v>
      </c>
      <c r="M2941" s="4">
        <v>1251</v>
      </c>
      <c r="Q2941" s="1" t="s">
        <v>42</v>
      </c>
      <c r="S2941" s="1" t="s">
        <v>42</v>
      </c>
      <c r="T2941" s="1" t="s">
        <v>170</v>
      </c>
      <c r="AA2941" s="1">
        <v>2698362.5</v>
      </c>
      <c r="AB2941" s="1" t="s">
        <v>2237</v>
      </c>
      <c r="AC2941" s="5">
        <v>43369</v>
      </c>
      <c r="AF2941" s="1">
        <v>10003</v>
      </c>
      <c r="AI2941" s="1" t="s">
        <v>76</v>
      </c>
      <c r="AJ2941" s="1">
        <v>1920</v>
      </c>
      <c r="AK2941" s="1" t="s">
        <v>46</v>
      </c>
      <c r="AL2941" s="1">
        <v>48</v>
      </c>
    </row>
    <row r="2942" spans="1:38" x14ac:dyDescent="0.2">
      <c r="A2942" s="2" t="str">
        <f>HYPERLINK("https://www.compass.com/listing/520-park-avenue-unit-24-manhattan-ny-10065/125086652124189505/","520 Park Ave, Unit 24")</f>
        <v>520 Park Ave, Unit 24</v>
      </c>
      <c r="B2942" s="2" t="str">
        <f>HYPERLINK("https://www.compass.com/building/520-park-ave-manhattan-ny-10065/344158009579879061/","520 Park Ave")</f>
        <v>520 Park Ave</v>
      </c>
      <c r="C2942" s="1" t="s">
        <v>115</v>
      </c>
      <c r="D2942" s="1" t="s">
        <v>41</v>
      </c>
      <c r="E2942" s="3">
        <v>23000000</v>
      </c>
      <c r="F2942" s="1">
        <v>4969.7493517718203</v>
      </c>
      <c r="M2942" s="4">
        <v>4628</v>
      </c>
      <c r="Q2942" s="1" t="s">
        <v>42</v>
      </c>
      <c r="S2942" s="1" t="s">
        <v>42</v>
      </c>
      <c r="T2942" s="1" t="s">
        <v>170</v>
      </c>
      <c r="AA2942" s="1">
        <v>23000000</v>
      </c>
      <c r="AB2942" s="1" t="s">
        <v>2238</v>
      </c>
      <c r="AC2942" s="5">
        <v>43418</v>
      </c>
      <c r="AF2942" s="1">
        <v>10065</v>
      </c>
      <c r="AI2942" s="1" t="s">
        <v>48</v>
      </c>
      <c r="AJ2942" s="1">
        <v>2018</v>
      </c>
      <c r="AK2942" s="1" t="s">
        <v>46</v>
      </c>
      <c r="AL2942" s="1">
        <v>35</v>
      </c>
    </row>
    <row r="2943" spans="1:38" x14ac:dyDescent="0.2">
      <c r="A2943" s="2" t="str">
        <f>HYPERLINK("https://www.compass.com/listing/265-east-houston-street-unit-8a-manhattan-ny-10002/126487272081096961/","265 E Houston St, Unit 8A")</f>
        <v>265 E Houston St, Unit 8A</v>
      </c>
      <c r="B2943" s="2" t="str">
        <f>HYPERLINK("https://www.compass.com/building/265-e-houston-st-manhattan-ny-10002/281886808264939173/","265 E Houston St")</f>
        <v>265 E Houston St</v>
      </c>
      <c r="C2943" s="1" t="s">
        <v>66</v>
      </c>
      <c r="D2943" s="1" t="s">
        <v>41</v>
      </c>
      <c r="E2943" s="3">
        <v>2300000</v>
      </c>
      <c r="F2943" s="1">
        <v>1642.8571428571399</v>
      </c>
      <c r="M2943" s="4">
        <v>1400</v>
      </c>
      <c r="Q2943" s="1" t="s">
        <v>42</v>
      </c>
      <c r="S2943" s="1" t="s">
        <v>42</v>
      </c>
      <c r="T2943" s="1" t="s">
        <v>170</v>
      </c>
      <c r="AA2943" s="1">
        <v>2300000</v>
      </c>
      <c r="AB2943" s="1" t="s">
        <v>2239</v>
      </c>
      <c r="AC2943" s="5">
        <v>43417</v>
      </c>
      <c r="AF2943" s="1">
        <v>10002</v>
      </c>
      <c r="AI2943" s="1" t="s">
        <v>53</v>
      </c>
      <c r="AJ2943" s="1">
        <v>2015</v>
      </c>
      <c r="AL2943" s="1">
        <v>7</v>
      </c>
    </row>
    <row r="2944" spans="1:38" x14ac:dyDescent="0.2">
      <c r="A2944" s="2" t="str">
        <f>HYPERLINK("https://www.compass.com/listing/520-park-avenue-unit-dph52-manhattan-ny-10065/130159086380607281/","520 Park Ave, Unit DPH52")</f>
        <v>520 Park Ave, Unit DPH52</v>
      </c>
      <c r="B2944" s="2" t="str">
        <f>HYPERLINK("https://www.compass.com/building/520-park-ave-manhattan-ny-10065/344158009579879061/","520 Park Ave")</f>
        <v>520 Park Ave</v>
      </c>
      <c r="C2944" s="1" t="s">
        <v>115</v>
      </c>
      <c r="D2944" s="1" t="s">
        <v>41</v>
      </c>
      <c r="E2944" s="3">
        <v>62000000</v>
      </c>
      <c r="F2944" s="1">
        <v>6784.8544539286404</v>
      </c>
      <c r="M2944" s="4">
        <v>9138</v>
      </c>
      <c r="Q2944" s="1" t="s">
        <v>42</v>
      </c>
      <c r="S2944" s="1" t="s">
        <v>42</v>
      </c>
      <c r="T2944" s="1" t="s">
        <v>170</v>
      </c>
      <c r="AA2944" s="1">
        <v>62000000</v>
      </c>
      <c r="AB2944" s="1" t="s">
        <v>2240</v>
      </c>
      <c r="AC2944" s="5">
        <v>43419</v>
      </c>
      <c r="AF2944" s="1">
        <v>10065</v>
      </c>
      <c r="AI2944" s="1" t="s">
        <v>48</v>
      </c>
      <c r="AJ2944" s="1">
        <v>2018</v>
      </c>
      <c r="AK2944" s="1" t="s">
        <v>46</v>
      </c>
      <c r="AL2944" s="1">
        <v>35</v>
      </c>
    </row>
    <row r="2945" spans="1:38" x14ac:dyDescent="0.2">
      <c r="A2945" s="2" t="str">
        <f>HYPERLINK("https://www.compass.com/listing/100-barrow-street-unit-1d-manhattan-ny-10014/130843757468833457/","100 Barrow St, Unit 1D")</f>
        <v>100 Barrow St, Unit 1D</v>
      </c>
      <c r="B2945" s="2" t="str">
        <f>HYPERLINK("https://www.compass.com/building/100-barrow-manhattan-ny/292834978184618837/","100 Barrow")</f>
        <v>100 Barrow</v>
      </c>
      <c r="C2945" s="1" t="s">
        <v>71</v>
      </c>
      <c r="D2945" s="1" t="s">
        <v>41</v>
      </c>
      <c r="E2945" s="3">
        <v>170000</v>
      </c>
      <c r="Q2945" s="1" t="s">
        <v>129</v>
      </c>
      <c r="S2945" s="1" t="s">
        <v>129</v>
      </c>
      <c r="T2945" s="1" t="s">
        <v>170</v>
      </c>
      <c r="AA2945" s="1">
        <v>170000</v>
      </c>
      <c r="AB2945" s="1" t="s">
        <v>2241</v>
      </c>
      <c r="AC2945" s="5">
        <v>43417</v>
      </c>
      <c r="AF2945" s="1">
        <v>10014</v>
      </c>
      <c r="AJ2945" s="1">
        <v>2015</v>
      </c>
      <c r="AK2945" s="1" t="s">
        <v>172</v>
      </c>
      <c r="AL2945" s="1">
        <v>33</v>
      </c>
    </row>
    <row r="2946" spans="1:38" x14ac:dyDescent="0.2">
      <c r="A2946" s="2" t="str">
        <f>HYPERLINK("https://www.compass.com/listing/520-park-avenue-unit-dph60-manhattan-ny-10065/130886551541512561/","520 Park Ave, Unit DPH60")</f>
        <v>520 Park Ave, Unit DPH60</v>
      </c>
      <c r="B2946" s="2" t="str">
        <f t="shared" ref="B2946:B2948" si="391">HYPERLINK("https://www.compass.com/building/520-park-ave-manhattan-ny-10065/344158009579879061/","520 Park Ave")</f>
        <v>520 Park Ave</v>
      </c>
      <c r="C2946" s="1" t="s">
        <v>115</v>
      </c>
      <c r="D2946" s="1" t="s">
        <v>41</v>
      </c>
      <c r="E2946" s="3">
        <v>73800000</v>
      </c>
      <c r="F2946" s="1">
        <v>8076.1654629021596</v>
      </c>
      <c r="M2946" s="4">
        <v>9138</v>
      </c>
      <c r="Q2946" s="1" t="s">
        <v>42</v>
      </c>
      <c r="S2946" s="1" t="s">
        <v>42</v>
      </c>
      <c r="T2946" s="1" t="s">
        <v>170</v>
      </c>
      <c r="AA2946" s="1">
        <v>73800000</v>
      </c>
      <c r="AB2946" s="1" t="s">
        <v>2242</v>
      </c>
      <c r="AC2946" s="5">
        <v>43423</v>
      </c>
      <c r="AF2946" s="1">
        <v>10065</v>
      </c>
      <c r="AI2946" s="1" t="s">
        <v>48</v>
      </c>
      <c r="AJ2946" s="1">
        <v>2018</v>
      </c>
      <c r="AK2946" s="1" t="s">
        <v>46</v>
      </c>
      <c r="AL2946" s="1">
        <v>35</v>
      </c>
    </row>
    <row r="2947" spans="1:38" x14ac:dyDescent="0.2">
      <c r="A2947" s="2" t="str">
        <f>HYPERLINK("https://www.compass.com/listing/520-park-avenue-unit-dph56-manhattan-ny-10065/155523542987913713/","520 Park Ave, Unit DPH56")</f>
        <v>520 Park Ave, Unit DPH56</v>
      </c>
      <c r="B2947" s="2" t="str">
        <f t="shared" si="391"/>
        <v>520 Park Ave</v>
      </c>
      <c r="C2947" s="1" t="s">
        <v>115</v>
      </c>
      <c r="D2947" s="1" t="s">
        <v>41</v>
      </c>
      <c r="E2947" s="3">
        <v>67921053</v>
      </c>
      <c r="F2947" s="1">
        <v>7432.8138017071497</v>
      </c>
      <c r="M2947" s="4">
        <v>9138</v>
      </c>
      <c r="Q2947" s="1" t="s">
        <v>42</v>
      </c>
      <c r="S2947" s="1" t="s">
        <v>42</v>
      </c>
      <c r="T2947" s="1" t="s">
        <v>170</v>
      </c>
      <c r="AA2947" s="1">
        <v>67921052.519999996</v>
      </c>
      <c r="AB2947" s="1" t="s">
        <v>2243</v>
      </c>
      <c r="AC2947" s="5">
        <v>43454</v>
      </c>
      <c r="AF2947" s="1">
        <v>10065</v>
      </c>
      <c r="AI2947" s="1" t="s">
        <v>48</v>
      </c>
      <c r="AJ2947" s="1">
        <v>2018</v>
      </c>
      <c r="AK2947" s="1" t="s">
        <v>46</v>
      </c>
      <c r="AL2947" s="1">
        <v>35</v>
      </c>
    </row>
    <row r="2948" spans="1:38" x14ac:dyDescent="0.2">
      <c r="A2948" s="2" t="str">
        <f>HYPERLINK("https://www.compass.com/listing/520-park-avenue-unit-ph48-manhattan-ny-10065/162775352995852417/","520 Park Ave, Unit PH48")</f>
        <v>520 Park Ave, Unit PH48</v>
      </c>
      <c r="B2948" s="2" t="str">
        <f t="shared" si="391"/>
        <v>520 Park Ave</v>
      </c>
      <c r="C2948" s="1" t="s">
        <v>115</v>
      </c>
      <c r="D2948" s="1" t="s">
        <v>41</v>
      </c>
      <c r="E2948" s="3">
        <v>32396000</v>
      </c>
      <c r="F2948" s="1">
        <v>7000</v>
      </c>
      <c r="M2948" s="4">
        <v>4628</v>
      </c>
      <c r="Q2948" s="1" t="s">
        <v>42</v>
      </c>
      <c r="S2948" s="1" t="s">
        <v>42</v>
      </c>
      <c r="T2948" s="1" t="s">
        <v>170</v>
      </c>
      <c r="AA2948" s="1">
        <v>32396000</v>
      </c>
      <c r="AB2948" s="1" t="s">
        <v>2244</v>
      </c>
      <c r="AC2948" s="5">
        <v>43472</v>
      </c>
      <c r="AF2948" s="1">
        <v>10065</v>
      </c>
      <c r="AI2948" s="1" t="s">
        <v>48</v>
      </c>
      <c r="AJ2948" s="1">
        <v>2018</v>
      </c>
      <c r="AK2948" s="1" t="s">
        <v>46</v>
      </c>
      <c r="AL2948" s="1">
        <v>35</v>
      </c>
    </row>
    <row r="2949" spans="1:38" x14ac:dyDescent="0.2">
      <c r="A2949" s="2" t="str">
        <f>HYPERLINK("https://www.compass.com/listing/200-east-21st-street-unit-ru-manhattan-ny-10010/165644179932759233/","200 E 21st St, Unit RU")</f>
        <v>200 E 21st St, Unit RU</v>
      </c>
      <c r="B2949" s="2" t="str">
        <f>HYPERLINK("https://www.compass.com/building/200-east-21st-street-manhattan-ny/292796762689658005/","200 East 21st Street")</f>
        <v>200 East 21st Street</v>
      </c>
      <c r="C2949" s="1" t="s">
        <v>54</v>
      </c>
      <c r="D2949" s="1" t="s">
        <v>41</v>
      </c>
      <c r="E2949" s="3">
        <v>74400000</v>
      </c>
      <c r="F2949" s="1">
        <v>86310.904872389699</v>
      </c>
      <c r="M2949" s="1">
        <v>862</v>
      </c>
      <c r="Q2949" s="1" t="s">
        <v>42</v>
      </c>
      <c r="S2949" s="1" t="s">
        <v>42</v>
      </c>
      <c r="T2949" s="1" t="s">
        <v>170</v>
      </c>
      <c r="V2949" s="5">
        <v>43859</v>
      </c>
      <c r="AA2949" s="1">
        <v>74400000</v>
      </c>
      <c r="AB2949" s="1" t="s">
        <v>2245</v>
      </c>
      <c r="AC2949" s="5">
        <v>43462</v>
      </c>
      <c r="AF2949" s="1">
        <v>10010</v>
      </c>
      <c r="AI2949" s="1" t="s">
        <v>82</v>
      </c>
      <c r="AJ2949" s="1">
        <v>2018</v>
      </c>
      <c r="AK2949" s="1" t="s">
        <v>49</v>
      </c>
      <c r="AL2949" s="1">
        <v>67</v>
      </c>
    </row>
    <row r="2950" spans="1:38" x14ac:dyDescent="0.2">
      <c r="A2950" s="2" t="str">
        <f>HYPERLINK("https://www.compass.com/listing/86-canal-street-unit-6b-manhattan-ny-10002/171421464031999409/","86 Canal St, Unit 6B")</f>
        <v>86 Canal St, Unit 6B</v>
      </c>
      <c r="B2950" s="2" t="str">
        <f>HYPERLINK("https://www.compass.com/building/86-canal-st-manhattan-ny-10002/281888255618581733/","86 Canal St")</f>
        <v>86 Canal St</v>
      </c>
      <c r="C2950" s="1" t="s">
        <v>1340</v>
      </c>
      <c r="D2950" s="1" t="s">
        <v>41</v>
      </c>
      <c r="E2950" s="3">
        <v>621133</v>
      </c>
      <c r="F2950" s="1">
        <v>1225.1134122287899</v>
      </c>
      <c r="M2950" s="1">
        <v>507</v>
      </c>
      <c r="Q2950" s="1" t="s">
        <v>42</v>
      </c>
      <c r="S2950" s="1" t="s">
        <v>42</v>
      </c>
      <c r="T2950" s="1" t="s">
        <v>170</v>
      </c>
      <c r="AA2950" s="1">
        <v>621132.5</v>
      </c>
      <c r="AB2950" s="1" t="s">
        <v>2246</v>
      </c>
      <c r="AC2950" s="5">
        <v>43476</v>
      </c>
      <c r="AF2950" s="1">
        <v>10002</v>
      </c>
      <c r="AJ2950" s="1">
        <v>2012</v>
      </c>
      <c r="AL2950" s="1">
        <v>89</v>
      </c>
    </row>
    <row r="2951" spans="1:38" x14ac:dyDescent="0.2">
      <c r="A2951" s="2" t="str">
        <f>HYPERLINK("https://www.compass.com/listing/520-park-avenue-unit-dph54-manhattan-ny-10065/176547938456087617/","520 Park Ave, Unit DPH54")</f>
        <v>520 Park Ave, Unit DPH54</v>
      </c>
      <c r="B2951" s="2" t="str">
        <f>HYPERLINK("https://www.compass.com/building/520-park-ave-manhattan-ny-10065/344158009579879061/","520 Park Ave")</f>
        <v>520 Park Ave</v>
      </c>
      <c r="C2951" s="1" t="s">
        <v>115</v>
      </c>
      <c r="D2951" s="1" t="s">
        <v>41</v>
      </c>
      <c r="E2951" s="3">
        <v>64250000</v>
      </c>
      <c r="F2951" s="1">
        <v>7031.0790107244402</v>
      </c>
      <c r="M2951" s="4">
        <v>9138</v>
      </c>
      <c r="Q2951" s="1" t="s">
        <v>42</v>
      </c>
      <c r="S2951" s="1" t="s">
        <v>42</v>
      </c>
      <c r="T2951" s="1" t="s">
        <v>170</v>
      </c>
      <c r="AA2951" s="1">
        <v>64250000</v>
      </c>
      <c r="AB2951" s="1" t="s">
        <v>2247</v>
      </c>
      <c r="AC2951" s="5">
        <v>43490</v>
      </c>
      <c r="AF2951" s="1">
        <v>10065</v>
      </c>
      <c r="AI2951" s="1" t="s">
        <v>48</v>
      </c>
      <c r="AJ2951" s="1">
        <v>2018</v>
      </c>
      <c r="AK2951" s="1" t="s">
        <v>46</v>
      </c>
      <c r="AL2951" s="1">
        <v>35</v>
      </c>
    </row>
    <row r="2952" spans="1:38" x14ac:dyDescent="0.2">
      <c r="A2952" s="2" t="str">
        <f>HYPERLINK("https://www.compass.com/listing/412-greenwich-street-unit-phc-manhattan-ny-10013/177220170572478785/","412 Greenwich St, Unit PHC")</f>
        <v>412 Greenwich St, Unit PHC</v>
      </c>
      <c r="B2952" s="2" t="str">
        <f>HYPERLINK("https://www.compass.com/building/412-greenwich-st-manhattan-ny-10013/307448573918203765/","412 Greenwich St")</f>
        <v>412 Greenwich St</v>
      </c>
      <c r="C2952" s="1" t="s">
        <v>40</v>
      </c>
      <c r="D2952" s="1" t="s">
        <v>41</v>
      </c>
      <c r="E2952" s="3">
        <v>13240000</v>
      </c>
      <c r="F2952" s="1">
        <v>2655.43521861211</v>
      </c>
      <c r="M2952" s="4">
        <v>4986</v>
      </c>
      <c r="Q2952" s="1" t="s">
        <v>42</v>
      </c>
      <c r="S2952" s="1" t="s">
        <v>42</v>
      </c>
      <c r="T2952" s="1" t="s">
        <v>170</v>
      </c>
      <c r="AA2952" s="1">
        <v>13240000</v>
      </c>
      <c r="AB2952" s="1" t="s">
        <v>2248</v>
      </c>
      <c r="AC2952" s="5">
        <v>43483</v>
      </c>
      <c r="AF2952" s="1">
        <v>10013</v>
      </c>
    </row>
    <row r="2953" spans="1:38" x14ac:dyDescent="0.2">
      <c r="A2953" s="2" t="str">
        <f>HYPERLINK("https://www.compass.com/listing/520-park-avenue-unit-ph59-manhattan-ny-10065/178720693624575761/","520 Park Ave, Unit PH59")</f>
        <v>520 Park Ave, Unit PH59</v>
      </c>
      <c r="B2953" s="2" t="str">
        <f>HYPERLINK("https://www.compass.com/building/520-park-ave-manhattan-ny-10065/344158009579879061/","520 Park Ave")</f>
        <v>520 Park Ave</v>
      </c>
      <c r="C2953" s="1" t="s">
        <v>115</v>
      </c>
      <c r="D2953" s="1" t="s">
        <v>41</v>
      </c>
      <c r="E2953" s="3">
        <v>30100000</v>
      </c>
      <c r="F2953" s="1">
        <v>6964.3683479870397</v>
      </c>
      <c r="M2953" s="4">
        <v>4322</v>
      </c>
      <c r="Q2953" s="1" t="s">
        <v>42</v>
      </c>
      <c r="S2953" s="1" t="s">
        <v>42</v>
      </c>
      <c r="T2953" s="1" t="s">
        <v>170</v>
      </c>
      <c r="AA2953" s="1">
        <v>30100000</v>
      </c>
      <c r="AB2953" s="1" t="s">
        <v>2249</v>
      </c>
      <c r="AC2953" s="5">
        <v>43447</v>
      </c>
      <c r="AF2953" s="1">
        <v>10065</v>
      </c>
      <c r="AI2953" s="1" t="s">
        <v>48</v>
      </c>
      <c r="AJ2953" s="1">
        <v>2018</v>
      </c>
      <c r="AK2953" s="1" t="s">
        <v>46</v>
      </c>
      <c r="AL2953" s="1">
        <v>35</v>
      </c>
    </row>
    <row r="2954" spans="1:38" x14ac:dyDescent="0.2">
      <c r="A2954" s="2" t="str">
        <f>HYPERLINK("https://www.compass.com/listing/555-main-street-unit-1002-manhattan-ny-10044/180967437741629025/","555 Main St, Unit 1002")</f>
        <v>555 Main St, Unit 1002</v>
      </c>
      <c r="B2954" s="2" t="str">
        <f t="shared" ref="B2954:B2955" si="392">HYPERLINK("https://www.compass.com/building/island-house-manhattan-ny/282034908468103317/","Island House")</f>
        <v>Island House</v>
      </c>
      <c r="C2954" s="1" t="s">
        <v>128</v>
      </c>
      <c r="D2954" s="1" t="s">
        <v>41</v>
      </c>
      <c r="E2954" s="3">
        <v>785000</v>
      </c>
      <c r="G2954" s="1">
        <v>4</v>
      </c>
      <c r="H2954" s="1">
        <v>2</v>
      </c>
      <c r="I2954" s="1">
        <v>1</v>
      </c>
      <c r="J2954" s="1">
        <v>1</v>
      </c>
      <c r="N2954" s="1">
        <v>1138</v>
      </c>
      <c r="O2954" s="1">
        <v>1138</v>
      </c>
      <c r="Q2954" s="1" t="s">
        <v>129</v>
      </c>
      <c r="S2954" s="1" t="s">
        <v>129</v>
      </c>
      <c r="T2954" s="1" t="s">
        <v>170</v>
      </c>
      <c r="V2954" s="5">
        <v>42735</v>
      </c>
      <c r="AA2954" s="1">
        <v>785000</v>
      </c>
      <c r="AB2954" s="1" t="s">
        <v>181</v>
      </c>
      <c r="AC2954" s="5">
        <v>42733</v>
      </c>
      <c r="AF2954" s="1">
        <v>10044</v>
      </c>
      <c r="AJ2954" s="1">
        <v>1975</v>
      </c>
      <c r="AL2954" s="1">
        <v>400</v>
      </c>
    </row>
    <row r="2955" spans="1:38" x14ac:dyDescent="0.2">
      <c r="A2955" s="2" t="str">
        <f>HYPERLINK("https://www.compass.com/listing/555-main-street-unit-107-manhattan-ny-10044/180968256536840065/","555 Main St, Unit 107")</f>
        <v>555 Main St, Unit 107</v>
      </c>
      <c r="B2955" s="2" t="str">
        <f t="shared" si="392"/>
        <v>Island House</v>
      </c>
      <c r="C2955" s="1" t="s">
        <v>128</v>
      </c>
      <c r="D2955" s="1" t="s">
        <v>41</v>
      </c>
      <c r="E2955" s="3">
        <v>720000</v>
      </c>
      <c r="G2955" s="1">
        <v>5</v>
      </c>
      <c r="H2955" s="1">
        <v>2</v>
      </c>
      <c r="I2955" s="1">
        <v>2</v>
      </c>
      <c r="J2955" s="1">
        <v>2</v>
      </c>
      <c r="N2955" s="1">
        <v>953</v>
      </c>
      <c r="O2955" s="1">
        <v>953</v>
      </c>
      <c r="Q2955" s="1" t="s">
        <v>129</v>
      </c>
      <c r="S2955" s="1" t="s">
        <v>129</v>
      </c>
      <c r="T2955" s="1" t="s">
        <v>170</v>
      </c>
      <c r="V2955" s="5">
        <v>42835</v>
      </c>
      <c r="Y2955" s="1">
        <v>720000</v>
      </c>
      <c r="Z2955" s="5">
        <v>42832</v>
      </c>
      <c r="AA2955" s="1">
        <v>720000</v>
      </c>
      <c r="AB2955" s="1" t="s">
        <v>181</v>
      </c>
      <c r="AC2955" s="5">
        <v>42832</v>
      </c>
      <c r="AF2955" s="1">
        <v>10044</v>
      </c>
      <c r="AJ2955" s="1">
        <v>1975</v>
      </c>
      <c r="AL2955" s="1">
        <v>400</v>
      </c>
    </row>
    <row r="2956" spans="1:38" x14ac:dyDescent="0.2">
      <c r="A2956" s="2" t="str">
        <f>HYPERLINK("https://www.compass.com/listing/520-park-avenue-unit-ph51-manhattan-ny-10065/187416160562659009/","520 Park Ave, Unit PH51")</f>
        <v>520 Park Ave, Unit PH51</v>
      </c>
      <c r="B2956" s="2" t="str">
        <f>HYPERLINK("https://www.compass.com/building/520-park-ave-manhattan-ny-10065/344158009579879061/","520 Park Ave")</f>
        <v>520 Park Ave</v>
      </c>
      <c r="C2956" s="1" t="s">
        <v>115</v>
      </c>
      <c r="D2956" s="1" t="s">
        <v>41</v>
      </c>
      <c r="E2956" s="3">
        <v>32000000</v>
      </c>
      <c r="F2956" s="1">
        <v>6914.4338807260101</v>
      </c>
      <c r="M2956" s="4">
        <v>4628</v>
      </c>
      <c r="Q2956" s="1" t="s">
        <v>42</v>
      </c>
      <c r="S2956" s="1" t="s">
        <v>42</v>
      </c>
      <c r="T2956" s="1" t="s">
        <v>170</v>
      </c>
      <c r="AA2956" s="1">
        <v>32000000</v>
      </c>
      <c r="AB2956" s="1" t="s">
        <v>2250</v>
      </c>
      <c r="AC2956" s="5">
        <v>43497</v>
      </c>
      <c r="AF2956" s="1">
        <v>10065</v>
      </c>
      <c r="AI2956" s="1" t="s">
        <v>48</v>
      </c>
      <c r="AJ2956" s="1">
        <v>2018</v>
      </c>
      <c r="AK2956" s="1" t="s">
        <v>46</v>
      </c>
      <c r="AL2956" s="1">
        <v>35</v>
      </c>
    </row>
    <row r="2957" spans="1:38" x14ac:dyDescent="0.2">
      <c r="A2957" s="2" t="str">
        <f>HYPERLINK("https://www.compass.com/listing/67-69-franklin-street-unit-6b-manhattan-ny-10013/188735694154253793/","67-69 Franklin St, Unit 6B")</f>
        <v>67-69 Franklin St, Unit 6B</v>
      </c>
      <c r="B2957" s="2" t="str">
        <f>HYPERLINK("https://www.compass.com/building/cast-iron-house-manhattan-ny/567514773896133269/","Cast Iron House")</f>
        <v>Cast Iron House</v>
      </c>
      <c r="C2957" s="1" t="s">
        <v>40</v>
      </c>
      <c r="D2957" s="1" t="s">
        <v>41</v>
      </c>
      <c r="E2957" s="3">
        <v>7900000</v>
      </c>
      <c r="F2957" s="1">
        <v>2088.2897171556901</v>
      </c>
      <c r="G2957" s="1">
        <v>6</v>
      </c>
      <c r="H2957" s="1">
        <v>4</v>
      </c>
      <c r="I2957" s="1">
        <v>4</v>
      </c>
      <c r="J2957" s="1">
        <v>4</v>
      </c>
      <c r="K2957" s="1">
        <v>4</v>
      </c>
      <c r="M2957" s="4">
        <v>3783</v>
      </c>
      <c r="N2957" s="1">
        <v>3960</v>
      </c>
      <c r="O2957" s="1">
        <v>8890</v>
      </c>
      <c r="P2957" s="1">
        <v>4930</v>
      </c>
      <c r="Q2957" s="1" t="s">
        <v>42</v>
      </c>
      <c r="S2957" s="1" t="s">
        <v>42</v>
      </c>
      <c r="T2957" s="1" t="s">
        <v>170</v>
      </c>
      <c r="U2957" s="1">
        <v>2</v>
      </c>
      <c r="V2957" s="5">
        <v>43608</v>
      </c>
      <c r="W2957" s="5">
        <v>43510</v>
      </c>
      <c r="X2957" s="1">
        <v>8450000</v>
      </c>
      <c r="Y2957" s="1">
        <v>8450000</v>
      </c>
      <c r="Z2957" s="5">
        <v>43513</v>
      </c>
      <c r="AA2957" s="1">
        <v>7900000</v>
      </c>
      <c r="AB2957" s="1" t="s">
        <v>2251</v>
      </c>
      <c r="AC2957" s="5">
        <v>43595</v>
      </c>
      <c r="AF2957" s="1">
        <v>10013</v>
      </c>
      <c r="AI2957" s="1" t="s">
        <v>84</v>
      </c>
      <c r="AJ2957" s="1">
        <v>1881</v>
      </c>
      <c r="AK2957" s="1" t="s">
        <v>73</v>
      </c>
      <c r="AL2957" s="1">
        <v>13</v>
      </c>
    </row>
    <row r="2958" spans="1:38" x14ac:dyDescent="0.2">
      <c r="A2958" s="2" t="str">
        <f>HYPERLINK("https://www.compass.com/listing/555-main-street-unit-1002-manhattan-ny-10044/192574816941808881/","555 Main St, Unit 1002")</f>
        <v>555 Main St, Unit 1002</v>
      </c>
      <c r="B2958" s="2" t="str">
        <f>HYPERLINK("https://www.compass.com/building/island-house-manhattan-ny/282034908468103317/","Island House")</f>
        <v>Island House</v>
      </c>
      <c r="C2958" s="1" t="s">
        <v>128</v>
      </c>
      <c r="D2958" s="1" t="s">
        <v>41</v>
      </c>
      <c r="E2958" s="3">
        <v>785000</v>
      </c>
      <c r="G2958" s="1">
        <v>4</v>
      </c>
      <c r="H2958" s="1">
        <v>2</v>
      </c>
      <c r="I2958" s="1">
        <v>1</v>
      </c>
      <c r="J2958" s="1">
        <v>1</v>
      </c>
      <c r="K2958" s="1">
        <v>1</v>
      </c>
      <c r="N2958" s="1">
        <v>1138</v>
      </c>
      <c r="O2958" s="1">
        <v>1138</v>
      </c>
      <c r="Q2958" s="1" t="s">
        <v>129</v>
      </c>
      <c r="S2958" s="1" t="s">
        <v>129</v>
      </c>
      <c r="T2958" s="1" t="s">
        <v>170</v>
      </c>
      <c r="V2958" s="5">
        <v>42734</v>
      </c>
      <c r="AA2958" s="1">
        <v>785000</v>
      </c>
      <c r="AB2958" s="1" t="s">
        <v>181</v>
      </c>
      <c r="AC2958" s="5">
        <v>42712</v>
      </c>
      <c r="AF2958" s="1">
        <v>10044</v>
      </c>
      <c r="AJ2958" s="1">
        <v>1975</v>
      </c>
      <c r="AK2958" s="1" t="s">
        <v>253</v>
      </c>
      <c r="AL2958" s="1">
        <v>400</v>
      </c>
    </row>
    <row r="2959" spans="1:38" x14ac:dyDescent="0.2">
      <c r="A2959" s="2" t="str">
        <f>HYPERLINK("https://www.compass.com/listing/150-west-12th-street-unit-mews5-manhattan-ny-10011/200610325337229009/","150 W 12th St, Unit MEWS5")</f>
        <v>150 W 12th St, Unit MEWS5</v>
      </c>
      <c r="B2959" s="2" t="str">
        <f>HYPERLINK("https://www.compass.com/building/the-greenwich-lane-manhattan-ny/567553885067785157/","The Greenwich Lane")</f>
        <v>The Greenwich Lane</v>
      </c>
      <c r="C2959" s="1" t="s">
        <v>71</v>
      </c>
      <c r="D2959" s="1" t="s">
        <v>41</v>
      </c>
      <c r="E2959" s="3">
        <v>16995000</v>
      </c>
      <c r="F2959" s="1">
        <v>2973.7532808398901</v>
      </c>
      <c r="G2959" s="1">
        <v>10</v>
      </c>
      <c r="H2959" s="1">
        <v>5</v>
      </c>
      <c r="I2959" s="1">
        <v>6</v>
      </c>
      <c r="J2959" s="1">
        <v>5.5</v>
      </c>
      <c r="K2959" s="1">
        <v>5</v>
      </c>
      <c r="L2959" s="1">
        <v>1</v>
      </c>
      <c r="M2959" s="4">
        <v>5715</v>
      </c>
      <c r="N2959" s="1">
        <v>9912</v>
      </c>
      <c r="O2959" s="1">
        <v>22347</v>
      </c>
      <c r="P2959" s="1">
        <v>12435</v>
      </c>
      <c r="Q2959" s="1" t="s">
        <v>42</v>
      </c>
      <c r="S2959" s="1" t="s">
        <v>42</v>
      </c>
      <c r="T2959" s="1" t="s">
        <v>170</v>
      </c>
      <c r="U2959" s="1">
        <v>568</v>
      </c>
      <c r="V2959" s="5">
        <v>44208</v>
      </c>
      <c r="W2959" s="5">
        <v>43192</v>
      </c>
      <c r="X2959" s="1">
        <v>19975000</v>
      </c>
      <c r="Y2959" s="1">
        <v>16995000</v>
      </c>
      <c r="Z2959" s="5">
        <v>43790</v>
      </c>
      <c r="AA2959" s="1">
        <v>16995000</v>
      </c>
      <c r="AB2959" s="1" t="s">
        <v>181</v>
      </c>
      <c r="AC2959" s="5">
        <v>43902</v>
      </c>
      <c r="AF2959" s="1">
        <v>10011</v>
      </c>
      <c r="AI2959" s="1" t="s">
        <v>256</v>
      </c>
      <c r="AK2959" s="1" t="s">
        <v>77</v>
      </c>
      <c r="AL2959" s="1">
        <v>24</v>
      </c>
    </row>
    <row r="2960" spans="1:38" x14ac:dyDescent="0.2">
      <c r="A2960" s="2" t="str">
        <f>HYPERLINK("https://www.compass.com/listing/121-east-22nd-street-unit-s601-manhattan-ny-10010/200630833889969793/","121 E 22nd St, Unit S601")</f>
        <v>121 E 22nd St, Unit S601</v>
      </c>
      <c r="B2960" s="2" t="str">
        <f>HYPERLINK("https://www.compass.com/building/121-e-22nd-manhattan-ny/292795784653461493/","121 E 22nd")</f>
        <v>121 E 22nd</v>
      </c>
      <c r="C2960" s="1" t="s">
        <v>54</v>
      </c>
      <c r="D2960" s="1" t="s">
        <v>41</v>
      </c>
      <c r="E2960" s="3">
        <v>3640000</v>
      </c>
      <c r="F2960" s="1">
        <v>2156.3981042654</v>
      </c>
      <c r="G2960" s="1">
        <v>4</v>
      </c>
      <c r="H2960" s="1">
        <v>2</v>
      </c>
      <c r="I2960" s="1">
        <v>3</v>
      </c>
      <c r="J2960" s="1">
        <v>2.5</v>
      </c>
      <c r="K2960" s="1">
        <v>2</v>
      </c>
      <c r="L2960" s="1">
        <v>1</v>
      </c>
      <c r="M2960" s="4">
        <v>1688</v>
      </c>
      <c r="N2960" s="1">
        <v>1758</v>
      </c>
      <c r="O2960" s="1">
        <v>4873</v>
      </c>
      <c r="P2960" s="1">
        <v>3115</v>
      </c>
      <c r="Q2960" s="1" t="s">
        <v>42</v>
      </c>
      <c r="S2960" s="1" t="s">
        <v>42</v>
      </c>
      <c r="T2960" s="1" t="s">
        <v>170</v>
      </c>
      <c r="V2960" s="5">
        <v>44373</v>
      </c>
      <c r="AA2960" s="1">
        <v>3640000</v>
      </c>
      <c r="AB2960" s="1" t="s">
        <v>181</v>
      </c>
      <c r="AC2960" s="5">
        <v>43508</v>
      </c>
      <c r="AF2960" s="1">
        <v>10010</v>
      </c>
      <c r="AI2960" s="1" t="s">
        <v>159</v>
      </c>
      <c r="AJ2960" s="1">
        <v>2016</v>
      </c>
      <c r="AK2960" s="1" t="s">
        <v>77</v>
      </c>
      <c r="AL2960" s="1">
        <v>140</v>
      </c>
    </row>
    <row r="2961" spans="1:38" x14ac:dyDescent="0.2">
      <c r="A2961" s="2" t="str">
        <f>HYPERLINK("https://www.compass.com/listing/252-south-street-unit-8c-manhattan-ny-10002/204039358993482257/","252 South St, Unit 8C")</f>
        <v>252 South St, Unit 8C</v>
      </c>
      <c r="B2961" s="2" t="str">
        <f t="shared" ref="B2961:B2962" si="393">HYPERLINK("https://www.compass.com/building/one-manhattan-square-manhattan-ny/294844950218926165/","One Manhattan Square")</f>
        <v>One Manhattan Square</v>
      </c>
      <c r="C2961" s="1" t="s">
        <v>66</v>
      </c>
      <c r="D2961" s="1" t="s">
        <v>41</v>
      </c>
      <c r="E2961" s="3">
        <v>1295397</v>
      </c>
      <c r="F2961" s="1">
        <v>1863.8799424460401</v>
      </c>
      <c r="M2961" s="1">
        <v>695</v>
      </c>
      <c r="Q2961" s="1" t="s">
        <v>42</v>
      </c>
      <c r="S2961" s="1" t="s">
        <v>42</v>
      </c>
      <c r="T2961" s="1" t="s">
        <v>170</v>
      </c>
      <c r="AA2961" s="1">
        <v>1295396.56</v>
      </c>
      <c r="AB2961" s="1" t="s">
        <v>2252</v>
      </c>
      <c r="AC2961" s="5">
        <v>43529</v>
      </c>
      <c r="AF2961" s="1">
        <v>10002</v>
      </c>
      <c r="AI2961" s="1" t="s">
        <v>55</v>
      </c>
      <c r="AJ2961" s="1">
        <v>2019</v>
      </c>
      <c r="AK2961" s="1" t="s">
        <v>46</v>
      </c>
      <c r="AL2961" s="1">
        <v>787</v>
      </c>
    </row>
    <row r="2962" spans="1:38" x14ac:dyDescent="0.2">
      <c r="A2962" s="2" t="str">
        <f>HYPERLINK("https://www.compass.com/listing/252-south-street-unit-8g-manhattan-ny-10002/208389248972303633/","252 South St, Unit 8G")</f>
        <v>252 South St, Unit 8G</v>
      </c>
      <c r="B2962" s="2" t="str">
        <f t="shared" si="393"/>
        <v>One Manhattan Square</v>
      </c>
      <c r="C2962" s="1" t="s">
        <v>66</v>
      </c>
      <c r="D2962" s="1" t="s">
        <v>41</v>
      </c>
      <c r="E2962" s="3">
        <v>1073163</v>
      </c>
      <c r="F2962" s="1">
        <v>1484.3188105117499</v>
      </c>
      <c r="M2962" s="1">
        <v>723</v>
      </c>
      <c r="Q2962" s="1" t="s">
        <v>42</v>
      </c>
      <c r="S2962" s="1" t="s">
        <v>42</v>
      </c>
      <c r="T2962" s="1" t="s">
        <v>170</v>
      </c>
      <c r="AA2962" s="1">
        <v>1073162.5</v>
      </c>
      <c r="AB2962" s="1" t="s">
        <v>2253</v>
      </c>
      <c r="AC2962" s="5">
        <v>43531</v>
      </c>
      <c r="AF2962" s="1">
        <v>10002</v>
      </c>
      <c r="AI2962" s="1" t="s">
        <v>55</v>
      </c>
      <c r="AJ2962" s="1">
        <v>2019</v>
      </c>
      <c r="AK2962" s="1" t="s">
        <v>46</v>
      </c>
      <c r="AL2962" s="1">
        <v>787</v>
      </c>
    </row>
    <row r="2963" spans="1:38" x14ac:dyDescent="0.2">
      <c r="A2963" s="2" t="str">
        <f>HYPERLINK("https://www.compass.com/listing/520-park-avenue-unit-4a-manhattan-ny-10065/209166835520678289/","520 Park Ave, Unit 4A")</f>
        <v>520 Park Ave, Unit 4A</v>
      </c>
      <c r="B2963" s="2" t="str">
        <f>HYPERLINK("https://www.compass.com/building/520-park-ave-manhattan-ny-10065/344158009579879061/","520 Park Ave")</f>
        <v>520 Park Ave</v>
      </c>
      <c r="C2963" s="1" t="s">
        <v>115</v>
      </c>
      <c r="D2963" s="1" t="s">
        <v>41</v>
      </c>
      <c r="E2963" s="3">
        <v>500000</v>
      </c>
      <c r="F2963" s="1">
        <v>1282.0512820512799</v>
      </c>
      <c r="M2963" s="1">
        <v>390</v>
      </c>
      <c r="Q2963" s="1" t="s">
        <v>42</v>
      </c>
      <c r="S2963" s="1" t="s">
        <v>42</v>
      </c>
      <c r="T2963" s="1" t="s">
        <v>170</v>
      </c>
      <c r="AA2963" s="1">
        <v>500000</v>
      </c>
      <c r="AB2963" s="1" t="s">
        <v>2254</v>
      </c>
      <c r="AC2963" s="5">
        <v>43532</v>
      </c>
      <c r="AF2963" s="1">
        <v>10065</v>
      </c>
      <c r="AI2963" s="1" t="s">
        <v>48</v>
      </c>
      <c r="AJ2963" s="1">
        <v>2018</v>
      </c>
      <c r="AK2963" s="1" t="s">
        <v>46</v>
      </c>
      <c r="AL2963" s="1">
        <v>35</v>
      </c>
    </row>
    <row r="2964" spans="1:38" x14ac:dyDescent="0.2">
      <c r="A2964" s="2" t="str">
        <f>HYPERLINK("https://www.compass.com/listing/121-east-22nd-street-unit-condo-manhattan-ny-10010/212735447284067345/","121 E 22nd St, Unit CONDO")</f>
        <v>121 E 22nd St, Unit CONDO</v>
      </c>
      <c r="B2964" s="2" t="str">
        <f>HYPERLINK("https://www.compass.com/building/121-e-22nd-manhattan-ny/292795784653461493/","121 E 22nd")</f>
        <v>121 E 22nd</v>
      </c>
      <c r="C2964" s="1" t="s">
        <v>54</v>
      </c>
      <c r="D2964" s="1" t="s">
        <v>41</v>
      </c>
      <c r="E2964" s="3">
        <v>1552831</v>
      </c>
      <c r="F2964" s="1">
        <v>1912.35375615763</v>
      </c>
      <c r="M2964" s="1">
        <v>812</v>
      </c>
      <c r="Q2964" s="1" t="s">
        <v>42</v>
      </c>
      <c r="S2964" s="1" t="s">
        <v>42</v>
      </c>
      <c r="T2964" s="1" t="s">
        <v>170</v>
      </c>
      <c r="AA2964" s="1">
        <v>1552831.25</v>
      </c>
      <c r="AB2964" s="1" t="s">
        <v>2255</v>
      </c>
      <c r="AC2964" s="5">
        <v>43532</v>
      </c>
      <c r="AF2964" s="1">
        <v>10010</v>
      </c>
      <c r="AI2964" s="1" t="s">
        <v>55</v>
      </c>
      <c r="AJ2964" s="1">
        <v>2016</v>
      </c>
      <c r="AK2964" s="1" t="s">
        <v>49</v>
      </c>
      <c r="AL2964" s="1">
        <v>140</v>
      </c>
    </row>
    <row r="2965" spans="1:38" x14ac:dyDescent="0.2">
      <c r="A2965" s="2" t="str">
        <f>HYPERLINK("https://www.compass.com/listing/86-canal-street-unit-10c-manhattan-ny-10002/217799247574076641/","86 Canal St, Unit 10C")</f>
        <v>86 Canal St, Unit 10C</v>
      </c>
      <c r="B2965" s="2" t="str">
        <f>HYPERLINK("https://www.compass.com/building/86-canal-st-manhattan-ny-10002/281888255618581733/","86 Canal St")</f>
        <v>86 Canal St</v>
      </c>
      <c r="C2965" s="1" t="s">
        <v>1340</v>
      </c>
      <c r="D2965" s="1" t="s">
        <v>41</v>
      </c>
      <c r="E2965" s="3">
        <v>661863</v>
      </c>
      <c r="F2965" s="1">
        <v>1290.1803118908299</v>
      </c>
      <c r="M2965" s="1">
        <v>513</v>
      </c>
      <c r="Q2965" s="1" t="s">
        <v>42</v>
      </c>
      <c r="S2965" s="1" t="s">
        <v>42</v>
      </c>
      <c r="T2965" s="1" t="s">
        <v>170</v>
      </c>
      <c r="AA2965" s="1">
        <v>661862.5</v>
      </c>
      <c r="AB2965" s="1" t="s">
        <v>2256</v>
      </c>
      <c r="AC2965" s="5">
        <v>43543</v>
      </c>
      <c r="AF2965" s="1">
        <v>10002</v>
      </c>
      <c r="AJ2965" s="1">
        <v>2012</v>
      </c>
      <c r="AL2965" s="1">
        <v>89</v>
      </c>
    </row>
    <row r="2966" spans="1:38" x14ac:dyDescent="0.2">
      <c r="A2966" s="2" t="str">
        <f>HYPERLINK("https://www.compass.com/listing/551-main-street-unit-1811-manhattan-ny-10044/217869964990862945/","551 Main St, Unit 1811")</f>
        <v>551 Main St, Unit 1811</v>
      </c>
      <c r="B2966" s="2" t="str">
        <f>HYPERLINK("https://www.compass.com/building/island-house-manhattan-ny/282059863998105557/","Island House")</f>
        <v>Island House</v>
      </c>
      <c r="C2966" s="1" t="s">
        <v>128</v>
      </c>
      <c r="D2966" s="1" t="s">
        <v>41</v>
      </c>
      <c r="E2966" s="3">
        <v>420000</v>
      </c>
      <c r="Q2966" s="1" t="s">
        <v>129</v>
      </c>
      <c r="S2966" s="1" t="s">
        <v>129</v>
      </c>
      <c r="T2966" s="1" t="s">
        <v>170</v>
      </c>
      <c r="AA2966" s="1">
        <v>420000</v>
      </c>
      <c r="AB2966" s="1" t="s">
        <v>2257</v>
      </c>
      <c r="AC2966" s="5">
        <v>43525</v>
      </c>
      <c r="AF2966" s="1">
        <v>10044</v>
      </c>
      <c r="AJ2966" s="1">
        <v>1975</v>
      </c>
      <c r="AL2966" s="1">
        <v>400</v>
      </c>
    </row>
    <row r="2967" spans="1:38" x14ac:dyDescent="0.2">
      <c r="A2967" s="2" t="str">
        <f>HYPERLINK("https://www.compass.com/listing/252-south-street-unit-15c-manhattan-ny-10002/223606317305103329/","252 South St, Unit 15C")</f>
        <v>252 South St, Unit 15C</v>
      </c>
      <c r="B2967" s="2" t="str">
        <f>HYPERLINK("https://www.compass.com/building/one-manhattan-square-manhattan-ny/294844950218926165/","One Manhattan Square")</f>
        <v>One Manhattan Square</v>
      </c>
      <c r="C2967" s="1" t="s">
        <v>66</v>
      </c>
      <c r="D2967" s="1" t="s">
        <v>41</v>
      </c>
      <c r="E2967" s="3">
        <v>1282821</v>
      </c>
      <c r="F2967" s="1">
        <v>1845.7850071942401</v>
      </c>
      <c r="M2967" s="1">
        <v>695</v>
      </c>
      <c r="Q2967" s="1" t="s">
        <v>42</v>
      </c>
      <c r="S2967" s="1" t="s">
        <v>42</v>
      </c>
      <c r="T2967" s="1" t="s">
        <v>170</v>
      </c>
      <c r="AA2967" s="1">
        <v>1282820.58</v>
      </c>
      <c r="AB2967" s="1" t="s">
        <v>2258</v>
      </c>
      <c r="AC2967" s="5">
        <v>43552</v>
      </c>
      <c r="AF2967" s="1">
        <v>10002</v>
      </c>
      <c r="AI2967" s="1" t="s">
        <v>55</v>
      </c>
      <c r="AJ2967" s="1">
        <v>2019</v>
      </c>
      <c r="AK2967" s="1" t="s">
        <v>46</v>
      </c>
      <c r="AL2967" s="1">
        <v>787</v>
      </c>
    </row>
    <row r="2968" spans="1:38" x14ac:dyDescent="0.2">
      <c r="A2968" s="2" t="str">
        <f>HYPERLINK("https://www.compass.com/listing/21-east-12th-street-unit-3a-manhattan-ny-10003/233083147552668657/","21 E 12th St, Unit 3A")</f>
        <v>21 E 12th St, Unit 3A</v>
      </c>
      <c r="B2968" s="2" t="str">
        <f>HYPERLINK("https://www.compass.com/building/21-east-12th-street-manhattan-ny/292779727154847925/","21 East 12th Street")</f>
        <v>21 East 12th Street</v>
      </c>
      <c r="C2968" s="1" t="s">
        <v>370</v>
      </c>
      <c r="D2968" s="1" t="s">
        <v>41</v>
      </c>
      <c r="E2968" s="3">
        <v>23278631</v>
      </c>
      <c r="F2968" s="1">
        <v>3501.0724454805199</v>
      </c>
      <c r="M2968" s="4">
        <v>6649</v>
      </c>
      <c r="Q2968" s="1" t="s">
        <v>42</v>
      </c>
      <c r="S2968" s="1" t="s">
        <v>42</v>
      </c>
      <c r="T2968" s="1" t="s">
        <v>170</v>
      </c>
      <c r="AA2968" s="1">
        <v>23278630.690000001</v>
      </c>
      <c r="AB2968" s="1" t="s">
        <v>2259</v>
      </c>
      <c r="AC2968" s="5">
        <v>43563</v>
      </c>
      <c r="AF2968" s="1">
        <v>10003</v>
      </c>
      <c r="AI2968" s="1" t="s">
        <v>59</v>
      </c>
      <c r="AJ2968" s="1">
        <v>2018</v>
      </c>
      <c r="AK2968" s="1" t="s">
        <v>172</v>
      </c>
      <c r="AL2968" s="1">
        <v>52</v>
      </c>
    </row>
    <row r="2969" spans="1:38" x14ac:dyDescent="0.2">
      <c r="A2969" s="2" t="str">
        <f>HYPERLINK("https://www.compass.com/listing/520-park-avenue-unit-5a-manhattan-ny-10065/233833421950976497/","520 Park Ave, Unit 5A")</f>
        <v>520 Park Ave, Unit 5A</v>
      </c>
      <c r="B2969" s="2" t="str">
        <f>HYPERLINK("https://www.compass.com/building/520-park-ave-manhattan-ny-10065/344158009579879061/","520 Park Ave")</f>
        <v>520 Park Ave</v>
      </c>
      <c r="C2969" s="1" t="s">
        <v>115</v>
      </c>
      <c r="D2969" s="1" t="s">
        <v>41</v>
      </c>
      <c r="E2969" s="3">
        <v>1530375</v>
      </c>
      <c r="F2969" s="1">
        <v>3954.4573643410799</v>
      </c>
      <c r="M2969" s="1">
        <v>387</v>
      </c>
      <c r="Q2969" s="1" t="s">
        <v>42</v>
      </c>
      <c r="S2969" s="1" t="s">
        <v>42</v>
      </c>
      <c r="T2969" s="1" t="s">
        <v>170</v>
      </c>
      <c r="AA2969" s="1">
        <v>1530375</v>
      </c>
      <c r="AB2969" s="1" t="s">
        <v>2260</v>
      </c>
      <c r="AC2969" s="5">
        <v>43563</v>
      </c>
      <c r="AF2969" s="1">
        <v>10065</v>
      </c>
      <c r="AI2969" s="1" t="s">
        <v>48</v>
      </c>
      <c r="AJ2969" s="1">
        <v>2018</v>
      </c>
      <c r="AK2969" s="1" t="s">
        <v>46</v>
      </c>
      <c r="AL2969" s="1">
        <v>35</v>
      </c>
    </row>
    <row r="2970" spans="1:38" x14ac:dyDescent="0.2">
      <c r="A2970" s="2" t="str">
        <f>HYPERLINK("https://www.compass.com/listing/49-51-chambers-street-unit-8a-manhattan-ny-10007/236666976544571297/","49-51 Chambers St, Unit 8A")</f>
        <v>49-51 Chambers St, Unit 8A</v>
      </c>
      <c r="B2970" s="2" t="str">
        <f>HYPERLINK("https://www.compass.com/building/49-51-chambers-st-manhattan-ny-10007/441163040348878029/","49-51 Chambers St")</f>
        <v>49-51 Chambers St</v>
      </c>
      <c r="C2970" s="1" t="s">
        <v>956</v>
      </c>
      <c r="D2970" s="1" t="s">
        <v>41</v>
      </c>
      <c r="E2970" s="3">
        <v>3340000</v>
      </c>
      <c r="F2970" s="1">
        <v>1831.14035087719</v>
      </c>
      <c r="M2970" s="4">
        <v>1824</v>
      </c>
      <c r="Q2970" s="1" t="s">
        <v>42</v>
      </c>
      <c r="S2970" s="1" t="s">
        <v>42</v>
      </c>
      <c r="T2970" s="1" t="s">
        <v>170</v>
      </c>
      <c r="AA2970" s="1">
        <v>3340000</v>
      </c>
      <c r="AB2970" s="1" t="s">
        <v>2261</v>
      </c>
      <c r="AC2970" s="5">
        <v>43571</v>
      </c>
      <c r="AF2970" s="1">
        <v>10007</v>
      </c>
    </row>
    <row r="2971" spans="1:38" x14ac:dyDescent="0.2">
      <c r="A2971" s="2" t="str">
        <f>HYPERLINK("https://www.compass.com/listing/252-south-street-unit-20c-manhattan-ny-10002/239392789434046385/","252 South St, Unit 20C")</f>
        <v>252 South St, Unit 20C</v>
      </c>
      <c r="B2971" s="2" t="str">
        <f t="shared" ref="B2971:B2986" si="394">HYPERLINK("https://www.compass.com/building/one-manhattan-square-manhattan-ny/294844950218926165/","One Manhattan Square")</f>
        <v>One Manhattan Square</v>
      </c>
      <c r="C2971" s="1" t="s">
        <v>66</v>
      </c>
      <c r="D2971" s="1" t="s">
        <v>41</v>
      </c>
      <c r="E2971" s="3">
        <v>1431791</v>
      </c>
      <c r="F2971" s="1">
        <v>2060.13143884892</v>
      </c>
      <c r="M2971" s="1">
        <v>695</v>
      </c>
      <c r="Q2971" s="1" t="s">
        <v>42</v>
      </c>
      <c r="S2971" s="1" t="s">
        <v>42</v>
      </c>
      <c r="T2971" s="1" t="s">
        <v>170</v>
      </c>
      <c r="AA2971" s="1">
        <v>1431791.35</v>
      </c>
      <c r="AB2971" s="1" t="s">
        <v>2262</v>
      </c>
      <c r="AC2971" s="5">
        <v>43573</v>
      </c>
      <c r="AF2971" s="1">
        <v>10002</v>
      </c>
      <c r="AI2971" s="1" t="s">
        <v>55</v>
      </c>
      <c r="AJ2971" s="1">
        <v>2019</v>
      </c>
      <c r="AK2971" s="1" t="s">
        <v>46</v>
      </c>
      <c r="AL2971" s="1">
        <v>787</v>
      </c>
    </row>
    <row r="2972" spans="1:38" x14ac:dyDescent="0.2">
      <c r="A2972" s="2" t="str">
        <f>HYPERLINK("https://www.compass.com/listing/252-south-street-unit-15n-manhattan-ny-10002/276887416596363841/","252 South St, Unit 15N")</f>
        <v>252 South St, Unit 15N</v>
      </c>
      <c r="B2972" s="2" t="str">
        <f t="shared" si="394"/>
        <v>One Manhattan Square</v>
      </c>
      <c r="C2972" s="1" t="s">
        <v>66</v>
      </c>
      <c r="D2972" s="1" t="s">
        <v>41</v>
      </c>
      <c r="E2972" s="3">
        <v>1215107</v>
      </c>
      <c r="F2972" s="1">
        <v>1748.3553237409999</v>
      </c>
      <c r="M2972" s="1">
        <v>695</v>
      </c>
      <c r="Q2972" s="1" t="s">
        <v>42</v>
      </c>
      <c r="S2972" s="1" t="s">
        <v>42</v>
      </c>
      <c r="T2972" s="1" t="s">
        <v>170</v>
      </c>
      <c r="AA2972" s="1">
        <v>1215106.95</v>
      </c>
      <c r="AB2972" s="1" t="s">
        <v>2263</v>
      </c>
      <c r="AC2972" s="5">
        <v>43614</v>
      </c>
      <c r="AF2972" s="1">
        <v>10002</v>
      </c>
      <c r="AI2972" s="1" t="s">
        <v>55</v>
      </c>
      <c r="AJ2972" s="1">
        <v>2019</v>
      </c>
      <c r="AK2972" s="1" t="s">
        <v>46</v>
      </c>
      <c r="AL2972" s="1">
        <v>787</v>
      </c>
    </row>
    <row r="2973" spans="1:38" x14ac:dyDescent="0.2">
      <c r="A2973" s="2" t="str">
        <f>HYPERLINK("https://www.compass.com/listing/252-south-street-unit-21g-manhattan-ny-10002/276887422913022145/","252 South St, Unit 21G")</f>
        <v>252 South St, Unit 21G</v>
      </c>
      <c r="B2973" s="2" t="str">
        <f t="shared" si="394"/>
        <v>One Manhattan Square</v>
      </c>
      <c r="C2973" s="1" t="s">
        <v>66</v>
      </c>
      <c r="D2973" s="1" t="s">
        <v>41</v>
      </c>
      <c r="E2973" s="3">
        <v>1231715</v>
      </c>
      <c r="F2973" s="1">
        <v>1703.61738589211</v>
      </c>
      <c r="M2973" s="1">
        <v>723</v>
      </c>
      <c r="Q2973" s="1" t="s">
        <v>42</v>
      </c>
      <c r="S2973" s="1" t="s">
        <v>42</v>
      </c>
      <c r="T2973" s="1" t="s">
        <v>170</v>
      </c>
      <c r="AA2973" s="1">
        <v>1231715.3700000001</v>
      </c>
      <c r="AB2973" s="1" t="s">
        <v>2264</v>
      </c>
      <c r="AC2973" s="5">
        <v>43579</v>
      </c>
      <c r="AF2973" s="1">
        <v>10002</v>
      </c>
      <c r="AI2973" s="1" t="s">
        <v>55</v>
      </c>
      <c r="AJ2973" s="1">
        <v>2019</v>
      </c>
      <c r="AK2973" s="1" t="s">
        <v>46</v>
      </c>
      <c r="AL2973" s="1">
        <v>787</v>
      </c>
    </row>
    <row r="2974" spans="1:38" x14ac:dyDescent="0.2">
      <c r="A2974" s="2" t="str">
        <f>HYPERLINK("https://www.compass.com/listing/252-south-street-unit-21n-manhattan-ny-10002/276887423667969297/","252 South St, Unit 21N")</f>
        <v>252 South St, Unit 21N</v>
      </c>
      <c r="B2974" s="2" t="str">
        <f t="shared" si="394"/>
        <v>One Manhattan Square</v>
      </c>
      <c r="C2974" s="1" t="s">
        <v>66</v>
      </c>
      <c r="D2974" s="1" t="s">
        <v>41</v>
      </c>
      <c r="E2974" s="3">
        <v>1293094</v>
      </c>
      <c r="F2974" s="1">
        <v>1860.5674244604299</v>
      </c>
      <c r="M2974" s="1">
        <v>695</v>
      </c>
      <c r="Q2974" s="1" t="s">
        <v>42</v>
      </c>
      <c r="S2974" s="1" t="s">
        <v>42</v>
      </c>
      <c r="T2974" s="1" t="s">
        <v>170</v>
      </c>
      <c r="AA2974" s="1">
        <v>1293094.3600000001</v>
      </c>
      <c r="AB2974" s="1" t="s">
        <v>2265</v>
      </c>
      <c r="AC2974" s="5">
        <v>43585</v>
      </c>
      <c r="AF2974" s="1">
        <v>10002</v>
      </c>
      <c r="AI2974" s="1" t="s">
        <v>55</v>
      </c>
      <c r="AJ2974" s="1">
        <v>2019</v>
      </c>
      <c r="AK2974" s="1" t="s">
        <v>46</v>
      </c>
      <c r="AL2974" s="1">
        <v>787</v>
      </c>
    </row>
    <row r="2975" spans="1:38" x14ac:dyDescent="0.2">
      <c r="A2975" s="2" t="str">
        <f>HYPERLINK("https://www.compass.com/listing/252-south-street-unit-22p-manhattan-ny-10002/276887424959845009/","252 South St, Unit 22P")</f>
        <v>252 South St, Unit 22P</v>
      </c>
      <c r="B2975" s="2" t="str">
        <f t="shared" si="394"/>
        <v>One Manhattan Square</v>
      </c>
      <c r="C2975" s="1" t="s">
        <v>66</v>
      </c>
      <c r="D2975" s="1" t="s">
        <v>41</v>
      </c>
      <c r="E2975" s="3">
        <v>1366419</v>
      </c>
      <c r="F2975" s="1">
        <v>1889.9287690179799</v>
      </c>
      <c r="M2975" s="1">
        <v>723</v>
      </c>
      <c r="Q2975" s="1" t="s">
        <v>42</v>
      </c>
      <c r="S2975" s="1" t="s">
        <v>42</v>
      </c>
      <c r="T2975" s="1" t="s">
        <v>170</v>
      </c>
      <c r="AA2975" s="1">
        <v>1366418.5</v>
      </c>
      <c r="AB2975" s="1" t="s">
        <v>2266</v>
      </c>
      <c r="AC2975" s="5">
        <v>43601</v>
      </c>
      <c r="AF2975" s="1">
        <v>10002</v>
      </c>
      <c r="AI2975" s="1" t="s">
        <v>55</v>
      </c>
      <c r="AJ2975" s="1">
        <v>2019</v>
      </c>
      <c r="AK2975" s="1" t="s">
        <v>46</v>
      </c>
      <c r="AL2975" s="1">
        <v>787</v>
      </c>
    </row>
    <row r="2976" spans="1:38" x14ac:dyDescent="0.2">
      <c r="A2976" s="2" t="str">
        <f>HYPERLINK("https://www.compass.com/listing/252-south-street-unit-23b-manhattan-ny-10002/276887425639294593/","252 South St, Unit 23B")</f>
        <v>252 South St, Unit 23B</v>
      </c>
      <c r="B2976" s="2" t="str">
        <f t="shared" si="394"/>
        <v>One Manhattan Square</v>
      </c>
      <c r="C2976" s="1" t="s">
        <v>66</v>
      </c>
      <c r="D2976" s="1" t="s">
        <v>41</v>
      </c>
      <c r="E2976" s="3">
        <v>1416313</v>
      </c>
      <c r="F2976" s="1">
        <v>2034.9321120689599</v>
      </c>
      <c r="M2976" s="1">
        <v>696</v>
      </c>
      <c r="Q2976" s="1" t="s">
        <v>42</v>
      </c>
      <c r="S2976" s="1" t="s">
        <v>42</v>
      </c>
      <c r="T2976" s="1" t="s">
        <v>170</v>
      </c>
      <c r="AA2976" s="1">
        <v>1416312.75</v>
      </c>
      <c r="AB2976" s="1" t="s">
        <v>2267</v>
      </c>
      <c r="AC2976" s="5">
        <v>43608</v>
      </c>
      <c r="AF2976" s="1">
        <v>10002</v>
      </c>
      <c r="AI2976" s="1" t="s">
        <v>55</v>
      </c>
      <c r="AJ2976" s="1">
        <v>2019</v>
      </c>
      <c r="AK2976" s="1" t="s">
        <v>46</v>
      </c>
      <c r="AL2976" s="1">
        <v>787</v>
      </c>
    </row>
    <row r="2977" spans="1:38" x14ac:dyDescent="0.2">
      <c r="A2977" s="2" t="str">
        <f>HYPERLINK("https://www.compass.com/listing/252-south-street-unit-23c-manhattan-ny-10002/276887426176246049/","252 South St, Unit 23C")</f>
        <v>252 South St, Unit 23C</v>
      </c>
      <c r="B2977" s="2" t="str">
        <f t="shared" si="394"/>
        <v>One Manhattan Square</v>
      </c>
      <c r="C2977" s="1" t="s">
        <v>66</v>
      </c>
      <c r="D2977" s="1" t="s">
        <v>41</v>
      </c>
      <c r="E2977" s="3">
        <v>1414380</v>
      </c>
      <c r="F2977" s="1">
        <v>2035.0786762589901</v>
      </c>
      <c r="M2977" s="1">
        <v>695</v>
      </c>
      <c r="Q2977" s="1" t="s">
        <v>42</v>
      </c>
      <c r="S2977" s="1" t="s">
        <v>42</v>
      </c>
      <c r="T2977" s="1" t="s">
        <v>170</v>
      </c>
      <c r="AA2977" s="1">
        <v>1414379.68</v>
      </c>
      <c r="AB2977" s="1" t="s">
        <v>2268</v>
      </c>
      <c r="AC2977" s="5">
        <v>43595</v>
      </c>
      <c r="AF2977" s="1">
        <v>10002</v>
      </c>
      <c r="AI2977" s="1" t="s">
        <v>55</v>
      </c>
      <c r="AJ2977" s="1">
        <v>2019</v>
      </c>
      <c r="AK2977" s="1" t="s">
        <v>46</v>
      </c>
      <c r="AL2977" s="1">
        <v>787</v>
      </c>
    </row>
    <row r="2978" spans="1:38" x14ac:dyDescent="0.2">
      <c r="A2978" s="2" t="str">
        <f>HYPERLINK("https://www.compass.com/listing/252-south-street-unit-24b-manhattan-ny-10002/276887427593843121/","252 South St, Unit 24B")</f>
        <v>252 South St, Unit 24B</v>
      </c>
      <c r="B2978" s="2" t="str">
        <f t="shared" si="394"/>
        <v>One Manhattan Square</v>
      </c>
      <c r="C2978" s="1" t="s">
        <v>66</v>
      </c>
      <c r="D2978" s="1" t="s">
        <v>41</v>
      </c>
      <c r="E2978" s="3">
        <v>1416313</v>
      </c>
      <c r="F2978" s="1">
        <v>2034.9321120689599</v>
      </c>
      <c r="M2978" s="1">
        <v>696</v>
      </c>
      <c r="Q2978" s="1" t="s">
        <v>42</v>
      </c>
      <c r="S2978" s="1" t="s">
        <v>42</v>
      </c>
      <c r="T2978" s="1" t="s">
        <v>170</v>
      </c>
      <c r="AA2978" s="1">
        <v>1416312.75</v>
      </c>
      <c r="AB2978" s="1" t="s">
        <v>2269</v>
      </c>
      <c r="AC2978" s="5">
        <v>43577</v>
      </c>
      <c r="AF2978" s="1">
        <v>10002</v>
      </c>
      <c r="AI2978" s="1" t="s">
        <v>55</v>
      </c>
      <c r="AJ2978" s="1">
        <v>2019</v>
      </c>
      <c r="AK2978" s="1" t="s">
        <v>46</v>
      </c>
      <c r="AL2978" s="1">
        <v>787</v>
      </c>
    </row>
    <row r="2979" spans="1:38" x14ac:dyDescent="0.2">
      <c r="A2979" s="2" t="str">
        <f>HYPERLINK("https://www.compass.com/listing/252-south-street-unit-26p-manhattan-ny-10002/276887438331299313/","252 South St, Unit 26P")</f>
        <v>252 South St, Unit 26P</v>
      </c>
      <c r="B2979" s="2" t="str">
        <f t="shared" si="394"/>
        <v>One Manhattan Square</v>
      </c>
      <c r="C2979" s="1" t="s">
        <v>66</v>
      </c>
      <c r="D2979" s="1" t="s">
        <v>41</v>
      </c>
      <c r="E2979" s="3">
        <v>1526284</v>
      </c>
      <c r="F2979" s="1">
        <v>2111.0425311203298</v>
      </c>
      <c r="M2979" s="1">
        <v>723</v>
      </c>
      <c r="Q2979" s="1" t="s">
        <v>42</v>
      </c>
      <c r="S2979" s="1" t="s">
        <v>42</v>
      </c>
      <c r="T2979" s="1" t="s">
        <v>170</v>
      </c>
      <c r="AA2979" s="1">
        <v>1526283.75</v>
      </c>
      <c r="AB2979" s="1" t="s">
        <v>2270</v>
      </c>
      <c r="AC2979" s="5">
        <v>43613</v>
      </c>
      <c r="AF2979" s="1">
        <v>10002</v>
      </c>
      <c r="AI2979" s="1" t="s">
        <v>55</v>
      </c>
      <c r="AJ2979" s="1">
        <v>2019</v>
      </c>
      <c r="AK2979" s="1" t="s">
        <v>46</v>
      </c>
      <c r="AL2979" s="1">
        <v>787</v>
      </c>
    </row>
    <row r="2980" spans="1:38" x14ac:dyDescent="0.2">
      <c r="A2980" s="2" t="str">
        <f>HYPERLINK("https://www.compass.com/listing/252-south-street-unit-27j-manhattan-ny-10002/276887439077859505/","252 South St, Unit 27J")</f>
        <v>252 South St, Unit 27J</v>
      </c>
      <c r="B2980" s="2" t="str">
        <f t="shared" si="394"/>
        <v>One Manhattan Square</v>
      </c>
      <c r="C2980" s="1" t="s">
        <v>66</v>
      </c>
      <c r="D2980" s="1" t="s">
        <v>41</v>
      </c>
      <c r="E2980" s="3">
        <v>1274115</v>
      </c>
      <c r="F2980" s="1">
        <v>1830.6246264367801</v>
      </c>
      <c r="M2980" s="1">
        <v>696</v>
      </c>
      <c r="Q2980" s="1" t="s">
        <v>42</v>
      </c>
      <c r="S2980" s="1" t="s">
        <v>42</v>
      </c>
      <c r="T2980" s="1" t="s">
        <v>170</v>
      </c>
      <c r="AA2980" s="1">
        <v>1274114.74</v>
      </c>
      <c r="AB2980" s="1" t="s">
        <v>2271</v>
      </c>
      <c r="AC2980" s="5">
        <v>43602</v>
      </c>
      <c r="AF2980" s="1">
        <v>10002</v>
      </c>
      <c r="AI2980" s="1" t="s">
        <v>55</v>
      </c>
      <c r="AJ2980" s="1">
        <v>2019</v>
      </c>
      <c r="AK2980" s="1" t="s">
        <v>46</v>
      </c>
      <c r="AL2980" s="1">
        <v>787</v>
      </c>
    </row>
    <row r="2981" spans="1:38" x14ac:dyDescent="0.2">
      <c r="A2981" s="2" t="str">
        <f>HYPERLINK("https://www.compass.com/listing/252-south-street-unit-28c-manhattan-ny-10002/276887441267288561/","252 South St, Unit 28C")</f>
        <v>252 South St, Unit 28C</v>
      </c>
      <c r="B2981" s="2" t="str">
        <f t="shared" si="394"/>
        <v>One Manhattan Square</v>
      </c>
      <c r="C2981" s="1" t="s">
        <v>66</v>
      </c>
      <c r="D2981" s="1" t="s">
        <v>41</v>
      </c>
      <c r="E2981" s="3">
        <v>1457909</v>
      </c>
      <c r="F2981" s="1">
        <v>2097.71058992805</v>
      </c>
      <c r="M2981" s="1">
        <v>695</v>
      </c>
      <c r="Q2981" s="1" t="s">
        <v>42</v>
      </c>
      <c r="S2981" s="1" t="s">
        <v>42</v>
      </c>
      <c r="T2981" s="1" t="s">
        <v>170</v>
      </c>
      <c r="AA2981" s="1">
        <v>1457908.86</v>
      </c>
      <c r="AB2981" s="1" t="s">
        <v>2272</v>
      </c>
      <c r="AC2981" s="5">
        <v>43619</v>
      </c>
      <c r="AF2981" s="1">
        <v>10002</v>
      </c>
      <c r="AI2981" s="1" t="s">
        <v>55</v>
      </c>
      <c r="AJ2981" s="1">
        <v>2019</v>
      </c>
      <c r="AK2981" s="1" t="s">
        <v>46</v>
      </c>
      <c r="AL2981" s="1">
        <v>787</v>
      </c>
    </row>
    <row r="2982" spans="1:38" x14ac:dyDescent="0.2">
      <c r="A2982" s="2" t="str">
        <f>HYPERLINK("https://www.compass.com/listing/252-south-street-unit-29c-manhattan-ny-10002/276887445302237601/","252 South St, Unit 29C")</f>
        <v>252 South St, Unit 29C</v>
      </c>
      <c r="B2982" s="2" t="str">
        <f t="shared" si="394"/>
        <v>One Manhattan Square</v>
      </c>
      <c r="C2982" s="1" t="s">
        <v>66</v>
      </c>
      <c r="D2982" s="1" t="s">
        <v>41</v>
      </c>
      <c r="E2982" s="3">
        <v>1438562</v>
      </c>
      <c r="F2982" s="1">
        <v>2069.8735395683402</v>
      </c>
      <c r="M2982" s="1">
        <v>695</v>
      </c>
      <c r="Q2982" s="1" t="s">
        <v>42</v>
      </c>
      <c r="S2982" s="1" t="s">
        <v>42</v>
      </c>
      <c r="T2982" s="1" t="s">
        <v>170</v>
      </c>
      <c r="AA2982" s="1">
        <v>1438562.11</v>
      </c>
      <c r="AB2982" s="1" t="s">
        <v>2273</v>
      </c>
      <c r="AC2982" s="5">
        <v>43601</v>
      </c>
      <c r="AF2982" s="1">
        <v>10002</v>
      </c>
      <c r="AI2982" s="1" t="s">
        <v>55</v>
      </c>
      <c r="AJ2982" s="1">
        <v>2019</v>
      </c>
      <c r="AK2982" s="1" t="s">
        <v>46</v>
      </c>
      <c r="AL2982" s="1">
        <v>787</v>
      </c>
    </row>
    <row r="2983" spans="1:38" x14ac:dyDescent="0.2">
      <c r="A2983" s="2" t="str">
        <f>HYPERLINK("https://www.compass.com/listing/252-south-street-unit-29d-manhattan-ny-10002/276887446627611313/","252 South St, Unit 29D")</f>
        <v>252 South St, Unit 29D</v>
      </c>
      <c r="B2983" s="2" t="str">
        <f t="shared" si="394"/>
        <v>One Manhattan Square</v>
      </c>
      <c r="C2983" s="1" t="s">
        <v>66</v>
      </c>
      <c r="D2983" s="1" t="s">
        <v>41</v>
      </c>
      <c r="E2983" s="3">
        <v>2533589</v>
      </c>
      <c r="F2983" s="1">
        <v>2256.0895458593</v>
      </c>
      <c r="M2983" s="4">
        <v>1123</v>
      </c>
      <c r="Q2983" s="1" t="s">
        <v>42</v>
      </c>
      <c r="S2983" s="1" t="s">
        <v>42</v>
      </c>
      <c r="T2983" s="1" t="s">
        <v>170</v>
      </c>
      <c r="AA2983" s="1">
        <v>2533588.56</v>
      </c>
      <c r="AB2983" s="1" t="s">
        <v>2274</v>
      </c>
      <c r="AC2983" s="5">
        <v>43605</v>
      </c>
      <c r="AF2983" s="1">
        <v>10002</v>
      </c>
      <c r="AI2983" s="1" t="s">
        <v>55</v>
      </c>
      <c r="AJ2983" s="1">
        <v>2019</v>
      </c>
      <c r="AK2983" s="1" t="s">
        <v>46</v>
      </c>
      <c r="AL2983" s="1">
        <v>787</v>
      </c>
    </row>
    <row r="2984" spans="1:38" x14ac:dyDescent="0.2">
      <c r="A2984" s="2" t="str">
        <f>HYPERLINK("https://www.compass.com/listing/252-south-street-unit-30d-manhattan-ny-10002/276887448305361409/","252 South St, Unit 30D")</f>
        <v>252 South St, Unit 30D</v>
      </c>
      <c r="B2984" s="2" t="str">
        <f t="shared" si="394"/>
        <v>One Manhattan Square</v>
      </c>
      <c r="C2984" s="1" t="s">
        <v>66</v>
      </c>
      <c r="D2984" s="1" t="s">
        <v>41</v>
      </c>
      <c r="E2984" s="3">
        <v>2685460</v>
      </c>
      <c r="F2984" s="1">
        <v>2391.3267586820998</v>
      </c>
      <c r="M2984" s="4">
        <v>1123</v>
      </c>
      <c r="Q2984" s="1" t="s">
        <v>42</v>
      </c>
      <c r="S2984" s="1" t="s">
        <v>42</v>
      </c>
      <c r="T2984" s="1" t="s">
        <v>170</v>
      </c>
      <c r="AA2984" s="1">
        <v>2685459.95</v>
      </c>
      <c r="AB2984" s="1" t="s">
        <v>2275</v>
      </c>
      <c r="AC2984" s="5">
        <v>43616</v>
      </c>
      <c r="AF2984" s="1">
        <v>10002</v>
      </c>
      <c r="AI2984" s="1" t="s">
        <v>55</v>
      </c>
      <c r="AJ2984" s="1">
        <v>2019</v>
      </c>
      <c r="AK2984" s="1" t="s">
        <v>46</v>
      </c>
      <c r="AL2984" s="1">
        <v>787</v>
      </c>
    </row>
    <row r="2985" spans="1:38" x14ac:dyDescent="0.2">
      <c r="A2985" s="2" t="str">
        <f>HYPERLINK("https://www.compass.com/listing/252-south-street-unit-30p-manhattan-ny-10002/276887449748125633/","252 South St, Unit 30P")</f>
        <v>252 South St, Unit 30P</v>
      </c>
      <c r="B2985" s="2" t="str">
        <f t="shared" si="394"/>
        <v>One Manhattan Square</v>
      </c>
      <c r="C2985" s="1" t="s">
        <v>66</v>
      </c>
      <c r="D2985" s="1" t="s">
        <v>41</v>
      </c>
      <c r="E2985" s="3">
        <v>1379734</v>
      </c>
      <c r="F2985" s="1">
        <v>1908.3455325034499</v>
      </c>
      <c r="M2985" s="1">
        <v>723</v>
      </c>
      <c r="Q2985" s="1" t="s">
        <v>42</v>
      </c>
      <c r="S2985" s="1" t="s">
        <v>42</v>
      </c>
      <c r="T2985" s="1" t="s">
        <v>170</v>
      </c>
      <c r="AA2985" s="1">
        <v>1379733.82</v>
      </c>
      <c r="AB2985" s="1" t="s">
        <v>2276</v>
      </c>
      <c r="AC2985" s="5">
        <v>43615</v>
      </c>
      <c r="AF2985" s="1">
        <v>10002</v>
      </c>
      <c r="AI2985" s="1" t="s">
        <v>55</v>
      </c>
      <c r="AJ2985" s="1">
        <v>2019</v>
      </c>
      <c r="AK2985" s="1" t="s">
        <v>46</v>
      </c>
      <c r="AL2985" s="1">
        <v>787</v>
      </c>
    </row>
    <row r="2986" spans="1:38" x14ac:dyDescent="0.2">
      <c r="A2986" s="2" t="str">
        <f>HYPERLINK("https://www.compass.com/listing/252-south-street-unit-39m-manhattan-ny-10002/276887456056367633/","252 South St, Unit 39M")</f>
        <v>252 South St, Unit 39M</v>
      </c>
      <c r="B2986" s="2" t="str">
        <f t="shared" si="394"/>
        <v>One Manhattan Square</v>
      </c>
      <c r="C2986" s="1" t="s">
        <v>66</v>
      </c>
      <c r="D2986" s="1" t="s">
        <v>41</v>
      </c>
      <c r="E2986" s="3">
        <v>1468203</v>
      </c>
      <c r="F2986" s="1">
        <v>2112.5222014388401</v>
      </c>
      <c r="M2986" s="1">
        <v>695</v>
      </c>
      <c r="Q2986" s="1" t="s">
        <v>42</v>
      </c>
      <c r="S2986" s="1" t="s">
        <v>42</v>
      </c>
      <c r="T2986" s="1" t="s">
        <v>170</v>
      </c>
      <c r="AA2986" s="1">
        <v>1468202.93</v>
      </c>
      <c r="AB2986" s="1" t="s">
        <v>2277</v>
      </c>
      <c r="AC2986" s="5">
        <v>43616</v>
      </c>
      <c r="AF2986" s="1">
        <v>10002</v>
      </c>
      <c r="AI2986" s="1" t="s">
        <v>55</v>
      </c>
      <c r="AJ2986" s="1">
        <v>2019</v>
      </c>
      <c r="AK2986" s="1" t="s">
        <v>46</v>
      </c>
      <c r="AL2986" s="1">
        <v>787</v>
      </c>
    </row>
    <row r="2987" spans="1:38" x14ac:dyDescent="0.2">
      <c r="A2987" s="2" t="str">
        <f>HYPERLINK("https://www.compass.com/listing/86-canal-street-unit-12a-manhattan-ny-10002/276888188096705361/","86 Canal St, Unit 12A")</f>
        <v>86 Canal St, Unit 12A</v>
      </c>
      <c r="B2987" s="2" t="str">
        <f>HYPERLINK("https://www.compass.com/building/86-canal-st-manhattan-ny-10002/281888255618581733/","86 Canal St")</f>
        <v>86 Canal St</v>
      </c>
      <c r="C2987" s="1" t="s">
        <v>1340</v>
      </c>
      <c r="D2987" s="1" t="s">
        <v>41</v>
      </c>
      <c r="E2987" s="3">
        <v>809509</v>
      </c>
      <c r="F2987" s="1">
        <v>1202.8361812778601</v>
      </c>
      <c r="M2987" s="1">
        <v>673</v>
      </c>
      <c r="Q2987" s="1" t="s">
        <v>42</v>
      </c>
      <c r="S2987" s="1" t="s">
        <v>42</v>
      </c>
      <c r="T2987" s="1" t="s">
        <v>170</v>
      </c>
      <c r="AA2987" s="1">
        <v>809508.75</v>
      </c>
      <c r="AB2987" s="1" t="s">
        <v>2278</v>
      </c>
      <c r="AC2987" s="5">
        <v>43607</v>
      </c>
      <c r="AF2987" s="1">
        <v>10002</v>
      </c>
      <c r="AJ2987" s="1">
        <v>2012</v>
      </c>
      <c r="AL2987" s="1">
        <v>89</v>
      </c>
    </row>
    <row r="2988" spans="1:38" x14ac:dyDescent="0.2">
      <c r="A2988" s="2" t="str">
        <f>HYPERLINK("https://www.compass.com/listing/150-west-12th-street-unit-3-manhattan-ny-10011/276906387500531857/","150 W 12th St, Unit 3")</f>
        <v>150 W 12th St, Unit 3</v>
      </c>
      <c r="B2988" s="2" t="str">
        <f t="shared" ref="B2988:B2989" si="395">HYPERLINK("https://www.compass.com/building/the-greenwich-lane-manhattan-ny/567553885067785157/","The Greenwich Lane")</f>
        <v>The Greenwich Lane</v>
      </c>
      <c r="C2988" s="1" t="s">
        <v>71</v>
      </c>
      <c r="D2988" s="1" t="s">
        <v>41</v>
      </c>
      <c r="E2988" s="3">
        <v>12704501</v>
      </c>
      <c r="F2988" s="1">
        <v>3034.2730618581299</v>
      </c>
      <c r="M2988" s="4">
        <v>4187</v>
      </c>
      <c r="Q2988" s="1" t="s">
        <v>42</v>
      </c>
      <c r="S2988" s="1" t="s">
        <v>42</v>
      </c>
      <c r="T2988" s="1" t="s">
        <v>170</v>
      </c>
      <c r="AA2988" s="1">
        <v>12704501.310000001</v>
      </c>
      <c r="AB2988" s="1" t="s">
        <v>2279</v>
      </c>
      <c r="AC2988" s="5">
        <v>42466</v>
      </c>
      <c r="AF2988" s="1">
        <v>10011</v>
      </c>
      <c r="AI2988" s="1" t="s">
        <v>59</v>
      </c>
      <c r="AK2988" s="1" t="s">
        <v>49</v>
      </c>
      <c r="AL2988" s="1">
        <v>24</v>
      </c>
    </row>
    <row r="2989" spans="1:38" x14ac:dyDescent="0.2">
      <c r="A2989" s="2" t="str">
        <f>HYPERLINK("https://www.compass.com/listing/150-west-12th-street-unit-11-manhattan-ny-10011/276906406509096481/","150 W 12th St, Unit 11")</f>
        <v>150 W 12th St, Unit 11</v>
      </c>
      <c r="B2989" s="2" t="str">
        <f t="shared" si="395"/>
        <v>The Greenwich Lane</v>
      </c>
      <c r="C2989" s="1" t="s">
        <v>71</v>
      </c>
      <c r="D2989" s="1" t="s">
        <v>41</v>
      </c>
      <c r="E2989" s="3">
        <v>6632091</v>
      </c>
      <c r="F2989" s="1">
        <v>3190.0389947089898</v>
      </c>
      <c r="M2989" s="4">
        <v>2079</v>
      </c>
      <c r="Q2989" s="1" t="s">
        <v>42</v>
      </c>
      <c r="S2989" s="1" t="s">
        <v>42</v>
      </c>
      <c r="T2989" s="1" t="s">
        <v>170</v>
      </c>
      <c r="AA2989" s="1">
        <v>6632091.0700000003</v>
      </c>
      <c r="AB2989" s="1" t="s">
        <v>2280</v>
      </c>
      <c r="AC2989" s="5">
        <v>42433</v>
      </c>
      <c r="AF2989" s="1">
        <v>10011</v>
      </c>
      <c r="AI2989" s="1" t="s">
        <v>59</v>
      </c>
      <c r="AK2989" s="1" t="s">
        <v>49</v>
      </c>
      <c r="AL2989" s="1">
        <v>24</v>
      </c>
    </row>
    <row r="2990" spans="1:38" x14ac:dyDescent="0.2">
      <c r="A2990" s="2" t="str">
        <f>HYPERLINK("https://www.compass.com/listing/277-5th-avenue-unit-ph52-manhattan-ny-10016/276928050694822737/","277 5th Ave, Unit PH52")</f>
        <v>277 5th Ave, Unit PH52</v>
      </c>
      <c r="B2990" s="2" t="str">
        <f>HYPERLINK("https://www.compass.com/building/277-fifth-avenue-manhattan-ny/281939285475645317/","277 FIFTH AVENUE")</f>
        <v>277 FIFTH AVENUE</v>
      </c>
      <c r="C2990" s="1" t="s">
        <v>81</v>
      </c>
      <c r="D2990" s="1" t="s">
        <v>41</v>
      </c>
      <c r="E2990" s="3">
        <v>17250000</v>
      </c>
      <c r="F2990" s="1">
        <v>4013.4946486737999</v>
      </c>
      <c r="M2990" s="4">
        <v>4298</v>
      </c>
      <c r="Q2990" s="1" t="s">
        <v>42</v>
      </c>
      <c r="S2990" s="1" t="s">
        <v>42</v>
      </c>
      <c r="T2990" s="1" t="s">
        <v>170</v>
      </c>
      <c r="AA2990" s="1">
        <v>17250000</v>
      </c>
      <c r="AB2990" s="1" t="s">
        <v>2281</v>
      </c>
      <c r="AC2990" s="5">
        <v>43608</v>
      </c>
      <c r="AF2990" s="1">
        <v>10016</v>
      </c>
      <c r="AI2990" s="1" t="s">
        <v>82</v>
      </c>
      <c r="AJ2990" s="1">
        <v>2019</v>
      </c>
      <c r="AK2990" s="1" t="s">
        <v>46</v>
      </c>
      <c r="AL2990" s="1">
        <v>130</v>
      </c>
    </row>
    <row r="2991" spans="1:38" x14ac:dyDescent="0.2">
      <c r="A2991" s="2" t="str">
        <f>HYPERLINK("https://www.compass.com/listing/121-east-22nd-street-unit-n308-manhattan-ny-10010/276950057847163329/","121 E 22nd St, Unit N308")</f>
        <v>121 E 22nd St, Unit N308</v>
      </c>
      <c r="B2991" s="2" t="str">
        <f>HYPERLINK("https://www.compass.com/building/121-e-22nd-manhattan-ny/292795784653461493/","121 E 22nd")</f>
        <v>121 E 22nd</v>
      </c>
      <c r="C2991" s="1" t="s">
        <v>54</v>
      </c>
      <c r="D2991" s="1" t="s">
        <v>41</v>
      </c>
      <c r="E2991" s="3">
        <v>3065000</v>
      </c>
      <c r="F2991" s="1">
        <v>1795.54774458113</v>
      </c>
      <c r="M2991" s="4">
        <v>1707</v>
      </c>
      <c r="Q2991" s="1" t="s">
        <v>42</v>
      </c>
      <c r="S2991" s="1" t="s">
        <v>42</v>
      </c>
      <c r="T2991" s="1" t="s">
        <v>170</v>
      </c>
      <c r="AA2991" s="1">
        <v>3065000</v>
      </c>
      <c r="AB2991" s="1" t="s">
        <v>2282</v>
      </c>
      <c r="AC2991" s="5">
        <v>43584</v>
      </c>
      <c r="AF2991" s="1">
        <v>10010</v>
      </c>
      <c r="AI2991" s="1" t="s">
        <v>55</v>
      </c>
      <c r="AJ2991" s="1">
        <v>2016</v>
      </c>
      <c r="AK2991" s="1" t="s">
        <v>49</v>
      </c>
      <c r="AL2991" s="1">
        <v>140</v>
      </c>
    </row>
    <row r="2992" spans="1:38" x14ac:dyDescent="0.2">
      <c r="A2992" s="2" t="str">
        <f>HYPERLINK("https://www.compass.com/listing/2040-frederick-douglass-boulevard-unit-2b-manhattan-ny-10026/277178522911478065/","2040 Frederick Douglass Blvd, Unit 2B")</f>
        <v>2040 Frederick Douglass Blvd, Unit 2B</v>
      </c>
      <c r="B2992" s="2" t="str">
        <f t="shared" ref="B2992:B3018" si="396">HYPERLINK("https://www.compass.com/building/2040-frederick-douglass-blvd-manhattan-ny-10026/389266835817241253/","2040 Frederick Douglass Blvd")</f>
        <v>2040 Frederick Douglass Blvd</v>
      </c>
      <c r="C2992" s="1" t="s">
        <v>106</v>
      </c>
      <c r="D2992" s="1" t="s">
        <v>41</v>
      </c>
      <c r="E2992" s="3">
        <v>381526</v>
      </c>
      <c r="F2992" s="1">
        <v>421.110375275938</v>
      </c>
      <c r="M2992" s="1">
        <v>906</v>
      </c>
      <c r="Q2992" s="1" t="s">
        <v>42</v>
      </c>
      <c r="S2992" s="1" t="s">
        <v>42</v>
      </c>
      <c r="T2992" s="1" t="s">
        <v>170</v>
      </c>
      <c r="AA2992" s="1">
        <v>381526</v>
      </c>
      <c r="AB2992" s="1" t="s">
        <v>2283</v>
      </c>
      <c r="AC2992" s="5">
        <v>43144</v>
      </c>
      <c r="AF2992" s="1">
        <v>10026</v>
      </c>
    </row>
    <row r="2993" spans="1:32" x14ac:dyDescent="0.2">
      <c r="A2993" s="2" t="str">
        <f>HYPERLINK("https://www.compass.com/listing/2040-frederick-douglass-boulevard-unit-2c-manhattan-ny-10026/277178523230259201/","2040 Frederick Douglass Blvd, Unit 2C")</f>
        <v>2040 Frederick Douglass Blvd, Unit 2C</v>
      </c>
      <c r="B2993" s="2" t="str">
        <f t="shared" si="396"/>
        <v>2040 Frederick Douglass Blvd</v>
      </c>
      <c r="C2993" s="1" t="s">
        <v>106</v>
      </c>
      <c r="D2993" s="1" t="s">
        <v>41</v>
      </c>
      <c r="E2993" s="3">
        <v>232874</v>
      </c>
      <c r="F2993" s="1">
        <v>421.110307414104</v>
      </c>
      <c r="M2993" s="1">
        <v>553</v>
      </c>
      <c r="Q2993" s="1" t="s">
        <v>42</v>
      </c>
      <c r="S2993" s="1" t="s">
        <v>42</v>
      </c>
      <c r="T2993" s="1" t="s">
        <v>170</v>
      </c>
      <c r="AA2993" s="1">
        <v>232874</v>
      </c>
      <c r="AB2993" s="1" t="s">
        <v>2284</v>
      </c>
      <c r="AC2993" s="5">
        <v>43371</v>
      </c>
      <c r="AF2993" s="1">
        <v>10026</v>
      </c>
    </row>
    <row r="2994" spans="1:32" x14ac:dyDescent="0.2">
      <c r="A2994" s="2" t="str">
        <f>HYPERLINK("https://www.compass.com/listing/2040-frederick-douglass-boulevard-unit-2d-manhattan-ny-10026/277178523540619489/","2040 Frederick Douglass Blvd, Unit 2D")</f>
        <v>2040 Frederick Douglass Blvd, Unit 2D</v>
      </c>
      <c r="B2994" s="2" t="str">
        <f t="shared" si="396"/>
        <v>2040 Frederick Douglass Blvd</v>
      </c>
      <c r="C2994" s="1" t="s">
        <v>106</v>
      </c>
      <c r="D2994" s="1" t="s">
        <v>41</v>
      </c>
      <c r="E2994" s="3">
        <v>225294</v>
      </c>
      <c r="F2994" s="1">
        <v>416.43992606284598</v>
      </c>
      <c r="M2994" s="1">
        <v>541</v>
      </c>
      <c r="Q2994" s="1" t="s">
        <v>42</v>
      </c>
      <c r="S2994" s="1" t="s">
        <v>42</v>
      </c>
      <c r="T2994" s="1" t="s">
        <v>170</v>
      </c>
      <c r="AA2994" s="1">
        <v>225294</v>
      </c>
      <c r="AB2994" s="1" t="s">
        <v>2285</v>
      </c>
      <c r="AC2994" s="5">
        <v>43178</v>
      </c>
      <c r="AF2994" s="1">
        <v>10026</v>
      </c>
    </row>
    <row r="2995" spans="1:32" x14ac:dyDescent="0.2">
      <c r="A2995" s="2" t="str">
        <f>HYPERLINK("https://www.compass.com/listing/2040-frederick-douglass-boulevard-unit-2e-manhattan-ny-10026/277178524429817745/","2040 Frederick Douglass Blvd, Unit 2E")</f>
        <v>2040 Frederick Douglass Blvd, Unit 2E</v>
      </c>
      <c r="B2995" s="2" t="str">
        <f t="shared" si="396"/>
        <v>2040 Frederick Douglass Blvd</v>
      </c>
      <c r="C2995" s="1" t="s">
        <v>106</v>
      </c>
      <c r="D2995" s="1" t="s">
        <v>41</v>
      </c>
      <c r="E2995" s="3">
        <v>1985588</v>
      </c>
      <c r="F2995" s="1">
        <v>1903.72722914669</v>
      </c>
      <c r="M2995" s="4">
        <v>1043</v>
      </c>
      <c r="Q2995" s="1" t="s">
        <v>42</v>
      </c>
      <c r="S2995" s="1" t="s">
        <v>42</v>
      </c>
      <c r="T2995" s="1" t="s">
        <v>170</v>
      </c>
      <c r="AA2995" s="1">
        <v>1985587.5</v>
      </c>
      <c r="AB2995" s="1" t="s">
        <v>2286</v>
      </c>
      <c r="AC2995" s="5">
        <v>42927</v>
      </c>
      <c r="AF2995" s="1">
        <v>10026</v>
      </c>
    </row>
    <row r="2996" spans="1:32" x14ac:dyDescent="0.2">
      <c r="A2996" s="2" t="str">
        <f>HYPERLINK("https://www.compass.com/listing/2040-frederick-douglass-boulevard-unit-3b-manhattan-ny-10026/277178524899593665/","2040 Frederick Douglass Blvd, Unit 3B")</f>
        <v>2040 Frederick Douglass Blvd, Unit 3B</v>
      </c>
      <c r="B2996" s="2" t="str">
        <f t="shared" si="396"/>
        <v>2040 Frederick Douglass Blvd</v>
      </c>
      <c r="C2996" s="1" t="s">
        <v>106</v>
      </c>
      <c r="D2996" s="1" t="s">
        <v>41</v>
      </c>
      <c r="E2996" s="3">
        <v>1810958</v>
      </c>
      <c r="F2996" s="1">
        <v>1549.15108639863</v>
      </c>
      <c r="M2996" s="4">
        <v>1169</v>
      </c>
      <c r="Q2996" s="1" t="s">
        <v>42</v>
      </c>
      <c r="S2996" s="1" t="s">
        <v>42</v>
      </c>
      <c r="T2996" s="1" t="s">
        <v>170</v>
      </c>
      <c r="AA2996" s="1">
        <v>1810957.62</v>
      </c>
      <c r="AB2996" s="1" t="s">
        <v>2287</v>
      </c>
      <c r="AC2996" s="5">
        <v>42969</v>
      </c>
      <c r="AF2996" s="1">
        <v>10026</v>
      </c>
    </row>
    <row r="2997" spans="1:32" x14ac:dyDescent="0.2">
      <c r="A2997" s="2" t="str">
        <f>HYPERLINK("https://www.compass.com/listing/2040-frederick-douglass-boulevard-unit-3c-manhattan-ny-10026/277178525352559953/","2040 Frederick Douglass Blvd, Unit 3C")</f>
        <v>2040 Frederick Douglass Blvd, Unit 3C</v>
      </c>
      <c r="B2997" s="2" t="str">
        <f t="shared" si="396"/>
        <v>2040 Frederick Douglass Blvd</v>
      </c>
      <c r="C2997" s="1" t="s">
        <v>106</v>
      </c>
      <c r="D2997" s="1" t="s">
        <v>41</v>
      </c>
      <c r="E2997" s="3">
        <v>988212</v>
      </c>
      <c r="F2997" s="1">
        <v>1527.3749922720201</v>
      </c>
      <c r="M2997" s="1">
        <v>647</v>
      </c>
      <c r="Q2997" s="1" t="s">
        <v>42</v>
      </c>
      <c r="S2997" s="1" t="s">
        <v>42</v>
      </c>
      <c r="T2997" s="1" t="s">
        <v>170</v>
      </c>
      <c r="AA2997" s="1">
        <v>988211.62</v>
      </c>
      <c r="AB2997" s="1" t="s">
        <v>2288</v>
      </c>
      <c r="AC2997" s="5">
        <v>42921</v>
      </c>
      <c r="AF2997" s="1">
        <v>10026</v>
      </c>
    </row>
    <row r="2998" spans="1:32" x14ac:dyDescent="0.2">
      <c r="A2998" s="2" t="str">
        <f>HYPERLINK("https://www.compass.com/listing/2040-frederick-douglass-boulevard-unit-3d-manhattan-ny-10026/277178525939767921/","2040 Frederick Douglass Blvd, Unit 3D")</f>
        <v>2040 Frederick Douglass Blvd, Unit 3D</v>
      </c>
      <c r="B2998" s="2" t="str">
        <f t="shared" si="396"/>
        <v>2040 Frederick Douglass Blvd</v>
      </c>
      <c r="C2998" s="1" t="s">
        <v>106</v>
      </c>
      <c r="D2998" s="1" t="s">
        <v>41</v>
      </c>
      <c r="E2998" s="3">
        <v>1033778</v>
      </c>
      <c r="F2998" s="1">
        <v>1578.2874961831999</v>
      </c>
      <c r="M2998" s="1">
        <v>655</v>
      </c>
      <c r="Q2998" s="1" t="s">
        <v>42</v>
      </c>
      <c r="S2998" s="1" t="s">
        <v>42</v>
      </c>
      <c r="T2998" s="1" t="s">
        <v>170</v>
      </c>
      <c r="AA2998" s="1">
        <v>1033778.31</v>
      </c>
      <c r="AB2998" s="1" t="s">
        <v>2289</v>
      </c>
      <c r="AC2998" s="5">
        <v>42923</v>
      </c>
      <c r="AF2998" s="1">
        <v>10026</v>
      </c>
    </row>
    <row r="2999" spans="1:32" x14ac:dyDescent="0.2">
      <c r="A2999" s="2" t="str">
        <f>HYPERLINK("https://www.compass.com/listing/2040-frederick-douglass-boulevard-unit-3e-manhattan-ny-10026/277178529077121601/","2040 Frederick Douglass Blvd, Unit 3E")</f>
        <v>2040 Frederick Douglass Blvd, Unit 3E</v>
      </c>
      <c r="B2999" s="2" t="str">
        <f t="shared" si="396"/>
        <v>2040 Frederick Douglass Blvd</v>
      </c>
      <c r="C2999" s="1" t="s">
        <v>106</v>
      </c>
      <c r="D2999" s="1" t="s">
        <v>41</v>
      </c>
      <c r="E2999" s="3">
        <v>364260</v>
      </c>
      <c r="F2999" s="1">
        <v>421.597222222222</v>
      </c>
      <c r="M2999" s="1">
        <v>864</v>
      </c>
      <c r="Q2999" s="1" t="s">
        <v>42</v>
      </c>
      <c r="S2999" s="1" t="s">
        <v>42</v>
      </c>
      <c r="T2999" s="1" t="s">
        <v>170</v>
      </c>
      <c r="AA2999" s="1">
        <v>364260</v>
      </c>
      <c r="AB2999" s="1" t="s">
        <v>2290</v>
      </c>
      <c r="AC2999" s="5">
        <v>43336</v>
      </c>
      <c r="AF2999" s="1">
        <v>10026</v>
      </c>
    </row>
    <row r="3000" spans="1:32" x14ac:dyDescent="0.2">
      <c r="A3000" s="2" t="str">
        <f>HYPERLINK("https://www.compass.com/listing/2040-frederick-douglass-boulevard-unit-3f-manhattan-ny-10026/277178530419280577/","2040 Frederick Douglass Blvd, Unit 3F")</f>
        <v>2040 Frederick Douglass Blvd, Unit 3F</v>
      </c>
      <c r="B3000" s="2" t="str">
        <f t="shared" si="396"/>
        <v>2040 Frederick Douglass Blvd</v>
      </c>
      <c r="C3000" s="1" t="s">
        <v>106</v>
      </c>
      <c r="D3000" s="1" t="s">
        <v>41</v>
      </c>
      <c r="E3000" s="3">
        <v>276248</v>
      </c>
      <c r="F3000" s="1">
        <v>421.75267175572498</v>
      </c>
      <c r="M3000" s="1">
        <v>655</v>
      </c>
      <c r="Q3000" s="1" t="s">
        <v>42</v>
      </c>
      <c r="S3000" s="1" t="s">
        <v>42</v>
      </c>
      <c r="T3000" s="1" t="s">
        <v>170</v>
      </c>
      <c r="AA3000" s="1">
        <v>276248</v>
      </c>
      <c r="AB3000" s="1" t="s">
        <v>2291</v>
      </c>
      <c r="AC3000" s="5">
        <v>43125</v>
      </c>
      <c r="AF3000" s="1">
        <v>10026</v>
      </c>
    </row>
    <row r="3001" spans="1:32" x14ac:dyDescent="0.2">
      <c r="A3001" s="2" t="str">
        <f>HYPERLINK("https://www.compass.com/listing/2040-frederick-douglass-boulevard-unit-3h-manhattan-ny-10026/277178531199426193/","2040 Frederick Douglass Blvd, Unit 3H")</f>
        <v>2040 Frederick Douglass Blvd, Unit 3H</v>
      </c>
      <c r="B3001" s="2" t="str">
        <f t="shared" si="396"/>
        <v>2040 Frederick Douglass Blvd</v>
      </c>
      <c r="C3001" s="1" t="s">
        <v>106</v>
      </c>
      <c r="D3001" s="1" t="s">
        <v>41</v>
      </c>
      <c r="E3001" s="3">
        <v>3049659</v>
      </c>
      <c r="F3001" s="1">
        <v>2048.1254197447902</v>
      </c>
      <c r="M3001" s="4">
        <v>1489</v>
      </c>
      <c r="Q3001" s="1" t="s">
        <v>42</v>
      </c>
      <c r="S3001" s="1" t="s">
        <v>42</v>
      </c>
      <c r="T3001" s="1" t="s">
        <v>170</v>
      </c>
      <c r="AA3001" s="1">
        <v>3049658.75</v>
      </c>
      <c r="AB3001" s="1" t="s">
        <v>2292</v>
      </c>
      <c r="AC3001" s="5">
        <v>43012</v>
      </c>
      <c r="AF3001" s="1">
        <v>10026</v>
      </c>
    </row>
    <row r="3002" spans="1:32" x14ac:dyDescent="0.2">
      <c r="A3002" s="2" t="str">
        <f>HYPERLINK("https://www.compass.com/listing/2040-frederick-douglass-boulevard-unit-4b-manhattan-ny-10026/277178531862140865/","2040 Frederick Douglass Blvd, Unit 4B")</f>
        <v>2040 Frederick Douglass Blvd, Unit 4B</v>
      </c>
      <c r="B3002" s="2" t="str">
        <f t="shared" si="396"/>
        <v>2040 Frederick Douglass Blvd</v>
      </c>
      <c r="C3002" s="1" t="s">
        <v>106</v>
      </c>
      <c r="D3002" s="1" t="s">
        <v>41</v>
      </c>
      <c r="E3002" s="3">
        <v>2026318</v>
      </c>
      <c r="F3002" s="1">
        <v>1733.3768177929801</v>
      </c>
      <c r="M3002" s="4">
        <v>1169</v>
      </c>
      <c r="Q3002" s="1" t="s">
        <v>42</v>
      </c>
      <c r="S3002" s="1" t="s">
        <v>42</v>
      </c>
      <c r="T3002" s="1" t="s">
        <v>170</v>
      </c>
      <c r="AA3002" s="1">
        <v>2026317.5</v>
      </c>
      <c r="AB3002" s="1" t="s">
        <v>2293</v>
      </c>
      <c r="AC3002" s="5">
        <v>42928</v>
      </c>
      <c r="AF3002" s="1">
        <v>10026</v>
      </c>
    </row>
    <row r="3003" spans="1:32" x14ac:dyDescent="0.2">
      <c r="A3003" s="2" t="str">
        <f>HYPERLINK("https://www.compass.com/listing/2040-frederick-douglass-boulevard-unit-4c-manhattan-ny-10026/277178532407382049/","2040 Frederick Douglass Blvd, Unit 4C")</f>
        <v>2040 Frederick Douglass Blvd, Unit 4C</v>
      </c>
      <c r="B3003" s="2" t="str">
        <f t="shared" si="396"/>
        <v>2040 Frederick Douglass Blvd</v>
      </c>
      <c r="C3003" s="1" t="s">
        <v>106</v>
      </c>
      <c r="D3003" s="1" t="s">
        <v>41</v>
      </c>
      <c r="E3003" s="3">
        <v>1300000</v>
      </c>
      <c r="F3003" s="1">
        <v>2009.2735703245701</v>
      </c>
      <c r="M3003" s="1">
        <v>647</v>
      </c>
      <c r="Q3003" s="1" t="s">
        <v>42</v>
      </c>
      <c r="S3003" s="1" t="s">
        <v>42</v>
      </c>
      <c r="T3003" s="1" t="s">
        <v>170</v>
      </c>
      <c r="AA3003" s="1">
        <v>1300000</v>
      </c>
      <c r="AB3003" s="1" t="s">
        <v>2294</v>
      </c>
      <c r="AC3003" s="5">
        <v>42942</v>
      </c>
      <c r="AF3003" s="1">
        <v>10026</v>
      </c>
    </row>
    <row r="3004" spans="1:32" x14ac:dyDescent="0.2">
      <c r="A3004" s="2" t="str">
        <f>HYPERLINK("https://www.compass.com/listing/2040-frederick-douglass-boulevard-unit-4d-manhattan-ny-10026/277178533002977745/","2040 Frederick Douglass Blvd, Unit 4D")</f>
        <v>2040 Frederick Douglass Blvd, Unit 4D</v>
      </c>
      <c r="B3004" s="2" t="str">
        <f t="shared" si="396"/>
        <v>2040 Frederick Douglass Blvd</v>
      </c>
      <c r="C3004" s="1" t="s">
        <v>106</v>
      </c>
      <c r="D3004" s="1" t="s">
        <v>41</v>
      </c>
      <c r="E3004" s="3">
        <v>1220000</v>
      </c>
      <c r="F3004" s="1">
        <v>1862.59541984732</v>
      </c>
      <c r="M3004" s="1">
        <v>655</v>
      </c>
      <c r="Q3004" s="1" t="s">
        <v>42</v>
      </c>
      <c r="S3004" s="1" t="s">
        <v>42</v>
      </c>
      <c r="T3004" s="1" t="s">
        <v>170</v>
      </c>
      <c r="AA3004" s="1">
        <v>1220000</v>
      </c>
      <c r="AB3004" s="1" t="s">
        <v>2295</v>
      </c>
      <c r="AC3004" s="5">
        <v>43558</v>
      </c>
      <c r="AF3004" s="1">
        <v>10026</v>
      </c>
    </row>
    <row r="3005" spans="1:32" x14ac:dyDescent="0.2">
      <c r="A3005" s="2" t="str">
        <f>HYPERLINK("https://www.compass.com/listing/2040-frederick-douglass-boulevard-unit-4e-manhattan-ny-10026/277178533296594273/","2040 Frederick Douglass Blvd, Unit 4E")</f>
        <v>2040 Frederick Douglass Blvd, Unit 4E</v>
      </c>
      <c r="B3005" s="2" t="str">
        <f t="shared" si="396"/>
        <v>2040 Frederick Douglass Blvd</v>
      </c>
      <c r="C3005" s="1" t="s">
        <v>106</v>
      </c>
      <c r="D3005" s="1" t="s">
        <v>41</v>
      </c>
      <c r="E3005" s="3">
        <v>364260</v>
      </c>
      <c r="F3005" s="1">
        <v>421.597222222222</v>
      </c>
      <c r="M3005" s="1">
        <v>864</v>
      </c>
      <c r="Q3005" s="1" t="s">
        <v>42</v>
      </c>
      <c r="S3005" s="1" t="s">
        <v>42</v>
      </c>
      <c r="T3005" s="1" t="s">
        <v>170</v>
      </c>
      <c r="AA3005" s="1">
        <v>364260</v>
      </c>
      <c r="AB3005" s="1" t="s">
        <v>2296</v>
      </c>
      <c r="AC3005" s="5">
        <v>43129</v>
      </c>
      <c r="AF3005" s="1">
        <v>10026</v>
      </c>
    </row>
    <row r="3006" spans="1:32" x14ac:dyDescent="0.2">
      <c r="A3006" s="2" t="str">
        <f>HYPERLINK("https://www.compass.com/listing/2040-frederick-douglass-boulevard-unit-4f-manhattan-ny-10026/277178533623730929/","2040 Frederick Douglass Blvd, Unit 4F")</f>
        <v>2040 Frederick Douglass Blvd, Unit 4F</v>
      </c>
      <c r="B3006" s="2" t="str">
        <f t="shared" si="396"/>
        <v>2040 Frederick Douglass Blvd</v>
      </c>
      <c r="C3006" s="1" t="s">
        <v>106</v>
      </c>
      <c r="D3006" s="1" t="s">
        <v>41</v>
      </c>
      <c r="E3006" s="3">
        <v>276248</v>
      </c>
      <c r="F3006" s="1">
        <v>421.75267175572498</v>
      </c>
      <c r="M3006" s="1">
        <v>655</v>
      </c>
      <c r="Q3006" s="1" t="s">
        <v>42</v>
      </c>
      <c r="S3006" s="1" t="s">
        <v>42</v>
      </c>
      <c r="T3006" s="1" t="s">
        <v>170</v>
      </c>
      <c r="AA3006" s="1">
        <v>276248</v>
      </c>
      <c r="AB3006" s="1" t="s">
        <v>2297</v>
      </c>
      <c r="AC3006" s="5">
        <v>43178</v>
      </c>
      <c r="AF3006" s="1">
        <v>10026</v>
      </c>
    </row>
    <row r="3007" spans="1:32" x14ac:dyDescent="0.2">
      <c r="A3007" s="2" t="str">
        <f>HYPERLINK("https://www.compass.com/listing/2040-frederick-douglass-boulevard-unit-4h-manhattan-ny-10026/277178534043166305/","2040 Frederick Douglass Blvd, Unit 4H")</f>
        <v>2040 Frederick Douglass Blvd, Unit 4H</v>
      </c>
      <c r="B3007" s="2" t="str">
        <f t="shared" si="396"/>
        <v>2040 Frederick Douglass Blvd</v>
      </c>
      <c r="C3007" s="1" t="s">
        <v>106</v>
      </c>
      <c r="D3007" s="1" t="s">
        <v>41</v>
      </c>
      <c r="E3007" s="3">
        <v>3229200</v>
      </c>
      <c r="F3007" s="1">
        <v>2168.7038280725301</v>
      </c>
      <c r="M3007" s="4">
        <v>1489</v>
      </c>
      <c r="Q3007" s="1" t="s">
        <v>42</v>
      </c>
      <c r="S3007" s="1" t="s">
        <v>42</v>
      </c>
      <c r="T3007" s="1" t="s">
        <v>170</v>
      </c>
      <c r="AA3007" s="1">
        <v>3229200</v>
      </c>
      <c r="AB3007" s="1" t="s">
        <v>2298</v>
      </c>
      <c r="AC3007" s="5">
        <v>42936</v>
      </c>
      <c r="AF3007" s="1">
        <v>10026</v>
      </c>
    </row>
    <row r="3008" spans="1:32" x14ac:dyDescent="0.2">
      <c r="A3008" s="2" t="str">
        <f>HYPERLINK("https://www.compass.com/listing/2040-frederick-douglass-boulevard-unit-5b-manhattan-ny-10026/277178534353559697/","2040 Frederick Douglass Blvd, Unit 5B")</f>
        <v>2040 Frederick Douglass Blvd, Unit 5B</v>
      </c>
      <c r="B3008" s="2" t="str">
        <f t="shared" si="396"/>
        <v>2040 Frederick Douglass Blvd</v>
      </c>
      <c r="C3008" s="1" t="s">
        <v>106</v>
      </c>
      <c r="D3008" s="1" t="s">
        <v>41</v>
      </c>
      <c r="E3008" s="3">
        <v>2138325</v>
      </c>
      <c r="F3008" s="1">
        <v>1829.1916167664599</v>
      </c>
      <c r="M3008" s="4">
        <v>1169</v>
      </c>
      <c r="Q3008" s="1" t="s">
        <v>42</v>
      </c>
      <c r="S3008" s="1" t="s">
        <v>42</v>
      </c>
      <c r="T3008" s="1" t="s">
        <v>170</v>
      </c>
      <c r="AA3008" s="1">
        <v>2138325</v>
      </c>
      <c r="AB3008" s="1" t="s">
        <v>2299</v>
      </c>
      <c r="AC3008" s="5">
        <v>42915</v>
      </c>
      <c r="AF3008" s="1">
        <v>10026</v>
      </c>
    </row>
    <row r="3009" spans="1:38" x14ac:dyDescent="0.2">
      <c r="A3009" s="2" t="str">
        <f>HYPERLINK("https://www.compass.com/listing/2040-frederick-douglass-boulevard-unit-5c-manhattan-ny-10026/277178534697473873/","2040 Frederick Douglass Blvd, Unit 5C")</f>
        <v>2040 Frederick Douglass Blvd, Unit 5C</v>
      </c>
      <c r="B3009" s="2" t="str">
        <f t="shared" si="396"/>
        <v>2040 Frederick Douglass Blvd</v>
      </c>
      <c r="C3009" s="1" t="s">
        <v>106</v>
      </c>
      <c r="D3009" s="1" t="s">
        <v>41</v>
      </c>
      <c r="E3009" s="3">
        <v>1060680</v>
      </c>
      <c r="F3009" s="1">
        <v>1639.38250386398</v>
      </c>
      <c r="M3009" s="1">
        <v>647</v>
      </c>
      <c r="Q3009" s="1" t="s">
        <v>42</v>
      </c>
      <c r="S3009" s="1" t="s">
        <v>42</v>
      </c>
      <c r="T3009" s="1" t="s">
        <v>170</v>
      </c>
      <c r="AA3009" s="1">
        <v>1060680.48</v>
      </c>
      <c r="AB3009" s="1" t="s">
        <v>2300</v>
      </c>
      <c r="AC3009" s="5">
        <v>42929</v>
      </c>
      <c r="AF3009" s="1">
        <v>10026</v>
      </c>
    </row>
    <row r="3010" spans="1:38" x14ac:dyDescent="0.2">
      <c r="A3010" s="2" t="str">
        <f>HYPERLINK("https://www.compass.com/listing/2040-frederick-douglass-boulevard-unit-5d-manhattan-ny-10026/277178535771220673/","2040 Frederick Douglass Blvd, Unit 5D")</f>
        <v>2040 Frederick Douglass Blvd, Unit 5D</v>
      </c>
      <c r="B3010" s="2" t="str">
        <f t="shared" si="396"/>
        <v>2040 Frederick Douglass Blvd</v>
      </c>
      <c r="C3010" s="1" t="s">
        <v>106</v>
      </c>
      <c r="D3010" s="1" t="s">
        <v>41</v>
      </c>
      <c r="E3010" s="3">
        <v>1067126</v>
      </c>
      <c r="F3010" s="1">
        <v>1629.2</v>
      </c>
      <c r="M3010" s="1">
        <v>655</v>
      </c>
      <c r="Q3010" s="1" t="s">
        <v>42</v>
      </c>
      <c r="S3010" s="1" t="s">
        <v>42</v>
      </c>
      <c r="T3010" s="1" t="s">
        <v>170</v>
      </c>
      <c r="AA3010" s="1">
        <v>1067126</v>
      </c>
      <c r="AB3010" s="1" t="s">
        <v>2301</v>
      </c>
      <c r="AC3010" s="5">
        <v>42929</v>
      </c>
      <c r="AF3010" s="1">
        <v>10026</v>
      </c>
    </row>
    <row r="3011" spans="1:38" x14ac:dyDescent="0.2">
      <c r="A3011" s="2" t="str">
        <f>HYPERLINK("https://www.compass.com/listing/2040-frederick-douglass-boulevard-unit-5e-manhattan-ny-10026/277178536081614529/","2040 Frederick Douglass Blvd, Unit 5E")</f>
        <v>2040 Frederick Douglass Blvd, Unit 5E</v>
      </c>
      <c r="B3011" s="2" t="str">
        <f t="shared" si="396"/>
        <v>2040 Frederick Douglass Blvd</v>
      </c>
      <c r="C3011" s="1" t="s">
        <v>106</v>
      </c>
      <c r="D3011" s="1" t="s">
        <v>41</v>
      </c>
      <c r="E3011" s="3">
        <v>364260</v>
      </c>
      <c r="F3011" s="1">
        <v>421.597222222222</v>
      </c>
      <c r="M3011" s="1">
        <v>864</v>
      </c>
      <c r="Q3011" s="1" t="s">
        <v>42</v>
      </c>
      <c r="S3011" s="1" t="s">
        <v>42</v>
      </c>
      <c r="T3011" s="1" t="s">
        <v>170</v>
      </c>
      <c r="AA3011" s="1">
        <v>364260</v>
      </c>
      <c r="AB3011" s="1" t="s">
        <v>2302</v>
      </c>
      <c r="AC3011" s="5">
        <v>43242</v>
      </c>
      <c r="AF3011" s="1">
        <v>10026</v>
      </c>
    </row>
    <row r="3012" spans="1:38" x14ac:dyDescent="0.2">
      <c r="A3012" s="2" t="str">
        <f>HYPERLINK("https://www.compass.com/listing/2040-frederick-douglass-boulevard-unit-5f-manhattan-ny-10026/277178536576523489/","2040 Frederick Douglass Blvd, Unit 5F")</f>
        <v>2040 Frederick Douglass Blvd, Unit 5F</v>
      </c>
      <c r="B3012" s="2" t="str">
        <f t="shared" si="396"/>
        <v>2040 Frederick Douglass Blvd</v>
      </c>
      <c r="C3012" s="1" t="s">
        <v>106</v>
      </c>
      <c r="D3012" s="1" t="s">
        <v>41</v>
      </c>
      <c r="E3012" s="3">
        <v>276248</v>
      </c>
      <c r="F3012" s="1">
        <v>421.75267175572498</v>
      </c>
      <c r="M3012" s="1">
        <v>655</v>
      </c>
      <c r="Q3012" s="1" t="s">
        <v>42</v>
      </c>
      <c r="S3012" s="1" t="s">
        <v>42</v>
      </c>
      <c r="T3012" s="1" t="s">
        <v>170</v>
      </c>
      <c r="AA3012" s="1">
        <v>276248</v>
      </c>
      <c r="AB3012" s="1" t="s">
        <v>2303</v>
      </c>
      <c r="AC3012" s="5">
        <v>43146</v>
      </c>
      <c r="AF3012" s="1">
        <v>10026</v>
      </c>
    </row>
    <row r="3013" spans="1:38" x14ac:dyDescent="0.2">
      <c r="A3013" s="2" t="str">
        <f>HYPERLINK("https://www.compass.com/listing/2040-frederick-douglass-boulevard-unit-6c-manhattan-ny-10026/277178536878518385/","2040 Frederick Douglass Blvd, Unit 6C")</f>
        <v>2040 Frederick Douglass Blvd, Unit 6C</v>
      </c>
      <c r="B3013" s="2" t="str">
        <f t="shared" si="396"/>
        <v>2040 Frederick Douglass Blvd</v>
      </c>
      <c r="C3013" s="1" t="s">
        <v>106</v>
      </c>
      <c r="D3013" s="1" t="s">
        <v>41</v>
      </c>
      <c r="E3013" s="3">
        <v>363839</v>
      </c>
      <c r="F3013" s="1">
        <v>430.57869822485202</v>
      </c>
      <c r="M3013" s="1">
        <v>845</v>
      </c>
      <c r="Q3013" s="1" t="s">
        <v>42</v>
      </c>
      <c r="S3013" s="1" t="s">
        <v>42</v>
      </c>
      <c r="T3013" s="1" t="s">
        <v>170</v>
      </c>
      <c r="AA3013" s="1">
        <v>363839</v>
      </c>
      <c r="AB3013" s="1" t="s">
        <v>2304</v>
      </c>
      <c r="AC3013" s="5">
        <v>43126</v>
      </c>
      <c r="AF3013" s="1">
        <v>10026</v>
      </c>
    </row>
    <row r="3014" spans="1:38" x14ac:dyDescent="0.2">
      <c r="A3014" s="2" t="str">
        <f>HYPERLINK("https://www.compass.com/listing/2040-frederick-douglass-boulevard-unit-6f-manhattan-ny-10026/277178537256020705/","2040 Frederick Douglass Blvd, Unit 6F")</f>
        <v>2040 Frederick Douglass Blvd, Unit 6F</v>
      </c>
      <c r="B3014" s="2" t="str">
        <f t="shared" si="396"/>
        <v>2040 Frederick Douglass Blvd</v>
      </c>
      <c r="C3014" s="1" t="s">
        <v>106</v>
      </c>
      <c r="D3014" s="1" t="s">
        <v>41</v>
      </c>
      <c r="E3014" s="3">
        <v>3392200</v>
      </c>
      <c r="F3014" s="1">
        <v>2278.1732706514399</v>
      </c>
      <c r="M3014" s="4">
        <v>1489</v>
      </c>
      <c r="Q3014" s="1" t="s">
        <v>42</v>
      </c>
      <c r="S3014" s="1" t="s">
        <v>42</v>
      </c>
      <c r="T3014" s="1" t="s">
        <v>170</v>
      </c>
      <c r="AA3014" s="1">
        <v>3392200</v>
      </c>
      <c r="AB3014" s="1" t="s">
        <v>2305</v>
      </c>
      <c r="AC3014" s="5">
        <v>43299</v>
      </c>
      <c r="AF3014" s="1">
        <v>10026</v>
      </c>
    </row>
    <row r="3015" spans="1:38" x14ac:dyDescent="0.2">
      <c r="A3015" s="2" t="str">
        <f>HYPERLINK("https://www.compass.com/listing/2040-frederick-douglass-boulevard-unit-7a-manhattan-ny-10026/277178537583157233/","2040 Frederick Douglass Blvd, Unit 7A")</f>
        <v>2040 Frederick Douglass Blvd, Unit 7A</v>
      </c>
      <c r="B3015" s="2" t="str">
        <f t="shared" si="396"/>
        <v>2040 Frederick Douglass Blvd</v>
      </c>
      <c r="C3015" s="1" t="s">
        <v>106</v>
      </c>
      <c r="D3015" s="1" t="s">
        <v>41</v>
      </c>
      <c r="E3015" s="3">
        <v>3452428</v>
      </c>
      <c r="F3015" s="1">
        <v>2163.1751503759301</v>
      </c>
      <c r="M3015" s="4">
        <v>1596</v>
      </c>
      <c r="Q3015" s="1" t="s">
        <v>42</v>
      </c>
      <c r="S3015" s="1" t="s">
        <v>42</v>
      </c>
      <c r="T3015" s="1" t="s">
        <v>170</v>
      </c>
      <c r="AA3015" s="1">
        <v>3452427.54</v>
      </c>
      <c r="AB3015" s="1" t="s">
        <v>2306</v>
      </c>
      <c r="AC3015" s="5">
        <v>42993</v>
      </c>
      <c r="AF3015" s="1">
        <v>10026</v>
      </c>
    </row>
    <row r="3016" spans="1:38" x14ac:dyDescent="0.2">
      <c r="A3016" s="2" t="str">
        <f>HYPERLINK("https://www.compass.com/listing/2040-frederick-douglass-boulevard-unit-7f-manhattan-ny-10026/277178537960650033/","2040 Frederick Douglass Blvd, Unit 7F")</f>
        <v>2040 Frederick Douglass Blvd, Unit 7F</v>
      </c>
      <c r="B3016" s="2" t="str">
        <f t="shared" si="396"/>
        <v>2040 Frederick Douglass Blvd</v>
      </c>
      <c r="C3016" s="1" t="s">
        <v>106</v>
      </c>
      <c r="D3016" s="1" t="s">
        <v>41</v>
      </c>
      <c r="E3016" s="3">
        <v>3309313</v>
      </c>
      <c r="F3016" s="1">
        <v>2215.06860776439</v>
      </c>
      <c r="M3016" s="4">
        <v>1494</v>
      </c>
      <c r="Q3016" s="1" t="s">
        <v>42</v>
      </c>
      <c r="S3016" s="1" t="s">
        <v>42</v>
      </c>
      <c r="T3016" s="1" t="s">
        <v>170</v>
      </c>
      <c r="AA3016" s="1">
        <v>3309312.5</v>
      </c>
      <c r="AB3016" s="1" t="s">
        <v>2307</v>
      </c>
      <c r="AC3016" s="5">
        <v>42956</v>
      </c>
      <c r="AF3016" s="1">
        <v>10026</v>
      </c>
    </row>
    <row r="3017" spans="1:38" x14ac:dyDescent="0.2">
      <c r="A3017" s="2" t="str">
        <f>HYPERLINK("https://www.compass.com/listing/2040-frederick-douglass-boulevard-unit-10a-manhattan-ny-10026/277178538312986465/","2040 Frederick Douglass Blvd, Unit 10A")</f>
        <v>2040 Frederick Douglass Blvd, Unit 10A</v>
      </c>
      <c r="B3017" s="2" t="str">
        <f t="shared" si="396"/>
        <v>2040 Frederick Douglass Blvd</v>
      </c>
      <c r="C3017" s="1" t="s">
        <v>106</v>
      </c>
      <c r="D3017" s="1" t="s">
        <v>41</v>
      </c>
      <c r="E3017" s="3">
        <v>7238750</v>
      </c>
      <c r="F3017" s="1">
        <v>2612.3240707325799</v>
      </c>
      <c r="M3017" s="4">
        <v>2771</v>
      </c>
      <c r="Q3017" s="1" t="s">
        <v>42</v>
      </c>
      <c r="S3017" s="1" t="s">
        <v>42</v>
      </c>
      <c r="T3017" s="1" t="s">
        <v>170</v>
      </c>
      <c r="AA3017" s="1">
        <v>7238750</v>
      </c>
      <c r="AB3017" s="1" t="s">
        <v>2308</v>
      </c>
      <c r="AC3017" s="5">
        <v>43068</v>
      </c>
      <c r="AF3017" s="1">
        <v>10026</v>
      </c>
    </row>
    <row r="3018" spans="1:38" x14ac:dyDescent="0.2">
      <c r="A3018" s="2" t="str">
        <f>HYPERLINK("https://www.compass.com/listing/2040-frederick-douglass-boulevard-unit-11a-manhattan-ny-10026/277178538724009009/","2040 Frederick Douglass Blvd, Unit 11A")</f>
        <v>2040 Frederick Douglass Blvd, Unit 11A</v>
      </c>
      <c r="B3018" s="2" t="str">
        <f t="shared" si="396"/>
        <v>2040 Frederick Douglass Blvd</v>
      </c>
      <c r="C3018" s="1" t="s">
        <v>106</v>
      </c>
      <c r="D3018" s="1" t="s">
        <v>41</v>
      </c>
      <c r="E3018" s="3">
        <v>9453809</v>
      </c>
      <c r="F3018" s="1">
        <v>2531.8181574718801</v>
      </c>
      <c r="M3018" s="4">
        <v>3734</v>
      </c>
      <c r="Q3018" s="1" t="s">
        <v>42</v>
      </c>
      <c r="S3018" s="1" t="s">
        <v>42</v>
      </c>
      <c r="T3018" s="1" t="s">
        <v>170</v>
      </c>
      <c r="AA3018" s="1">
        <v>9453809</v>
      </c>
      <c r="AB3018" s="1" t="s">
        <v>2309</v>
      </c>
      <c r="AC3018" s="5">
        <v>43398</v>
      </c>
      <c r="AF3018" s="1">
        <v>10026</v>
      </c>
    </row>
    <row r="3019" spans="1:38" x14ac:dyDescent="0.2">
      <c r="A3019" s="2" t="str">
        <f>HYPERLINK("https://www.compass.com/listing/321-west-110th-street-unit-2b-manhattan-ny-10026/277180561980779393/","321 W 110th St, Unit 2B")</f>
        <v>321 W 110th St, Unit 2B</v>
      </c>
      <c r="B3019" s="2" t="str">
        <f t="shared" ref="B3019:B3031" si="397">HYPERLINK("https://www.compass.com/building/one-morningside-park-manhattan-ny/294836904016796069/","One Morningside Park")</f>
        <v>One Morningside Park</v>
      </c>
      <c r="C3019" s="1" t="s">
        <v>106</v>
      </c>
      <c r="D3019" s="1" t="s">
        <v>41</v>
      </c>
      <c r="E3019" s="3">
        <v>98511</v>
      </c>
      <c r="F3019" s="1">
        <v>147.470988023952</v>
      </c>
      <c r="M3019" s="1">
        <v>668</v>
      </c>
      <c r="Q3019" s="1" t="s">
        <v>42</v>
      </c>
      <c r="S3019" s="1" t="s">
        <v>42</v>
      </c>
      <c r="T3019" s="1" t="s">
        <v>170</v>
      </c>
      <c r="AA3019" s="1">
        <v>98510.62</v>
      </c>
      <c r="AB3019" s="1" t="s">
        <v>2310</v>
      </c>
      <c r="AC3019" s="5">
        <v>42068</v>
      </c>
      <c r="AF3019" s="1">
        <v>10026</v>
      </c>
      <c r="AI3019" s="1" t="s">
        <v>242</v>
      </c>
      <c r="AJ3019" s="1">
        <v>2012</v>
      </c>
      <c r="AK3019" s="1" t="s">
        <v>49</v>
      </c>
      <c r="AL3019" s="1">
        <v>88</v>
      </c>
    </row>
    <row r="3020" spans="1:38" x14ac:dyDescent="0.2">
      <c r="A3020" s="2" t="str">
        <f>HYPERLINK("https://www.compass.com/listing/321-west-110th-street-unit-2c-manhattan-ny-10026/277180562240707057/","321 W 110th St, Unit 2C")</f>
        <v>321 W 110th St, Unit 2C</v>
      </c>
      <c r="B3020" s="2" t="str">
        <f t="shared" si="397"/>
        <v>One Morningside Park</v>
      </c>
      <c r="C3020" s="1" t="s">
        <v>106</v>
      </c>
      <c r="D3020" s="1" t="s">
        <v>41</v>
      </c>
      <c r="E3020" s="3">
        <v>126719</v>
      </c>
      <c r="F3020" s="1">
        <v>418.21336633663299</v>
      </c>
      <c r="M3020" s="1">
        <v>303</v>
      </c>
      <c r="Q3020" s="1" t="s">
        <v>42</v>
      </c>
      <c r="S3020" s="1" t="s">
        <v>42</v>
      </c>
      <c r="T3020" s="1" t="s">
        <v>170</v>
      </c>
      <c r="AA3020" s="1">
        <v>126718.65</v>
      </c>
      <c r="AB3020" s="1" t="s">
        <v>2311</v>
      </c>
      <c r="AC3020" s="5">
        <v>42185</v>
      </c>
      <c r="AF3020" s="1">
        <v>10026</v>
      </c>
      <c r="AI3020" s="1" t="s">
        <v>242</v>
      </c>
      <c r="AJ3020" s="1">
        <v>2012</v>
      </c>
      <c r="AK3020" s="1" t="s">
        <v>49</v>
      </c>
      <c r="AL3020" s="1">
        <v>88</v>
      </c>
    </row>
    <row r="3021" spans="1:38" x14ac:dyDescent="0.2">
      <c r="A3021" s="2" t="str">
        <f>HYPERLINK("https://www.compass.com/listing/321-west-110th-street-unit-2d-manhattan-ny-10026/277180562526025505/","321 W 110th St, Unit 2D")</f>
        <v>321 W 110th St, Unit 2D</v>
      </c>
      <c r="B3021" s="2" t="str">
        <f t="shared" si="397"/>
        <v>One Morningside Park</v>
      </c>
      <c r="C3021" s="1" t="s">
        <v>106</v>
      </c>
      <c r="D3021" s="1" t="s">
        <v>41</v>
      </c>
      <c r="E3021" s="3">
        <v>111159</v>
      </c>
      <c r="F3021" s="1">
        <v>226.39362525458199</v>
      </c>
      <c r="M3021" s="1">
        <v>491</v>
      </c>
      <c r="Q3021" s="1" t="s">
        <v>42</v>
      </c>
      <c r="S3021" s="1" t="s">
        <v>42</v>
      </c>
      <c r="T3021" s="1" t="s">
        <v>170</v>
      </c>
      <c r="AA3021" s="1">
        <v>111159.27</v>
      </c>
      <c r="AB3021" s="1" t="s">
        <v>2312</v>
      </c>
      <c r="AC3021" s="5">
        <v>42062</v>
      </c>
      <c r="AF3021" s="1">
        <v>10026</v>
      </c>
      <c r="AI3021" s="1" t="s">
        <v>242</v>
      </c>
      <c r="AJ3021" s="1">
        <v>2012</v>
      </c>
      <c r="AK3021" s="1" t="s">
        <v>49</v>
      </c>
      <c r="AL3021" s="1">
        <v>88</v>
      </c>
    </row>
    <row r="3022" spans="1:38" x14ac:dyDescent="0.2">
      <c r="A3022" s="2" t="str">
        <f>HYPERLINK("https://www.compass.com/listing/321-west-110th-street-unit-2e-manhattan-ny-10026/277180562794474705/","321 W 110th St, Unit 2E")</f>
        <v>321 W 110th St, Unit 2E</v>
      </c>
      <c r="B3022" s="2" t="str">
        <f t="shared" si="397"/>
        <v>One Morningside Park</v>
      </c>
      <c r="C3022" s="1" t="s">
        <v>106</v>
      </c>
      <c r="D3022" s="1" t="s">
        <v>41</v>
      </c>
      <c r="E3022" s="3">
        <v>35418</v>
      </c>
      <c r="F3022" s="1">
        <v>37.678308510638203</v>
      </c>
      <c r="M3022" s="1">
        <v>940</v>
      </c>
      <c r="Q3022" s="1" t="s">
        <v>42</v>
      </c>
      <c r="S3022" s="1" t="s">
        <v>42</v>
      </c>
      <c r="T3022" s="1" t="s">
        <v>170</v>
      </c>
      <c r="AA3022" s="1">
        <v>35417.61</v>
      </c>
      <c r="AB3022" s="1" t="s">
        <v>2313</v>
      </c>
      <c r="AC3022" s="5">
        <v>41988</v>
      </c>
      <c r="AF3022" s="1">
        <v>10026</v>
      </c>
      <c r="AI3022" s="1" t="s">
        <v>242</v>
      </c>
      <c r="AJ3022" s="1">
        <v>2012</v>
      </c>
      <c r="AK3022" s="1" t="s">
        <v>49</v>
      </c>
      <c r="AL3022" s="1">
        <v>88</v>
      </c>
    </row>
    <row r="3023" spans="1:38" x14ac:dyDescent="0.2">
      <c r="A3023" s="2" t="str">
        <f>HYPERLINK("https://www.compass.com/listing/321-west-110th-street-unit-3c-manhattan-ny-10026/277180563792705745/","321 W 110th St, Unit 3C")</f>
        <v>321 W 110th St, Unit 3C</v>
      </c>
      <c r="B3023" s="2" t="str">
        <f t="shared" si="397"/>
        <v>One Morningside Park</v>
      </c>
      <c r="C3023" s="1" t="s">
        <v>106</v>
      </c>
      <c r="D3023" s="1" t="s">
        <v>41</v>
      </c>
      <c r="E3023" s="3">
        <v>126719</v>
      </c>
      <c r="F3023" s="1">
        <v>418.21336633663299</v>
      </c>
      <c r="M3023" s="1">
        <v>303</v>
      </c>
      <c r="Q3023" s="1" t="s">
        <v>42</v>
      </c>
      <c r="S3023" s="1" t="s">
        <v>42</v>
      </c>
      <c r="T3023" s="1" t="s">
        <v>170</v>
      </c>
      <c r="AA3023" s="1">
        <v>126718.65</v>
      </c>
      <c r="AB3023" s="1" t="s">
        <v>2314</v>
      </c>
      <c r="AC3023" s="5">
        <v>42103</v>
      </c>
      <c r="AF3023" s="1">
        <v>10026</v>
      </c>
      <c r="AI3023" s="1" t="s">
        <v>242</v>
      </c>
      <c r="AJ3023" s="1">
        <v>2012</v>
      </c>
      <c r="AK3023" s="1" t="s">
        <v>49</v>
      </c>
      <c r="AL3023" s="1">
        <v>88</v>
      </c>
    </row>
    <row r="3024" spans="1:38" x14ac:dyDescent="0.2">
      <c r="A3024" s="2" t="str">
        <f>HYPERLINK("https://www.compass.com/listing/321-west-110th-street-unit-3d-manhattan-ny-10026/277180564061154913/","321 W 110th St, Unit 3D")</f>
        <v>321 W 110th St, Unit 3D</v>
      </c>
      <c r="B3024" s="2" t="str">
        <f t="shared" si="397"/>
        <v>One Morningside Park</v>
      </c>
      <c r="C3024" s="1" t="s">
        <v>106</v>
      </c>
      <c r="D3024" s="1" t="s">
        <v>41</v>
      </c>
      <c r="E3024" s="3">
        <v>111376</v>
      </c>
      <c r="F3024" s="1">
        <v>227.29822448979499</v>
      </c>
      <c r="M3024" s="1">
        <v>490</v>
      </c>
      <c r="Q3024" s="1" t="s">
        <v>42</v>
      </c>
      <c r="S3024" s="1" t="s">
        <v>42</v>
      </c>
      <c r="T3024" s="1" t="s">
        <v>170</v>
      </c>
      <c r="AA3024" s="1">
        <v>111376.13</v>
      </c>
      <c r="AB3024" s="1" t="s">
        <v>2315</v>
      </c>
      <c r="AC3024" s="5">
        <v>42256</v>
      </c>
      <c r="AF3024" s="1">
        <v>10026</v>
      </c>
      <c r="AI3024" s="1" t="s">
        <v>242</v>
      </c>
      <c r="AJ3024" s="1">
        <v>2012</v>
      </c>
      <c r="AK3024" s="1" t="s">
        <v>49</v>
      </c>
      <c r="AL3024" s="1">
        <v>88</v>
      </c>
    </row>
    <row r="3025" spans="1:38" x14ac:dyDescent="0.2">
      <c r="A3025" s="2" t="str">
        <f>HYPERLINK("https://www.compass.com/listing/321-west-110th-street-unit-3e-manhattan-ny-10026/277180564354637137/","321 W 110th St, Unit 3E")</f>
        <v>321 W 110th St, Unit 3E</v>
      </c>
      <c r="B3025" s="2" t="str">
        <f t="shared" si="397"/>
        <v>One Morningside Park</v>
      </c>
      <c r="C3025" s="1" t="s">
        <v>106</v>
      </c>
      <c r="D3025" s="1" t="s">
        <v>41</v>
      </c>
      <c r="E3025" s="3">
        <v>35418</v>
      </c>
      <c r="F3025" s="1">
        <v>37.678308510638203</v>
      </c>
      <c r="M3025" s="1">
        <v>940</v>
      </c>
      <c r="Q3025" s="1" t="s">
        <v>42</v>
      </c>
      <c r="S3025" s="1" t="s">
        <v>42</v>
      </c>
      <c r="T3025" s="1" t="s">
        <v>170</v>
      </c>
      <c r="AA3025" s="1">
        <v>35417.61</v>
      </c>
      <c r="AB3025" s="1" t="s">
        <v>2316</v>
      </c>
      <c r="AC3025" s="5">
        <v>41981</v>
      </c>
      <c r="AF3025" s="1">
        <v>10026</v>
      </c>
      <c r="AI3025" s="1" t="s">
        <v>242</v>
      </c>
      <c r="AJ3025" s="1">
        <v>2012</v>
      </c>
      <c r="AK3025" s="1" t="s">
        <v>49</v>
      </c>
      <c r="AL3025" s="1">
        <v>88</v>
      </c>
    </row>
    <row r="3026" spans="1:38" x14ac:dyDescent="0.2">
      <c r="A3026" s="2" t="str">
        <f>HYPERLINK("https://www.compass.com/listing/321-west-110th-street-unit-4b-manhattan-ny-10026/277180566200131633/","321 W 110th St, Unit 4B")</f>
        <v>321 W 110th St, Unit 4B</v>
      </c>
      <c r="B3026" s="2" t="str">
        <f t="shared" si="397"/>
        <v>One Morningside Park</v>
      </c>
      <c r="C3026" s="1" t="s">
        <v>106</v>
      </c>
      <c r="D3026" s="1" t="s">
        <v>41</v>
      </c>
      <c r="E3026" s="3">
        <v>110997</v>
      </c>
      <c r="F3026" s="1">
        <v>181.07140293637801</v>
      </c>
      <c r="M3026" s="1">
        <v>613</v>
      </c>
      <c r="Q3026" s="1" t="s">
        <v>42</v>
      </c>
      <c r="S3026" s="1" t="s">
        <v>42</v>
      </c>
      <c r="T3026" s="1" t="s">
        <v>170</v>
      </c>
      <c r="AA3026" s="1">
        <v>110996.77</v>
      </c>
      <c r="AB3026" s="1" t="s">
        <v>2317</v>
      </c>
      <c r="AC3026" s="5">
        <v>42047</v>
      </c>
      <c r="AF3026" s="1">
        <v>10026</v>
      </c>
      <c r="AI3026" s="1" t="s">
        <v>242</v>
      </c>
      <c r="AJ3026" s="1">
        <v>2012</v>
      </c>
      <c r="AK3026" s="1" t="s">
        <v>49</v>
      </c>
      <c r="AL3026" s="1">
        <v>88</v>
      </c>
    </row>
    <row r="3027" spans="1:38" x14ac:dyDescent="0.2">
      <c r="A3027" s="2" t="str">
        <f>HYPERLINK("https://www.compass.com/listing/321-west-110th-street-unit-4c-manhattan-ny-10026/277180566577724801/","321 W 110th St, Unit 4C")</f>
        <v>321 W 110th St, Unit 4C</v>
      </c>
      <c r="B3027" s="2" t="str">
        <f t="shared" si="397"/>
        <v>One Morningside Park</v>
      </c>
      <c r="C3027" s="1" t="s">
        <v>106</v>
      </c>
      <c r="D3027" s="1" t="s">
        <v>41</v>
      </c>
      <c r="E3027" s="3">
        <v>75890</v>
      </c>
      <c r="F3027" s="1">
        <v>118.578265625</v>
      </c>
      <c r="M3027" s="1">
        <v>640</v>
      </c>
      <c r="Q3027" s="1" t="s">
        <v>42</v>
      </c>
      <c r="S3027" s="1" t="s">
        <v>42</v>
      </c>
      <c r="T3027" s="1" t="s">
        <v>170</v>
      </c>
      <c r="AA3027" s="1">
        <v>75890.09</v>
      </c>
      <c r="AB3027" s="1" t="s">
        <v>2318</v>
      </c>
      <c r="AC3027" s="5">
        <v>42095</v>
      </c>
      <c r="AF3027" s="1">
        <v>10026</v>
      </c>
      <c r="AI3027" s="1" t="s">
        <v>242</v>
      </c>
      <c r="AJ3027" s="1">
        <v>2012</v>
      </c>
      <c r="AK3027" s="1" t="s">
        <v>49</v>
      </c>
      <c r="AL3027" s="1">
        <v>88</v>
      </c>
    </row>
    <row r="3028" spans="1:38" x14ac:dyDescent="0.2">
      <c r="A3028" s="2" t="str">
        <f>HYPERLINK("https://www.compass.com/listing/321-west-110th-street-unit-5d-manhattan-ny-10026/277180568699937393/","321 W 110th St, Unit 5D")</f>
        <v>321 W 110th St, Unit 5D</v>
      </c>
      <c r="B3028" s="2" t="str">
        <f t="shared" si="397"/>
        <v>One Morningside Park</v>
      </c>
      <c r="C3028" s="1" t="s">
        <v>106</v>
      </c>
      <c r="D3028" s="1" t="s">
        <v>41</v>
      </c>
      <c r="E3028" s="3">
        <v>36241</v>
      </c>
      <c r="F3028" s="1">
        <v>38.7194337606837</v>
      </c>
      <c r="M3028" s="1">
        <v>936</v>
      </c>
      <c r="Q3028" s="1" t="s">
        <v>42</v>
      </c>
      <c r="S3028" s="1" t="s">
        <v>42</v>
      </c>
      <c r="T3028" s="1" t="s">
        <v>170</v>
      </c>
      <c r="AA3028" s="1">
        <v>36241.39</v>
      </c>
      <c r="AB3028" s="1" t="s">
        <v>2319</v>
      </c>
      <c r="AC3028" s="5">
        <v>42004</v>
      </c>
      <c r="AF3028" s="1">
        <v>10026</v>
      </c>
      <c r="AI3028" s="1" t="s">
        <v>242</v>
      </c>
      <c r="AJ3028" s="1">
        <v>2012</v>
      </c>
      <c r="AK3028" s="1" t="s">
        <v>49</v>
      </c>
      <c r="AL3028" s="1">
        <v>88</v>
      </c>
    </row>
    <row r="3029" spans="1:38" x14ac:dyDescent="0.2">
      <c r="A3029" s="2" t="str">
        <f>HYPERLINK("https://www.compass.com/listing/321-west-110th-street-unit-6d-manhattan-ny-10026/277180571308795505/","321 W 110th St, Unit 6D")</f>
        <v>321 W 110th St, Unit 6D</v>
      </c>
      <c r="B3029" s="2" t="str">
        <f t="shared" si="397"/>
        <v>One Morningside Park</v>
      </c>
      <c r="C3029" s="1" t="s">
        <v>106</v>
      </c>
      <c r="D3029" s="1" t="s">
        <v>41</v>
      </c>
      <c r="E3029" s="3">
        <v>41675</v>
      </c>
      <c r="F3029" s="1">
        <v>45.696140350877101</v>
      </c>
      <c r="M3029" s="1">
        <v>912</v>
      </c>
      <c r="Q3029" s="1" t="s">
        <v>42</v>
      </c>
      <c r="S3029" s="1" t="s">
        <v>42</v>
      </c>
      <c r="T3029" s="1" t="s">
        <v>170</v>
      </c>
      <c r="AA3029" s="1">
        <v>41674.879999999997</v>
      </c>
      <c r="AB3029" s="1" t="s">
        <v>2320</v>
      </c>
      <c r="AC3029" s="5">
        <v>42004</v>
      </c>
      <c r="AF3029" s="1">
        <v>10026</v>
      </c>
      <c r="AI3029" s="1" t="s">
        <v>242</v>
      </c>
      <c r="AJ3029" s="1">
        <v>2012</v>
      </c>
      <c r="AK3029" s="1" t="s">
        <v>49</v>
      </c>
      <c r="AL3029" s="1">
        <v>88</v>
      </c>
    </row>
    <row r="3030" spans="1:38" x14ac:dyDescent="0.2">
      <c r="A3030" s="2" t="str">
        <f>HYPERLINK("https://www.compass.com/listing/321-west-110th-street-unit-7b-manhattan-ny-10026/277180571887729121/","321 W 110th St, Unit 7B")</f>
        <v>321 W 110th St, Unit 7B</v>
      </c>
      <c r="B3030" s="2" t="str">
        <f t="shared" si="397"/>
        <v>One Morningside Park</v>
      </c>
      <c r="C3030" s="1" t="s">
        <v>106</v>
      </c>
      <c r="D3030" s="1" t="s">
        <v>41</v>
      </c>
      <c r="E3030" s="3">
        <v>63333</v>
      </c>
      <c r="F3030" s="1">
        <v>91.126848920863296</v>
      </c>
      <c r="M3030" s="1">
        <v>695</v>
      </c>
      <c r="Q3030" s="1" t="s">
        <v>42</v>
      </c>
      <c r="S3030" s="1" t="s">
        <v>42</v>
      </c>
      <c r="T3030" s="1" t="s">
        <v>170</v>
      </c>
      <c r="AA3030" s="1">
        <v>63333.16</v>
      </c>
      <c r="AB3030" s="1" t="s">
        <v>2321</v>
      </c>
      <c r="AC3030" s="5">
        <v>41995</v>
      </c>
      <c r="AF3030" s="1">
        <v>10026</v>
      </c>
      <c r="AI3030" s="1" t="s">
        <v>242</v>
      </c>
      <c r="AJ3030" s="1">
        <v>2012</v>
      </c>
      <c r="AK3030" s="1" t="s">
        <v>49</v>
      </c>
      <c r="AL3030" s="1">
        <v>88</v>
      </c>
    </row>
    <row r="3031" spans="1:38" x14ac:dyDescent="0.2">
      <c r="A3031" s="2" t="str">
        <f>HYPERLINK("https://www.compass.com/listing/321-west-110th-street-unit-8c-manhattan-ny-10026/277180572525250337/","321 W 110th St, Unit 8C")</f>
        <v>321 W 110th St, Unit 8C</v>
      </c>
      <c r="B3031" s="2" t="str">
        <f t="shared" si="397"/>
        <v>One Morningside Park</v>
      </c>
      <c r="C3031" s="1" t="s">
        <v>106</v>
      </c>
      <c r="D3031" s="1" t="s">
        <v>41</v>
      </c>
      <c r="E3031" s="3">
        <v>78903</v>
      </c>
      <c r="F3031" s="1">
        <v>156.242653465346</v>
      </c>
      <c r="M3031" s="1">
        <v>505</v>
      </c>
      <c r="Q3031" s="1" t="s">
        <v>42</v>
      </c>
      <c r="S3031" s="1" t="s">
        <v>42</v>
      </c>
      <c r="T3031" s="1" t="s">
        <v>170</v>
      </c>
      <c r="AA3031" s="1">
        <v>78902.539999999994</v>
      </c>
      <c r="AB3031" s="1" t="s">
        <v>2322</v>
      </c>
      <c r="AC3031" s="5">
        <v>42062</v>
      </c>
      <c r="AF3031" s="1">
        <v>10026</v>
      </c>
      <c r="AI3031" s="1" t="s">
        <v>242</v>
      </c>
      <c r="AJ3031" s="1">
        <v>2012</v>
      </c>
      <c r="AK3031" s="1" t="s">
        <v>49</v>
      </c>
      <c r="AL3031" s="1">
        <v>88</v>
      </c>
    </row>
    <row r="3032" spans="1:38" x14ac:dyDescent="0.2">
      <c r="A3032" s="2" t="str">
        <f>HYPERLINK("https://www.compass.com/listing/100-barclay-street-unit-29c-manhattan-ny-10007/29357183204453313/","100 Barclay St, Unit 29C")</f>
        <v>100 Barclay St, Unit 29C</v>
      </c>
      <c r="B3032" s="2" t="str">
        <f t="shared" ref="B3032:B3034" si="398">HYPERLINK("https://www.compass.com/building/100-barclay-manhattan-ny/281896670466155525/","100 Barclay")</f>
        <v>100 Barclay</v>
      </c>
      <c r="C3032" s="1" t="s">
        <v>40</v>
      </c>
      <c r="D3032" s="1" t="s">
        <v>41</v>
      </c>
      <c r="E3032" s="3">
        <v>6652839</v>
      </c>
      <c r="F3032" s="1">
        <v>2453.1118657817101</v>
      </c>
      <c r="M3032" s="4">
        <v>2712</v>
      </c>
      <c r="Q3032" s="1" t="s">
        <v>42</v>
      </c>
      <c r="S3032" s="1" t="s">
        <v>42</v>
      </c>
      <c r="T3032" s="1" t="s">
        <v>170</v>
      </c>
      <c r="AA3032" s="1">
        <v>6652839.3799999999</v>
      </c>
      <c r="AB3032" s="1" t="s">
        <v>2323</v>
      </c>
      <c r="AC3032" s="5">
        <v>42395</v>
      </c>
      <c r="AF3032" s="1">
        <v>10007</v>
      </c>
      <c r="AI3032" s="1" t="s">
        <v>45</v>
      </c>
      <c r="AJ3032" s="1">
        <v>1930</v>
      </c>
      <c r="AK3032" s="1" t="s">
        <v>46</v>
      </c>
      <c r="AL3032" s="1">
        <v>156</v>
      </c>
    </row>
    <row r="3033" spans="1:38" x14ac:dyDescent="0.2">
      <c r="A3033" s="2" t="str">
        <f>HYPERLINK("https://www.compass.com/listing/100-barclay-street-unit-17g-manhattan-ny-10007/29357206147299537/","100 Barclay St, Unit 17G")</f>
        <v>100 Barclay St, Unit 17G</v>
      </c>
      <c r="B3033" s="2" t="str">
        <f t="shared" si="398"/>
        <v>100 Barclay</v>
      </c>
      <c r="C3033" s="1" t="s">
        <v>40</v>
      </c>
      <c r="D3033" s="1" t="s">
        <v>41</v>
      </c>
      <c r="E3033" s="3">
        <v>3850000</v>
      </c>
      <c r="F3033" s="1">
        <v>1730.33707865168</v>
      </c>
      <c r="M3033" s="4">
        <v>2225</v>
      </c>
      <c r="Q3033" s="1" t="s">
        <v>42</v>
      </c>
      <c r="S3033" s="1" t="s">
        <v>42</v>
      </c>
      <c r="T3033" s="1" t="s">
        <v>170</v>
      </c>
      <c r="AA3033" s="1">
        <v>3850000</v>
      </c>
      <c r="AB3033" s="1" t="s">
        <v>2324</v>
      </c>
      <c r="AC3033" s="5">
        <v>42986</v>
      </c>
      <c r="AF3033" s="1">
        <v>10007</v>
      </c>
      <c r="AI3033" s="1" t="s">
        <v>45</v>
      </c>
      <c r="AJ3033" s="1">
        <v>1930</v>
      </c>
      <c r="AK3033" s="1" t="s">
        <v>46</v>
      </c>
      <c r="AL3033" s="1">
        <v>156</v>
      </c>
    </row>
    <row r="3034" spans="1:38" x14ac:dyDescent="0.2">
      <c r="A3034" s="2" t="str">
        <f>HYPERLINK("https://www.compass.com/listing/100-barclay-street-unit-31a-manhattan-ny-10007/29357215341178049/","100 Barclay St, Unit 31A")</f>
        <v>100 Barclay St, Unit 31A</v>
      </c>
      <c r="B3034" s="2" t="str">
        <f t="shared" si="398"/>
        <v>100 Barclay</v>
      </c>
      <c r="C3034" s="1" t="s">
        <v>40</v>
      </c>
      <c r="D3034" s="1" t="s">
        <v>41</v>
      </c>
      <c r="E3034" s="3">
        <v>11193750</v>
      </c>
      <c r="F3034" s="1">
        <v>2596.5553235908101</v>
      </c>
      <c r="M3034" s="4">
        <v>4311</v>
      </c>
      <c r="Q3034" s="1" t="s">
        <v>42</v>
      </c>
      <c r="S3034" s="1" t="s">
        <v>42</v>
      </c>
      <c r="T3034" s="1" t="s">
        <v>170</v>
      </c>
      <c r="AA3034" s="1">
        <v>11193750</v>
      </c>
      <c r="AB3034" s="1" t="s">
        <v>2325</v>
      </c>
      <c r="AC3034" s="5">
        <v>42906</v>
      </c>
      <c r="AF3034" s="1">
        <v>10007</v>
      </c>
      <c r="AI3034" s="1" t="s">
        <v>45</v>
      </c>
      <c r="AJ3034" s="1">
        <v>1930</v>
      </c>
      <c r="AK3034" s="1" t="s">
        <v>46</v>
      </c>
      <c r="AL3034" s="1">
        <v>156</v>
      </c>
    </row>
    <row r="3035" spans="1:38" x14ac:dyDescent="0.2">
      <c r="A3035" s="2" t="str">
        <f>HYPERLINK("https://www.compass.com/listing/30-park-place-unit-39a-manhattan-ny-10007/29357552051424177/","30 Park Pl, Unit 39A")</f>
        <v>30 Park Pl, Unit 39A</v>
      </c>
      <c r="B3035" s="2" t="str">
        <f t="shared" ref="B3035:B3046" si="399">HYPERLINK("https://www.compass.com/building/30-park-pl-manhattan-ny-10007/281896912905317605/","30 Park Pl")</f>
        <v>30 Park Pl</v>
      </c>
      <c r="C3035" s="1" t="s">
        <v>40</v>
      </c>
      <c r="D3035" s="1" t="s">
        <v>41</v>
      </c>
      <c r="E3035" s="3">
        <v>1350000</v>
      </c>
      <c r="F3035" s="1">
        <v>2265.10067114093</v>
      </c>
      <c r="G3035" s="1">
        <v>2</v>
      </c>
      <c r="H3035" s="1" t="s">
        <v>79</v>
      </c>
      <c r="I3035" s="1">
        <v>1</v>
      </c>
      <c r="J3035" s="1">
        <v>1</v>
      </c>
      <c r="K3035" s="1">
        <v>1</v>
      </c>
      <c r="M3035" s="1">
        <v>596</v>
      </c>
      <c r="N3035" s="1">
        <v>469</v>
      </c>
      <c r="O3035" s="1">
        <v>1666</v>
      </c>
      <c r="P3035" s="1">
        <v>1197</v>
      </c>
      <c r="Q3035" s="1" t="s">
        <v>42</v>
      </c>
      <c r="S3035" s="1" t="s">
        <v>42</v>
      </c>
      <c r="T3035" s="1" t="s">
        <v>170</v>
      </c>
      <c r="U3035" s="1">
        <v>58</v>
      </c>
      <c r="V3035" s="5">
        <v>43008</v>
      </c>
      <c r="W3035" s="5">
        <v>42935</v>
      </c>
      <c r="X3035" s="1">
        <v>1350000</v>
      </c>
      <c r="Y3035" s="1">
        <v>1350000</v>
      </c>
      <c r="AA3035" s="1">
        <v>1350000</v>
      </c>
      <c r="AB3035" s="1" t="s">
        <v>2326</v>
      </c>
      <c r="AC3035" s="5">
        <v>42993</v>
      </c>
      <c r="AF3035" s="1">
        <v>10007</v>
      </c>
      <c r="AJ3035" s="1">
        <v>2016</v>
      </c>
      <c r="AK3035" s="1" t="s">
        <v>73</v>
      </c>
      <c r="AL3035" s="1">
        <v>157</v>
      </c>
    </row>
    <row r="3036" spans="1:38" x14ac:dyDescent="0.2">
      <c r="A3036" s="2" t="str">
        <f>HYPERLINK("https://www.compass.com/listing/30-park-place-unit-47c-manhattan-ny-10007/29357564399553537/","30 Park Pl, Unit 47C")</f>
        <v>30 Park Pl, Unit 47C</v>
      </c>
      <c r="B3036" s="2" t="str">
        <f t="shared" si="399"/>
        <v>30 Park Pl</v>
      </c>
      <c r="C3036" s="1" t="s">
        <v>40</v>
      </c>
      <c r="D3036" s="1" t="s">
        <v>41</v>
      </c>
      <c r="E3036" s="3">
        <v>3222761</v>
      </c>
      <c r="F3036" s="1">
        <v>2908.62928700361</v>
      </c>
      <c r="H3036" s="1">
        <v>1</v>
      </c>
      <c r="J3036" s="1">
        <v>1.5</v>
      </c>
      <c r="M3036" s="4">
        <v>1108</v>
      </c>
      <c r="N3036" s="1">
        <v>889</v>
      </c>
      <c r="O3036" s="1">
        <v>3145</v>
      </c>
      <c r="P3036" s="1">
        <v>2256</v>
      </c>
      <c r="Q3036" s="1" t="s">
        <v>42</v>
      </c>
      <c r="S3036" s="1" t="s">
        <v>42</v>
      </c>
      <c r="T3036" s="1" t="s">
        <v>170</v>
      </c>
      <c r="AA3036" s="1">
        <v>3222761.25</v>
      </c>
      <c r="AB3036" s="1" t="s">
        <v>2327</v>
      </c>
      <c r="AC3036" s="5">
        <v>42667</v>
      </c>
      <c r="AF3036" s="1">
        <v>10007</v>
      </c>
      <c r="AJ3036" s="1">
        <v>2016</v>
      </c>
      <c r="AK3036" s="1" t="s">
        <v>46</v>
      </c>
      <c r="AL3036" s="1">
        <v>157</v>
      </c>
    </row>
    <row r="3037" spans="1:38" x14ac:dyDescent="0.2">
      <c r="A3037" s="2" t="str">
        <f>HYPERLINK("https://www.compass.com/listing/30-park-place-unit-48e-manhattan-ny-10007/29357566035233969/","30 Park Pl, Unit 48E")</f>
        <v>30 Park Pl, Unit 48E</v>
      </c>
      <c r="B3037" s="2" t="str">
        <f t="shared" si="399"/>
        <v>30 Park Pl</v>
      </c>
      <c r="C3037" s="1" t="s">
        <v>40</v>
      </c>
      <c r="D3037" s="1" t="s">
        <v>41</v>
      </c>
      <c r="E3037" s="3">
        <v>5641288</v>
      </c>
      <c r="F3037" s="1">
        <v>3144.5303790412399</v>
      </c>
      <c r="H3037" s="1">
        <v>3</v>
      </c>
      <c r="J3037" s="1">
        <v>2.5</v>
      </c>
      <c r="M3037" s="4">
        <v>1794</v>
      </c>
      <c r="N3037" s="1">
        <v>1457</v>
      </c>
      <c r="O3037" s="1">
        <v>5172</v>
      </c>
      <c r="P3037" s="1">
        <v>3715</v>
      </c>
      <c r="Q3037" s="1" t="s">
        <v>42</v>
      </c>
      <c r="S3037" s="1" t="s">
        <v>42</v>
      </c>
      <c r="T3037" s="1" t="s">
        <v>170</v>
      </c>
      <c r="AA3037" s="1">
        <v>5641287.5</v>
      </c>
      <c r="AB3037" s="1" t="s">
        <v>2328</v>
      </c>
      <c r="AC3037" s="5">
        <v>42620</v>
      </c>
      <c r="AF3037" s="1">
        <v>10007</v>
      </c>
      <c r="AJ3037" s="1">
        <v>2016</v>
      </c>
      <c r="AK3037" s="1" t="s">
        <v>46</v>
      </c>
      <c r="AL3037" s="1">
        <v>157</v>
      </c>
    </row>
    <row r="3038" spans="1:38" x14ac:dyDescent="0.2">
      <c r="A3038" s="2" t="str">
        <f>HYPERLINK("https://www.compass.com/listing/30-park-place-unit-49a-manhattan-ny-10007/29357566362487841/","30 Park Pl, Unit 49A")</f>
        <v>30 Park Pl, Unit 49A</v>
      </c>
      <c r="B3038" s="2" t="str">
        <f t="shared" si="399"/>
        <v>30 Park Pl</v>
      </c>
      <c r="C3038" s="1" t="s">
        <v>40</v>
      </c>
      <c r="D3038" s="1" t="s">
        <v>41</v>
      </c>
      <c r="E3038" s="3">
        <v>6850000</v>
      </c>
      <c r="F3038" s="1">
        <v>3086.9761153672798</v>
      </c>
      <c r="H3038" s="1">
        <v>3</v>
      </c>
      <c r="J3038" s="1">
        <v>3.5</v>
      </c>
      <c r="M3038" s="4">
        <v>2219</v>
      </c>
      <c r="N3038" s="1">
        <v>1820</v>
      </c>
      <c r="O3038" s="1">
        <v>6460</v>
      </c>
      <c r="P3038" s="1">
        <v>4640</v>
      </c>
      <c r="Q3038" s="1" t="s">
        <v>42</v>
      </c>
      <c r="S3038" s="1" t="s">
        <v>42</v>
      </c>
      <c r="T3038" s="1" t="s">
        <v>170</v>
      </c>
      <c r="AA3038" s="1">
        <v>6850000</v>
      </c>
      <c r="AB3038" s="1" t="s">
        <v>2329</v>
      </c>
      <c r="AC3038" s="5">
        <v>43012</v>
      </c>
      <c r="AF3038" s="1">
        <v>10007</v>
      </c>
      <c r="AJ3038" s="1">
        <v>2016</v>
      </c>
      <c r="AK3038" s="1" t="s">
        <v>46</v>
      </c>
      <c r="AL3038" s="1">
        <v>157</v>
      </c>
    </row>
    <row r="3039" spans="1:38" x14ac:dyDescent="0.2">
      <c r="A3039" s="2" t="str">
        <f>HYPERLINK("https://www.compass.com/listing/30-park-place-unit-50a-manhattan-ny-10007/29357567629072673/","30 Park Pl, Unit 50A")</f>
        <v>30 Park Pl, Unit 50A</v>
      </c>
      <c r="B3039" s="2" t="str">
        <f t="shared" si="399"/>
        <v>30 Park Pl</v>
      </c>
      <c r="C3039" s="1" t="s">
        <v>40</v>
      </c>
      <c r="D3039" s="1" t="s">
        <v>41</v>
      </c>
      <c r="E3039" s="3">
        <v>7484138</v>
      </c>
      <c r="F3039" s="1">
        <v>3372.7523659305898</v>
      </c>
      <c r="H3039" s="1">
        <v>3</v>
      </c>
      <c r="J3039" s="1">
        <v>3.5</v>
      </c>
      <c r="M3039" s="4">
        <v>2219</v>
      </c>
      <c r="N3039" s="1">
        <v>1823</v>
      </c>
      <c r="O3039" s="1">
        <v>6470</v>
      </c>
      <c r="P3039" s="1">
        <v>4647</v>
      </c>
      <c r="Q3039" s="1" t="s">
        <v>42</v>
      </c>
      <c r="S3039" s="1" t="s">
        <v>42</v>
      </c>
      <c r="T3039" s="1" t="s">
        <v>170</v>
      </c>
      <c r="AA3039" s="1">
        <v>7484137.5</v>
      </c>
      <c r="AB3039" s="1" t="s">
        <v>2330</v>
      </c>
      <c r="AC3039" s="5">
        <v>42648</v>
      </c>
      <c r="AF3039" s="1">
        <v>10007</v>
      </c>
      <c r="AJ3039" s="1">
        <v>2016</v>
      </c>
      <c r="AK3039" s="1" t="s">
        <v>46</v>
      </c>
      <c r="AL3039" s="1">
        <v>157</v>
      </c>
    </row>
    <row r="3040" spans="1:38" x14ac:dyDescent="0.2">
      <c r="A3040" s="2" t="str">
        <f>HYPERLINK("https://www.compass.com/listing/30-park-place-unit-60b-manhattan-ny-10007/29357581638048289/","30 Park Pl, Unit 60B")</f>
        <v>30 Park Pl, Unit 60B</v>
      </c>
      <c r="B3040" s="2" t="str">
        <f t="shared" si="399"/>
        <v>30 Park Pl</v>
      </c>
      <c r="C3040" s="1" t="s">
        <v>40</v>
      </c>
      <c r="D3040" s="1" t="s">
        <v>41</v>
      </c>
      <c r="E3040" s="3">
        <v>7178663</v>
      </c>
      <c r="F3040" s="1">
        <v>3243.8601446000898</v>
      </c>
      <c r="H3040" s="1">
        <v>3</v>
      </c>
      <c r="J3040" s="1">
        <v>3.5</v>
      </c>
      <c r="M3040" s="4">
        <v>2213</v>
      </c>
      <c r="N3040" s="1">
        <v>1813</v>
      </c>
      <c r="O3040" s="1">
        <v>6436</v>
      </c>
      <c r="P3040" s="1">
        <v>4623</v>
      </c>
      <c r="Q3040" s="1" t="s">
        <v>42</v>
      </c>
      <c r="S3040" s="1" t="s">
        <v>42</v>
      </c>
      <c r="T3040" s="1" t="s">
        <v>170</v>
      </c>
      <c r="AA3040" s="1">
        <v>7178662.5</v>
      </c>
      <c r="AB3040" s="1" t="s">
        <v>2331</v>
      </c>
      <c r="AC3040" s="5">
        <v>42768</v>
      </c>
      <c r="AF3040" s="1">
        <v>10007</v>
      </c>
      <c r="AJ3040" s="1">
        <v>2016</v>
      </c>
      <c r="AK3040" s="1" t="s">
        <v>46</v>
      </c>
      <c r="AL3040" s="1">
        <v>157</v>
      </c>
    </row>
    <row r="3041" spans="1:38" x14ac:dyDescent="0.2">
      <c r="A3041" s="2" t="str">
        <f>HYPERLINK("https://www.compass.com/listing/30-park-place-unit-62d-manhattan-ny-10007/29357584624392785/","30 Park Pl, Unit 62D")</f>
        <v>30 Park Pl, Unit 62D</v>
      </c>
      <c r="B3041" s="2" t="str">
        <f t="shared" si="399"/>
        <v>30 Park Pl</v>
      </c>
      <c r="C3041" s="1" t="s">
        <v>40</v>
      </c>
      <c r="D3041" s="1" t="s">
        <v>41</v>
      </c>
      <c r="E3041" s="3">
        <v>5116706</v>
      </c>
      <c r="F3041" s="1">
        <v>3326.8571196358898</v>
      </c>
      <c r="H3041" s="1">
        <v>2</v>
      </c>
      <c r="J3041" s="1">
        <v>2.5</v>
      </c>
      <c r="M3041" s="4">
        <v>1538</v>
      </c>
      <c r="N3041" s="1">
        <v>1270</v>
      </c>
      <c r="O3041" s="1">
        <v>4508</v>
      </c>
      <c r="P3041" s="1">
        <v>3238</v>
      </c>
      <c r="Q3041" s="1" t="s">
        <v>42</v>
      </c>
      <c r="S3041" s="1" t="s">
        <v>42</v>
      </c>
      <c r="T3041" s="1" t="s">
        <v>170</v>
      </c>
      <c r="AA3041" s="1">
        <v>5116706.25</v>
      </c>
      <c r="AB3041" s="1" t="s">
        <v>2332</v>
      </c>
      <c r="AC3041" s="5">
        <v>42760</v>
      </c>
      <c r="AF3041" s="1">
        <v>10007</v>
      </c>
      <c r="AJ3041" s="1">
        <v>2016</v>
      </c>
      <c r="AK3041" s="1" t="s">
        <v>46</v>
      </c>
      <c r="AL3041" s="1">
        <v>157</v>
      </c>
    </row>
    <row r="3042" spans="1:38" x14ac:dyDescent="0.2">
      <c r="A3042" s="2" t="str">
        <f>HYPERLINK("https://www.compass.com/listing/30-park-place-unit-63d-manhattan-ny-10007/29357585345908033/","30 Park Pl, Unit 63D")</f>
        <v>30 Park Pl, Unit 63D</v>
      </c>
      <c r="B3042" s="2" t="str">
        <f t="shared" si="399"/>
        <v>30 Park Pl</v>
      </c>
      <c r="C3042" s="1" t="s">
        <v>40</v>
      </c>
      <c r="D3042" s="1" t="s">
        <v>41</v>
      </c>
      <c r="E3042" s="3">
        <v>5462911</v>
      </c>
      <c r="F3042" s="1">
        <v>3551.9578998699599</v>
      </c>
      <c r="H3042" s="1">
        <v>2</v>
      </c>
      <c r="J3042" s="1">
        <v>2.5</v>
      </c>
      <c r="M3042" s="4">
        <v>1538</v>
      </c>
      <c r="N3042" s="1">
        <v>1272</v>
      </c>
      <c r="O3042" s="1">
        <v>4515</v>
      </c>
      <c r="P3042" s="1">
        <v>3243</v>
      </c>
      <c r="Q3042" s="1" t="s">
        <v>42</v>
      </c>
      <c r="S3042" s="1" t="s">
        <v>42</v>
      </c>
      <c r="T3042" s="1" t="s">
        <v>170</v>
      </c>
      <c r="AA3042" s="1">
        <v>5462911.25</v>
      </c>
      <c r="AB3042" s="1" t="s">
        <v>2333</v>
      </c>
      <c r="AC3042" s="5">
        <v>42783</v>
      </c>
      <c r="AF3042" s="1">
        <v>10007</v>
      </c>
      <c r="AJ3042" s="1">
        <v>2016</v>
      </c>
      <c r="AK3042" s="1" t="s">
        <v>46</v>
      </c>
      <c r="AL3042" s="1">
        <v>157</v>
      </c>
    </row>
    <row r="3043" spans="1:38" x14ac:dyDescent="0.2">
      <c r="A3043" s="2" t="str">
        <f>HYPERLINK("https://www.compass.com/listing/30-park-place-unit-67b-manhattan-ny-10007/29357589129072161/","30 Park Pl, Unit 67B")</f>
        <v>30 Park Pl, Unit 67B</v>
      </c>
      <c r="B3043" s="2" t="str">
        <f t="shared" si="399"/>
        <v>30 Park Pl</v>
      </c>
      <c r="C3043" s="1" t="s">
        <v>40</v>
      </c>
      <c r="D3043" s="1" t="s">
        <v>41</v>
      </c>
      <c r="E3043" s="3">
        <v>8400000</v>
      </c>
      <c r="F3043" s="1">
        <v>3192.7023945267902</v>
      </c>
      <c r="H3043" s="1">
        <v>3</v>
      </c>
      <c r="J3043" s="1">
        <v>3.5</v>
      </c>
      <c r="M3043" s="4">
        <v>2631</v>
      </c>
      <c r="N3043" s="1">
        <v>2188</v>
      </c>
      <c r="O3043" s="1">
        <v>7765</v>
      </c>
      <c r="P3043" s="1">
        <v>5577</v>
      </c>
      <c r="Q3043" s="1" t="s">
        <v>42</v>
      </c>
      <c r="S3043" s="1" t="s">
        <v>42</v>
      </c>
      <c r="T3043" s="1" t="s">
        <v>170</v>
      </c>
      <c r="AA3043" s="1">
        <v>8400000</v>
      </c>
      <c r="AB3043" s="1" t="s">
        <v>2334</v>
      </c>
      <c r="AC3043" s="5">
        <v>42822</v>
      </c>
      <c r="AF3043" s="1">
        <v>10007</v>
      </c>
      <c r="AJ3043" s="1">
        <v>2016</v>
      </c>
      <c r="AK3043" s="1" t="s">
        <v>46</v>
      </c>
      <c r="AL3043" s="1">
        <v>157</v>
      </c>
    </row>
    <row r="3044" spans="1:38" x14ac:dyDescent="0.2">
      <c r="A3044" s="2" t="str">
        <f>HYPERLINK("https://www.compass.com/listing/30-park-place-unit-73a-manhattan-ny-10007/29357593205935713/","30 Park Pl, Unit 73A")</f>
        <v>30 Park Pl, Unit 73A</v>
      </c>
      <c r="B3044" s="2" t="str">
        <f t="shared" si="399"/>
        <v>30 Park Pl</v>
      </c>
      <c r="C3044" s="1" t="s">
        <v>40</v>
      </c>
      <c r="D3044" s="1" t="s">
        <v>41</v>
      </c>
      <c r="E3044" s="3">
        <v>13600000</v>
      </c>
      <c r="F3044" s="1">
        <v>3676.6693701000199</v>
      </c>
      <c r="M3044" s="4">
        <v>3699</v>
      </c>
      <c r="Q3044" s="1" t="s">
        <v>42</v>
      </c>
      <c r="S3044" s="1" t="s">
        <v>42</v>
      </c>
      <c r="T3044" s="1" t="s">
        <v>170</v>
      </c>
      <c r="AA3044" s="1">
        <v>13600000</v>
      </c>
      <c r="AB3044" s="1" t="s">
        <v>2335</v>
      </c>
      <c r="AC3044" s="5">
        <v>42851</v>
      </c>
      <c r="AF3044" s="1">
        <v>10007</v>
      </c>
      <c r="AJ3044" s="1">
        <v>2016</v>
      </c>
      <c r="AK3044" s="1" t="s">
        <v>46</v>
      </c>
      <c r="AL3044" s="1">
        <v>157</v>
      </c>
    </row>
    <row r="3045" spans="1:38" x14ac:dyDescent="0.2">
      <c r="A3045" s="2" t="str">
        <f>HYPERLINK("https://www.compass.com/listing/30-park-place-unit-75b-manhattan-ny-10007/29357595345030801/","30 Park Pl, Unit 75B")</f>
        <v>30 Park Pl, Unit 75B</v>
      </c>
      <c r="B3045" s="2" t="str">
        <f t="shared" si="399"/>
        <v>30 Park Pl</v>
      </c>
      <c r="C3045" s="1" t="s">
        <v>40</v>
      </c>
      <c r="D3045" s="1" t="s">
        <v>41</v>
      </c>
      <c r="E3045" s="3">
        <v>15843263</v>
      </c>
      <c r="F3045" s="1">
        <v>5076.3417173982698</v>
      </c>
      <c r="M3045" s="4">
        <v>3121</v>
      </c>
      <c r="Q3045" s="1" t="s">
        <v>42</v>
      </c>
      <c r="S3045" s="1" t="s">
        <v>42</v>
      </c>
      <c r="T3045" s="1" t="s">
        <v>170</v>
      </c>
      <c r="AA3045" s="1">
        <v>15843262.5</v>
      </c>
      <c r="AB3045" s="1" t="s">
        <v>2336</v>
      </c>
      <c r="AC3045" s="5">
        <v>42894</v>
      </c>
      <c r="AF3045" s="1">
        <v>10007</v>
      </c>
      <c r="AJ3045" s="1">
        <v>2016</v>
      </c>
      <c r="AK3045" s="1" t="s">
        <v>46</v>
      </c>
      <c r="AL3045" s="1">
        <v>157</v>
      </c>
    </row>
    <row r="3046" spans="1:38" x14ac:dyDescent="0.2">
      <c r="A3046" s="2" t="str">
        <f>HYPERLINK("https://www.compass.com/listing/30-park-place-unit-77a-manhattan-ny-10007/29357596385218209/","30 Park Pl, Unit 77A")</f>
        <v>30 Park Pl, Unit 77A</v>
      </c>
      <c r="B3046" s="2" t="str">
        <f t="shared" si="399"/>
        <v>30 Park Pl</v>
      </c>
      <c r="C3046" s="1" t="s">
        <v>40</v>
      </c>
      <c r="D3046" s="1" t="s">
        <v>41</v>
      </c>
      <c r="E3046" s="3">
        <v>18429688</v>
      </c>
      <c r="F3046" s="1">
        <v>4664.5628954695003</v>
      </c>
      <c r="H3046" s="1">
        <v>4</v>
      </c>
      <c r="J3046" s="1">
        <v>4.5</v>
      </c>
      <c r="M3046" s="4">
        <v>3951</v>
      </c>
      <c r="N3046" s="1">
        <v>3580</v>
      </c>
      <c r="O3046" s="1">
        <v>12705</v>
      </c>
      <c r="P3046" s="1">
        <v>9125</v>
      </c>
      <c r="Q3046" s="1" t="s">
        <v>42</v>
      </c>
      <c r="S3046" s="1" t="s">
        <v>42</v>
      </c>
      <c r="T3046" s="1" t="s">
        <v>170</v>
      </c>
      <c r="AA3046" s="1">
        <v>18429688</v>
      </c>
      <c r="AB3046" s="1" t="s">
        <v>2337</v>
      </c>
      <c r="AC3046" s="5">
        <v>42775</v>
      </c>
      <c r="AF3046" s="1">
        <v>10007</v>
      </c>
      <c r="AJ3046" s="1">
        <v>2016</v>
      </c>
      <c r="AK3046" s="1" t="s">
        <v>46</v>
      </c>
      <c r="AL3046" s="1">
        <v>157</v>
      </c>
    </row>
    <row r="3047" spans="1:38" x14ac:dyDescent="0.2">
      <c r="A3047" s="2" t="str">
        <f>HYPERLINK("https://www.compass.com/listing/412-greenwich-street-unit-2d-manhattan-ny-10013/29359351214921185/","412 Greenwich St, Unit 2D")</f>
        <v>412 Greenwich St, Unit 2D</v>
      </c>
      <c r="B3047" s="2" t="str">
        <f t="shared" ref="B3047:B3060" si="400">HYPERLINK("https://www.compass.com/building/412-greenwich-st-manhattan-ny-10013/307448573918203765/","412 Greenwich St")</f>
        <v>412 Greenwich St</v>
      </c>
      <c r="C3047" s="1" t="s">
        <v>40</v>
      </c>
      <c r="D3047" s="1" t="s">
        <v>41</v>
      </c>
      <c r="E3047" s="3">
        <v>8350000</v>
      </c>
      <c r="F3047" s="1">
        <v>2574.7764415664501</v>
      </c>
      <c r="M3047" s="4">
        <v>3243</v>
      </c>
      <c r="Q3047" s="1" t="s">
        <v>42</v>
      </c>
      <c r="S3047" s="1" t="s">
        <v>42</v>
      </c>
      <c r="T3047" s="1" t="s">
        <v>170</v>
      </c>
      <c r="AA3047" s="1">
        <v>8350000</v>
      </c>
      <c r="AB3047" s="1" t="s">
        <v>2338</v>
      </c>
      <c r="AC3047" s="5">
        <v>42187</v>
      </c>
      <c r="AF3047" s="1">
        <v>10013</v>
      </c>
    </row>
    <row r="3048" spans="1:38" x14ac:dyDescent="0.2">
      <c r="A3048" s="2" t="str">
        <f>HYPERLINK("https://www.compass.com/listing/412-greenwich-street-unit-2e-manhattan-ny-10013/29359351533725121/","412 Greenwich St, Unit 2E")</f>
        <v>412 Greenwich St, Unit 2E</v>
      </c>
      <c r="B3048" s="2" t="str">
        <f t="shared" si="400"/>
        <v>412 Greenwich St</v>
      </c>
      <c r="C3048" s="1" t="s">
        <v>40</v>
      </c>
      <c r="D3048" s="1" t="s">
        <v>41</v>
      </c>
      <c r="E3048" s="3">
        <v>5700000</v>
      </c>
      <c r="F3048" s="1">
        <v>2492.3480542195002</v>
      </c>
      <c r="M3048" s="4">
        <v>2287</v>
      </c>
      <c r="Q3048" s="1" t="s">
        <v>42</v>
      </c>
      <c r="S3048" s="1" t="s">
        <v>42</v>
      </c>
      <c r="T3048" s="1" t="s">
        <v>170</v>
      </c>
      <c r="AA3048" s="1">
        <v>5700000</v>
      </c>
      <c r="AB3048" s="1" t="s">
        <v>2339</v>
      </c>
      <c r="AC3048" s="5">
        <v>42195</v>
      </c>
      <c r="AF3048" s="1">
        <v>10013</v>
      </c>
    </row>
    <row r="3049" spans="1:38" x14ac:dyDescent="0.2">
      <c r="A3049" s="2" t="str">
        <f>HYPERLINK("https://www.compass.com/listing/412-greenwich-street-unit-3d-manhattan-ny-10013/29359352179611121/","412 Greenwich St, Unit 3D")</f>
        <v>412 Greenwich St, Unit 3D</v>
      </c>
      <c r="B3049" s="2" t="str">
        <f t="shared" si="400"/>
        <v>412 Greenwich St</v>
      </c>
      <c r="C3049" s="1" t="s">
        <v>40</v>
      </c>
      <c r="D3049" s="1" t="s">
        <v>41</v>
      </c>
      <c r="E3049" s="3">
        <v>8325281</v>
      </c>
      <c r="F3049" s="1">
        <v>2567.1542553191398</v>
      </c>
      <c r="M3049" s="4">
        <v>3243</v>
      </c>
      <c r="Q3049" s="1" t="s">
        <v>42</v>
      </c>
      <c r="S3049" s="1" t="s">
        <v>42</v>
      </c>
      <c r="T3049" s="1" t="s">
        <v>170</v>
      </c>
      <c r="AA3049" s="1">
        <v>8325281.25</v>
      </c>
      <c r="AB3049" s="1" t="s">
        <v>2340</v>
      </c>
      <c r="AC3049" s="5">
        <v>42193</v>
      </c>
      <c r="AF3049" s="1">
        <v>10013</v>
      </c>
    </row>
    <row r="3050" spans="1:38" x14ac:dyDescent="0.2">
      <c r="A3050" s="2" t="str">
        <f>HYPERLINK("https://www.compass.com/listing/412-greenwich-street-unit-3e-manhattan-ny-10013/29359352481637841/","412 Greenwich St, Unit 3E")</f>
        <v>412 Greenwich St, Unit 3E</v>
      </c>
      <c r="B3050" s="2" t="str">
        <f t="shared" si="400"/>
        <v>412 Greenwich St</v>
      </c>
      <c r="C3050" s="1" t="s">
        <v>40</v>
      </c>
      <c r="D3050" s="1" t="s">
        <v>41</v>
      </c>
      <c r="E3050" s="3">
        <v>5650000</v>
      </c>
      <c r="F3050" s="1">
        <v>2486.7957746478801</v>
      </c>
      <c r="M3050" s="4">
        <v>2272</v>
      </c>
      <c r="Q3050" s="1" t="s">
        <v>42</v>
      </c>
      <c r="S3050" s="1" t="s">
        <v>42</v>
      </c>
      <c r="T3050" s="1" t="s">
        <v>170</v>
      </c>
      <c r="AA3050" s="1">
        <v>5650000</v>
      </c>
      <c r="AB3050" s="1" t="s">
        <v>2341</v>
      </c>
      <c r="AC3050" s="5">
        <v>42186</v>
      </c>
      <c r="AF3050" s="1">
        <v>10013</v>
      </c>
    </row>
    <row r="3051" spans="1:38" x14ac:dyDescent="0.2">
      <c r="A3051" s="2" t="str">
        <f>HYPERLINK("https://www.compass.com/listing/412-greenwich-street-unit-3f-manhattan-ny-10013/29359353102358017/","412 Greenwich St, Unit 3F")</f>
        <v>412 Greenwich St, Unit 3F</v>
      </c>
      <c r="B3051" s="2" t="str">
        <f t="shared" si="400"/>
        <v>412 Greenwich St</v>
      </c>
      <c r="C3051" s="1" t="s">
        <v>40</v>
      </c>
      <c r="D3051" s="1" t="s">
        <v>41</v>
      </c>
      <c r="E3051" s="3">
        <v>5200000</v>
      </c>
      <c r="F3051" s="1">
        <v>2158.57202158572</v>
      </c>
      <c r="M3051" s="4">
        <v>2409</v>
      </c>
      <c r="Q3051" s="1" t="s">
        <v>42</v>
      </c>
      <c r="S3051" s="1" t="s">
        <v>42</v>
      </c>
      <c r="T3051" s="1" t="s">
        <v>170</v>
      </c>
      <c r="AA3051" s="1">
        <v>5200000</v>
      </c>
      <c r="AB3051" s="1" t="s">
        <v>2342</v>
      </c>
      <c r="AC3051" s="5">
        <v>42198</v>
      </c>
      <c r="AF3051" s="1">
        <v>10013</v>
      </c>
    </row>
    <row r="3052" spans="1:38" x14ac:dyDescent="0.2">
      <c r="A3052" s="2" t="str">
        <f>HYPERLINK("https://www.compass.com/listing/412-greenwich-street-unit-3f-manhattan-ny-10013/29359353102358033/","412 Greenwich St, Unit 3F")</f>
        <v>412 Greenwich St, Unit 3F</v>
      </c>
      <c r="B3052" s="2" t="str">
        <f t="shared" si="400"/>
        <v>412 Greenwich St</v>
      </c>
      <c r="C3052" s="1" t="s">
        <v>40</v>
      </c>
      <c r="D3052" s="1" t="s">
        <v>41</v>
      </c>
      <c r="E3052" s="3">
        <v>5425000</v>
      </c>
      <c r="F3052" s="1">
        <v>2251.9717725197102</v>
      </c>
      <c r="M3052" s="4">
        <v>2409</v>
      </c>
      <c r="Q3052" s="1" t="s">
        <v>42</v>
      </c>
      <c r="S3052" s="1" t="s">
        <v>42</v>
      </c>
      <c r="T3052" s="1" t="s">
        <v>170</v>
      </c>
      <c r="AA3052" s="1">
        <v>5425000</v>
      </c>
      <c r="AB3052" s="1" t="s">
        <v>2343</v>
      </c>
      <c r="AC3052" s="5">
        <v>43257</v>
      </c>
      <c r="AF3052" s="1">
        <v>10013</v>
      </c>
    </row>
    <row r="3053" spans="1:38" x14ac:dyDescent="0.2">
      <c r="A3053" s="2" t="str">
        <f>HYPERLINK("https://www.compass.com/listing/412-greenwich-street-unit-4d-manhattan-ny-10013/29359353395996129/","412 Greenwich St, Unit 4D")</f>
        <v>412 Greenwich St, Unit 4D</v>
      </c>
      <c r="B3053" s="2" t="str">
        <f t="shared" si="400"/>
        <v>412 Greenwich St</v>
      </c>
      <c r="C3053" s="1" t="s">
        <v>40</v>
      </c>
      <c r="D3053" s="1" t="s">
        <v>41</v>
      </c>
      <c r="E3053" s="3">
        <v>8500000</v>
      </c>
      <c r="F3053" s="1">
        <v>2621.0299105766198</v>
      </c>
      <c r="M3053" s="4">
        <v>3243</v>
      </c>
      <c r="Q3053" s="1" t="s">
        <v>42</v>
      </c>
      <c r="S3053" s="1" t="s">
        <v>42</v>
      </c>
      <c r="T3053" s="1" t="s">
        <v>170</v>
      </c>
      <c r="AA3053" s="1">
        <v>8500000</v>
      </c>
      <c r="AB3053" s="1" t="s">
        <v>2344</v>
      </c>
      <c r="AC3053" s="5">
        <v>42193</v>
      </c>
      <c r="AF3053" s="1">
        <v>10013</v>
      </c>
    </row>
    <row r="3054" spans="1:38" x14ac:dyDescent="0.2">
      <c r="A3054" s="2" t="str">
        <f>HYPERLINK("https://www.compass.com/listing/412-greenwich-street-unit-4e-manhattan-ny-10013/29359353689593137/","412 Greenwich St, Unit 4E")</f>
        <v>412 Greenwich St, Unit 4E</v>
      </c>
      <c r="B3054" s="2" t="str">
        <f t="shared" si="400"/>
        <v>412 Greenwich St</v>
      </c>
      <c r="C3054" s="1" t="s">
        <v>40</v>
      </c>
      <c r="D3054" s="1" t="s">
        <v>41</v>
      </c>
      <c r="E3054" s="3">
        <v>5753113</v>
      </c>
      <c r="F3054" s="1">
        <v>2515.5717096633098</v>
      </c>
      <c r="M3054" s="4">
        <v>2287</v>
      </c>
      <c r="Q3054" s="1" t="s">
        <v>42</v>
      </c>
      <c r="S3054" s="1" t="s">
        <v>42</v>
      </c>
      <c r="T3054" s="1" t="s">
        <v>170</v>
      </c>
      <c r="AA3054" s="1">
        <v>5753112.5</v>
      </c>
      <c r="AB3054" s="1" t="s">
        <v>2345</v>
      </c>
      <c r="AC3054" s="5">
        <v>42192</v>
      </c>
      <c r="AF3054" s="1">
        <v>10013</v>
      </c>
    </row>
    <row r="3055" spans="1:38" x14ac:dyDescent="0.2">
      <c r="A3055" s="2" t="str">
        <f>HYPERLINK("https://www.compass.com/listing/412-greenwich-street-unit-4f-manhattan-ny-10013/29359354050270753/","412 Greenwich St, Unit 4F")</f>
        <v>412 Greenwich St, Unit 4F</v>
      </c>
      <c r="B3055" s="2" t="str">
        <f t="shared" si="400"/>
        <v>412 Greenwich St</v>
      </c>
      <c r="C3055" s="1" t="s">
        <v>40</v>
      </c>
      <c r="D3055" s="1" t="s">
        <v>41</v>
      </c>
      <c r="E3055" s="3">
        <v>5294900</v>
      </c>
      <c r="F3055" s="1">
        <v>2197.9659609796499</v>
      </c>
      <c r="M3055" s="4">
        <v>2409</v>
      </c>
      <c r="Q3055" s="1" t="s">
        <v>42</v>
      </c>
      <c r="S3055" s="1" t="s">
        <v>42</v>
      </c>
      <c r="T3055" s="1" t="s">
        <v>170</v>
      </c>
      <c r="AA3055" s="1">
        <v>5294900</v>
      </c>
      <c r="AB3055" s="1" t="s">
        <v>2346</v>
      </c>
      <c r="AC3055" s="5">
        <v>42186</v>
      </c>
      <c r="AF3055" s="1">
        <v>10013</v>
      </c>
    </row>
    <row r="3056" spans="1:38" x14ac:dyDescent="0.2">
      <c r="A3056" s="2" t="str">
        <f>HYPERLINK("https://www.compass.com/listing/412-greenwich-street-unit-5d-manhattan-ny-10013/29359354343908849/","412 Greenwich St, Unit 5D")</f>
        <v>412 Greenwich St, Unit 5D</v>
      </c>
      <c r="B3056" s="2" t="str">
        <f t="shared" si="400"/>
        <v>412 Greenwich St</v>
      </c>
      <c r="C3056" s="1" t="s">
        <v>40</v>
      </c>
      <c r="D3056" s="1" t="s">
        <v>41</v>
      </c>
      <c r="E3056" s="3">
        <v>8960600</v>
      </c>
      <c r="F3056" s="1">
        <v>2763.05889608387</v>
      </c>
      <c r="M3056" s="4">
        <v>3243</v>
      </c>
      <c r="Q3056" s="1" t="s">
        <v>42</v>
      </c>
      <c r="S3056" s="1" t="s">
        <v>42</v>
      </c>
      <c r="T3056" s="1" t="s">
        <v>170</v>
      </c>
      <c r="AA3056" s="1">
        <v>8960600</v>
      </c>
      <c r="AB3056" s="1" t="s">
        <v>2347</v>
      </c>
      <c r="AC3056" s="5">
        <v>42290</v>
      </c>
      <c r="AF3056" s="1">
        <v>10013</v>
      </c>
    </row>
    <row r="3057" spans="1:38" x14ac:dyDescent="0.2">
      <c r="A3057" s="2" t="str">
        <f>HYPERLINK("https://www.compass.com/listing/412-greenwich-street-unit-5e-manhattan-ny-10013/29359354620728641/","412 Greenwich St, Unit 5E")</f>
        <v>412 Greenwich St, Unit 5E</v>
      </c>
      <c r="B3057" s="2" t="str">
        <f t="shared" si="400"/>
        <v>412 Greenwich St</v>
      </c>
      <c r="C3057" s="1" t="s">
        <v>40</v>
      </c>
      <c r="D3057" s="1" t="s">
        <v>41</v>
      </c>
      <c r="E3057" s="3">
        <v>6058588</v>
      </c>
      <c r="F3057" s="1">
        <v>2649.14188893747</v>
      </c>
      <c r="M3057" s="4">
        <v>2287</v>
      </c>
      <c r="Q3057" s="1" t="s">
        <v>42</v>
      </c>
      <c r="S3057" s="1" t="s">
        <v>42</v>
      </c>
      <c r="T3057" s="1" t="s">
        <v>170</v>
      </c>
      <c r="AA3057" s="1">
        <v>6058587.5</v>
      </c>
      <c r="AB3057" s="1" t="s">
        <v>2348</v>
      </c>
      <c r="AC3057" s="5">
        <v>42194</v>
      </c>
      <c r="AF3057" s="1">
        <v>10013</v>
      </c>
    </row>
    <row r="3058" spans="1:38" x14ac:dyDescent="0.2">
      <c r="A3058" s="2" t="str">
        <f>HYPERLINK("https://www.compass.com/listing/412-greenwich-street-unit-5f-manhattan-ny-10013/29359354922686001/","412 Greenwich St, Unit 5F")</f>
        <v>412 Greenwich St, Unit 5F</v>
      </c>
      <c r="B3058" s="2" t="str">
        <f t="shared" si="400"/>
        <v>412 Greenwich St</v>
      </c>
      <c r="C3058" s="1" t="s">
        <v>40</v>
      </c>
      <c r="D3058" s="1" t="s">
        <v>41</v>
      </c>
      <c r="E3058" s="3">
        <v>5549463</v>
      </c>
      <c r="F3058" s="1">
        <v>2303.6374014113699</v>
      </c>
      <c r="M3058" s="4">
        <v>2409</v>
      </c>
      <c r="Q3058" s="1" t="s">
        <v>42</v>
      </c>
      <c r="S3058" s="1" t="s">
        <v>42</v>
      </c>
      <c r="T3058" s="1" t="s">
        <v>170</v>
      </c>
      <c r="AA3058" s="1">
        <v>5549462.5</v>
      </c>
      <c r="AB3058" s="1" t="s">
        <v>2349</v>
      </c>
      <c r="AC3058" s="5">
        <v>42193</v>
      </c>
      <c r="AF3058" s="1">
        <v>10013</v>
      </c>
    </row>
    <row r="3059" spans="1:38" x14ac:dyDescent="0.2">
      <c r="A3059" s="2" t="str">
        <f>HYPERLINK("https://www.compass.com/listing/412-greenwich-street-unit-phb-manhattan-ny-10013/29359355207935489/","412 Greenwich St, Unit PHB")</f>
        <v>412 Greenwich St, Unit PHB</v>
      </c>
      <c r="B3059" s="2" t="str">
        <f t="shared" si="400"/>
        <v>412 Greenwich St</v>
      </c>
      <c r="C3059" s="1" t="s">
        <v>40</v>
      </c>
      <c r="D3059" s="1" t="s">
        <v>41</v>
      </c>
      <c r="E3059" s="3">
        <v>22210783</v>
      </c>
      <c r="F3059" s="1">
        <v>3952.0965302491099</v>
      </c>
      <c r="M3059" s="4">
        <v>5620</v>
      </c>
      <c r="Q3059" s="1" t="s">
        <v>42</v>
      </c>
      <c r="S3059" s="1" t="s">
        <v>42</v>
      </c>
      <c r="T3059" s="1" t="s">
        <v>170</v>
      </c>
      <c r="AA3059" s="1">
        <v>22210782.5</v>
      </c>
      <c r="AB3059" s="1" t="s">
        <v>2350</v>
      </c>
      <c r="AC3059" s="5">
        <v>42598</v>
      </c>
      <c r="AF3059" s="1">
        <v>10013</v>
      </c>
    </row>
    <row r="3060" spans="1:38" x14ac:dyDescent="0.2">
      <c r="A3060" s="2" t="str">
        <f>HYPERLINK("https://www.compass.com/listing/412-greenwich-street-unit-6e-manhattan-ny-10013/29359355501532497/","412 Greenwich St, Unit 6E")</f>
        <v>412 Greenwich St, Unit 6E</v>
      </c>
      <c r="B3060" s="2" t="str">
        <f t="shared" si="400"/>
        <v>412 Greenwich St</v>
      </c>
      <c r="C3060" s="1" t="s">
        <v>40</v>
      </c>
      <c r="D3060" s="1" t="s">
        <v>41</v>
      </c>
      <c r="E3060" s="3">
        <v>4584875</v>
      </c>
      <c r="F3060" s="1">
        <v>2824.93838570548</v>
      </c>
      <c r="M3060" s="4">
        <v>1623</v>
      </c>
      <c r="Q3060" s="1" t="s">
        <v>42</v>
      </c>
      <c r="S3060" s="1" t="s">
        <v>42</v>
      </c>
      <c r="T3060" s="1" t="s">
        <v>170</v>
      </c>
      <c r="AA3060" s="1">
        <v>4584875</v>
      </c>
      <c r="AB3060" s="1" t="s">
        <v>2351</v>
      </c>
      <c r="AC3060" s="5">
        <v>42531</v>
      </c>
      <c r="AF3060" s="1">
        <v>10013</v>
      </c>
    </row>
    <row r="3061" spans="1:38" x14ac:dyDescent="0.2">
      <c r="A3061" s="2" t="str">
        <f>HYPERLINK("https://www.compass.com/listing/25-mercer-street-unit-4-manhattan-ny-10013/29359655872440305/","25 Mercer St, Unit 4")</f>
        <v>25 Mercer St, Unit 4</v>
      </c>
      <c r="B3061" s="2" t="str">
        <f>HYPERLINK("https://www.compass.com/building/25-mercer-st-manhattan-ny-10013/281918357685436949/","25 Mercer St")</f>
        <v>25 Mercer St</v>
      </c>
      <c r="C3061" s="1" t="s">
        <v>104</v>
      </c>
      <c r="D3061" s="1" t="s">
        <v>41</v>
      </c>
      <c r="E3061" s="3">
        <v>1527500</v>
      </c>
      <c r="F3061" s="1">
        <v>1113.33819241982</v>
      </c>
      <c r="M3061" s="4">
        <v>1372</v>
      </c>
      <c r="Q3061" s="1" t="s">
        <v>42</v>
      </c>
      <c r="S3061" s="1" t="s">
        <v>42</v>
      </c>
      <c r="T3061" s="1" t="s">
        <v>170</v>
      </c>
      <c r="AA3061" s="1">
        <v>1527500</v>
      </c>
      <c r="AB3061" s="1" t="s">
        <v>2352</v>
      </c>
      <c r="AC3061" s="5">
        <v>42810</v>
      </c>
      <c r="AF3061" s="1">
        <v>10013</v>
      </c>
      <c r="AI3061" s="1" t="s">
        <v>84</v>
      </c>
      <c r="AJ3061" s="1">
        <v>2016</v>
      </c>
      <c r="AL3061" s="1">
        <v>5</v>
      </c>
    </row>
    <row r="3062" spans="1:38" x14ac:dyDescent="0.2">
      <c r="A3062" s="2" t="str">
        <f>HYPERLINK("https://www.compass.com/listing/86-canal-street-unit-5b-manhattan-ny-10002/29360006239444353/","86 Canal St, Unit 5B")</f>
        <v>86 Canal St, Unit 5B</v>
      </c>
      <c r="B3062" s="2" t="str">
        <f t="shared" ref="B3062:B3083" si="401">HYPERLINK("https://www.compass.com/building/86-canal-st-manhattan-ny-10002/281888255618581733/","86 Canal St")</f>
        <v>86 Canal St</v>
      </c>
      <c r="C3062" s="1" t="s">
        <v>1340</v>
      </c>
      <c r="D3062" s="1" t="s">
        <v>41</v>
      </c>
      <c r="E3062" s="3">
        <v>275808</v>
      </c>
      <c r="F3062" s="1">
        <v>861.9</v>
      </c>
      <c r="M3062" s="1">
        <v>320</v>
      </c>
      <c r="Q3062" s="1" t="s">
        <v>42</v>
      </c>
      <c r="S3062" s="1" t="s">
        <v>42</v>
      </c>
      <c r="T3062" s="1" t="s">
        <v>170</v>
      </c>
      <c r="AA3062" s="1">
        <v>275808</v>
      </c>
      <c r="AB3062" s="1" t="s">
        <v>2353</v>
      </c>
      <c r="AC3062" s="5">
        <v>43075</v>
      </c>
      <c r="AF3062" s="1">
        <v>10002</v>
      </c>
      <c r="AJ3062" s="1">
        <v>2012</v>
      </c>
      <c r="AL3062" s="1">
        <v>89</v>
      </c>
    </row>
    <row r="3063" spans="1:38" x14ac:dyDescent="0.2">
      <c r="A3063" s="2" t="str">
        <f>HYPERLINK("https://www.compass.com/listing/86-canal-street-unit-5c-manhattan-ny-10002/29360006566595233/","86 Canal St, Unit 5C")</f>
        <v>86 Canal St, Unit 5C</v>
      </c>
      <c r="B3063" s="2" t="str">
        <f t="shared" si="401"/>
        <v>86 Canal St</v>
      </c>
      <c r="C3063" s="1" t="s">
        <v>1340</v>
      </c>
      <c r="D3063" s="1" t="s">
        <v>41</v>
      </c>
      <c r="E3063" s="3">
        <v>293046</v>
      </c>
      <c r="F3063" s="1">
        <v>861.9</v>
      </c>
      <c r="M3063" s="1">
        <v>340</v>
      </c>
      <c r="Q3063" s="1" t="s">
        <v>42</v>
      </c>
      <c r="S3063" s="1" t="s">
        <v>42</v>
      </c>
      <c r="T3063" s="1" t="s">
        <v>170</v>
      </c>
      <c r="AA3063" s="1">
        <v>293046</v>
      </c>
      <c r="AB3063" s="1" t="s">
        <v>2354</v>
      </c>
      <c r="AC3063" s="5">
        <v>43088</v>
      </c>
      <c r="AF3063" s="1">
        <v>10002</v>
      </c>
      <c r="AJ3063" s="1">
        <v>2012</v>
      </c>
      <c r="AL3063" s="1">
        <v>89</v>
      </c>
    </row>
    <row r="3064" spans="1:38" x14ac:dyDescent="0.2">
      <c r="A3064" s="2" t="str">
        <f>HYPERLINK("https://www.compass.com/listing/86-canal-street-unit-6c-manhattan-ny-10002/29360006918881313/","86 Canal St, Unit 6C")</f>
        <v>86 Canal St, Unit 6C</v>
      </c>
      <c r="B3064" s="2" t="str">
        <f t="shared" si="401"/>
        <v>86 Canal St</v>
      </c>
      <c r="C3064" s="1" t="s">
        <v>1340</v>
      </c>
      <c r="D3064" s="1" t="s">
        <v>41</v>
      </c>
      <c r="E3064" s="3">
        <v>442104</v>
      </c>
      <c r="F3064" s="1">
        <v>861.80116959064298</v>
      </c>
      <c r="M3064" s="1">
        <v>513</v>
      </c>
      <c r="Q3064" s="1" t="s">
        <v>42</v>
      </c>
      <c r="S3064" s="1" t="s">
        <v>42</v>
      </c>
      <c r="T3064" s="1" t="s">
        <v>170</v>
      </c>
      <c r="AA3064" s="1">
        <v>442104</v>
      </c>
      <c r="AB3064" s="1" t="s">
        <v>2355</v>
      </c>
      <c r="AC3064" s="5">
        <v>43110</v>
      </c>
      <c r="AF3064" s="1">
        <v>10002</v>
      </c>
      <c r="AJ3064" s="1">
        <v>2012</v>
      </c>
      <c r="AL3064" s="1">
        <v>89</v>
      </c>
    </row>
    <row r="3065" spans="1:38" x14ac:dyDescent="0.2">
      <c r="A3065" s="2" t="str">
        <f>HYPERLINK("https://www.compass.com/listing/86-canal-street-unit-7a-manhattan-ny-10002/29360007254465937/","86 Canal St, Unit 7A")</f>
        <v>86 Canal St, Unit 7A</v>
      </c>
      <c r="B3065" s="2" t="str">
        <f t="shared" si="401"/>
        <v>86 Canal St</v>
      </c>
      <c r="C3065" s="1" t="s">
        <v>1340</v>
      </c>
      <c r="D3065" s="1" t="s">
        <v>41</v>
      </c>
      <c r="E3065" s="3">
        <v>582439</v>
      </c>
      <c r="F3065" s="1">
        <v>865.43684992570502</v>
      </c>
      <c r="M3065" s="1">
        <v>673</v>
      </c>
      <c r="Q3065" s="1" t="s">
        <v>42</v>
      </c>
      <c r="S3065" s="1" t="s">
        <v>42</v>
      </c>
      <c r="T3065" s="1" t="s">
        <v>170</v>
      </c>
      <c r="AA3065" s="1">
        <v>582439</v>
      </c>
      <c r="AB3065" s="1" t="s">
        <v>2356</v>
      </c>
      <c r="AC3065" s="5">
        <v>43157</v>
      </c>
      <c r="AF3065" s="1">
        <v>10002</v>
      </c>
      <c r="AJ3065" s="1">
        <v>2012</v>
      </c>
      <c r="AL3065" s="1">
        <v>89</v>
      </c>
    </row>
    <row r="3066" spans="1:38" x14ac:dyDescent="0.2">
      <c r="A3066" s="2" t="str">
        <f>HYPERLINK("https://www.compass.com/listing/86-canal-street-unit-7b-manhattan-ny-10002/29360007598394033/","86 Canal St, Unit 7B")</f>
        <v>86 Canal St, Unit 7B</v>
      </c>
      <c r="B3066" s="2" t="str">
        <f t="shared" si="401"/>
        <v>86 Canal St</v>
      </c>
      <c r="C3066" s="1" t="s">
        <v>1340</v>
      </c>
      <c r="D3066" s="1" t="s">
        <v>41</v>
      </c>
      <c r="E3066" s="3">
        <v>437034</v>
      </c>
      <c r="F3066" s="1">
        <v>862</v>
      </c>
      <c r="M3066" s="1">
        <v>507</v>
      </c>
      <c r="Q3066" s="1" t="s">
        <v>42</v>
      </c>
      <c r="S3066" s="1" t="s">
        <v>42</v>
      </c>
      <c r="T3066" s="1" t="s">
        <v>170</v>
      </c>
      <c r="AA3066" s="1">
        <v>437034</v>
      </c>
      <c r="AB3066" s="1" t="s">
        <v>2357</v>
      </c>
      <c r="AC3066" s="5">
        <v>43091</v>
      </c>
      <c r="AF3066" s="1">
        <v>10002</v>
      </c>
      <c r="AJ3066" s="1">
        <v>2012</v>
      </c>
      <c r="AL3066" s="1">
        <v>89</v>
      </c>
    </row>
    <row r="3067" spans="1:38" x14ac:dyDescent="0.2">
      <c r="A3067" s="2" t="str">
        <f>HYPERLINK("https://www.compass.com/listing/86-canal-street-unit-7c-manhattan-ny-10002/29360007917125681/","86 Canal St, Unit 7C")</f>
        <v>86 Canal St, Unit 7C</v>
      </c>
      <c r="B3067" s="2" t="str">
        <f t="shared" si="401"/>
        <v>86 Canal St</v>
      </c>
      <c r="C3067" s="1" t="s">
        <v>1340</v>
      </c>
      <c r="D3067" s="1" t="s">
        <v>41</v>
      </c>
      <c r="E3067" s="3">
        <v>442104</v>
      </c>
      <c r="F3067" s="1">
        <v>861.80116959064298</v>
      </c>
      <c r="M3067" s="1">
        <v>513</v>
      </c>
      <c r="Q3067" s="1" t="s">
        <v>42</v>
      </c>
      <c r="S3067" s="1" t="s">
        <v>42</v>
      </c>
      <c r="T3067" s="1" t="s">
        <v>170</v>
      </c>
      <c r="AA3067" s="1">
        <v>442104</v>
      </c>
      <c r="AB3067" s="1" t="s">
        <v>2358</v>
      </c>
      <c r="AC3067" s="5">
        <v>43070</v>
      </c>
      <c r="AF3067" s="1">
        <v>10002</v>
      </c>
      <c r="AJ3067" s="1">
        <v>2012</v>
      </c>
      <c r="AL3067" s="1">
        <v>89</v>
      </c>
    </row>
    <row r="3068" spans="1:38" x14ac:dyDescent="0.2">
      <c r="A3068" s="2" t="str">
        <f>HYPERLINK("https://www.compass.com/listing/86-canal-street-unit-8b-manhattan-ny-10002/29360008537918145/","86 Canal St, Unit 8B")</f>
        <v>86 Canal St, Unit 8B</v>
      </c>
      <c r="B3068" s="2" t="str">
        <f t="shared" si="401"/>
        <v>86 Canal St</v>
      </c>
      <c r="C3068" s="1" t="s">
        <v>1340</v>
      </c>
      <c r="D3068" s="1" t="s">
        <v>41</v>
      </c>
      <c r="E3068" s="3">
        <v>452244</v>
      </c>
      <c r="F3068" s="1">
        <v>892</v>
      </c>
      <c r="M3068" s="1">
        <v>507</v>
      </c>
      <c r="Q3068" s="1" t="s">
        <v>42</v>
      </c>
      <c r="S3068" s="1" t="s">
        <v>42</v>
      </c>
      <c r="T3068" s="1" t="s">
        <v>170</v>
      </c>
      <c r="AA3068" s="1">
        <v>452244</v>
      </c>
      <c r="AB3068" s="1" t="s">
        <v>2359</v>
      </c>
      <c r="AC3068" s="5">
        <v>43075</v>
      </c>
      <c r="AF3068" s="1">
        <v>10002</v>
      </c>
      <c r="AJ3068" s="1">
        <v>2012</v>
      </c>
      <c r="AL3068" s="1">
        <v>89</v>
      </c>
    </row>
    <row r="3069" spans="1:38" x14ac:dyDescent="0.2">
      <c r="A3069" s="2" t="str">
        <f>HYPERLINK("https://www.compass.com/listing/86-canal-street-unit-8c-manhattan-ny-10002/29360008856649793/","86 Canal St, Unit 8C")</f>
        <v>86 Canal St, Unit 8C</v>
      </c>
      <c r="B3069" s="2" t="str">
        <f t="shared" si="401"/>
        <v>86 Canal St</v>
      </c>
      <c r="C3069" s="1" t="s">
        <v>1340</v>
      </c>
      <c r="D3069" s="1" t="s">
        <v>41</v>
      </c>
      <c r="E3069" s="3">
        <v>457314</v>
      </c>
      <c r="F3069" s="1">
        <v>891.45029239765995</v>
      </c>
      <c r="M3069" s="1">
        <v>513</v>
      </c>
      <c r="Q3069" s="1" t="s">
        <v>42</v>
      </c>
      <c r="S3069" s="1" t="s">
        <v>42</v>
      </c>
      <c r="T3069" s="1" t="s">
        <v>170</v>
      </c>
      <c r="AA3069" s="1">
        <v>457314</v>
      </c>
      <c r="AB3069" s="1" t="s">
        <v>2360</v>
      </c>
      <c r="AC3069" s="5">
        <v>43110</v>
      </c>
      <c r="AF3069" s="1">
        <v>10002</v>
      </c>
      <c r="AJ3069" s="1">
        <v>2012</v>
      </c>
      <c r="AL3069" s="1">
        <v>89</v>
      </c>
    </row>
    <row r="3070" spans="1:38" x14ac:dyDescent="0.2">
      <c r="A3070" s="2" t="str">
        <f>HYPERLINK("https://www.compass.com/listing/86-canal-street-unit-8d-manhattan-ny-10002/29360009167068593/","86 Canal St, Unit 8D")</f>
        <v>86 Canal St, Unit 8D</v>
      </c>
      <c r="B3070" s="2" t="str">
        <f t="shared" si="401"/>
        <v>86 Canal St</v>
      </c>
      <c r="C3070" s="1" t="s">
        <v>1340</v>
      </c>
      <c r="D3070" s="1" t="s">
        <v>41</v>
      </c>
      <c r="E3070" s="3">
        <v>578366</v>
      </c>
      <c r="F3070" s="1">
        <v>895.30340557275497</v>
      </c>
      <c r="M3070" s="1">
        <v>646</v>
      </c>
      <c r="Q3070" s="1" t="s">
        <v>42</v>
      </c>
      <c r="S3070" s="1" t="s">
        <v>42</v>
      </c>
      <c r="T3070" s="1" t="s">
        <v>170</v>
      </c>
      <c r="AA3070" s="1">
        <v>578366</v>
      </c>
      <c r="AB3070" s="1" t="s">
        <v>2361</v>
      </c>
      <c r="AC3070" s="5">
        <v>43075</v>
      </c>
      <c r="AF3070" s="1">
        <v>10002</v>
      </c>
      <c r="AJ3070" s="1">
        <v>2012</v>
      </c>
      <c r="AL3070" s="1">
        <v>89</v>
      </c>
    </row>
    <row r="3071" spans="1:38" x14ac:dyDescent="0.2">
      <c r="A3071" s="2" t="str">
        <f>HYPERLINK("https://www.compass.com/listing/86-canal-street-unit-9a-manhattan-ny-10002/29360009452276433/","86 Canal St, Unit 9A")</f>
        <v>86 Canal St, Unit 9A</v>
      </c>
      <c r="B3071" s="2" t="str">
        <f t="shared" si="401"/>
        <v>86 Canal St</v>
      </c>
      <c r="C3071" s="1" t="s">
        <v>1340</v>
      </c>
      <c r="D3071" s="1" t="s">
        <v>41</v>
      </c>
      <c r="E3071" s="3">
        <v>603009</v>
      </c>
      <c r="F3071" s="1">
        <v>896.00126300148497</v>
      </c>
      <c r="M3071" s="1">
        <v>673</v>
      </c>
      <c r="Q3071" s="1" t="s">
        <v>42</v>
      </c>
      <c r="S3071" s="1" t="s">
        <v>42</v>
      </c>
      <c r="T3071" s="1" t="s">
        <v>170</v>
      </c>
      <c r="AA3071" s="1">
        <v>603008.85</v>
      </c>
      <c r="AB3071" s="1" t="s">
        <v>2362</v>
      </c>
      <c r="AC3071" s="5">
        <v>43070</v>
      </c>
      <c r="AF3071" s="1">
        <v>10002</v>
      </c>
      <c r="AJ3071" s="1">
        <v>2012</v>
      </c>
      <c r="AL3071" s="1">
        <v>89</v>
      </c>
    </row>
    <row r="3072" spans="1:38" x14ac:dyDescent="0.2">
      <c r="A3072" s="2" t="str">
        <f>HYPERLINK("https://www.compass.com/listing/86-canal-street-unit-9b-manhattan-ny-10002/29360009754230865/","86 Canal St, Unit 9B")</f>
        <v>86 Canal St, Unit 9B</v>
      </c>
      <c r="B3072" s="2" t="str">
        <f t="shared" si="401"/>
        <v>86 Canal St</v>
      </c>
      <c r="C3072" s="1" t="s">
        <v>1340</v>
      </c>
      <c r="D3072" s="1" t="s">
        <v>41</v>
      </c>
      <c r="E3072" s="3">
        <v>452244</v>
      </c>
      <c r="F3072" s="1">
        <v>892</v>
      </c>
      <c r="M3072" s="1">
        <v>507</v>
      </c>
      <c r="Q3072" s="1" t="s">
        <v>42</v>
      </c>
      <c r="S3072" s="1" t="s">
        <v>42</v>
      </c>
      <c r="T3072" s="1" t="s">
        <v>170</v>
      </c>
      <c r="AA3072" s="1">
        <v>452244</v>
      </c>
      <c r="AB3072" s="1" t="s">
        <v>2363</v>
      </c>
      <c r="AC3072" s="5">
        <v>43081</v>
      </c>
      <c r="AF3072" s="1">
        <v>10002</v>
      </c>
      <c r="AJ3072" s="1">
        <v>2012</v>
      </c>
      <c r="AL3072" s="1">
        <v>89</v>
      </c>
    </row>
    <row r="3073" spans="1:38" x14ac:dyDescent="0.2">
      <c r="A3073" s="2" t="str">
        <f>HYPERLINK("https://www.compass.com/listing/86-canal-street-unit-9d-manhattan-ny-10002/29360010064649665/","86 Canal St, Unit 9D")</f>
        <v>86 Canal St, Unit 9D</v>
      </c>
      <c r="B3073" s="2" t="str">
        <f t="shared" si="401"/>
        <v>86 Canal St</v>
      </c>
      <c r="C3073" s="1" t="s">
        <v>1340</v>
      </c>
      <c r="D3073" s="1" t="s">
        <v>41</v>
      </c>
      <c r="E3073" s="3">
        <v>578366</v>
      </c>
      <c r="F3073" s="1">
        <v>895.30340557275497</v>
      </c>
      <c r="M3073" s="1">
        <v>646</v>
      </c>
      <c r="Q3073" s="1" t="s">
        <v>42</v>
      </c>
      <c r="S3073" s="1" t="s">
        <v>42</v>
      </c>
      <c r="T3073" s="1" t="s">
        <v>170</v>
      </c>
      <c r="AA3073" s="1">
        <v>578366</v>
      </c>
      <c r="AB3073" s="1" t="s">
        <v>2364</v>
      </c>
      <c r="AC3073" s="5">
        <v>43110</v>
      </c>
      <c r="AF3073" s="1">
        <v>10002</v>
      </c>
      <c r="AJ3073" s="1">
        <v>2012</v>
      </c>
      <c r="AL3073" s="1">
        <v>89</v>
      </c>
    </row>
    <row r="3074" spans="1:38" x14ac:dyDescent="0.2">
      <c r="A3074" s="2" t="str">
        <f>HYPERLINK("https://www.compass.com/listing/86-canal-street-unit-10a-manhattan-ny-10002/29360010375023329/","86 Canal St, Unit 10A")</f>
        <v>86 Canal St, Unit 10A</v>
      </c>
      <c r="B3074" s="2" t="str">
        <f t="shared" si="401"/>
        <v>86 Canal St</v>
      </c>
      <c r="C3074" s="1" t="s">
        <v>1340</v>
      </c>
      <c r="D3074" s="1" t="s">
        <v>41</v>
      </c>
      <c r="E3074" s="3">
        <v>617060</v>
      </c>
      <c r="F3074" s="1">
        <v>916.878900445765</v>
      </c>
      <c r="M3074" s="1">
        <v>673</v>
      </c>
      <c r="Q3074" s="1" t="s">
        <v>42</v>
      </c>
      <c r="S3074" s="1" t="s">
        <v>42</v>
      </c>
      <c r="T3074" s="1" t="s">
        <v>170</v>
      </c>
      <c r="AA3074" s="1">
        <v>617059.5</v>
      </c>
      <c r="AB3074" s="1" t="s">
        <v>2365</v>
      </c>
      <c r="AC3074" s="5">
        <v>43075</v>
      </c>
      <c r="AF3074" s="1">
        <v>10002</v>
      </c>
      <c r="AJ3074" s="1">
        <v>2012</v>
      </c>
      <c r="AL3074" s="1">
        <v>89</v>
      </c>
    </row>
    <row r="3075" spans="1:38" x14ac:dyDescent="0.2">
      <c r="A3075" s="2" t="str">
        <f>HYPERLINK("https://www.compass.com/listing/86-canal-street-unit-10b-manhattan-ny-10002/29360010702143585/","86 Canal St, Unit 10B")</f>
        <v>86 Canal St, Unit 10B</v>
      </c>
      <c r="B3075" s="2" t="str">
        <f t="shared" si="401"/>
        <v>86 Canal St</v>
      </c>
      <c r="C3075" s="1" t="s">
        <v>1340</v>
      </c>
      <c r="D3075" s="1" t="s">
        <v>41</v>
      </c>
      <c r="E3075" s="3">
        <v>462384</v>
      </c>
      <c r="F3075" s="1">
        <v>912</v>
      </c>
      <c r="M3075" s="1">
        <v>507</v>
      </c>
      <c r="Q3075" s="1" t="s">
        <v>42</v>
      </c>
      <c r="S3075" s="1" t="s">
        <v>42</v>
      </c>
      <c r="T3075" s="1" t="s">
        <v>170</v>
      </c>
      <c r="AA3075" s="1">
        <v>462384</v>
      </c>
      <c r="AB3075" s="1" t="s">
        <v>2366</v>
      </c>
      <c r="AC3075" s="5">
        <v>43138</v>
      </c>
      <c r="AF3075" s="1">
        <v>10002</v>
      </c>
      <c r="AJ3075" s="1">
        <v>2012</v>
      </c>
      <c r="AL3075" s="1">
        <v>89</v>
      </c>
    </row>
    <row r="3076" spans="1:38" x14ac:dyDescent="0.2">
      <c r="A3076" s="2" t="str">
        <f>HYPERLINK("https://www.compass.com/listing/86-canal-street-unit-10d-manhattan-ny-10002/29360011004173777/","86 Canal St, Unit 10D")</f>
        <v>86 Canal St, Unit 10D</v>
      </c>
      <c r="B3076" s="2" t="str">
        <f t="shared" si="401"/>
        <v>86 Canal St</v>
      </c>
      <c r="C3076" s="1" t="s">
        <v>1340</v>
      </c>
      <c r="D3076" s="1" t="s">
        <v>41</v>
      </c>
      <c r="E3076" s="3">
        <v>591603</v>
      </c>
      <c r="F3076" s="1">
        <v>915.794504643962</v>
      </c>
      <c r="M3076" s="1">
        <v>646</v>
      </c>
      <c r="Q3076" s="1" t="s">
        <v>42</v>
      </c>
      <c r="S3076" s="1" t="s">
        <v>42</v>
      </c>
      <c r="T3076" s="1" t="s">
        <v>170</v>
      </c>
      <c r="AA3076" s="1">
        <v>591603.25</v>
      </c>
      <c r="AB3076" s="1" t="s">
        <v>2367</v>
      </c>
      <c r="AC3076" s="5">
        <v>43070</v>
      </c>
      <c r="AF3076" s="1">
        <v>10002</v>
      </c>
      <c r="AJ3076" s="1">
        <v>2012</v>
      </c>
      <c r="AL3076" s="1">
        <v>89</v>
      </c>
    </row>
    <row r="3077" spans="1:38" x14ac:dyDescent="0.2">
      <c r="A3077" s="2" t="str">
        <f>HYPERLINK("https://www.compass.com/listing/86-canal-street-unit-11a-manhattan-ny-10002/29360011322936049/","86 Canal St, Unit 11A")</f>
        <v>86 Canal St, Unit 11A</v>
      </c>
      <c r="B3077" s="2" t="str">
        <f t="shared" si="401"/>
        <v>86 Canal St</v>
      </c>
      <c r="C3077" s="1" t="s">
        <v>1340</v>
      </c>
      <c r="D3077" s="1" t="s">
        <v>41</v>
      </c>
      <c r="E3077" s="3">
        <v>617060</v>
      </c>
      <c r="F3077" s="1">
        <v>916.878900445765</v>
      </c>
      <c r="M3077" s="1">
        <v>673</v>
      </c>
      <c r="Q3077" s="1" t="s">
        <v>42</v>
      </c>
      <c r="S3077" s="1" t="s">
        <v>42</v>
      </c>
      <c r="T3077" s="1" t="s">
        <v>170</v>
      </c>
      <c r="AA3077" s="1">
        <v>617059.5</v>
      </c>
      <c r="AB3077" s="1" t="s">
        <v>2368</v>
      </c>
      <c r="AC3077" s="5">
        <v>43087</v>
      </c>
      <c r="AF3077" s="1">
        <v>10002</v>
      </c>
      <c r="AJ3077" s="1">
        <v>2012</v>
      </c>
      <c r="AL3077" s="1">
        <v>89</v>
      </c>
    </row>
    <row r="3078" spans="1:38" x14ac:dyDescent="0.2">
      <c r="A3078" s="2" t="str">
        <f>HYPERLINK("https://www.compass.com/listing/86-canal-street-unit-11b-manhattan-ny-10002/29360011666833521/","86 Canal St, Unit 11B")</f>
        <v>86 Canal St, Unit 11B</v>
      </c>
      <c r="B3078" s="2" t="str">
        <f t="shared" si="401"/>
        <v>86 Canal St</v>
      </c>
      <c r="C3078" s="1" t="s">
        <v>1340</v>
      </c>
      <c r="D3078" s="1" t="s">
        <v>41</v>
      </c>
      <c r="E3078" s="3">
        <v>462384</v>
      </c>
      <c r="F3078" s="1">
        <v>912</v>
      </c>
      <c r="M3078" s="1">
        <v>507</v>
      </c>
      <c r="Q3078" s="1" t="s">
        <v>42</v>
      </c>
      <c r="S3078" s="1" t="s">
        <v>42</v>
      </c>
      <c r="T3078" s="1" t="s">
        <v>170</v>
      </c>
      <c r="AA3078" s="1">
        <v>462384</v>
      </c>
      <c r="AB3078" s="1" t="s">
        <v>2369</v>
      </c>
      <c r="AC3078" s="5">
        <v>43118</v>
      </c>
      <c r="AF3078" s="1">
        <v>10002</v>
      </c>
      <c r="AJ3078" s="1">
        <v>2012</v>
      </c>
      <c r="AL3078" s="1">
        <v>89</v>
      </c>
    </row>
    <row r="3079" spans="1:38" x14ac:dyDescent="0.2">
      <c r="A3079" s="2" t="str">
        <f>HYPERLINK("https://www.compass.com/listing/86-canal-street-unit-11c-manhattan-ny-10002/29360012186967521/","86 Canal St, Unit 11C")</f>
        <v>86 Canal St, Unit 11C</v>
      </c>
      <c r="B3079" s="2" t="str">
        <f t="shared" si="401"/>
        <v>86 Canal St</v>
      </c>
      <c r="C3079" s="1" t="s">
        <v>1340</v>
      </c>
      <c r="D3079" s="1" t="s">
        <v>41</v>
      </c>
      <c r="E3079" s="3">
        <v>468468</v>
      </c>
      <c r="F3079" s="1">
        <v>913.19298245614004</v>
      </c>
      <c r="M3079" s="1">
        <v>513</v>
      </c>
      <c r="Q3079" s="1" t="s">
        <v>42</v>
      </c>
      <c r="S3079" s="1" t="s">
        <v>42</v>
      </c>
      <c r="T3079" s="1" t="s">
        <v>170</v>
      </c>
      <c r="AA3079" s="1">
        <v>468468</v>
      </c>
      <c r="AB3079" s="1" t="s">
        <v>2370</v>
      </c>
      <c r="AC3079" s="5">
        <v>42996</v>
      </c>
      <c r="AF3079" s="1">
        <v>10002</v>
      </c>
      <c r="AJ3079" s="1">
        <v>2012</v>
      </c>
      <c r="AL3079" s="1">
        <v>89</v>
      </c>
    </row>
    <row r="3080" spans="1:38" x14ac:dyDescent="0.2">
      <c r="A3080" s="2" t="str">
        <f>HYPERLINK("https://www.compass.com/listing/86-canal-street-unit-11d-manhattan-ny-10002/29360012505729793/","86 Canal St, Unit 11D")</f>
        <v>86 Canal St, Unit 11D</v>
      </c>
      <c r="B3080" s="2" t="str">
        <f t="shared" si="401"/>
        <v>86 Canal St</v>
      </c>
      <c r="C3080" s="1" t="s">
        <v>1340</v>
      </c>
      <c r="D3080" s="1" t="s">
        <v>41</v>
      </c>
      <c r="E3080" s="3">
        <v>591603</v>
      </c>
      <c r="F3080" s="1">
        <v>915.794504643962</v>
      </c>
      <c r="M3080" s="1">
        <v>646</v>
      </c>
      <c r="Q3080" s="1" t="s">
        <v>42</v>
      </c>
      <c r="S3080" s="1" t="s">
        <v>42</v>
      </c>
      <c r="T3080" s="1" t="s">
        <v>170</v>
      </c>
      <c r="AA3080" s="1">
        <v>591603.25</v>
      </c>
      <c r="AB3080" s="1" t="s">
        <v>2371</v>
      </c>
      <c r="AC3080" s="5">
        <v>43077</v>
      </c>
      <c r="AF3080" s="1">
        <v>10002</v>
      </c>
      <c r="AJ3080" s="1">
        <v>2012</v>
      </c>
      <c r="AL3080" s="1">
        <v>89</v>
      </c>
    </row>
    <row r="3081" spans="1:38" x14ac:dyDescent="0.2">
      <c r="A3081" s="2" t="str">
        <f>HYPERLINK("https://www.compass.com/listing/86-canal-street-unit-12b-manhattan-ny-10002/29360012849627265/","86 Canal St, Unit 12B")</f>
        <v>86 Canal St, Unit 12B</v>
      </c>
      <c r="B3081" s="2" t="str">
        <f t="shared" si="401"/>
        <v>86 Canal St</v>
      </c>
      <c r="C3081" s="1" t="s">
        <v>1340</v>
      </c>
      <c r="D3081" s="1" t="s">
        <v>41</v>
      </c>
      <c r="E3081" s="3">
        <v>516253</v>
      </c>
      <c r="F3081" s="1">
        <v>1018.25</v>
      </c>
      <c r="M3081" s="1">
        <v>507</v>
      </c>
      <c r="Q3081" s="1" t="s">
        <v>42</v>
      </c>
      <c r="S3081" s="1" t="s">
        <v>42</v>
      </c>
      <c r="T3081" s="1" t="s">
        <v>170</v>
      </c>
      <c r="AA3081" s="1">
        <v>516252.75</v>
      </c>
      <c r="AB3081" s="1" t="s">
        <v>2372</v>
      </c>
      <c r="AC3081" s="5">
        <v>43090</v>
      </c>
      <c r="AF3081" s="1">
        <v>10002</v>
      </c>
      <c r="AJ3081" s="1">
        <v>2012</v>
      </c>
      <c r="AL3081" s="1">
        <v>89</v>
      </c>
    </row>
    <row r="3082" spans="1:38" x14ac:dyDescent="0.2">
      <c r="A3082" s="2" t="str">
        <f>HYPERLINK("https://www.compass.com/listing/86-canal-street-unit-12c-manhattan-ny-10002/29360013151657457/","86 Canal St, Unit 12C")</f>
        <v>86 Canal St, Unit 12C</v>
      </c>
      <c r="B3082" s="2" t="str">
        <f t="shared" si="401"/>
        <v>86 Canal St</v>
      </c>
      <c r="C3082" s="1" t="s">
        <v>1340</v>
      </c>
      <c r="D3082" s="1" t="s">
        <v>41</v>
      </c>
      <c r="E3082" s="3">
        <v>522362</v>
      </c>
      <c r="F3082" s="1">
        <v>1018.25</v>
      </c>
      <c r="M3082" s="1">
        <v>513</v>
      </c>
      <c r="Q3082" s="1" t="s">
        <v>42</v>
      </c>
      <c r="S3082" s="1" t="s">
        <v>42</v>
      </c>
      <c r="T3082" s="1" t="s">
        <v>170</v>
      </c>
      <c r="AA3082" s="1">
        <v>522362.25</v>
      </c>
      <c r="AB3082" s="1" t="s">
        <v>2373</v>
      </c>
      <c r="AC3082" s="5">
        <v>43075</v>
      </c>
      <c r="AF3082" s="1">
        <v>10002</v>
      </c>
      <c r="AJ3082" s="1">
        <v>2012</v>
      </c>
      <c r="AL3082" s="1">
        <v>89</v>
      </c>
    </row>
    <row r="3083" spans="1:38" x14ac:dyDescent="0.2">
      <c r="A3083" s="2" t="str">
        <f>HYPERLINK("https://www.compass.com/listing/86-canal-street-unit-12d-manhattan-ny-10002/29360013487196945/","86 Canal St, Unit 12D")</f>
        <v>86 Canal St, Unit 12D</v>
      </c>
      <c r="B3083" s="2" t="str">
        <f t="shared" si="401"/>
        <v>86 Canal St</v>
      </c>
      <c r="C3083" s="1" t="s">
        <v>1340</v>
      </c>
      <c r="D3083" s="1" t="s">
        <v>41</v>
      </c>
      <c r="E3083" s="3">
        <v>657790</v>
      </c>
      <c r="F3083" s="1">
        <v>1018.25</v>
      </c>
      <c r="M3083" s="1">
        <v>646</v>
      </c>
      <c r="Q3083" s="1" t="s">
        <v>42</v>
      </c>
      <c r="S3083" s="1" t="s">
        <v>42</v>
      </c>
      <c r="T3083" s="1" t="s">
        <v>170</v>
      </c>
      <c r="AA3083" s="1">
        <v>657789.5</v>
      </c>
      <c r="AB3083" s="1" t="s">
        <v>2374</v>
      </c>
      <c r="AC3083" s="5">
        <v>43105</v>
      </c>
      <c r="AF3083" s="1">
        <v>10002</v>
      </c>
      <c r="AJ3083" s="1">
        <v>2012</v>
      </c>
      <c r="AL3083" s="1">
        <v>89</v>
      </c>
    </row>
    <row r="3084" spans="1:38" x14ac:dyDescent="0.2">
      <c r="A3084" s="2" t="str">
        <f>HYPERLINK("https://www.compass.com/listing/63-greene-street-unit-2b-manhattan-ny-10012/29362725264112673/","63 Greene St, Unit 2B")</f>
        <v>63 Greene St, Unit 2B</v>
      </c>
      <c r="B3084" s="2" t="str">
        <f>HYPERLINK("https://www.compass.com/building/63-greene-street-manhattan-ny/292812252044627637/","63 Greene Street")</f>
        <v>63 Greene Street</v>
      </c>
      <c r="C3084" s="1" t="s">
        <v>104</v>
      </c>
      <c r="D3084" s="1" t="s">
        <v>41</v>
      </c>
      <c r="E3084" s="3">
        <v>1800000</v>
      </c>
      <c r="F3084" s="1">
        <v>1594.3312666076099</v>
      </c>
      <c r="M3084" s="4">
        <v>1129</v>
      </c>
      <c r="Q3084" s="1" t="s">
        <v>42</v>
      </c>
      <c r="S3084" s="1" t="s">
        <v>42</v>
      </c>
      <c r="T3084" s="1" t="s">
        <v>170</v>
      </c>
      <c r="AA3084" s="1">
        <v>1800000</v>
      </c>
      <c r="AB3084" s="1" t="s">
        <v>2375</v>
      </c>
      <c r="AC3084" s="5">
        <v>42935</v>
      </c>
      <c r="AF3084" s="1">
        <v>10012</v>
      </c>
      <c r="AI3084" s="1" t="s">
        <v>786</v>
      </c>
      <c r="AJ3084" s="1">
        <v>1877</v>
      </c>
      <c r="AK3084" s="1" t="s">
        <v>87</v>
      </c>
      <c r="AL3084" s="1">
        <v>23</v>
      </c>
    </row>
    <row r="3085" spans="1:38" x14ac:dyDescent="0.2">
      <c r="A3085" s="2" t="str">
        <f>HYPERLINK("https://www.compass.com/listing/100-barrow-street-unit-1e-manhattan-ny-10014/29367152519757553/","100 Barrow St, Unit 1E")</f>
        <v>100 Barrow St, Unit 1E</v>
      </c>
      <c r="B3085" s="2" t="str">
        <f t="shared" ref="B3085:B3088" si="402">HYPERLINK("https://www.compass.com/building/100-barrow-manhattan-ny/292834978184618837/","100 Barrow")</f>
        <v>100 Barrow</v>
      </c>
      <c r="C3085" s="1" t="s">
        <v>71</v>
      </c>
      <c r="D3085" s="1" t="s">
        <v>41</v>
      </c>
      <c r="E3085" s="3">
        <v>170000</v>
      </c>
      <c r="Q3085" s="1" t="s">
        <v>129</v>
      </c>
      <c r="S3085" s="1" t="s">
        <v>129</v>
      </c>
      <c r="T3085" s="1" t="s">
        <v>170</v>
      </c>
      <c r="AA3085" s="1">
        <v>170000</v>
      </c>
      <c r="AB3085" s="1" t="s">
        <v>2376</v>
      </c>
      <c r="AC3085" s="5">
        <v>43189</v>
      </c>
      <c r="AF3085" s="1">
        <v>10014</v>
      </c>
      <c r="AJ3085" s="1">
        <v>2015</v>
      </c>
      <c r="AK3085" s="1" t="s">
        <v>172</v>
      </c>
      <c r="AL3085" s="1">
        <v>33</v>
      </c>
    </row>
    <row r="3086" spans="1:38" x14ac:dyDescent="0.2">
      <c r="A3086" s="2" t="str">
        <f>HYPERLINK("https://www.compass.com/listing/100-barrow-street-unit-1c-manhattan-ny-10014/29367152779846417/","100 Barrow St, Unit 1C")</f>
        <v>100 Barrow St, Unit 1C</v>
      </c>
      <c r="B3086" s="2" t="str">
        <f t="shared" si="402"/>
        <v>100 Barrow</v>
      </c>
      <c r="C3086" s="1" t="s">
        <v>71</v>
      </c>
      <c r="D3086" s="1" t="s">
        <v>41</v>
      </c>
      <c r="E3086" s="3">
        <v>145000</v>
      </c>
      <c r="Q3086" s="1" t="s">
        <v>129</v>
      </c>
      <c r="S3086" s="1" t="s">
        <v>129</v>
      </c>
      <c r="T3086" s="1" t="s">
        <v>170</v>
      </c>
      <c r="AA3086" s="1">
        <v>145000</v>
      </c>
      <c r="AB3086" s="1" t="s">
        <v>2377</v>
      </c>
      <c r="AC3086" s="5">
        <v>43179</v>
      </c>
      <c r="AF3086" s="1">
        <v>10014</v>
      </c>
      <c r="AJ3086" s="1">
        <v>2015</v>
      </c>
      <c r="AK3086" s="1" t="s">
        <v>172</v>
      </c>
      <c r="AL3086" s="1">
        <v>33</v>
      </c>
    </row>
    <row r="3087" spans="1:38" x14ac:dyDescent="0.2">
      <c r="A3087" s="2" t="str">
        <f>HYPERLINK("https://www.compass.com/listing/100-barrow-street-unit-1b-manhattan-ny-10014/29367153081839313/","100 Barrow St, Unit 1B")</f>
        <v>100 Barrow St, Unit 1B</v>
      </c>
      <c r="B3087" s="2" t="str">
        <f t="shared" si="402"/>
        <v>100 Barrow</v>
      </c>
      <c r="C3087" s="1" t="s">
        <v>71</v>
      </c>
      <c r="D3087" s="1" t="s">
        <v>41</v>
      </c>
      <c r="E3087" s="3">
        <v>90000</v>
      </c>
      <c r="Q3087" s="1" t="s">
        <v>129</v>
      </c>
      <c r="S3087" s="1" t="s">
        <v>129</v>
      </c>
      <c r="T3087" s="1" t="s">
        <v>170</v>
      </c>
      <c r="AA3087" s="1">
        <v>90000</v>
      </c>
      <c r="AB3087" s="1" t="s">
        <v>2378</v>
      </c>
      <c r="AC3087" s="5">
        <v>43159</v>
      </c>
      <c r="AF3087" s="1">
        <v>10014</v>
      </c>
      <c r="AJ3087" s="1">
        <v>2015</v>
      </c>
      <c r="AK3087" s="1" t="s">
        <v>172</v>
      </c>
      <c r="AL3087" s="1">
        <v>33</v>
      </c>
    </row>
    <row r="3088" spans="1:38" x14ac:dyDescent="0.2">
      <c r="A3088" s="2" t="str">
        <f>HYPERLINK("https://www.compass.com/listing/100-barrow-street-unit-2b-manhattan-ny-10014/29367159884997681/","100 Barrow St, Unit 2B")</f>
        <v>100 Barrow St, Unit 2B</v>
      </c>
      <c r="B3088" s="2" t="str">
        <f t="shared" si="402"/>
        <v>100 Barrow</v>
      </c>
      <c r="C3088" s="1" t="s">
        <v>71</v>
      </c>
      <c r="D3088" s="1" t="s">
        <v>41</v>
      </c>
      <c r="E3088" s="3">
        <v>170000</v>
      </c>
      <c r="Q3088" s="1" t="s">
        <v>129</v>
      </c>
      <c r="S3088" s="1" t="s">
        <v>129</v>
      </c>
      <c r="T3088" s="1" t="s">
        <v>170</v>
      </c>
      <c r="AA3088" s="1">
        <v>170000</v>
      </c>
      <c r="AB3088" s="1" t="s">
        <v>2379</v>
      </c>
      <c r="AC3088" s="5">
        <v>43241</v>
      </c>
      <c r="AF3088" s="1">
        <v>10014</v>
      </c>
      <c r="AJ3088" s="1">
        <v>2015</v>
      </c>
      <c r="AK3088" s="1" t="s">
        <v>172</v>
      </c>
      <c r="AL3088" s="1">
        <v>33</v>
      </c>
    </row>
    <row r="3089" spans="1:38" x14ac:dyDescent="0.2">
      <c r="A3089" s="2" t="str">
        <f>HYPERLINK("https://www.compass.com/listing/150-west-12th-street-unit-3-manhattan-ny-10011/29367269389888785/","150 W 12th St, Unit 3")</f>
        <v>150 W 12th St, Unit 3</v>
      </c>
      <c r="B3089" s="2" t="str">
        <f t="shared" ref="B3089:B3105" si="403">HYPERLINK("https://www.compass.com/building/the-greenwich-lane-manhattan-ny/567553885067785157/","The Greenwich Lane")</f>
        <v>The Greenwich Lane</v>
      </c>
      <c r="C3089" s="1" t="s">
        <v>71</v>
      </c>
      <c r="D3089" s="1" t="s">
        <v>41</v>
      </c>
      <c r="E3089" s="3">
        <v>12093670</v>
      </c>
      <c r="F3089" s="1">
        <v>2875.3375368521101</v>
      </c>
      <c r="M3089" s="4">
        <v>4206</v>
      </c>
      <c r="Q3089" s="1" t="s">
        <v>42</v>
      </c>
      <c r="S3089" s="1" t="s">
        <v>42</v>
      </c>
      <c r="T3089" s="1" t="s">
        <v>170</v>
      </c>
      <c r="AA3089" s="1">
        <v>12093669.68</v>
      </c>
      <c r="AB3089" s="1" t="s">
        <v>2380</v>
      </c>
      <c r="AC3089" s="5">
        <v>42468</v>
      </c>
      <c r="AF3089" s="1">
        <v>10011</v>
      </c>
      <c r="AI3089" s="1" t="s">
        <v>59</v>
      </c>
      <c r="AK3089" s="1" t="s">
        <v>49</v>
      </c>
      <c r="AL3089" s="1">
        <v>24</v>
      </c>
    </row>
    <row r="3090" spans="1:38" x14ac:dyDescent="0.2">
      <c r="A3090" s="2" t="str">
        <f>HYPERLINK("https://www.compass.com/listing/150-west-12th-street-unit-4-manhattan-ny-10011/29367270086101457/","150 W 12th St, Unit 4")</f>
        <v>150 W 12th St, Unit 4</v>
      </c>
      <c r="B3090" s="2" t="str">
        <f t="shared" si="403"/>
        <v>The Greenwich Lane</v>
      </c>
      <c r="C3090" s="1" t="s">
        <v>71</v>
      </c>
      <c r="D3090" s="1" t="s">
        <v>41</v>
      </c>
      <c r="E3090" s="3">
        <v>4235221</v>
      </c>
      <c r="F3090" s="1">
        <v>2918.8290558235699</v>
      </c>
      <c r="M3090" s="4">
        <v>1451</v>
      </c>
      <c r="Q3090" s="1" t="s">
        <v>42</v>
      </c>
      <c r="S3090" s="1" t="s">
        <v>42</v>
      </c>
      <c r="T3090" s="1" t="s">
        <v>170</v>
      </c>
      <c r="AA3090" s="1">
        <v>4235220.96</v>
      </c>
      <c r="AB3090" s="1" t="s">
        <v>2381</v>
      </c>
      <c r="AC3090" s="5">
        <v>42423</v>
      </c>
      <c r="AF3090" s="1">
        <v>10011</v>
      </c>
      <c r="AI3090" s="1" t="s">
        <v>59</v>
      </c>
      <c r="AK3090" s="1" t="s">
        <v>49</v>
      </c>
      <c r="AL3090" s="1">
        <v>24</v>
      </c>
    </row>
    <row r="3091" spans="1:38" x14ac:dyDescent="0.2">
      <c r="A3091" s="2" t="str">
        <f>HYPERLINK("https://www.compass.com/listing/150-west-12th-street-unit-4-manhattan-ny-10011/29367270086101473/","150 W 12th St, Unit 4")</f>
        <v>150 W 12th St, Unit 4</v>
      </c>
      <c r="B3091" s="2" t="str">
        <f t="shared" si="403"/>
        <v>The Greenwich Lane</v>
      </c>
      <c r="C3091" s="1" t="s">
        <v>71</v>
      </c>
      <c r="D3091" s="1" t="s">
        <v>41</v>
      </c>
      <c r="E3091" s="3">
        <v>3929833</v>
      </c>
      <c r="F3091" s="1">
        <v>2682.4800409556301</v>
      </c>
      <c r="M3091" s="4">
        <v>1465</v>
      </c>
      <c r="Q3091" s="1" t="s">
        <v>42</v>
      </c>
      <c r="S3091" s="1" t="s">
        <v>42</v>
      </c>
      <c r="T3091" s="1" t="s">
        <v>170</v>
      </c>
      <c r="AA3091" s="1">
        <v>3929833.26</v>
      </c>
      <c r="AB3091" s="1" t="s">
        <v>2382</v>
      </c>
      <c r="AC3091" s="5">
        <v>42444</v>
      </c>
      <c r="AF3091" s="1">
        <v>10011</v>
      </c>
      <c r="AI3091" s="1" t="s">
        <v>59</v>
      </c>
      <c r="AK3091" s="1" t="s">
        <v>49</v>
      </c>
      <c r="AL3091" s="1">
        <v>24</v>
      </c>
    </row>
    <row r="3092" spans="1:38" x14ac:dyDescent="0.2">
      <c r="A3092" s="2" t="str">
        <f>HYPERLINK("https://www.compass.com/listing/150-west-12th-street-unit-5-manhattan-ny-10011/29367270732069185/","150 W 12th St, Unit 5")</f>
        <v>150 W 12th St, Unit 5</v>
      </c>
      <c r="B3092" s="2" t="str">
        <f t="shared" si="403"/>
        <v>The Greenwich Lane</v>
      </c>
      <c r="C3092" s="1" t="s">
        <v>71</v>
      </c>
      <c r="D3092" s="1" t="s">
        <v>41</v>
      </c>
      <c r="E3092" s="3">
        <v>6530564</v>
      </c>
      <c r="F3092" s="1">
        <v>3141.2042616642598</v>
      </c>
      <c r="M3092" s="4">
        <v>2079</v>
      </c>
      <c r="Q3092" s="1" t="s">
        <v>42</v>
      </c>
      <c r="S3092" s="1" t="s">
        <v>42</v>
      </c>
      <c r="T3092" s="1" t="s">
        <v>170</v>
      </c>
      <c r="AA3092" s="1">
        <v>6530563.6600000001</v>
      </c>
      <c r="AB3092" s="1" t="s">
        <v>2383</v>
      </c>
      <c r="AC3092" s="5">
        <v>42410</v>
      </c>
      <c r="AF3092" s="1">
        <v>10011</v>
      </c>
      <c r="AI3092" s="1" t="s">
        <v>59</v>
      </c>
      <c r="AK3092" s="1" t="s">
        <v>49</v>
      </c>
      <c r="AL3092" s="1">
        <v>24</v>
      </c>
    </row>
    <row r="3093" spans="1:38" x14ac:dyDescent="0.2">
      <c r="A3093" s="2" t="str">
        <f>HYPERLINK("https://www.compass.com/listing/150-west-12th-street-unit-5-manhattan-ny-10011/29367270732069201/","150 W 12th St, Unit 5")</f>
        <v>150 W 12th St, Unit 5</v>
      </c>
      <c r="B3093" s="2" t="str">
        <f t="shared" si="403"/>
        <v>The Greenwich Lane</v>
      </c>
      <c r="C3093" s="1" t="s">
        <v>71</v>
      </c>
      <c r="D3093" s="1" t="s">
        <v>41</v>
      </c>
      <c r="E3093" s="3">
        <v>7243251</v>
      </c>
      <c r="F3093" s="1">
        <v>3507.6274043583498</v>
      </c>
      <c r="M3093" s="4">
        <v>2065</v>
      </c>
      <c r="Q3093" s="1" t="s">
        <v>42</v>
      </c>
      <c r="S3093" s="1" t="s">
        <v>42</v>
      </c>
      <c r="T3093" s="1" t="s">
        <v>170</v>
      </c>
      <c r="AA3093" s="1">
        <v>7243250.5899999999</v>
      </c>
      <c r="AB3093" s="1" t="s">
        <v>2384</v>
      </c>
      <c r="AC3093" s="5">
        <v>42453</v>
      </c>
      <c r="AF3093" s="1">
        <v>10011</v>
      </c>
      <c r="AI3093" s="1" t="s">
        <v>59</v>
      </c>
      <c r="AK3093" s="1" t="s">
        <v>49</v>
      </c>
      <c r="AL3093" s="1">
        <v>24</v>
      </c>
    </row>
    <row r="3094" spans="1:38" x14ac:dyDescent="0.2">
      <c r="A3094" s="2" t="str">
        <f>HYPERLINK("https://www.compass.com/listing/150-west-12th-street-unit-6-manhattan-ny-10011/29367271419931969/","150 W 12th St, Unit 6")</f>
        <v>150 W 12th St, Unit 6</v>
      </c>
      <c r="B3094" s="2" t="str">
        <f t="shared" si="403"/>
        <v>The Greenwich Lane</v>
      </c>
      <c r="C3094" s="1" t="s">
        <v>71</v>
      </c>
      <c r="D3094" s="1" t="s">
        <v>41</v>
      </c>
      <c r="E3094" s="3">
        <v>6224380</v>
      </c>
      <c r="F3094" s="1">
        <v>3014.2278014527801</v>
      </c>
      <c r="M3094" s="4">
        <v>2065</v>
      </c>
      <c r="Q3094" s="1" t="s">
        <v>42</v>
      </c>
      <c r="S3094" s="1" t="s">
        <v>42</v>
      </c>
      <c r="T3094" s="1" t="s">
        <v>170</v>
      </c>
      <c r="AA3094" s="1">
        <v>6224380.4100000001</v>
      </c>
      <c r="AB3094" s="1" t="s">
        <v>2385</v>
      </c>
      <c r="AC3094" s="5">
        <v>42453</v>
      </c>
      <c r="AF3094" s="1">
        <v>10011</v>
      </c>
      <c r="AI3094" s="1" t="s">
        <v>59</v>
      </c>
      <c r="AK3094" s="1" t="s">
        <v>49</v>
      </c>
      <c r="AL3094" s="1">
        <v>24</v>
      </c>
    </row>
    <row r="3095" spans="1:38" x14ac:dyDescent="0.2">
      <c r="A3095" s="2" t="str">
        <f>HYPERLINK("https://www.compass.com/listing/150-west-12th-street-unit-6-manhattan-ny-10011/29367271419931985/","150 W 12th St, Unit 6")</f>
        <v>150 W 12th St, Unit 6</v>
      </c>
      <c r="B3095" s="2" t="str">
        <f t="shared" si="403"/>
        <v>The Greenwich Lane</v>
      </c>
      <c r="C3095" s="1" t="s">
        <v>71</v>
      </c>
      <c r="D3095" s="1" t="s">
        <v>41</v>
      </c>
      <c r="E3095" s="3">
        <v>5918994</v>
      </c>
      <c r="F3095" s="1">
        <v>2847.0389225589201</v>
      </c>
      <c r="M3095" s="4">
        <v>2079</v>
      </c>
      <c r="Q3095" s="1" t="s">
        <v>42</v>
      </c>
      <c r="S3095" s="1" t="s">
        <v>42</v>
      </c>
      <c r="T3095" s="1" t="s">
        <v>170</v>
      </c>
      <c r="AA3095" s="1">
        <v>5918993.9199999999</v>
      </c>
      <c r="AB3095" s="1" t="s">
        <v>2386</v>
      </c>
      <c r="AC3095" s="5">
        <v>42454</v>
      </c>
      <c r="AF3095" s="1">
        <v>10011</v>
      </c>
      <c r="AI3095" s="1" t="s">
        <v>59</v>
      </c>
      <c r="AK3095" s="1" t="s">
        <v>49</v>
      </c>
      <c r="AL3095" s="1">
        <v>24</v>
      </c>
    </row>
    <row r="3096" spans="1:38" x14ac:dyDescent="0.2">
      <c r="A3096" s="2" t="str">
        <f>HYPERLINK("https://www.compass.com/listing/150-west-12th-street-unit-7-manhattan-ny-10011/29367272107756049/","150 W 12th St, Unit 7")</f>
        <v>150 W 12th St, Unit 7</v>
      </c>
      <c r="B3096" s="2" t="str">
        <f t="shared" si="403"/>
        <v>The Greenwich Lane</v>
      </c>
      <c r="C3096" s="1" t="s">
        <v>71</v>
      </c>
      <c r="D3096" s="1" t="s">
        <v>41</v>
      </c>
      <c r="E3096" s="3">
        <v>6224533</v>
      </c>
      <c r="F3096" s="1">
        <v>2994.00353535353</v>
      </c>
      <c r="M3096" s="4">
        <v>2079</v>
      </c>
      <c r="Q3096" s="1" t="s">
        <v>42</v>
      </c>
      <c r="S3096" s="1" t="s">
        <v>42</v>
      </c>
      <c r="T3096" s="1" t="s">
        <v>170</v>
      </c>
      <c r="AA3096" s="1">
        <v>6224533.3499999996</v>
      </c>
      <c r="AB3096" s="1" t="s">
        <v>2387</v>
      </c>
      <c r="AC3096" s="5">
        <v>42411</v>
      </c>
      <c r="AF3096" s="1">
        <v>10011</v>
      </c>
      <c r="AI3096" s="1" t="s">
        <v>59</v>
      </c>
      <c r="AK3096" s="1" t="s">
        <v>49</v>
      </c>
      <c r="AL3096" s="1">
        <v>24</v>
      </c>
    </row>
    <row r="3097" spans="1:38" x14ac:dyDescent="0.2">
      <c r="A3097" s="2" t="str">
        <f>HYPERLINK("https://www.compass.com/listing/150-west-12th-street-unit-7-manhattan-ny-10011/29367272107756065/","150 W 12th St, Unit 7")</f>
        <v>150 W 12th St, Unit 7</v>
      </c>
      <c r="B3097" s="2" t="str">
        <f t="shared" si="403"/>
        <v>The Greenwich Lane</v>
      </c>
      <c r="C3097" s="1" t="s">
        <v>71</v>
      </c>
      <c r="D3097" s="1" t="s">
        <v>41</v>
      </c>
      <c r="E3097" s="3">
        <v>6479007</v>
      </c>
      <c r="F3097" s="1">
        <v>3137.5336125907902</v>
      </c>
      <c r="M3097" s="4">
        <v>2065</v>
      </c>
      <c r="Q3097" s="1" t="s">
        <v>42</v>
      </c>
      <c r="S3097" s="1" t="s">
        <v>42</v>
      </c>
      <c r="T3097" s="1" t="s">
        <v>170</v>
      </c>
      <c r="AA3097" s="1">
        <v>6479006.9100000001</v>
      </c>
      <c r="AB3097" s="1" t="s">
        <v>2388</v>
      </c>
      <c r="AC3097" s="5">
        <v>42412</v>
      </c>
      <c r="AF3097" s="1">
        <v>10011</v>
      </c>
      <c r="AI3097" s="1" t="s">
        <v>59</v>
      </c>
      <c r="AK3097" s="1" t="s">
        <v>49</v>
      </c>
      <c r="AL3097" s="1">
        <v>24</v>
      </c>
    </row>
    <row r="3098" spans="1:38" x14ac:dyDescent="0.2">
      <c r="A3098" s="2" t="str">
        <f>HYPERLINK("https://www.compass.com/listing/150-west-12th-street-unit-8-manhattan-ny-10011/29367272804055425/","150 W 12th St, Unit 8")</f>
        <v>150 W 12th St, Unit 8</v>
      </c>
      <c r="B3098" s="2" t="str">
        <f t="shared" si="403"/>
        <v>The Greenwich Lane</v>
      </c>
      <c r="C3098" s="1" t="s">
        <v>71</v>
      </c>
      <c r="D3098" s="1" t="s">
        <v>41</v>
      </c>
      <c r="E3098" s="3">
        <v>6046404</v>
      </c>
      <c r="F3098" s="1">
        <v>2908.3232467532398</v>
      </c>
      <c r="M3098" s="4">
        <v>2079</v>
      </c>
      <c r="Q3098" s="1" t="s">
        <v>42</v>
      </c>
      <c r="S3098" s="1" t="s">
        <v>42</v>
      </c>
      <c r="T3098" s="1" t="s">
        <v>170</v>
      </c>
      <c r="AA3098" s="1">
        <v>6046404.0300000003</v>
      </c>
      <c r="AB3098" s="1" t="s">
        <v>2389</v>
      </c>
      <c r="AC3098" s="5">
        <v>42416</v>
      </c>
      <c r="AF3098" s="1">
        <v>10011</v>
      </c>
      <c r="AI3098" s="1" t="s">
        <v>59</v>
      </c>
      <c r="AK3098" s="1" t="s">
        <v>49</v>
      </c>
      <c r="AL3098" s="1">
        <v>24</v>
      </c>
    </row>
    <row r="3099" spans="1:38" x14ac:dyDescent="0.2">
      <c r="A3099" s="2" t="str">
        <f>HYPERLINK("https://www.compass.com/listing/150-west-12th-street-unit-8-manhattan-ny-10011/29367272804055441/","150 W 12th St, Unit 8")</f>
        <v>150 W 12th St, Unit 8</v>
      </c>
      <c r="B3099" s="2" t="str">
        <f t="shared" si="403"/>
        <v>The Greenwich Lane</v>
      </c>
      <c r="C3099" s="1" t="s">
        <v>71</v>
      </c>
      <c r="D3099" s="1" t="s">
        <v>41</v>
      </c>
      <c r="E3099" s="3">
        <v>6580896</v>
      </c>
      <c r="F3099" s="1">
        <v>3186.8745278450301</v>
      </c>
      <c r="M3099" s="4">
        <v>2065</v>
      </c>
      <c r="Q3099" s="1" t="s">
        <v>42</v>
      </c>
      <c r="S3099" s="1" t="s">
        <v>42</v>
      </c>
      <c r="T3099" s="1" t="s">
        <v>170</v>
      </c>
      <c r="AA3099" s="1">
        <v>6580895.9000000004</v>
      </c>
      <c r="AB3099" s="1" t="s">
        <v>2390</v>
      </c>
      <c r="AC3099" s="5">
        <v>42429</v>
      </c>
      <c r="AF3099" s="1">
        <v>10011</v>
      </c>
      <c r="AI3099" s="1" t="s">
        <v>59</v>
      </c>
      <c r="AK3099" s="1" t="s">
        <v>49</v>
      </c>
      <c r="AL3099" s="1">
        <v>24</v>
      </c>
    </row>
    <row r="3100" spans="1:38" x14ac:dyDescent="0.2">
      <c r="A3100" s="2" t="str">
        <f>HYPERLINK("https://www.compass.com/listing/150-west-12th-street-unit-9-manhattan-ny-10011/29367273835854241/","150 W 12th St, Unit 9")</f>
        <v>150 W 12th St, Unit 9</v>
      </c>
      <c r="B3100" s="2" t="str">
        <f t="shared" si="403"/>
        <v>The Greenwich Lane</v>
      </c>
      <c r="C3100" s="1" t="s">
        <v>71</v>
      </c>
      <c r="D3100" s="1" t="s">
        <v>41</v>
      </c>
      <c r="E3100" s="3">
        <v>6718513</v>
      </c>
      <c r="F3100" s="1">
        <v>3231.6082058682</v>
      </c>
      <c r="M3100" s="4">
        <v>2079</v>
      </c>
      <c r="Q3100" s="1" t="s">
        <v>42</v>
      </c>
      <c r="S3100" s="1" t="s">
        <v>42</v>
      </c>
      <c r="T3100" s="1" t="s">
        <v>170</v>
      </c>
      <c r="AA3100" s="1">
        <v>6718513.46</v>
      </c>
      <c r="AB3100" s="1" t="s">
        <v>2391</v>
      </c>
      <c r="AC3100" s="5">
        <v>42430</v>
      </c>
      <c r="AF3100" s="1">
        <v>10011</v>
      </c>
      <c r="AI3100" s="1" t="s">
        <v>59</v>
      </c>
      <c r="AK3100" s="1" t="s">
        <v>49</v>
      </c>
      <c r="AL3100" s="1">
        <v>24</v>
      </c>
    </row>
    <row r="3101" spans="1:38" x14ac:dyDescent="0.2">
      <c r="A3101" s="2" t="str">
        <f>HYPERLINK("https://www.compass.com/listing/150-west-12th-street-unit-9-manhattan-ny-10011/29367273835854257/","150 W 12th St, Unit 9")</f>
        <v>150 W 12th St, Unit 9</v>
      </c>
      <c r="B3101" s="2" t="str">
        <f t="shared" si="403"/>
        <v>The Greenwich Lane</v>
      </c>
      <c r="C3101" s="1" t="s">
        <v>71</v>
      </c>
      <c r="D3101" s="1" t="s">
        <v>41</v>
      </c>
      <c r="E3101" s="3">
        <v>6718424</v>
      </c>
      <c r="F3101" s="1">
        <v>3253.4739225181602</v>
      </c>
      <c r="M3101" s="4">
        <v>2065</v>
      </c>
      <c r="Q3101" s="1" t="s">
        <v>42</v>
      </c>
      <c r="S3101" s="1" t="s">
        <v>42</v>
      </c>
      <c r="T3101" s="1" t="s">
        <v>170</v>
      </c>
      <c r="AA3101" s="1">
        <v>6718423.6500000004</v>
      </c>
      <c r="AB3101" s="1" t="s">
        <v>2392</v>
      </c>
      <c r="AC3101" s="5">
        <v>42439</v>
      </c>
      <c r="AF3101" s="1">
        <v>10011</v>
      </c>
      <c r="AI3101" s="1" t="s">
        <v>59</v>
      </c>
      <c r="AK3101" s="1" t="s">
        <v>49</v>
      </c>
      <c r="AL3101" s="1">
        <v>24</v>
      </c>
    </row>
    <row r="3102" spans="1:38" x14ac:dyDescent="0.2">
      <c r="A3102" s="2" t="str">
        <f>HYPERLINK("https://www.compass.com/listing/150-west-12th-street-unit-9-manhattan-ny-10011/29367273835854273/","150 W 12th St, Unit 9")</f>
        <v>150 W 12th St, Unit 9</v>
      </c>
      <c r="B3102" s="2" t="str">
        <f t="shared" si="403"/>
        <v>The Greenwich Lane</v>
      </c>
      <c r="C3102" s="1" t="s">
        <v>71</v>
      </c>
      <c r="D3102" s="1" t="s">
        <v>41</v>
      </c>
      <c r="E3102" s="3">
        <v>6850000</v>
      </c>
      <c r="F3102" s="1">
        <v>3317.1912832929702</v>
      </c>
      <c r="M3102" s="4">
        <v>2065</v>
      </c>
      <c r="Q3102" s="1" t="s">
        <v>42</v>
      </c>
      <c r="S3102" s="1" t="s">
        <v>42</v>
      </c>
      <c r="T3102" s="1" t="s">
        <v>170</v>
      </c>
      <c r="AA3102" s="1">
        <v>6850000</v>
      </c>
      <c r="AB3102" s="1" t="s">
        <v>2393</v>
      </c>
      <c r="AC3102" s="5">
        <v>43049</v>
      </c>
      <c r="AF3102" s="1">
        <v>10011</v>
      </c>
      <c r="AI3102" s="1" t="s">
        <v>59</v>
      </c>
      <c r="AK3102" s="1" t="s">
        <v>49</v>
      </c>
      <c r="AL3102" s="1">
        <v>24</v>
      </c>
    </row>
    <row r="3103" spans="1:38" x14ac:dyDescent="0.2">
      <c r="A3103" s="2" t="str">
        <f>HYPERLINK("https://www.compass.com/listing/150-west-12th-street-unit-11-manhattan-ny-10011/29367275639401969/","150 W 12th St, Unit 11")</f>
        <v>150 W 12th St, Unit 11</v>
      </c>
      <c r="B3103" s="2" t="str">
        <f t="shared" si="403"/>
        <v>The Greenwich Lane</v>
      </c>
      <c r="C3103" s="1" t="s">
        <v>71</v>
      </c>
      <c r="D3103" s="1" t="s">
        <v>41</v>
      </c>
      <c r="E3103" s="3">
        <v>6784738</v>
      </c>
      <c r="F3103" s="1">
        <v>3285.5873607748099</v>
      </c>
      <c r="M3103" s="4">
        <v>2065</v>
      </c>
      <c r="Q3103" s="1" t="s">
        <v>42</v>
      </c>
      <c r="S3103" s="1" t="s">
        <v>42</v>
      </c>
      <c r="T3103" s="1" t="s">
        <v>170</v>
      </c>
      <c r="AA3103" s="1">
        <v>6784737.9000000004</v>
      </c>
      <c r="AB3103" s="1" t="s">
        <v>2394</v>
      </c>
      <c r="AC3103" s="5">
        <v>42433</v>
      </c>
      <c r="AF3103" s="1">
        <v>10011</v>
      </c>
      <c r="AI3103" s="1" t="s">
        <v>59</v>
      </c>
      <c r="AK3103" s="1" t="s">
        <v>49</v>
      </c>
      <c r="AL3103" s="1">
        <v>24</v>
      </c>
    </row>
    <row r="3104" spans="1:38" x14ac:dyDescent="0.2">
      <c r="A3104" s="2" t="str">
        <f>HYPERLINK("https://www.compass.com/listing/150-west-12th-street-unit-12-manhattan-ny-10011/29367276461443809/","150 W 12th St, Unit 12")</f>
        <v>150 W 12th St, Unit 12</v>
      </c>
      <c r="B3104" s="2" t="str">
        <f t="shared" si="403"/>
        <v>The Greenwich Lane</v>
      </c>
      <c r="C3104" s="1" t="s">
        <v>71</v>
      </c>
      <c r="D3104" s="1" t="s">
        <v>41</v>
      </c>
      <c r="E3104" s="3">
        <v>6916273</v>
      </c>
      <c r="F3104" s="1">
        <v>3349.2846392251799</v>
      </c>
      <c r="M3104" s="4">
        <v>2065</v>
      </c>
      <c r="Q3104" s="1" t="s">
        <v>42</v>
      </c>
      <c r="S3104" s="1" t="s">
        <v>42</v>
      </c>
      <c r="T3104" s="1" t="s">
        <v>170</v>
      </c>
      <c r="AA3104" s="1">
        <v>6916272.7800000003</v>
      </c>
      <c r="AB3104" s="1" t="s">
        <v>2395</v>
      </c>
      <c r="AC3104" s="5">
        <v>42473</v>
      </c>
      <c r="AF3104" s="1">
        <v>10011</v>
      </c>
      <c r="AI3104" s="1" t="s">
        <v>59</v>
      </c>
      <c r="AK3104" s="1" t="s">
        <v>49</v>
      </c>
      <c r="AL3104" s="1">
        <v>24</v>
      </c>
    </row>
    <row r="3105" spans="1:38" x14ac:dyDescent="0.2">
      <c r="A3105" s="2" t="str">
        <f>HYPERLINK("https://www.compass.com/listing/150-west-12th-street-unit-12-manhattan-ny-10011/29367276461443825/","150 W 12th St, Unit 12")</f>
        <v>150 W 12th St, Unit 12</v>
      </c>
      <c r="B3105" s="2" t="str">
        <f t="shared" si="403"/>
        <v>The Greenwich Lane</v>
      </c>
      <c r="C3105" s="1" t="s">
        <v>71</v>
      </c>
      <c r="D3105" s="1" t="s">
        <v>41</v>
      </c>
      <c r="E3105" s="3">
        <v>7115825</v>
      </c>
      <c r="F3105" s="1">
        <v>3422.7152958152901</v>
      </c>
      <c r="M3105" s="4">
        <v>2079</v>
      </c>
      <c r="Q3105" s="1" t="s">
        <v>42</v>
      </c>
      <c r="S3105" s="1" t="s">
        <v>42</v>
      </c>
      <c r="T3105" s="1" t="s">
        <v>170</v>
      </c>
      <c r="AA3105" s="1">
        <v>7115825.0999999996</v>
      </c>
      <c r="AB3105" s="1" t="s">
        <v>2396</v>
      </c>
      <c r="AC3105" s="5">
        <v>42488</v>
      </c>
      <c r="AF3105" s="1">
        <v>10011</v>
      </c>
      <c r="AI3105" s="1" t="s">
        <v>59</v>
      </c>
      <c r="AK3105" s="1" t="s">
        <v>49</v>
      </c>
      <c r="AL3105" s="1">
        <v>24</v>
      </c>
    </row>
    <row r="3106" spans="1:38" x14ac:dyDescent="0.2">
      <c r="A3106" s="2" t="str">
        <f>HYPERLINK("https://www.compass.com/listing/221-west-77th-street-manhattan-ny-10024/29396065652412545/","221 W 77th St, Fl 14")</f>
        <v>221 W 77th St, Fl 14</v>
      </c>
      <c r="B3106" s="2" t="str">
        <f t="shared" ref="B3106:B3109" si="404">HYPERLINK("https://www.compass.com/building/221-west-77th-street-manhattan-ny/292869344491294229/","221 West 77th Street")</f>
        <v>221 West 77th Street</v>
      </c>
      <c r="C3106" s="1" t="s">
        <v>50</v>
      </c>
      <c r="D3106" s="1" t="s">
        <v>41</v>
      </c>
      <c r="E3106" s="3">
        <v>12400000</v>
      </c>
      <c r="F3106" s="1">
        <v>3549.95705697108</v>
      </c>
      <c r="M3106" s="4">
        <v>3493</v>
      </c>
      <c r="Q3106" s="1" t="s">
        <v>42</v>
      </c>
      <c r="S3106" s="1" t="s">
        <v>42</v>
      </c>
      <c r="T3106" s="1" t="s">
        <v>170</v>
      </c>
      <c r="AA3106" s="1">
        <v>12400000</v>
      </c>
      <c r="AB3106" s="1" t="s">
        <v>2397</v>
      </c>
      <c r="AC3106" s="5">
        <v>42978</v>
      </c>
      <c r="AF3106" s="1">
        <v>10024</v>
      </c>
      <c r="AI3106" s="1" t="s">
        <v>53</v>
      </c>
      <c r="AJ3106" s="1">
        <v>2017</v>
      </c>
      <c r="AK3106" s="1" t="s">
        <v>49</v>
      </c>
      <c r="AL3106" s="1">
        <v>26</v>
      </c>
    </row>
    <row r="3107" spans="1:38" x14ac:dyDescent="0.2">
      <c r="A3107" s="2" t="str">
        <f>HYPERLINK("https://www.compass.com/listing/221-west-77th-street-manhattan-ny-10024/29396065987894753/","221 W 77th St, Fl 15")</f>
        <v>221 W 77th St, Fl 15</v>
      </c>
      <c r="B3107" s="2" t="str">
        <f t="shared" si="404"/>
        <v>221 West 77th Street</v>
      </c>
      <c r="C3107" s="1" t="s">
        <v>50</v>
      </c>
      <c r="D3107" s="1" t="s">
        <v>41</v>
      </c>
      <c r="E3107" s="3">
        <v>10182500</v>
      </c>
      <c r="F3107" s="1">
        <v>2998.3804475853899</v>
      </c>
      <c r="M3107" s="4">
        <v>3396</v>
      </c>
      <c r="Q3107" s="1" t="s">
        <v>42</v>
      </c>
      <c r="S3107" s="1" t="s">
        <v>42</v>
      </c>
      <c r="T3107" s="1" t="s">
        <v>170</v>
      </c>
      <c r="AA3107" s="1">
        <v>10182500</v>
      </c>
      <c r="AB3107" s="1" t="s">
        <v>2398</v>
      </c>
      <c r="AC3107" s="5">
        <v>42961</v>
      </c>
      <c r="AF3107" s="1">
        <v>10024</v>
      </c>
      <c r="AI3107" s="1" t="s">
        <v>53</v>
      </c>
      <c r="AJ3107" s="1">
        <v>2017</v>
      </c>
      <c r="AK3107" s="1" t="s">
        <v>49</v>
      </c>
      <c r="AL3107" s="1">
        <v>26</v>
      </c>
    </row>
    <row r="3108" spans="1:38" x14ac:dyDescent="0.2">
      <c r="A3108" s="2" t="str">
        <f>HYPERLINK("https://www.compass.com/listing/221-west-77th-street-manhattan-ny-10024/29396066281537105/","221 W 77th St, Fl 16")</f>
        <v>221 W 77th St, Fl 16</v>
      </c>
      <c r="B3108" s="2" t="str">
        <f t="shared" si="404"/>
        <v>221 West 77th Street</v>
      </c>
      <c r="C3108" s="1" t="s">
        <v>50</v>
      </c>
      <c r="D3108" s="1" t="s">
        <v>41</v>
      </c>
      <c r="E3108" s="3">
        <v>10000000</v>
      </c>
      <c r="F3108" s="1">
        <v>3030.30303030303</v>
      </c>
      <c r="M3108" s="4">
        <v>3300</v>
      </c>
      <c r="Q3108" s="1" t="s">
        <v>42</v>
      </c>
      <c r="S3108" s="1" t="s">
        <v>42</v>
      </c>
      <c r="T3108" s="1" t="s">
        <v>170</v>
      </c>
      <c r="AA3108" s="1">
        <v>10000000</v>
      </c>
      <c r="AB3108" s="1" t="s">
        <v>2399</v>
      </c>
      <c r="AC3108" s="5">
        <v>42979</v>
      </c>
      <c r="AF3108" s="1">
        <v>10024</v>
      </c>
      <c r="AI3108" s="1" t="s">
        <v>53</v>
      </c>
      <c r="AJ3108" s="1">
        <v>2017</v>
      </c>
      <c r="AK3108" s="1" t="s">
        <v>49</v>
      </c>
      <c r="AL3108" s="1">
        <v>26</v>
      </c>
    </row>
    <row r="3109" spans="1:38" x14ac:dyDescent="0.2">
      <c r="A3109" s="2" t="str">
        <f>HYPERLINK("https://www.compass.com/listing/221-west-77th-street-manhattan-ny-10024/29396066566770833/","221 W 77th St, Fl 17")</f>
        <v>221 W 77th St, Fl 17</v>
      </c>
      <c r="B3109" s="2" t="str">
        <f t="shared" si="404"/>
        <v>221 West 77th Street</v>
      </c>
      <c r="C3109" s="1" t="s">
        <v>50</v>
      </c>
      <c r="D3109" s="1" t="s">
        <v>41</v>
      </c>
      <c r="E3109" s="3">
        <v>10500000</v>
      </c>
      <c r="F3109" s="1">
        <v>3561.7367706919899</v>
      </c>
      <c r="M3109" s="4">
        <v>2948</v>
      </c>
      <c r="Q3109" s="1" t="s">
        <v>42</v>
      </c>
      <c r="S3109" s="1" t="s">
        <v>42</v>
      </c>
      <c r="T3109" s="1" t="s">
        <v>170</v>
      </c>
      <c r="AA3109" s="1">
        <v>10500000</v>
      </c>
      <c r="AB3109" s="1" t="s">
        <v>2400</v>
      </c>
      <c r="AC3109" s="5">
        <v>42975</v>
      </c>
      <c r="AF3109" s="1">
        <v>10024</v>
      </c>
      <c r="AI3109" s="1" t="s">
        <v>53</v>
      </c>
      <c r="AJ3109" s="1">
        <v>2017</v>
      </c>
      <c r="AK3109" s="1" t="s">
        <v>49</v>
      </c>
      <c r="AL3109" s="1">
        <v>26</v>
      </c>
    </row>
    <row r="3110" spans="1:38" x14ac:dyDescent="0.2">
      <c r="A3110" s="2" t="str">
        <f>HYPERLINK("https://www.compass.com/listing/50-riverside-boulevard-unit-29a-manhattan-ny-10069/29396592473733825/","50 Riverside Blvd, Unit 29A")</f>
        <v>50 Riverside Blvd, Unit 29A</v>
      </c>
      <c r="B3110" s="2" t="str">
        <f t="shared" ref="B3110:B3112" si="405">HYPERLINK("https://www.compass.com/building/one-riverside-park-manhattan-ny/282041440266113253/","One Riverside Park")</f>
        <v>One Riverside Park</v>
      </c>
      <c r="C3110" s="1" t="s">
        <v>50</v>
      </c>
      <c r="D3110" s="1" t="s">
        <v>41</v>
      </c>
      <c r="E3110" s="3">
        <v>8811863</v>
      </c>
      <c r="F3110" s="1">
        <v>2762.3393416927902</v>
      </c>
      <c r="H3110" s="1">
        <v>4</v>
      </c>
      <c r="J3110" s="1">
        <v>4</v>
      </c>
      <c r="K3110" s="1">
        <v>4</v>
      </c>
      <c r="M3110" s="4">
        <v>3190</v>
      </c>
      <c r="N3110" s="1">
        <v>3570</v>
      </c>
      <c r="O3110" s="1">
        <v>3768</v>
      </c>
      <c r="P3110" s="1">
        <v>198</v>
      </c>
      <c r="Q3110" s="1" t="s">
        <v>42</v>
      </c>
      <c r="S3110" s="1" t="s">
        <v>42</v>
      </c>
      <c r="T3110" s="1" t="s">
        <v>170</v>
      </c>
      <c r="AA3110" s="1">
        <v>8811862.5</v>
      </c>
      <c r="AB3110" s="1" t="s">
        <v>2401</v>
      </c>
      <c r="AC3110" s="5">
        <v>42724</v>
      </c>
      <c r="AF3110" s="1">
        <v>10069</v>
      </c>
      <c r="AI3110" s="1" t="s">
        <v>45</v>
      </c>
      <c r="AJ3110" s="1">
        <v>2016</v>
      </c>
      <c r="AK3110" s="1" t="s">
        <v>46</v>
      </c>
      <c r="AL3110" s="1">
        <v>657</v>
      </c>
    </row>
    <row r="3111" spans="1:38" x14ac:dyDescent="0.2">
      <c r="A3111" s="2" t="str">
        <f>HYPERLINK("https://www.compass.com/listing/50-riverside-boulevard-unit-ph1a-manhattan-ny-10069/29396593270713569/","50 Riverside Blvd, Unit PH1A")</f>
        <v>50 Riverside Blvd, Unit PH1A</v>
      </c>
      <c r="B3111" s="2" t="str">
        <f t="shared" si="405"/>
        <v>One Riverside Park</v>
      </c>
      <c r="C3111" s="1" t="s">
        <v>50</v>
      </c>
      <c r="D3111" s="1" t="s">
        <v>41</v>
      </c>
      <c r="E3111" s="3">
        <v>16296000</v>
      </c>
      <c r="F3111" s="1">
        <v>2642.0233463035001</v>
      </c>
      <c r="G3111" s="1">
        <v>12</v>
      </c>
      <c r="H3111" s="1">
        <v>6</v>
      </c>
      <c r="I3111" s="1">
        <v>9</v>
      </c>
      <c r="J3111" s="1">
        <v>0.5</v>
      </c>
      <c r="L3111" s="1">
        <v>1</v>
      </c>
      <c r="M3111" s="4">
        <v>6168</v>
      </c>
      <c r="N3111" s="1">
        <v>6910</v>
      </c>
      <c r="O3111" s="1">
        <v>7280</v>
      </c>
      <c r="P3111" s="1">
        <v>370</v>
      </c>
      <c r="Q3111" s="1" t="s">
        <v>42</v>
      </c>
      <c r="S3111" s="1" t="s">
        <v>42</v>
      </c>
      <c r="T3111" s="1" t="s">
        <v>170</v>
      </c>
      <c r="U3111" s="1">
        <v>235</v>
      </c>
      <c r="V3111" s="5">
        <v>43271</v>
      </c>
      <c r="W3111" s="5">
        <v>42846</v>
      </c>
      <c r="X3111" s="1">
        <v>17000000</v>
      </c>
      <c r="Y3111" s="1">
        <v>17000000</v>
      </c>
      <c r="AA3111" s="1">
        <v>16296000</v>
      </c>
      <c r="AB3111" s="1" t="s">
        <v>2402</v>
      </c>
      <c r="AC3111" s="5">
        <v>43081</v>
      </c>
      <c r="AF3111" s="1">
        <v>10069</v>
      </c>
      <c r="AI3111" s="1" t="s">
        <v>303</v>
      </c>
      <c r="AJ3111" s="1">
        <v>2016</v>
      </c>
      <c r="AK3111" s="1" t="s">
        <v>73</v>
      </c>
      <c r="AL3111" s="1">
        <v>657</v>
      </c>
    </row>
    <row r="3112" spans="1:38" x14ac:dyDescent="0.2">
      <c r="A3112" s="2" t="str">
        <f>HYPERLINK("https://www.compass.com/listing/50-riverside-boulevard-unit-4d-manhattan-ny-10069/29396616330997393/","50 Riverside Blvd, Unit 4D")</f>
        <v>50 Riverside Blvd, Unit 4D</v>
      </c>
      <c r="B3112" s="2" t="str">
        <f t="shared" si="405"/>
        <v>One Riverside Park</v>
      </c>
      <c r="C3112" s="1" t="s">
        <v>50</v>
      </c>
      <c r="D3112" s="1" t="s">
        <v>41</v>
      </c>
      <c r="E3112" s="3">
        <v>2081230</v>
      </c>
      <c r="F3112" s="1">
        <v>1598.4869431643599</v>
      </c>
      <c r="G3112" s="1">
        <v>3</v>
      </c>
      <c r="H3112" s="1">
        <v>2</v>
      </c>
      <c r="I3112" s="1">
        <v>2</v>
      </c>
      <c r="J3112" s="1">
        <v>2</v>
      </c>
      <c r="K3112" s="1">
        <v>2</v>
      </c>
      <c r="M3112" s="4">
        <v>1302</v>
      </c>
      <c r="N3112" s="1">
        <v>1441</v>
      </c>
      <c r="O3112" s="1">
        <v>1521</v>
      </c>
      <c r="P3112" s="1">
        <v>80</v>
      </c>
      <c r="Q3112" s="1" t="s">
        <v>42</v>
      </c>
      <c r="S3112" s="1" t="s">
        <v>42</v>
      </c>
      <c r="T3112" s="1" t="s">
        <v>170</v>
      </c>
      <c r="U3112" s="1">
        <v>679</v>
      </c>
      <c r="V3112" s="5">
        <v>42284</v>
      </c>
      <c r="W3112" s="5">
        <v>41577</v>
      </c>
      <c r="X3112" s="1">
        <v>2040000</v>
      </c>
      <c r="Y3112" s="1">
        <v>2040000</v>
      </c>
      <c r="AA3112" s="1">
        <v>2081230</v>
      </c>
      <c r="AB3112" s="1" t="s">
        <v>2403</v>
      </c>
      <c r="AC3112" s="5">
        <v>42256</v>
      </c>
      <c r="AF3112" s="1">
        <v>10069</v>
      </c>
      <c r="AI3112" s="1" t="s">
        <v>45</v>
      </c>
      <c r="AJ3112" s="1">
        <v>2016</v>
      </c>
      <c r="AK3112" s="1" t="s">
        <v>73</v>
      </c>
      <c r="AL3112" s="1">
        <v>657</v>
      </c>
    </row>
    <row r="3113" spans="1:38" x14ac:dyDescent="0.2">
      <c r="A3113" s="2" t="str">
        <f>HYPERLINK("https://www.compass.com/listing/48-east-132nd-street-unit-1c-manhattan-ny-10037/29428816036307617/","48 E 132nd St, Unit 1C")</f>
        <v>48 E 132nd St, Unit 1C</v>
      </c>
      <c r="B3113" s="2" t="str">
        <f t="shared" ref="B3113:B3124" si="406">HYPERLINK("https://www.compass.com/building/48-e-132nd-st-manhattan-ny-10037/282028625274876293/","48 E 132nd St")</f>
        <v>48 E 132nd St</v>
      </c>
      <c r="C3113" s="1" t="s">
        <v>61</v>
      </c>
      <c r="D3113" s="1" t="s">
        <v>41</v>
      </c>
      <c r="E3113" s="3">
        <v>867848</v>
      </c>
      <c r="F3113" s="1">
        <v>828.88968481375298</v>
      </c>
      <c r="M3113" s="4">
        <v>1047</v>
      </c>
      <c r="Q3113" s="1" t="s">
        <v>42</v>
      </c>
      <c r="S3113" s="1" t="s">
        <v>42</v>
      </c>
      <c r="T3113" s="1" t="s">
        <v>170</v>
      </c>
      <c r="AA3113" s="1">
        <v>867847.5</v>
      </c>
      <c r="AB3113" s="1" t="s">
        <v>2404</v>
      </c>
      <c r="AC3113" s="5">
        <v>43250</v>
      </c>
      <c r="AF3113" s="1">
        <v>10037</v>
      </c>
      <c r="AI3113" s="1" t="s">
        <v>59</v>
      </c>
      <c r="AJ3113" s="1">
        <v>2016</v>
      </c>
      <c r="AL3113" s="1">
        <v>19</v>
      </c>
    </row>
    <row r="3114" spans="1:38" x14ac:dyDescent="0.2">
      <c r="A3114" s="2" t="str">
        <f>HYPERLINK("https://www.compass.com/listing/48-east-132nd-street-unit-2c-manhattan-ny-10037/29428816346699617/","48 E 132nd St, Unit 2C")</f>
        <v>48 E 132nd St, Unit 2C</v>
      </c>
      <c r="B3114" s="2" t="str">
        <f t="shared" si="406"/>
        <v>48 E 132nd St</v>
      </c>
      <c r="C3114" s="1" t="s">
        <v>61</v>
      </c>
      <c r="D3114" s="1" t="s">
        <v>41</v>
      </c>
      <c r="E3114" s="3">
        <v>390390</v>
      </c>
      <c r="F3114" s="1">
        <v>975.97500000000002</v>
      </c>
      <c r="M3114" s="1">
        <v>400</v>
      </c>
      <c r="Q3114" s="1" t="s">
        <v>42</v>
      </c>
      <c r="S3114" s="1" t="s">
        <v>42</v>
      </c>
      <c r="T3114" s="1" t="s">
        <v>170</v>
      </c>
      <c r="AA3114" s="1">
        <v>390390</v>
      </c>
      <c r="AB3114" s="1" t="s">
        <v>2405</v>
      </c>
      <c r="AC3114" s="5">
        <v>42927</v>
      </c>
      <c r="AF3114" s="1">
        <v>10037</v>
      </c>
      <c r="AI3114" s="1" t="s">
        <v>59</v>
      </c>
      <c r="AJ3114" s="1">
        <v>2016</v>
      </c>
      <c r="AL3114" s="1">
        <v>19</v>
      </c>
    </row>
    <row r="3115" spans="1:38" x14ac:dyDescent="0.2">
      <c r="A3115" s="2" t="str">
        <f>HYPERLINK("https://www.compass.com/listing/48-east-132nd-street-unit-2d-manhattan-ny-10037/29428816657010705/","48 E 132nd St, Unit 2D")</f>
        <v>48 E 132nd St, Unit 2D</v>
      </c>
      <c r="B3115" s="2" t="str">
        <f t="shared" si="406"/>
        <v>48 E 132nd St</v>
      </c>
      <c r="C3115" s="1" t="s">
        <v>61</v>
      </c>
      <c r="D3115" s="1" t="s">
        <v>41</v>
      </c>
      <c r="E3115" s="3">
        <v>396474</v>
      </c>
      <c r="F3115" s="1">
        <v>932.88</v>
      </c>
      <c r="M3115" s="1">
        <v>425</v>
      </c>
      <c r="Q3115" s="1" t="s">
        <v>42</v>
      </c>
      <c r="S3115" s="1" t="s">
        <v>42</v>
      </c>
      <c r="T3115" s="1" t="s">
        <v>170</v>
      </c>
      <c r="AA3115" s="1">
        <v>396474</v>
      </c>
      <c r="AB3115" s="1" t="s">
        <v>2406</v>
      </c>
      <c r="AC3115" s="5">
        <v>42930</v>
      </c>
      <c r="AF3115" s="1">
        <v>10037</v>
      </c>
      <c r="AI3115" s="1" t="s">
        <v>59</v>
      </c>
      <c r="AJ3115" s="1">
        <v>2016</v>
      </c>
      <c r="AL3115" s="1">
        <v>19</v>
      </c>
    </row>
    <row r="3116" spans="1:38" x14ac:dyDescent="0.2">
      <c r="A3116" s="2" t="str">
        <f>HYPERLINK("https://www.compass.com/listing/48-east-132nd-street-unit-2e-manhattan-ny-10037/29428816959054513/","48 E 132nd St, Unit 2E")</f>
        <v>48 E 132nd St, Unit 2E</v>
      </c>
      <c r="B3116" s="2" t="str">
        <f t="shared" si="406"/>
        <v>48 E 132nd St</v>
      </c>
      <c r="C3116" s="1" t="s">
        <v>61</v>
      </c>
      <c r="D3116" s="1" t="s">
        <v>41</v>
      </c>
      <c r="E3116" s="3">
        <v>423852</v>
      </c>
      <c r="F3116" s="1">
        <v>954.62162162162099</v>
      </c>
      <c r="M3116" s="1">
        <v>444</v>
      </c>
      <c r="Q3116" s="1" t="s">
        <v>42</v>
      </c>
      <c r="S3116" s="1" t="s">
        <v>42</v>
      </c>
      <c r="T3116" s="1" t="s">
        <v>170</v>
      </c>
      <c r="AA3116" s="1">
        <v>423852</v>
      </c>
      <c r="AB3116" s="1" t="s">
        <v>2407</v>
      </c>
      <c r="AC3116" s="5">
        <v>42948</v>
      </c>
      <c r="AF3116" s="1">
        <v>10037</v>
      </c>
      <c r="AI3116" s="1" t="s">
        <v>59</v>
      </c>
      <c r="AJ3116" s="1">
        <v>2016</v>
      </c>
      <c r="AL3116" s="1">
        <v>19</v>
      </c>
    </row>
    <row r="3117" spans="1:38" x14ac:dyDescent="0.2">
      <c r="A3117" s="2" t="str">
        <f>HYPERLINK("https://www.compass.com/listing/48-east-132nd-street-unit-2f-manhattan-ny-10037/29428817336555377/","48 E 132nd St, Unit 2F")</f>
        <v>48 E 132nd St, Unit 2F</v>
      </c>
      <c r="B3117" s="2" t="str">
        <f t="shared" si="406"/>
        <v>48 E 132nd St</v>
      </c>
      <c r="C3117" s="1" t="s">
        <v>61</v>
      </c>
      <c r="D3117" s="1" t="s">
        <v>41</v>
      </c>
      <c r="E3117" s="3">
        <v>429733</v>
      </c>
      <c r="F3117" s="1">
        <v>934.20260869565197</v>
      </c>
      <c r="M3117" s="1">
        <v>460</v>
      </c>
      <c r="Q3117" s="1" t="s">
        <v>42</v>
      </c>
      <c r="S3117" s="1" t="s">
        <v>42</v>
      </c>
      <c r="T3117" s="1" t="s">
        <v>170</v>
      </c>
      <c r="AA3117" s="1">
        <v>429733.2</v>
      </c>
      <c r="AB3117" s="1" t="s">
        <v>2408</v>
      </c>
      <c r="AC3117" s="5">
        <v>42928</v>
      </c>
      <c r="AF3117" s="1">
        <v>10037</v>
      </c>
      <c r="AI3117" s="1" t="s">
        <v>59</v>
      </c>
      <c r="AJ3117" s="1">
        <v>2016</v>
      </c>
      <c r="AL3117" s="1">
        <v>19</v>
      </c>
    </row>
    <row r="3118" spans="1:38" x14ac:dyDescent="0.2">
      <c r="A3118" s="2" t="str">
        <f>HYPERLINK("https://www.compass.com/listing/48-east-132nd-street-unit-3e-manhattan-ny-10037/29428818284468097/","48 E 132nd St, Unit 3E")</f>
        <v>48 E 132nd St, Unit 3E</v>
      </c>
      <c r="B3118" s="2" t="str">
        <f t="shared" si="406"/>
        <v>48 E 132nd St</v>
      </c>
      <c r="C3118" s="1" t="s">
        <v>61</v>
      </c>
      <c r="D3118" s="1" t="s">
        <v>41</v>
      </c>
      <c r="E3118" s="3">
        <v>414726</v>
      </c>
      <c r="F3118" s="1">
        <v>934.06756756756704</v>
      </c>
      <c r="M3118" s="1">
        <v>444</v>
      </c>
      <c r="Q3118" s="1" t="s">
        <v>42</v>
      </c>
      <c r="S3118" s="1" t="s">
        <v>42</v>
      </c>
      <c r="T3118" s="1" t="s">
        <v>170</v>
      </c>
      <c r="AA3118" s="1">
        <v>414726</v>
      </c>
      <c r="AB3118" s="1" t="s">
        <v>2409</v>
      </c>
      <c r="AC3118" s="5">
        <v>42921</v>
      </c>
      <c r="AF3118" s="1">
        <v>10037</v>
      </c>
      <c r="AI3118" s="1" t="s">
        <v>59</v>
      </c>
      <c r="AJ3118" s="1">
        <v>2016</v>
      </c>
      <c r="AL3118" s="1">
        <v>19</v>
      </c>
    </row>
    <row r="3119" spans="1:38" x14ac:dyDescent="0.2">
      <c r="A3119" s="2" t="str">
        <f>HYPERLINK("https://www.compass.com/listing/48-east-132nd-street-unit-4c-manhattan-ny-10037/29428818594779185/","48 E 132nd St, Unit 4C")</f>
        <v>48 E 132nd St, Unit 4C</v>
      </c>
      <c r="B3119" s="2" t="str">
        <f t="shared" si="406"/>
        <v>48 E 132nd St</v>
      </c>
      <c r="C3119" s="1" t="s">
        <v>61</v>
      </c>
      <c r="D3119" s="1" t="s">
        <v>41</v>
      </c>
      <c r="E3119" s="3">
        <v>840813</v>
      </c>
      <c r="F3119" s="1">
        <v>979.96882284382195</v>
      </c>
      <c r="M3119" s="1">
        <v>858</v>
      </c>
      <c r="Q3119" s="1" t="s">
        <v>42</v>
      </c>
      <c r="S3119" s="1" t="s">
        <v>42</v>
      </c>
      <c r="T3119" s="1" t="s">
        <v>170</v>
      </c>
      <c r="AA3119" s="1">
        <v>840813.25</v>
      </c>
      <c r="AB3119" s="1" t="s">
        <v>2410</v>
      </c>
      <c r="AC3119" s="5">
        <v>42961</v>
      </c>
      <c r="AF3119" s="1">
        <v>10037</v>
      </c>
      <c r="AI3119" s="1" t="s">
        <v>59</v>
      </c>
      <c r="AJ3119" s="1">
        <v>2016</v>
      </c>
      <c r="AL3119" s="1">
        <v>19</v>
      </c>
    </row>
    <row r="3120" spans="1:38" x14ac:dyDescent="0.2">
      <c r="A3120" s="2" t="str">
        <f>HYPERLINK("https://www.compass.com/listing/48-east-132nd-street-unit-5c-manhattan-ny-10037/29428819215603601/","48 E 132nd St, Unit 5C")</f>
        <v>48 E 132nd St, Unit 5C</v>
      </c>
      <c r="B3120" s="2" t="str">
        <f t="shared" si="406"/>
        <v>48 E 132nd St</v>
      </c>
      <c r="C3120" s="1" t="s">
        <v>61</v>
      </c>
      <c r="D3120" s="1" t="s">
        <v>41</v>
      </c>
      <c r="E3120" s="3">
        <v>842115</v>
      </c>
      <c r="F3120" s="1">
        <v>981.48580419580401</v>
      </c>
      <c r="M3120" s="1">
        <v>858</v>
      </c>
      <c r="Q3120" s="1" t="s">
        <v>42</v>
      </c>
      <c r="S3120" s="1" t="s">
        <v>42</v>
      </c>
      <c r="T3120" s="1" t="s">
        <v>170</v>
      </c>
      <c r="AA3120" s="1">
        <v>842114.82</v>
      </c>
      <c r="AB3120" s="1" t="s">
        <v>2411</v>
      </c>
      <c r="AC3120" s="5">
        <v>43161</v>
      </c>
      <c r="AF3120" s="1">
        <v>10037</v>
      </c>
      <c r="AI3120" s="1" t="s">
        <v>59</v>
      </c>
      <c r="AJ3120" s="1">
        <v>2016</v>
      </c>
      <c r="AL3120" s="1">
        <v>19</v>
      </c>
    </row>
    <row r="3121" spans="1:38" x14ac:dyDescent="0.2">
      <c r="A3121" s="2" t="str">
        <f>HYPERLINK("https://www.compass.com/listing/48-east-132nd-street-unit-5d-manhattan-ny-10037/29428819542691905/","48 E 132nd St, Unit 5D")</f>
        <v>48 E 132nd St, Unit 5D</v>
      </c>
      <c r="B3121" s="2" t="str">
        <f t="shared" si="406"/>
        <v>48 E 132nd St</v>
      </c>
      <c r="C3121" s="1" t="s">
        <v>61</v>
      </c>
      <c r="D3121" s="1" t="s">
        <v>41</v>
      </c>
      <c r="E3121" s="3">
        <v>401592</v>
      </c>
      <c r="F3121" s="1">
        <v>942.70328638497597</v>
      </c>
      <c r="M3121" s="1">
        <v>426</v>
      </c>
      <c r="Q3121" s="1" t="s">
        <v>42</v>
      </c>
      <c r="S3121" s="1" t="s">
        <v>42</v>
      </c>
      <c r="T3121" s="1" t="s">
        <v>170</v>
      </c>
      <c r="AA3121" s="1">
        <v>401591.6</v>
      </c>
      <c r="AB3121" s="1" t="s">
        <v>2412</v>
      </c>
      <c r="AC3121" s="5">
        <v>42914</v>
      </c>
      <c r="AF3121" s="1">
        <v>10037</v>
      </c>
      <c r="AI3121" s="1" t="s">
        <v>59</v>
      </c>
      <c r="AJ3121" s="1">
        <v>2016</v>
      </c>
      <c r="AL3121" s="1">
        <v>19</v>
      </c>
    </row>
    <row r="3122" spans="1:38" x14ac:dyDescent="0.2">
      <c r="A3122" s="2" t="str">
        <f>HYPERLINK("https://www.compass.com/listing/48-east-132nd-street-unit-5e-manhattan-ny-10037/29428819869901537/","48 E 132nd St, Unit 5E")</f>
        <v>48 E 132nd St, Unit 5E</v>
      </c>
      <c r="B3122" s="2" t="str">
        <f t="shared" si="406"/>
        <v>48 E 132nd St</v>
      </c>
      <c r="C3122" s="1" t="s">
        <v>61</v>
      </c>
      <c r="D3122" s="1" t="s">
        <v>41</v>
      </c>
      <c r="E3122" s="3">
        <v>432861</v>
      </c>
      <c r="F3122" s="1">
        <v>977.11286681715501</v>
      </c>
      <c r="M3122" s="1">
        <v>443</v>
      </c>
      <c r="Q3122" s="1" t="s">
        <v>42</v>
      </c>
      <c r="S3122" s="1" t="s">
        <v>42</v>
      </c>
      <c r="T3122" s="1" t="s">
        <v>170</v>
      </c>
      <c r="AA3122" s="1">
        <v>432861</v>
      </c>
      <c r="AB3122" s="1" t="s">
        <v>2413</v>
      </c>
      <c r="AC3122" s="5">
        <v>42937</v>
      </c>
      <c r="AF3122" s="1">
        <v>10037</v>
      </c>
      <c r="AI3122" s="1" t="s">
        <v>59</v>
      </c>
      <c r="AJ3122" s="1">
        <v>2016</v>
      </c>
      <c r="AL3122" s="1">
        <v>19</v>
      </c>
    </row>
    <row r="3123" spans="1:38" x14ac:dyDescent="0.2">
      <c r="A3123" s="2" t="str">
        <f>HYPERLINK("https://www.compass.com/listing/48-east-132nd-street-unit-phd-manhattan-ny-10037/29428820155127713/","48 E 132nd St, Unit PHD")</f>
        <v>48 E 132nd St, Unit PHD</v>
      </c>
      <c r="B3123" s="2" t="str">
        <f t="shared" si="406"/>
        <v>48 E 132nd St</v>
      </c>
      <c r="C3123" s="1" t="s">
        <v>61</v>
      </c>
      <c r="D3123" s="1" t="s">
        <v>41</v>
      </c>
      <c r="E3123" s="3">
        <v>870875</v>
      </c>
      <c r="F3123" s="1">
        <v>1016.19019836639</v>
      </c>
      <c r="M3123" s="1">
        <v>857</v>
      </c>
      <c r="Q3123" s="1" t="s">
        <v>42</v>
      </c>
      <c r="S3123" s="1" t="s">
        <v>42</v>
      </c>
      <c r="T3123" s="1" t="s">
        <v>170</v>
      </c>
      <c r="AA3123" s="1">
        <v>870875</v>
      </c>
      <c r="AB3123" s="1" t="s">
        <v>2414</v>
      </c>
      <c r="AC3123" s="5">
        <v>42935</v>
      </c>
      <c r="AF3123" s="1">
        <v>10037</v>
      </c>
      <c r="AI3123" s="1" t="s">
        <v>59</v>
      </c>
      <c r="AJ3123" s="1">
        <v>2016</v>
      </c>
      <c r="AL3123" s="1">
        <v>19</v>
      </c>
    </row>
    <row r="3124" spans="1:38" x14ac:dyDescent="0.2">
      <c r="A3124" s="2" t="str">
        <f>HYPERLINK("https://www.compass.com/listing/48-east-132nd-street-unit-phf-manhattan-ny-10037/29428820465438801/","48 E 132nd St, Unit PHF")</f>
        <v>48 E 132nd St, Unit PHF</v>
      </c>
      <c r="B3124" s="2" t="str">
        <f t="shared" si="406"/>
        <v>48 E 132nd St</v>
      </c>
      <c r="C3124" s="1" t="s">
        <v>61</v>
      </c>
      <c r="D3124" s="1" t="s">
        <v>41</v>
      </c>
      <c r="E3124" s="3">
        <v>634693</v>
      </c>
      <c r="F3124" s="1">
        <v>1175.3565740740701</v>
      </c>
      <c r="M3124" s="1">
        <v>540</v>
      </c>
      <c r="Q3124" s="1" t="s">
        <v>42</v>
      </c>
      <c r="S3124" s="1" t="s">
        <v>42</v>
      </c>
      <c r="T3124" s="1" t="s">
        <v>170</v>
      </c>
      <c r="AA3124" s="1">
        <v>634692.55000000005</v>
      </c>
      <c r="AB3124" s="1" t="s">
        <v>2415</v>
      </c>
      <c r="AC3124" s="5">
        <v>42923</v>
      </c>
      <c r="AF3124" s="1">
        <v>10037</v>
      </c>
      <c r="AI3124" s="1" t="s">
        <v>59</v>
      </c>
      <c r="AJ3124" s="1">
        <v>2016</v>
      </c>
      <c r="AL3124" s="1">
        <v>19</v>
      </c>
    </row>
    <row r="3125" spans="1:38" x14ac:dyDescent="0.2">
      <c r="A3125" s="2" t="str">
        <f>HYPERLINK("https://www.compass.com/listing/321-west-110th-street-unit-2a-3a-manhattan-ny-10026/29430019340115073/","321 W 110th St, Unit 2A/3A")</f>
        <v>321 W 110th St, Unit 2A/3A</v>
      </c>
      <c r="B3125" s="2" t="str">
        <f t="shared" ref="B3125:B3127" si="407">HYPERLINK("https://www.compass.com/building/one-morningside-park-manhattan-ny/294836904016796069/","One Morningside Park")</f>
        <v>One Morningside Park</v>
      </c>
      <c r="C3125" s="1" t="s">
        <v>106</v>
      </c>
      <c r="D3125" s="1" t="s">
        <v>41</v>
      </c>
      <c r="E3125" s="3">
        <v>2674181</v>
      </c>
      <c r="F3125" s="1">
        <v>1914.2313886900499</v>
      </c>
      <c r="M3125" s="4">
        <v>1397</v>
      </c>
      <c r="Q3125" s="1" t="s">
        <v>42</v>
      </c>
      <c r="S3125" s="1" t="s">
        <v>42</v>
      </c>
      <c r="T3125" s="1" t="s">
        <v>170</v>
      </c>
      <c r="AA3125" s="1">
        <v>2674181.25</v>
      </c>
      <c r="AB3125" s="1" t="s">
        <v>2416</v>
      </c>
      <c r="AC3125" s="5">
        <v>42489</v>
      </c>
      <c r="AF3125" s="1">
        <v>10026</v>
      </c>
      <c r="AI3125" s="1" t="s">
        <v>242</v>
      </c>
      <c r="AJ3125" s="1">
        <v>2012</v>
      </c>
      <c r="AK3125" s="1" t="s">
        <v>49</v>
      </c>
      <c r="AL3125" s="1">
        <v>88</v>
      </c>
    </row>
    <row r="3126" spans="1:38" x14ac:dyDescent="0.2">
      <c r="A3126" s="2" t="str">
        <f>HYPERLINK("https://www.compass.com/listing/321-west-110th-street-unit-4d-manhattan-ny-10026/29430021261169345/","321 W 110th St, Unit 4D")</f>
        <v>321 W 110th St, Unit 4D</v>
      </c>
      <c r="B3126" s="2" t="str">
        <f t="shared" si="407"/>
        <v>One Morningside Park</v>
      </c>
      <c r="C3126" s="1" t="s">
        <v>106</v>
      </c>
      <c r="D3126" s="1" t="s">
        <v>41</v>
      </c>
      <c r="E3126" s="3">
        <v>48276</v>
      </c>
      <c r="F3126" s="1">
        <v>54.487573363431103</v>
      </c>
      <c r="M3126" s="1">
        <v>886</v>
      </c>
      <c r="Q3126" s="1" t="s">
        <v>42</v>
      </c>
      <c r="S3126" s="1" t="s">
        <v>42</v>
      </c>
      <c r="T3126" s="1" t="s">
        <v>170</v>
      </c>
      <c r="AA3126" s="1">
        <v>48275.99</v>
      </c>
      <c r="AB3126" s="1" t="s">
        <v>2417</v>
      </c>
      <c r="AC3126" s="5">
        <v>42318</v>
      </c>
      <c r="AF3126" s="1">
        <v>10026</v>
      </c>
      <c r="AI3126" s="1" t="s">
        <v>242</v>
      </c>
      <c r="AJ3126" s="1">
        <v>2012</v>
      </c>
      <c r="AK3126" s="1" t="s">
        <v>49</v>
      </c>
      <c r="AL3126" s="1">
        <v>88</v>
      </c>
    </row>
    <row r="3127" spans="1:38" x14ac:dyDescent="0.2">
      <c r="A3127" s="2" t="str">
        <f>HYPERLINK("https://www.compass.com/listing/321-west-110th-street-unit-5b-manhattan-ny-10026/29430021621936609/","321 W 110th St, Unit 5B")</f>
        <v>321 W 110th St, Unit 5B</v>
      </c>
      <c r="B3127" s="2" t="str">
        <f t="shared" si="407"/>
        <v>One Morningside Park</v>
      </c>
      <c r="C3127" s="1" t="s">
        <v>106</v>
      </c>
      <c r="D3127" s="1" t="s">
        <v>41</v>
      </c>
      <c r="E3127" s="3">
        <v>580403</v>
      </c>
      <c r="F3127" s="1">
        <v>1105.5285714285701</v>
      </c>
      <c r="M3127" s="1">
        <v>525</v>
      </c>
      <c r="Q3127" s="1" t="s">
        <v>42</v>
      </c>
      <c r="S3127" s="1" t="s">
        <v>42</v>
      </c>
      <c r="T3127" s="1" t="s">
        <v>170</v>
      </c>
      <c r="AA3127" s="1">
        <v>580402.5</v>
      </c>
      <c r="AB3127" s="1" t="s">
        <v>2418</v>
      </c>
      <c r="AC3127" s="5">
        <v>42452</v>
      </c>
      <c r="AF3127" s="1">
        <v>10026</v>
      </c>
      <c r="AI3127" s="1" t="s">
        <v>242</v>
      </c>
      <c r="AJ3127" s="1">
        <v>2012</v>
      </c>
      <c r="AK3127" s="1" t="s">
        <v>49</v>
      </c>
      <c r="AL3127" s="1">
        <v>88</v>
      </c>
    </row>
    <row r="3128" spans="1:38" x14ac:dyDescent="0.2">
      <c r="A3128" s="2" t="str">
        <f>HYPERLINK("https://www.compass.com/listing/551-main-street-unit-res-manhattan-ny-10044/313645311293172049/","551 Main St, Unit RES")</f>
        <v>551 Main St, Unit RES</v>
      </c>
      <c r="B3128" s="2" t="str">
        <f t="shared" ref="B3128:B3270" si="408">HYPERLINK("https://www.compass.com/building/island-house-manhattan-ny/282059863998105557/","Island House")</f>
        <v>Island House</v>
      </c>
      <c r="C3128" s="1" t="s">
        <v>128</v>
      </c>
      <c r="D3128" s="1" t="s">
        <v>41</v>
      </c>
      <c r="E3128" s="3">
        <v>1082107</v>
      </c>
      <c r="Q3128" s="1" t="s">
        <v>129</v>
      </c>
      <c r="S3128" s="1" t="s">
        <v>129</v>
      </c>
      <c r="T3128" s="1" t="s">
        <v>170</v>
      </c>
      <c r="AA3128" s="1">
        <v>1082106.8</v>
      </c>
      <c r="AB3128" s="1" t="s">
        <v>2419</v>
      </c>
      <c r="AC3128" s="5">
        <v>42557</v>
      </c>
      <c r="AF3128" s="1">
        <v>10044</v>
      </c>
      <c r="AJ3128" s="1">
        <v>1975</v>
      </c>
      <c r="AL3128" s="1">
        <v>400</v>
      </c>
    </row>
    <row r="3129" spans="1:38" x14ac:dyDescent="0.2">
      <c r="A3129" s="2" t="str">
        <f>HYPERLINK("https://www.compass.com/listing/551-main-street-unit-res-manhattan-ny-10044/313645311293172065/","551 Main St, Unit RES")</f>
        <v>551 Main St, Unit RES</v>
      </c>
      <c r="B3129" s="2" t="str">
        <f t="shared" si="408"/>
        <v>Island House</v>
      </c>
      <c r="C3129" s="1" t="s">
        <v>128</v>
      </c>
      <c r="D3129" s="1" t="s">
        <v>41</v>
      </c>
      <c r="E3129" s="3">
        <v>210700</v>
      </c>
      <c r="Q3129" s="1" t="s">
        <v>129</v>
      </c>
      <c r="S3129" s="1" t="s">
        <v>129</v>
      </c>
      <c r="T3129" s="1" t="s">
        <v>170</v>
      </c>
      <c r="AA3129" s="1">
        <v>210700</v>
      </c>
      <c r="AB3129" s="1" t="s">
        <v>2420</v>
      </c>
      <c r="AC3129" s="5">
        <v>42331</v>
      </c>
      <c r="AF3129" s="1">
        <v>10044</v>
      </c>
      <c r="AJ3129" s="1">
        <v>1975</v>
      </c>
      <c r="AL3129" s="1">
        <v>400</v>
      </c>
    </row>
    <row r="3130" spans="1:38" x14ac:dyDescent="0.2">
      <c r="A3130" s="2" t="str">
        <f>HYPERLINK("https://www.compass.com/listing/551-main-street-unit-res-manhattan-ny-10044/313645311293172081/","551 Main St, Unit RES")</f>
        <v>551 Main St, Unit RES</v>
      </c>
      <c r="B3130" s="2" t="str">
        <f t="shared" si="408"/>
        <v>Island House</v>
      </c>
      <c r="C3130" s="1" t="s">
        <v>128</v>
      </c>
      <c r="D3130" s="1" t="s">
        <v>41</v>
      </c>
      <c r="E3130" s="3">
        <v>374467</v>
      </c>
      <c r="Q3130" s="1" t="s">
        <v>129</v>
      </c>
      <c r="S3130" s="1" t="s">
        <v>129</v>
      </c>
      <c r="T3130" s="1" t="s">
        <v>170</v>
      </c>
      <c r="AA3130" s="1">
        <v>374467.12</v>
      </c>
      <c r="AB3130" s="1" t="s">
        <v>2421</v>
      </c>
      <c r="AC3130" s="5">
        <v>42783</v>
      </c>
      <c r="AF3130" s="1">
        <v>10044</v>
      </c>
      <c r="AJ3130" s="1">
        <v>1975</v>
      </c>
      <c r="AL3130" s="1">
        <v>400</v>
      </c>
    </row>
    <row r="3131" spans="1:38" x14ac:dyDescent="0.2">
      <c r="A3131" s="2" t="str">
        <f>HYPERLINK("https://www.compass.com/listing/551-main-street-unit-res-manhattan-ny-10044/313645311293172097/","551 Main St, Unit RES")</f>
        <v>551 Main St, Unit RES</v>
      </c>
      <c r="B3131" s="2" t="str">
        <f t="shared" si="408"/>
        <v>Island House</v>
      </c>
      <c r="C3131" s="1" t="s">
        <v>128</v>
      </c>
      <c r="D3131" s="1" t="s">
        <v>41</v>
      </c>
      <c r="E3131" s="3">
        <v>293796</v>
      </c>
      <c r="Q3131" s="1" t="s">
        <v>129</v>
      </c>
      <c r="S3131" s="1" t="s">
        <v>129</v>
      </c>
      <c r="T3131" s="1" t="s">
        <v>170</v>
      </c>
      <c r="AB3131" s="1" t="s">
        <v>44</v>
      </c>
      <c r="AF3131" s="1">
        <v>10044</v>
      </c>
      <c r="AJ3131" s="1">
        <v>1975</v>
      </c>
      <c r="AL3131" s="1">
        <v>400</v>
      </c>
    </row>
    <row r="3132" spans="1:38" x14ac:dyDescent="0.2">
      <c r="A3132" s="2" t="str">
        <f>HYPERLINK("https://www.compass.com/listing/551-main-street-unit-res-manhattan-ny-10044/313645311293172113/","551 Main St, Unit RES")</f>
        <v>551 Main St, Unit RES</v>
      </c>
      <c r="B3132" s="2" t="str">
        <f t="shared" si="408"/>
        <v>Island House</v>
      </c>
      <c r="C3132" s="1" t="s">
        <v>128</v>
      </c>
      <c r="D3132" s="1" t="s">
        <v>41</v>
      </c>
      <c r="E3132" s="3">
        <v>433473</v>
      </c>
      <c r="Q3132" s="1" t="s">
        <v>129</v>
      </c>
      <c r="S3132" s="1" t="s">
        <v>129</v>
      </c>
      <c r="T3132" s="1" t="s">
        <v>170</v>
      </c>
      <c r="AA3132" s="1">
        <v>433473.45</v>
      </c>
      <c r="AB3132" s="1" t="s">
        <v>2422</v>
      </c>
      <c r="AC3132" s="5">
        <v>42439</v>
      </c>
      <c r="AF3132" s="1">
        <v>10044</v>
      </c>
      <c r="AJ3132" s="1">
        <v>1975</v>
      </c>
      <c r="AL3132" s="1">
        <v>400</v>
      </c>
    </row>
    <row r="3133" spans="1:38" x14ac:dyDescent="0.2">
      <c r="A3133" s="2" t="str">
        <f>HYPERLINK("https://www.compass.com/listing/551-main-street-unit-res-manhattan-ny-10044/313645311293172129/","551 Main St, Unit RES")</f>
        <v>551 Main St, Unit RES</v>
      </c>
      <c r="B3133" s="2" t="str">
        <f t="shared" si="408"/>
        <v>Island House</v>
      </c>
      <c r="C3133" s="1" t="s">
        <v>128</v>
      </c>
      <c r="D3133" s="1" t="s">
        <v>41</v>
      </c>
      <c r="E3133" s="3">
        <v>305449</v>
      </c>
      <c r="Q3133" s="1" t="s">
        <v>129</v>
      </c>
      <c r="S3133" s="1" t="s">
        <v>129</v>
      </c>
      <c r="T3133" s="1" t="s">
        <v>170</v>
      </c>
      <c r="AB3133" s="1" t="s">
        <v>44</v>
      </c>
      <c r="AF3133" s="1">
        <v>10044</v>
      </c>
      <c r="AJ3133" s="1">
        <v>1975</v>
      </c>
      <c r="AL3133" s="1">
        <v>400</v>
      </c>
    </row>
    <row r="3134" spans="1:38" x14ac:dyDescent="0.2">
      <c r="A3134" s="2" t="str">
        <f>HYPERLINK("https://www.compass.com/listing/551-main-street-unit-res-manhattan-ny-10044/313645311293172145/","551 Main St, Unit RES")</f>
        <v>551 Main St, Unit RES</v>
      </c>
      <c r="B3134" s="2" t="str">
        <f t="shared" si="408"/>
        <v>Island House</v>
      </c>
      <c r="C3134" s="1" t="s">
        <v>128</v>
      </c>
      <c r="D3134" s="1" t="s">
        <v>41</v>
      </c>
      <c r="E3134" s="3">
        <v>633945</v>
      </c>
      <c r="Q3134" s="1" t="s">
        <v>129</v>
      </c>
      <c r="S3134" s="1" t="s">
        <v>129</v>
      </c>
      <c r="T3134" s="1" t="s">
        <v>170</v>
      </c>
      <c r="AB3134" s="1" t="s">
        <v>44</v>
      </c>
      <c r="AF3134" s="1">
        <v>10044</v>
      </c>
      <c r="AJ3134" s="1">
        <v>1975</v>
      </c>
      <c r="AL3134" s="1">
        <v>400</v>
      </c>
    </row>
    <row r="3135" spans="1:38" x14ac:dyDescent="0.2">
      <c r="A3135" s="2" t="str">
        <f>HYPERLINK("https://www.compass.com/listing/551-main-street-unit-res-manhattan-ny-10044/313645311293172161/","551 Main St, Unit RES")</f>
        <v>551 Main St, Unit RES</v>
      </c>
      <c r="B3135" s="2" t="str">
        <f t="shared" si="408"/>
        <v>Island House</v>
      </c>
      <c r="C3135" s="1" t="s">
        <v>128</v>
      </c>
      <c r="D3135" s="1" t="s">
        <v>41</v>
      </c>
      <c r="E3135" s="3">
        <v>420655</v>
      </c>
      <c r="Q3135" s="1" t="s">
        <v>129</v>
      </c>
      <c r="S3135" s="1" t="s">
        <v>129</v>
      </c>
      <c r="T3135" s="1" t="s">
        <v>170</v>
      </c>
      <c r="AB3135" s="1" t="s">
        <v>44</v>
      </c>
      <c r="AF3135" s="1">
        <v>10044</v>
      </c>
      <c r="AJ3135" s="1">
        <v>1975</v>
      </c>
      <c r="AL3135" s="1">
        <v>400</v>
      </c>
    </row>
    <row r="3136" spans="1:38" x14ac:dyDescent="0.2">
      <c r="A3136" s="2" t="str">
        <f>HYPERLINK("https://www.compass.com/listing/551-main-street-unit-res-manhattan-ny-10044/313645311293172177/","551 Main St, Unit RES")</f>
        <v>551 Main St, Unit RES</v>
      </c>
      <c r="B3136" s="2" t="str">
        <f t="shared" si="408"/>
        <v>Island House</v>
      </c>
      <c r="C3136" s="1" t="s">
        <v>128</v>
      </c>
      <c r="D3136" s="1" t="s">
        <v>41</v>
      </c>
      <c r="E3136" s="3">
        <v>554058</v>
      </c>
      <c r="Q3136" s="1" t="s">
        <v>129</v>
      </c>
      <c r="S3136" s="1" t="s">
        <v>129</v>
      </c>
      <c r="T3136" s="1" t="s">
        <v>170</v>
      </c>
      <c r="AA3136" s="1">
        <v>554058</v>
      </c>
      <c r="AB3136" s="1" t="s">
        <v>2423</v>
      </c>
      <c r="AC3136" s="5">
        <v>42339</v>
      </c>
      <c r="AF3136" s="1">
        <v>10044</v>
      </c>
      <c r="AJ3136" s="1">
        <v>1975</v>
      </c>
      <c r="AL3136" s="1">
        <v>400</v>
      </c>
    </row>
    <row r="3137" spans="1:38" x14ac:dyDescent="0.2">
      <c r="A3137" s="2" t="str">
        <f>HYPERLINK("https://www.compass.com/listing/551-main-street-unit-res-manhattan-ny-10044/313645311293172193/","551 Main St, Unit RES")</f>
        <v>551 Main St, Unit RES</v>
      </c>
      <c r="B3137" s="2" t="str">
        <f t="shared" si="408"/>
        <v>Island House</v>
      </c>
      <c r="C3137" s="1" t="s">
        <v>128</v>
      </c>
      <c r="D3137" s="1" t="s">
        <v>41</v>
      </c>
      <c r="E3137" s="3">
        <v>497545</v>
      </c>
      <c r="Q3137" s="1" t="s">
        <v>129</v>
      </c>
      <c r="S3137" s="1" t="s">
        <v>129</v>
      </c>
      <c r="T3137" s="1" t="s">
        <v>170</v>
      </c>
      <c r="AB3137" s="1" t="s">
        <v>44</v>
      </c>
      <c r="AF3137" s="1">
        <v>10044</v>
      </c>
      <c r="AJ3137" s="1">
        <v>1975</v>
      </c>
      <c r="AL3137" s="1">
        <v>400</v>
      </c>
    </row>
    <row r="3138" spans="1:38" x14ac:dyDescent="0.2">
      <c r="A3138" s="2" t="str">
        <f>HYPERLINK("https://www.compass.com/listing/551-main-street-unit-res-manhattan-ny-10044/313645311293172209/","551 Main St, Unit RES")</f>
        <v>551 Main St, Unit RES</v>
      </c>
      <c r="B3138" s="2" t="str">
        <f t="shared" si="408"/>
        <v>Island House</v>
      </c>
      <c r="C3138" s="1" t="s">
        <v>128</v>
      </c>
      <c r="D3138" s="1" t="s">
        <v>41</v>
      </c>
      <c r="E3138" s="3">
        <v>422755</v>
      </c>
      <c r="Q3138" s="1" t="s">
        <v>129</v>
      </c>
      <c r="S3138" s="1" t="s">
        <v>129</v>
      </c>
      <c r="T3138" s="1" t="s">
        <v>170</v>
      </c>
      <c r="AA3138" s="1">
        <v>422755.1</v>
      </c>
      <c r="AB3138" s="1" t="s">
        <v>2424</v>
      </c>
      <c r="AC3138" s="5">
        <v>42220</v>
      </c>
      <c r="AF3138" s="1">
        <v>10044</v>
      </c>
      <c r="AJ3138" s="1">
        <v>1975</v>
      </c>
      <c r="AL3138" s="1">
        <v>400</v>
      </c>
    </row>
    <row r="3139" spans="1:38" x14ac:dyDescent="0.2">
      <c r="A3139" s="2" t="str">
        <f>HYPERLINK("https://www.compass.com/listing/551-main-street-unit-res-manhattan-ny-10044/313645311293172225/","551 Main St, Unit RES")</f>
        <v>551 Main St, Unit RES</v>
      </c>
      <c r="B3139" s="2" t="str">
        <f t="shared" si="408"/>
        <v>Island House</v>
      </c>
      <c r="C3139" s="1" t="s">
        <v>128</v>
      </c>
      <c r="D3139" s="1" t="s">
        <v>41</v>
      </c>
      <c r="E3139" s="3">
        <v>247351</v>
      </c>
      <c r="Q3139" s="1" t="s">
        <v>129</v>
      </c>
      <c r="S3139" s="1" t="s">
        <v>129</v>
      </c>
      <c r="T3139" s="1" t="s">
        <v>170</v>
      </c>
      <c r="AA3139" s="1">
        <v>247350.7</v>
      </c>
      <c r="AB3139" s="1" t="s">
        <v>2425</v>
      </c>
      <c r="AC3139" s="5">
        <v>42216</v>
      </c>
      <c r="AF3139" s="1">
        <v>10044</v>
      </c>
      <c r="AJ3139" s="1">
        <v>1975</v>
      </c>
      <c r="AL3139" s="1">
        <v>400</v>
      </c>
    </row>
    <row r="3140" spans="1:38" x14ac:dyDescent="0.2">
      <c r="A3140" s="2" t="str">
        <f>HYPERLINK("https://www.compass.com/listing/551-main-street-unit-res-manhattan-ny-10044/313645311293172241/","551 Main St, Unit RES")</f>
        <v>551 Main St, Unit RES</v>
      </c>
      <c r="B3140" s="2" t="str">
        <f t="shared" si="408"/>
        <v>Island House</v>
      </c>
      <c r="C3140" s="1" t="s">
        <v>128</v>
      </c>
      <c r="D3140" s="1" t="s">
        <v>41</v>
      </c>
      <c r="E3140" s="3">
        <v>1129275</v>
      </c>
      <c r="Q3140" s="1" t="s">
        <v>129</v>
      </c>
      <c r="S3140" s="1" t="s">
        <v>129</v>
      </c>
      <c r="T3140" s="1" t="s">
        <v>170</v>
      </c>
      <c r="AA3140" s="1">
        <v>1129275.25</v>
      </c>
      <c r="AB3140" s="1" t="s">
        <v>2426</v>
      </c>
      <c r="AC3140" s="5">
        <v>42620</v>
      </c>
      <c r="AF3140" s="1">
        <v>10044</v>
      </c>
      <c r="AJ3140" s="1">
        <v>1975</v>
      </c>
      <c r="AL3140" s="1">
        <v>400</v>
      </c>
    </row>
    <row r="3141" spans="1:38" x14ac:dyDescent="0.2">
      <c r="A3141" s="2" t="str">
        <f>HYPERLINK("https://www.compass.com/listing/551-main-street-unit-res-manhattan-ny-10044/313645311293172257/","551 Main St, Unit RES")</f>
        <v>551 Main St, Unit RES</v>
      </c>
      <c r="B3141" s="2" t="str">
        <f t="shared" si="408"/>
        <v>Island House</v>
      </c>
      <c r="C3141" s="1" t="s">
        <v>128</v>
      </c>
      <c r="D3141" s="1" t="s">
        <v>41</v>
      </c>
      <c r="E3141" s="3">
        <v>237038</v>
      </c>
      <c r="Q3141" s="1" t="s">
        <v>129</v>
      </c>
      <c r="S3141" s="1" t="s">
        <v>129</v>
      </c>
      <c r="T3141" s="1" t="s">
        <v>170</v>
      </c>
      <c r="AA3141" s="1">
        <v>237038</v>
      </c>
      <c r="AB3141" s="1" t="s">
        <v>2427</v>
      </c>
      <c r="AC3141" s="5">
        <v>42299</v>
      </c>
      <c r="AF3141" s="1">
        <v>10044</v>
      </c>
      <c r="AJ3141" s="1">
        <v>1975</v>
      </c>
      <c r="AL3141" s="1">
        <v>400</v>
      </c>
    </row>
    <row r="3142" spans="1:38" x14ac:dyDescent="0.2">
      <c r="A3142" s="2" t="str">
        <f>HYPERLINK("https://www.compass.com/listing/551-main-street-unit-res-manhattan-ny-10044/313645311293172273/","551 Main St, Unit RES")</f>
        <v>551 Main St, Unit RES</v>
      </c>
      <c r="B3142" s="2" t="str">
        <f t="shared" si="408"/>
        <v>Island House</v>
      </c>
      <c r="C3142" s="1" t="s">
        <v>128</v>
      </c>
      <c r="D3142" s="1" t="s">
        <v>41</v>
      </c>
      <c r="E3142" s="3">
        <v>194231</v>
      </c>
      <c r="Q3142" s="1" t="s">
        <v>129</v>
      </c>
      <c r="S3142" s="1" t="s">
        <v>129</v>
      </c>
      <c r="T3142" s="1" t="s">
        <v>170</v>
      </c>
      <c r="AB3142" s="1" t="s">
        <v>44</v>
      </c>
      <c r="AF3142" s="1">
        <v>10044</v>
      </c>
      <c r="AJ3142" s="1">
        <v>1975</v>
      </c>
      <c r="AL3142" s="1">
        <v>400</v>
      </c>
    </row>
    <row r="3143" spans="1:38" x14ac:dyDescent="0.2">
      <c r="A3143" s="2" t="str">
        <f>HYPERLINK("https://www.compass.com/listing/551-main-street-unit-res-manhattan-ny-10044/313645311293172289/","551 Main St, Unit RES")</f>
        <v>551 Main St, Unit RES</v>
      </c>
      <c r="B3143" s="2" t="str">
        <f t="shared" si="408"/>
        <v>Island House</v>
      </c>
      <c r="C3143" s="1" t="s">
        <v>128</v>
      </c>
      <c r="D3143" s="1" t="s">
        <v>41</v>
      </c>
      <c r="E3143" s="3">
        <v>205350</v>
      </c>
      <c r="Q3143" s="1" t="s">
        <v>129</v>
      </c>
      <c r="S3143" s="1" t="s">
        <v>129</v>
      </c>
      <c r="T3143" s="1" t="s">
        <v>170</v>
      </c>
      <c r="AB3143" s="1" t="s">
        <v>44</v>
      </c>
      <c r="AF3143" s="1">
        <v>10044</v>
      </c>
      <c r="AJ3143" s="1">
        <v>1975</v>
      </c>
      <c r="AL3143" s="1">
        <v>400</v>
      </c>
    </row>
    <row r="3144" spans="1:38" x14ac:dyDescent="0.2">
      <c r="A3144" s="2" t="str">
        <f>HYPERLINK("https://www.compass.com/listing/551-main-street-unit-res-manhattan-ny-10044/313645311293172305/","551 Main St, Unit RES")</f>
        <v>551 Main St, Unit RES</v>
      </c>
      <c r="B3144" s="2" t="str">
        <f t="shared" si="408"/>
        <v>Island House</v>
      </c>
      <c r="C3144" s="1" t="s">
        <v>128</v>
      </c>
      <c r="D3144" s="1" t="s">
        <v>41</v>
      </c>
      <c r="E3144" s="3">
        <v>444009</v>
      </c>
      <c r="Q3144" s="1" t="s">
        <v>129</v>
      </c>
      <c r="S3144" s="1" t="s">
        <v>129</v>
      </c>
      <c r="T3144" s="1" t="s">
        <v>170</v>
      </c>
      <c r="AB3144" s="1" t="s">
        <v>44</v>
      </c>
      <c r="AF3144" s="1">
        <v>10044</v>
      </c>
      <c r="AJ3144" s="1">
        <v>1975</v>
      </c>
      <c r="AL3144" s="1">
        <v>400</v>
      </c>
    </row>
    <row r="3145" spans="1:38" x14ac:dyDescent="0.2">
      <c r="A3145" s="2" t="str">
        <f>HYPERLINK("https://www.compass.com/listing/551-main-street-unit-res-manhattan-ny-10044/313645311293172321/","551 Main St, Unit RES")</f>
        <v>551 Main St, Unit RES</v>
      </c>
      <c r="B3145" s="2" t="str">
        <f t="shared" si="408"/>
        <v>Island House</v>
      </c>
      <c r="C3145" s="1" t="s">
        <v>128</v>
      </c>
      <c r="D3145" s="1" t="s">
        <v>41</v>
      </c>
      <c r="E3145" s="3">
        <v>675931</v>
      </c>
      <c r="Q3145" s="1" t="s">
        <v>129</v>
      </c>
      <c r="S3145" s="1" t="s">
        <v>129</v>
      </c>
      <c r="T3145" s="1" t="s">
        <v>170</v>
      </c>
      <c r="AA3145" s="1">
        <v>675930.6</v>
      </c>
      <c r="AB3145" s="1" t="s">
        <v>2428</v>
      </c>
      <c r="AC3145" s="5">
        <v>42913</v>
      </c>
      <c r="AF3145" s="1">
        <v>10044</v>
      </c>
      <c r="AJ3145" s="1">
        <v>1975</v>
      </c>
      <c r="AL3145" s="1">
        <v>400</v>
      </c>
    </row>
    <row r="3146" spans="1:38" x14ac:dyDescent="0.2">
      <c r="A3146" s="2" t="str">
        <f>HYPERLINK("https://www.compass.com/listing/551-main-street-unit-res-manhattan-ny-10044/313645311293172337/","551 Main St, Unit RES")</f>
        <v>551 Main St, Unit RES</v>
      </c>
      <c r="B3146" s="2" t="str">
        <f t="shared" si="408"/>
        <v>Island House</v>
      </c>
      <c r="C3146" s="1" t="s">
        <v>128</v>
      </c>
      <c r="D3146" s="1" t="s">
        <v>41</v>
      </c>
      <c r="E3146" s="3">
        <v>406148</v>
      </c>
      <c r="Q3146" s="1" t="s">
        <v>129</v>
      </c>
      <c r="S3146" s="1" t="s">
        <v>129</v>
      </c>
      <c r="T3146" s="1" t="s">
        <v>170</v>
      </c>
      <c r="AA3146" s="1">
        <v>406148.1</v>
      </c>
      <c r="AB3146" s="1" t="s">
        <v>2429</v>
      </c>
      <c r="AC3146" s="5">
        <v>42325</v>
      </c>
      <c r="AF3146" s="1">
        <v>10044</v>
      </c>
      <c r="AJ3146" s="1">
        <v>1975</v>
      </c>
      <c r="AL3146" s="1">
        <v>400</v>
      </c>
    </row>
    <row r="3147" spans="1:38" x14ac:dyDescent="0.2">
      <c r="A3147" s="2" t="str">
        <f>HYPERLINK("https://www.compass.com/listing/551-main-street-unit-res-manhattan-ny-10044/313645311293172353/","551 Main St, Unit RES")</f>
        <v>551 Main St, Unit RES</v>
      </c>
      <c r="B3147" s="2" t="str">
        <f t="shared" si="408"/>
        <v>Island House</v>
      </c>
      <c r="C3147" s="1" t="s">
        <v>128</v>
      </c>
      <c r="D3147" s="1" t="s">
        <v>41</v>
      </c>
      <c r="E3147" s="3">
        <v>1363036</v>
      </c>
      <c r="Q3147" s="1" t="s">
        <v>129</v>
      </c>
      <c r="S3147" s="1" t="s">
        <v>129</v>
      </c>
      <c r="T3147" s="1" t="s">
        <v>170</v>
      </c>
      <c r="AB3147" s="1" t="s">
        <v>44</v>
      </c>
      <c r="AF3147" s="1">
        <v>10044</v>
      </c>
      <c r="AJ3147" s="1">
        <v>1975</v>
      </c>
      <c r="AL3147" s="1">
        <v>400</v>
      </c>
    </row>
    <row r="3148" spans="1:38" x14ac:dyDescent="0.2">
      <c r="A3148" s="2" t="str">
        <f>HYPERLINK("https://www.compass.com/listing/551-main-street-unit-res-manhattan-ny-10044/313645311293172369/","551 Main St, Unit RES")</f>
        <v>551 Main St, Unit RES</v>
      </c>
      <c r="B3148" s="2" t="str">
        <f t="shared" si="408"/>
        <v>Island House</v>
      </c>
      <c r="C3148" s="1" t="s">
        <v>128</v>
      </c>
      <c r="D3148" s="1" t="s">
        <v>41</v>
      </c>
      <c r="E3148" s="3">
        <v>527148</v>
      </c>
      <c r="Q3148" s="1" t="s">
        <v>129</v>
      </c>
      <c r="S3148" s="1" t="s">
        <v>129</v>
      </c>
      <c r="T3148" s="1" t="s">
        <v>170</v>
      </c>
      <c r="AB3148" s="1" t="s">
        <v>44</v>
      </c>
      <c r="AF3148" s="1">
        <v>10044</v>
      </c>
      <c r="AJ3148" s="1">
        <v>1975</v>
      </c>
      <c r="AL3148" s="1">
        <v>400</v>
      </c>
    </row>
    <row r="3149" spans="1:38" x14ac:dyDescent="0.2">
      <c r="A3149" s="2" t="str">
        <f>HYPERLINK("https://www.compass.com/listing/551-main-street-unit-res-manhattan-ny-10044/313645311293172385/","551 Main St, Unit RES")</f>
        <v>551 Main St, Unit RES</v>
      </c>
      <c r="B3149" s="2" t="str">
        <f t="shared" si="408"/>
        <v>Island House</v>
      </c>
      <c r="C3149" s="1" t="s">
        <v>128</v>
      </c>
      <c r="D3149" s="1" t="s">
        <v>41</v>
      </c>
      <c r="E3149" s="3">
        <v>908267</v>
      </c>
      <c r="Q3149" s="1" t="s">
        <v>129</v>
      </c>
      <c r="S3149" s="1" t="s">
        <v>129</v>
      </c>
      <c r="T3149" s="1" t="s">
        <v>170</v>
      </c>
      <c r="AB3149" s="1" t="s">
        <v>44</v>
      </c>
      <c r="AF3149" s="1">
        <v>10044</v>
      </c>
      <c r="AJ3149" s="1">
        <v>1975</v>
      </c>
      <c r="AL3149" s="1">
        <v>400</v>
      </c>
    </row>
    <row r="3150" spans="1:38" x14ac:dyDescent="0.2">
      <c r="A3150" s="2" t="str">
        <f>HYPERLINK("https://www.compass.com/listing/551-main-street-unit-res-manhattan-ny-10044/313645311293172401/","551 Main St, Unit RES")</f>
        <v>551 Main St, Unit RES</v>
      </c>
      <c r="B3150" s="2" t="str">
        <f t="shared" si="408"/>
        <v>Island House</v>
      </c>
      <c r="C3150" s="1" t="s">
        <v>128</v>
      </c>
      <c r="D3150" s="1" t="s">
        <v>41</v>
      </c>
      <c r="E3150" s="3">
        <v>576883</v>
      </c>
      <c r="Q3150" s="1" t="s">
        <v>129</v>
      </c>
      <c r="S3150" s="1" t="s">
        <v>129</v>
      </c>
      <c r="T3150" s="1" t="s">
        <v>170</v>
      </c>
      <c r="AB3150" s="1" t="s">
        <v>44</v>
      </c>
      <c r="AF3150" s="1">
        <v>10044</v>
      </c>
      <c r="AJ3150" s="1">
        <v>1975</v>
      </c>
      <c r="AL3150" s="1">
        <v>400</v>
      </c>
    </row>
    <row r="3151" spans="1:38" x14ac:dyDescent="0.2">
      <c r="A3151" s="2" t="str">
        <f>HYPERLINK("https://www.compass.com/listing/551-main-street-unit-res-manhattan-ny-10044/313645311293172417/","551 Main St, Unit RES")</f>
        <v>551 Main St, Unit RES</v>
      </c>
      <c r="B3151" s="2" t="str">
        <f t="shared" si="408"/>
        <v>Island House</v>
      </c>
      <c r="C3151" s="1" t="s">
        <v>128</v>
      </c>
      <c r="D3151" s="1" t="s">
        <v>41</v>
      </c>
      <c r="E3151" s="3">
        <v>284196</v>
      </c>
      <c r="Q3151" s="1" t="s">
        <v>129</v>
      </c>
      <c r="S3151" s="1" t="s">
        <v>129</v>
      </c>
      <c r="T3151" s="1" t="s">
        <v>170</v>
      </c>
      <c r="AB3151" s="1" t="s">
        <v>44</v>
      </c>
      <c r="AF3151" s="1">
        <v>10044</v>
      </c>
      <c r="AJ3151" s="1">
        <v>1975</v>
      </c>
      <c r="AL3151" s="1">
        <v>400</v>
      </c>
    </row>
    <row r="3152" spans="1:38" x14ac:dyDescent="0.2">
      <c r="A3152" s="2" t="str">
        <f>HYPERLINK("https://www.compass.com/listing/551-main-street-unit-res-manhattan-ny-10044/313645311293172433/","551 Main St, Unit RES")</f>
        <v>551 Main St, Unit RES</v>
      </c>
      <c r="B3152" s="2" t="str">
        <f t="shared" si="408"/>
        <v>Island House</v>
      </c>
      <c r="C3152" s="1" t="s">
        <v>128</v>
      </c>
      <c r="D3152" s="1" t="s">
        <v>41</v>
      </c>
      <c r="E3152" s="3">
        <v>514329</v>
      </c>
      <c r="Q3152" s="1" t="s">
        <v>129</v>
      </c>
      <c r="S3152" s="1" t="s">
        <v>129</v>
      </c>
      <c r="T3152" s="1" t="s">
        <v>170</v>
      </c>
      <c r="AB3152" s="1" t="s">
        <v>44</v>
      </c>
      <c r="AF3152" s="1">
        <v>10044</v>
      </c>
      <c r="AJ3152" s="1">
        <v>1975</v>
      </c>
      <c r="AL3152" s="1">
        <v>400</v>
      </c>
    </row>
    <row r="3153" spans="1:38" x14ac:dyDescent="0.2">
      <c r="A3153" s="2" t="str">
        <f>HYPERLINK("https://www.compass.com/listing/551-main-street-unit-res-manhattan-ny-10044/313645311293172449/","551 Main St, Unit RES")</f>
        <v>551 Main St, Unit RES</v>
      </c>
      <c r="B3153" s="2" t="str">
        <f t="shared" si="408"/>
        <v>Island House</v>
      </c>
      <c r="C3153" s="1" t="s">
        <v>128</v>
      </c>
      <c r="D3153" s="1" t="s">
        <v>41</v>
      </c>
      <c r="E3153" s="3">
        <v>201644</v>
      </c>
      <c r="Q3153" s="1" t="s">
        <v>129</v>
      </c>
      <c r="S3153" s="1" t="s">
        <v>129</v>
      </c>
      <c r="T3153" s="1" t="s">
        <v>170</v>
      </c>
      <c r="AB3153" s="1" t="s">
        <v>44</v>
      </c>
      <c r="AF3153" s="1">
        <v>10044</v>
      </c>
      <c r="AJ3153" s="1">
        <v>1975</v>
      </c>
      <c r="AL3153" s="1">
        <v>400</v>
      </c>
    </row>
    <row r="3154" spans="1:38" x14ac:dyDescent="0.2">
      <c r="A3154" s="2" t="str">
        <f>HYPERLINK("https://www.compass.com/listing/551-main-street-unit-res-manhattan-ny-10044/313645311293172465/","551 Main St, Unit RES")</f>
        <v>551 Main St, Unit RES</v>
      </c>
      <c r="B3154" s="2" t="str">
        <f t="shared" si="408"/>
        <v>Island House</v>
      </c>
      <c r="C3154" s="1" t="s">
        <v>128</v>
      </c>
      <c r="D3154" s="1" t="s">
        <v>41</v>
      </c>
      <c r="E3154" s="3">
        <v>603621</v>
      </c>
      <c r="Q3154" s="1" t="s">
        <v>129</v>
      </c>
      <c r="S3154" s="1" t="s">
        <v>129</v>
      </c>
      <c r="T3154" s="1" t="s">
        <v>170</v>
      </c>
      <c r="AB3154" s="1" t="s">
        <v>44</v>
      </c>
      <c r="AF3154" s="1">
        <v>10044</v>
      </c>
      <c r="AJ3154" s="1">
        <v>1975</v>
      </c>
      <c r="AL3154" s="1">
        <v>400</v>
      </c>
    </row>
    <row r="3155" spans="1:38" x14ac:dyDescent="0.2">
      <c r="A3155" s="2" t="str">
        <f>HYPERLINK("https://www.compass.com/listing/551-main-street-unit-res-manhattan-ny-10044/313645311293172481/","551 Main St, Unit RES")</f>
        <v>551 Main St, Unit RES</v>
      </c>
      <c r="B3155" s="2" t="str">
        <f t="shared" si="408"/>
        <v>Island House</v>
      </c>
      <c r="C3155" s="1" t="s">
        <v>128</v>
      </c>
      <c r="D3155" s="1" t="s">
        <v>41</v>
      </c>
      <c r="E3155" s="3">
        <v>480035</v>
      </c>
      <c r="Q3155" s="1" t="s">
        <v>129</v>
      </c>
      <c r="S3155" s="1" t="s">
        <v>129</v>
      </c>
      <c r="T3155" s="1" t="s">
        <v>170</v>
      </c>
      <c r="AB3155" s="1" t="s">
        <v>44</v>
      </c>
      <c r="AF3155" s="1">
        <v>10044</v>
      </c>
      <c r="AJ3155" s="1">
        <v>1975</v>
      </c>
      <c r="AL3155" s="1">
        <v>400</v>
      </c>
    </row>
    <row r="3156" spans="1:38" x14ac:dyDescent="0.2">
      <c r="A3156" s="2" t="str">
        <f>HYPERLINK("https://www.compass.com/listing/551-main-street-unit-res-manhattan-ny-10044/313645311293172497/","551 Main St, Unit RES")</f>
        <v>551 Main St, Unit RES</v>
      </c>
      <c r="B3156" s="2" t="str">
        <f t="shared" si="408"/>
        <v>Island House</v>
      </c>
      <c r="C3156" s="1" t="s">
        <v>128</v>
      </c>
      <c r="D3156" s="1" t="s">
        <v>41</v>
      </c>
      <c r="E3156" s="3">
        <v>452909</v>
      </c>
      <c r="Q3156" s="1" t="s">
        <v>129</v>
      </c>
      <c r="S3156" s="1" t="s">
        <v>129</v>
      </c>
      <c r="T3156" s="1" t="s">
        <v>170</v>
      </c>
      <c r="AB3156" s="1" t="s">
        <v>44</v>
      </c>
      <c r="AF3156" s="1">
        <v>10044</v>
      </c>
      <c r="AJ3156" s="1">
        <v>1975</v>
      </c>
      <c r="AL3156" s="1">
        <v>400</v>
      </c>
    </row>
    <row r="3157" spans="1:38" x14ac:dyDescent="0.2">
      <c r="A3157" s="2" t="str">
        <f>HYPERLINK("https://www.compass.com/listing/551-main-street-unit-res-manhattan-ny-10044/313645311293172513/","551 Main St, Unit RES")</f>
        <v>551 Main St, Unit RES</v>
      </c>
      <c r="B3157" s="2" t="str">
        <f t="shared" si="408"/>
        <v>Island House</v>
      </c>
      <c r="C3157" s="1" t="s">
        <v>128</v>
      </c>
      <c r="D3157" s="1" t="s">
        <v>41</v>
      </c>
      <c r="E3157" s="3">
        <v>461004</v>
      </c>
      <c r="Q3157" s="1" t="s">
        <v>129</v>
      </c>
      <c r="S3157" s="1" t="s">
        <v>129</v>
      </c>
      <c r="T3157" s="1" t="s">
        <v>170</v>
      </c>
      <c r="AB3157" s="1" t="s">
        <v>44</v>
      </c>
      <c r="AF3157" s="1">
        <v>10044</v>
      </c>
      <c r="AJ3157" s="1">
        <v>1975</v>
      </c>
      <c r="AL3157" s="1">
        <v>400</v>
      </c>
    </row>
    <row r="3158" spans="1:38" x14ac:dyDescent="0.2">
      <c r="A3158" s="2" t="str">
        <f>HYPERLINK("https://www.compass.com/listing/551-main-street-unit-res-manhattan-ny-10044/313645311293172529/","551 Main St, Unit RES")</f>
        <v>551 Main St, Unit RES</v>
      </c>
      <c r="B3158" s="2" t="str">
        <f t="shared" si="408"/>
        <v>Island House</v>
      </c>
      <c r="C3158" s="1" t="s">
        <v>128</v>
      </c>
      <c r="D3158" s="1" t="s">
        <v>41</v>
      </c>
      <c r="E3158" s="3">
        <v>911392</v>
      </c>
      <c r="Q3158" s="1" t="s">
        <v>129</v>
      </c>
      <c r="S3158" s="1" t="s">
        <v>129</v>
      </c>
      <c r="T3158" s="1" t="s">
        <v>170</v>
      </c>
      <c r="AB3158" s="1" t="s">
        <v>44</v>
      </c>
      <c r="AF3158" s="1">
        <v>10044</v>
      </c>
      <c r="AJ3158" s="1">
        <v>1975</v>
      </c>
      <c r="AL3158" s="1">
        <v>400</v>
      </c>
    </row>
    <row r="3159" spans="1:38" x14ac:dyDescent="0.2">
      <c r="A3159" s="2" t="str">
        <f>HYPERLINK("https://www.compass.com/listing/551-main-street-unit-res-manhattan-ny-10044/313645311293172545/","551 Main St, Unit RES")</f>
        <v>551 Main St, Unit RES</v>
      </c>
      <c r="B3159" s="2" t="str">
        <f t="shared" si="408"/>
        <v>Island House</v>
      </c>
      <c r="C3159" s="1" t="s">
        <v>128</v>
      </c>
      <c r="D3159" s="1" t="s">
        <v>41</v>
      </c>
      <c r="E3159" s="3">
        <v>300150</v>
      </c>
      <c r="Q3159" s="1" t="s">
        <v>129</v>
      </c>
      <c r="S3159" s="1" t="s">
        <v>129</v>
      </c>
      <c r="T3159" s="1" t="s">
        <v>170</v>
      </c>
      <c r="AB3159" s="1" t="s">
        <v>44</v>
      </c>
      <c r="AF3159" s="1">
        <v>10044</v>
      </c>
      <c r="AJ3159" s="1">
        <v>1975</v>
      </c>
      <c r="AL3159" s="1">
        <v>400</v>
      </c>
    </row>
    <row r="3160" spans="1:38" x14ac:dyDescent="0.2">
      <c r="A3160" s="2" t="str">
        <f>HYPERLINK("https://www.compass.com/listing/551-main-street-unit-res-manhattan-ny-10044/313645311293172561/","551 Main St, Unit RES")</f>
        <v>551 Main St, Unit RES</v>
      </c>
      <c r="B3160" s="2" t="str">
        <f t="shared" si="408"/>
        <v>Island House</v>
      </c>
      <c r="C3160" s="1" t="s">
        <v>128</v>
      </c>
      <c r="D3160" s="1" t="s">
        <v>41</v>
      </c>
      <c r="E3160" s="3">
        <v>710570</v>
      </c>
      <c r="Q3160" s="1" t="s">
        <v>129</v>
      </c>
      <c r="S3160" s="1" t="s">
        <v>129</v>
      </c>
      <c r="T3160" s="1" t="s">
        <v>170</v>
      </c>
      <c r="AA3160" s="1">
        <v>710570.05</v>
      </c>
      <c r="AB3160" s="1" t="s">
        <v>2430</v>
      </c>
      <c r="AC3160" s="5">
        <v>42824</v>
      </c>
      <c r="AF3160" s="1">
        <v>10044</v>
      </c>
      <c r="AJ3160" s="1">
        <v>1975</v>
      </c>
      <c r="AL3160" s="1">
        <v>400</v>
      </c>
    </row>
    <row r="3161" spans="1:38" x14ac:dyDescent="0.2">
      <c r="A3161" s="2" t="str">
        <f>HYPERLINK("https://www.compass.com/listing/551-main-street-unit-res-manhattan-ny-10044/313645311293172593/","551 Main St, Unit RES")</f>
        <v>551 Main St, Unit RES</v>
      </c>
      <c r="B3161" s="2" t="str">
        <f t="shared" si="408"/>
        <v>Island House</v>
      </c>
      <c r="C3161" s="1" t="s">
        <v>128</v>
      </c>
      <c r="D3161" s="1" t="s">
        <v>41</v>
      </c>
      <c r="E3161" s="3">
        <v>829932</v>
      </c>
      <c r="Q3161" s="1" t="s">
        <v>129</v>
      </c>
      <c r="S3161" s="1" t="s">
        <v>129</v>
      </c>
      <c r="T3161" s="1" t="s">
        <v>170</v>
      </c>
      <c r="AB3161" s="1" t="s">
        <v>44</v>
      </c>
      <c r="AF3161" s="1">
        <v>10044</v>
      </c>
      <c r="AJ3161" s="1">
        <v>1975</v>
      </c>
      <c r="AL3161" s="1">
        <v>400</v>
      </c>
    </row>
    <row r="3162" spans="1:38" x14ac:dyDescent="0.2">
      <c r="A3162" s="2" t="str">
        <f>HYPERLINK("https://www.compass.com/listing/551-main-street-unit-res-manhattan-ny-10044/313645311293172609/","551 Main St, Unit RES")</f>
        <v>551 Main St, Unit RES</v>
      </c>
      <c r="B3162" s="2" t="str">
        <f t="shared" si="408"/>
        <v>Island House</v>
      </c>
      <c r="C3162" s="1" t="s">
        <v>128</v>
      </c>
      <c r="D3162" s="1" t="s">
        <v>41</v>
      </c>
      <c r="E3162" s="3">
        <v>300112</v>
      </c>
      <c r="Q3162" s="1" t="s">
        <v>129</v>
      </c>
      <c r="S3162" s="1" t="s">
        <v>129</v>
      </c>
      <c r="T3162" s="1" t="s">
        <v>170</v>
      </c>
      <c r="AA3162" s="1">
        <v>300111.8</v>
      </c>
      <c r="AB3162" s="1" t="s">
        <v>2431</v>
      </c>
      <c r="AC3162" s="5">
        <v>42220</v>
      </c>
      <c r="AF3162" s="1">
        <v>10044</v>
      </c>
      <c r="AJ3162" s="1">
        <v>1975</v>
      </c>
      <c r="AL3162" s="1">
        <v>400</v>
      </c>
    </row>
    <row r="3163" spans="1:38" x14ac:dyDescent="0.2">
      <c r="A3163" s="2" t="str">
        <f>HYPERLINK("https://www.compass.com/listing/551-main-street-unit-res-manhattan-ny-10044/313645311293172625/","551 Main St, Unit RES")</f>
        <v>551 Main St, Unit RES</v>
      </c>
      <c r="B3163" s="2" t="str">
        <f t="shared" si="408"/>
        <v>Island House</v>
      </c>
      <c r="C3163" s="1" t="s">
        <v>128</v>
      </c>
      <c r="D3163" s="1" t="s">
        <v>41</v>
      </c>
      <c r="E3163" s="3">
        <v>294848</v>
      </c>
      <c r="Q3163" s="1" t="s">
        <v>129</v>
      </c>
      <c r="S3163" s="1" t="s">
        <v>129</v>
      </c>
      <c r="T3163" s="1" t="s">
        <v>170</v>
      </c>
      <c r="AB3163" s="1" t="s">
        <v>44</v>
      </c>
      <c r="AF3163" s="1">
        <v>10044</v>
      </c>
      <c r="AJ3163" s="1">
        <v>1975</v>
      </c>
      <c r="AL3163" s="1">
        <v>400</v>
      </c>
    </row>
    <row r="3164" spans="1:38" x14ac:dyDescent="0.2">
      <c r="A3164" s="2" t="str">
        <f>HYPERLINK("https://www.compass.com/listing/551-main-street-unit-res-manhattan-ny-10044/313645311293172641/","551 Main St, Unit RES")</f>
        <v>551 Main St, Unit RES</v>
      </c>
      <c r="B3164" s="2" t="str">
        <f t="shared" si="408"/>
        <v>Island House</v>
      </c>
      <c r="C3164" s="1" t="s">
        <v>128</v>
      </c>
      <c r="D3164" s="1" t="s">
        <v>41</v>
      </c>
      <c r="E3164" s="3">
        <v>389494</v>
      </c>
      <c r="Q3164" s="1" t="s">
        <v>129</v>
      </c>
      <c r="S3164" s="1" t="s">
        <v>129</v>
      </c>
      <c r="T3164" s="1" t="s">
        <v>170</v>
      </c>
      <c r="AB3164" s="1" t="s">
        <v>44</v>
      </c>
      <c r="AF3164" s="1">
        <v>10044</v>
      </c>
      <c r="AJ3164" s="1">
        <v>1975</v>
      </c>
      <c r="AL3164" s="1">
        <v>400</v>
      </c>
    </row>
    <row r="3165" spans="1:38" x14ac:dyDescent="0.2">
      <c r="A3165" s="2" t="str">
        <f>HYPERLINK("https://www.compass.com/listing/551-main-street-unit-res-manhattan-ny-10044/313645311293172657/","551 Main St, Unit RES")</f>
        <v>551 Main St, Unit RES</v>
      </c>
      <c r="B3165" s="2" t="str">
        <f t="shared" si="408"/>
        <v>Island House</v>
      </c>
      <c r="C3165" s="1" t="s">
        <v>128</v>
      </c>
      <c r="D3165" s="1" t="s">
        <v>41</v>
      </c>
      <c r="E3165" s="3">
        <v>869074</v>
      </c>
      <c r="Q3165" s="1" t="s">
        <v>129</v>
      </c>
      <c r="S3165" s="1" t="s">
        <v>129</v>
      </c>
      <c r="T3165" s="1" t="s">
        <v>170</v>
      </c>
      <c r="AB3165" s="1" t="s">
        <v>44</v>
      </c>
      <c r="AF3165" s="1">
        <v>10044</v>
      </c>
      <c r="AJ3165" s="1">
        <v>1975</v>
      </c>
      <c r="AL3165" s="1">
        <v>400</v>
      </c>
    </row>
    <row r="3166" spans="1:38" x14ac:dyDescent="0.2">
      <c r="A3166" s="2" t="str">
        <f>HYPERLINK("https://www.compass.com/listing/551-main-street-unit-res-manhattan-ny-10044/313645311293172673/","551 Main St, Unit RES")</f>
        <v>551 Main St, Unit RES</v>
      </c>
      <c r="B3166" s="2" t="str">
        <f t="shared" si="408"/>
        <v>Island House</v>
      </c>
      <c r="C3166" s="1" t="s">
        <v>128</v>
      </c>
      <c r="D3166" s="1" t="s">
        <v>41</v>
      </c>
      <c r="E3166" s="3">
        <v>210886</v>
      </c>
      <c r="Q3166" s="1" t="s">
        <v>129</v>
      </c>
      <c r="S3166" s="1" t="s">
        <v>129</v>
      </c>
      <c r="T3166" s="1" t="s">
        <v>170</v>
      </c>
      <c r="AA3166" s="1">
        <v>210886.1</v>
      </c>
      <c r="AB3166" s="1" t="s">
        <v>2432</v>
      </c>
      <c r="AC3166" s="5">
        <v>42284</v>
      </c>
      <c r="AF3166" s="1">
        <v>10044</v>
      </c>
      <c r="AJ3166" s="1">
        <v>1975</v>
      </c>
      <c r="AL3166" s="1">
        <v>400</v>
      </c>
    </row>
    <row r="3167" spans="1:38" x14ac:dyDescent="0.2">
      <c r="A3167" s="2" t="str">
        <f>HYPERLINK("https://www.compass.com/listing/551-main-street-unit-res-manhattan-ny-10044/313645311293172689/","551 Main St, Unit RES")</f>
        <v>551 Main St, Unit RES</v>
      </c>
      <c r="B3167" s="2" t="str">
        <f t="shared" si="408"/>
        <v>Island House</v>
      </c>
      <c r="C3167" s="1" t="s">
        <v>128</v>
      </c>
      <c r="D3167" s="1" t="s">
        <v>41</v>
      </c>
      <c r="E3167" s="3">
        <v>1263636</v>
      </c>
      <c r="Q3167" s="1" t="s">
        <v>129</v>
      </c>
      <c r="S3167" s="1" t="s">
        <v>129</v>
      </c>
      <c r="T3167" s="1" t="s">
        <v>170</v>
      </c>
      <c r="AB3167" s="1" t="s">
        <v>44</v>
      </c>
      <c r="AF3167" s="1">
        <v>10044</v>
      </c>
      <c r="AJ3167" s="1">
        <v>1975</v>
      </c>
      <c r="AL3167" s="1">
        <v>400</v>
      </c>
    </row>
    <row r="3168" spans="1:38" x14ac:dyDescent="0.2">
      <c r="A3168" s="2" t="str">
        <f>HYPERLINK("https://www.compass.com/listing/551-main-street-unit-res-manhattan-ny-10044/313645311293172705/","551 Main St, Unit RES")</f>
        <v>551 Main St, Unit RES</v>
      </c>
      <c r="B3168" s="2" t="str">
        <f t="shared" si="408"/>
        <v>Island House</v>
      </c>
      <c r="C3168" s="1" t="s">
        <v>128</v>
      </c>
      <c r="D3168" s="1" t="s">
        <v>41</v>
      </c>
      <c r="E3168" s="3">
        <v>1234158</v>
      </c>
      <c r="Q3168" s="1" t="s">
        <v>129</v>
      </c>
      <c r="S3168" s="1" t="s">
        <v>129</v>
      </c>
      <c r="T3168" s="1" t="s">
        <v>170</v>
      </c>
      <c r="AB3168" s="1" t="s">
        <v>44</v>
      </c>
      <c r="AF3168" s="1">
        <v>10044</v>
      </c>
      <c r="AJ3168" s="1">
        <v>1975</v>
      </c>
      <c r="AL3168" s="1">
        <v>400</v>
      </c>
    </row>
    <row r="3169" spans="1:38" x14ac:dyDescent="0.2">
      <c r="A3169" s="2" t="str">
        <f>HYPERLINK("https://www.compass.com/listing/551-main-street-unit-res-manhattan-ny-10044/313645311293172721/","551 Main St, Unit RES")</f>
        <v>551 Main St, Unit RES</v>
      </c>
      <c r="B3169" s="2" t="str">
        <f t="shared" si="408"/>
        <v>Island House</v>
      </c>
      <c r="C3169" s="1" t="s">
        <v>128</v>
      </c>
      <c r="D3169" s="1" t="s">
        <v>41</v>
      </c>
      <c r="E3169" s="3">
        <v>1427845</v>
      </c>
      <c r="Q3169" s="1" t="s">
        <v>129</v>
      </c>
      <c r="S3169" s="1" t="s">
        <v>129</v>
      </c>
      <c r="T3169" s="1" t="s">
        <v>170</v>
      </c>
      <c r="AB3169" s="1" t="s">
        <v>44</v>
      </c>
      <c r="AF3169" s="1">
        <v>10044</v>
      </c>
      <c r="AJ3169" s="1">
        <v>1975</v>
      </c>
      <c r="AL3169" s="1">
        <v>400</v>
      </c>
    </row>
    <row r="3170" spans="1:38" x14ac:dyDescent="0.2">
      <c r="A3170" s="2" t="str">
        <f>HYPERLINK("https://www.compass.com/listing/551-main-street-unit-res-manhattan-ny-10044/313645311293172737/","551 Main St, Unit RES")</f>
        <v>551 Main St, Unit RES</v>
      </c>
      <c r="B3170" s="2" t="str">
        <f t="shared" si="408"/>
        <v>Island House</v>
      </c>
      <c r="C3170" s="1" t="s">
        <v>128</v>
      </c>
      <c r="D3170" s="1" t="s">
        <v>41</v>
      </c>
      <c r="E3170" s="3">
        <v>288265</v>
      </c>
      <c r="Q3170" s="1" t="s">
        <v>129</v>
      </c>
      <c r="S3170" s="1" t="s">
        <v>129</v>
      </c>
      <c r="T3170" s="1" t="s">
        <v>170</v>
      </c>
      <c r="AA3170" s="1">
        <v>288265.40000000002</v>
      </c>
      <c r="AB3170" s="1" t="s">
        <v>2433</v>
      </c>
      <c r="AC3170" s="5">
        <v>42326</v>
      </c>
      <c r="AF3170" s="1">
        <v>10044</v>
      </c>
      <c r="AJ3170" s="1">
        <v>1975</v>
      </c>
      <c r="AL3170" s="1">
        <v>400</v>
      </c>
    </row>
    <row r="3171" spans="1:38" x14ac:dyDescent="0.2">
      <c r="A3171" s="2" t="str">
        <f>HYPERLINK("https://www.compass.com/listing/551-main-street-unit-res-manhattan-ny-10044/313645311293172753/","551 Main St, Unit RES")</f>
        <v>551 Main St, Unit RES</v>
      </c>
      <c r="B3171" s="2" t="str">
        <f t="shared" si="408"/>
        <v>Island House</v>
      </c>
      <c r="C3171" s="1" t="s">
        <v>128</v>
      </c>
      <c r="D3171" s="1" t="s">
        <v>41</v>
      </c>
      <c r="E3171" s="3">
        <v>660225</v>
      </c>
      <c r="Q3171" s="1" t="s">
        <v>129</v>
      </c>
      <c r="S3171" s="1" t="s">
        <v>129</v>
      </c>
      <c r="T3171" s="1" t="s">
        <v>170</v>
      </c>
      <c r="AA3171" s="1">
        <v>660225.13</v>
      </c>
      <c r="AB3171" s="1" t="s">
        <v>2434</v>
      </c>
      <c r="AC3171" s="5">
        <v>42905</v>
      </c>
      <c r="AF3171" s="1">
        <v>10044</v>
      </c>
      <c r="AJ3171" s="1">
        <v>1975</v>
      </c>
      <c r="AL3171" s="1">
        <v>400</v>
      </c>
    </row>
    <row r="3172" spans="1:38" x14ac:dyDescent="0.2">
      <c r="A3172" s="2" t="str">
        <f>HYPERLINK("https://www.compass.com/listing/551-main-street-unit-res-manhattan-ny-10044/313645311293172769/","551 Main St, Unit RES")</f>
        <v>551 Main St, Unit RES</v>
      </c>
      <c r="B3172" s="2" t="str">
        <f t="shared" si="408"/>
        <v>Island House</v>
      </c>
      <c r="C3172" s="1" t="s">
        <v>128</v>
      </c>
      <c r="D3172" s="1" t="s">
        <v>41</v>
      </c>
      <c r="E3172" s="3">
        <v>517446</v>
      </c>
      <c r="Q3172" s="1" t="s">
        <v>129</v>
      </c>
      <c r="S3172" s="1" t="s">
        <v>129</v>
      </c>
      <c r="T3172" s="1" t="s">
        <v>170</v>
      </c>
      <c r="AA3172" s="1">
        <v>517446.16</v>
      </c>
      <c r="AB3172" s="1" t="s">
        <v>2435</v>
      </c>
      <c r="AC3172" s="5">
        <v>42481</v>
      </c>
      <c r="AF3172" s="1">
        <v>10044</v>
      </c>
      <c r="AJ3172" s="1">
        <v>1975</v>
      </c>
      <c r="AL3172" s="1">
        <v>400</v>
      </c>
    </row>
    <row r="3173" spans="1:38" x14ac:dyDescent="0.2">
      <c r="A3173" s="2" t="str">
        <f>HYPERLINK("https://www.compass.com/listing/551-main-street-unit-res-manhattan-ny-10044/313645311293172785/","551 Main St, Unit RES")</f>
        <v>551 Main St, Unit RES</v>
      </c>
      <c r="B3173" s="2" t="str">
        <f t="shared" si="408"/>
        <v>Island House</v>
      </c>
      <c r="C3173" s="1" t="s">
        <v>128</v>
      </c>
      <c r="D3173" s="1" t="s">
        <v>41</v>
      </c>
      <c r="E3173" s="3">
        <v>197937</v>
      </c>
      <c r="Q3173" s="1" t="s">
        <v>129</v>
      </c>
      <c r="S3173" s="1" t="s">
        <v>129</v>
      </c>
      <c r="T3173" s="1" t="s">
        <v>170</v>
      </c>
      <c r="AB3173" s="1" t="s">
        <v>44</v>
      </c>
      <c r="AF3173" s="1">
        <v>10044</v>
      </c>
      <c r="AJ3173" s="1">
        <v>1975</v>
      </c>
      <c r="AL3173" s="1">
        <v>400</v>
      </c>
    </row>
    <row r="3174" spans="1:38" x14ac:dyDescent="0.2">
      <c r="A3174" s="2" t="str">
        <f>HYPERLINK("https://www.compass.com/listing/551-main-street-unit-res-manhattan-ny-10044/313645311293172801/","551 Main St, Unit RES")</f>
        <v>551 Main St, Unit RES</v>
      </c>
      <c r="B3174" s="2" t="str">
        <f t="shared" si="408"/>
        <v>Island House</v>
      </c>
      <c r="C3174" s="1" t="s">
        <v>128</v>
      </c>
      <c r="D3174" s="1" t="s">
        <v>41</v>
      </c>
      <c r="E3174" s="3">
        <v>418569</v>
      </c>
      <c r="Q3174" s="1" t="s">
        <v>129</v>
      </c>
      <c r="S3174" s="1" t="s">
        <v>129</v>
      </c>
      <c r="T3174" s="1" t="s">
        <v>170</v>
      </c>
      <c r="AB3174" s="1" t="s">
        <v>44</v>
      </c>
      <c r="AF3174" s="1">
        <v>10044</v>
      </c>
      <c r="AJ3174" s="1">
        <v>1975</v>
      </c>
      <c r="AL3174" s="1">
        <v>400</v>
      </c>
    </row>
    <row r="3175" spans="1:38" x14ac:dyDescent="0.2">
      <c r="A3175" s="2" t="str">
        <f>HYPERLINK("https://www.compass.com/listing/551-main-street-unit-res-manhattan-ny-10044/313645311293172817/","551 Main St, Unit RES")</f>
        <v>551 Main St, Unit RES</v>
      </c>
      <c r="B3175" s="2" t="str">
        <f t="shared" si="408"/>
        <v>Island House</v>
      </c>
      <c r="C3175" s="1" t="s">
        <v>128</v>
      </c>
      <c r="D3175" s="1" t="s">
        <v>41</v>
      </c>
      <c r="E3175" s="3">
        <v>242506</v>
      </c>
      <c r="Q3175" s="1" t="s">
        <v>129</v>
      </c>
      <c r="S3175" s="1" t="s">
        <v>129</v>
      </c>
      <c r="T3175" s="1" t="s">
        <v>170</v>
      </c>
      <c r="AB3175" s="1" t="s">
        <v>44</v>
      </c>
      <c r="AF3175" s="1">
        <v>10044</v>
      </c>
      <c r="AJ3175" s="1">
        <v>1975</v>
      </c>
      <c r="AL3175" s="1">
        <v>400</v>
      </c>
    </row>
    <row r="3176" spans="1:38" x14ac:dyDescent="0.2">
      <c r="A3176" s="2" t="str">
        <f>HYPERLINK("https://www.compass.com/listing/551-main-street-unit-res-manhattan-ny-10044/313645311293172833/","551 Main St, Unit RES")</f>
        <v>551 Main St, Unit RES</v>
      </c>
      <c r="B3176" s="2" t="str">
        <f t="shared" si="408"/>
        <v>Island House</v>
      </c>
      <c r="C3176" s="1" t="s">
        <v>128</v>
      </c>
      <c r="D3176" s="1" t="s">
        <v>41</v>
      </c>
      <c r="E3176" s="3">
        <v>265638</v>
      </c>
      <c r="Q3176" s="1" t="s">
        <v>129</v>
      </c>
      <c r="S3176" s="1" t="s">
        <v>129</v>
      </c>
      <c r="T3176" s="1" t="s">
        <v>170</v>
      </c>
      <c r="AA3176" s="1">
        <v>265638.09999999998</v>
      </c>
      <c r="AB3176" s="1" t="s">
        <v>2436</v>
      </c>
      <c r="AC3176" s="5">
        <v>42338</v>
      </c>
      <c r="AF3176" s="1">
        <v>10044</v>
      </c>
      <c r="AJ3176" s="1">
        <v>1975</v>
      </c>
      <c r="AL3176" s="1">
        <v>400</v>
      </c>
    </row>
    <row r="3177" spans="1:38" x14ac:dyDescent="0.2">
      <c r="A3177" s="2" t="str">
        <f>HYPERLINK("https://www.compass.com/listing/551-main-street-unit-res-manhattan-ny-10044/313645311293172849/","551 Main St, Unit RES")</f>
        <v>551 Main St, Unit RES</v>
      </c>
      <c r="B3177" s="2" t="str">
        <f t="shared" si="408"/>
        <v>Island House</v>
      </c>
      <c r="C3177" s="1" t="s">
        <v>128</v>
      </c>
      <c r="D3177" s="1" t="s">
        <v>41</v>
      </c>
      <c r="E3177" s="3">
        <v>436769</v>
      </c>
      <c r="Q3177" s="1" t="s">
        <v>129</v>
      </c>
      <c r="S3177" s="1" t="s">
        <v>129</v>
      </c>
      <c r="T3177" s="1" t="s">
        <v>170</v>
      </c>
      <c r="AB3177" s="1" t="s">
        <v>44</v>
      </c>
      <c r="AF3177" s="1">
        <v>10044</v>
      </c>
      <c r="AJ3177" s="1">
        <v>1975</v>
      </c>
      <c r="AL3177" s="1">
        <v>400</v>
      </c>
    </row>
    <row r="3178" spans="1:38" x14ac:dyDescent="0.2">
      <c r="A3178" s="2" t="str">
        <f>HYPERLINK("https://www.compass.com/listing/551-main-street-unit-res-manhattan-ny-10044/313645311293172865/","551 Main St, Unit RES")</f>
        <v>551 Main St, Unit RES</v>
      </c>
      <c r="B3178" s="2" t="str">
        <f t="shared" si="408"/>
        <v>Island House</v>
      </c>
      <c r="C3178" s="1" t="s">
        <v>128</v>
      </c>
      <c r="D3178" s="1" t="s">
        <v>41</v>
      </c>
      <c r="E3178" s="3">
        <v>774640</v>
      </c>
      <c r="Q3178" s="1" t="s">
        <v>129</v>
      </c>
      <c r="S3178" s="1" t="s">
        <v>129</v>
      </c>
      <c r="T3178" s="1" t="s">
        <v>170</v>
      </c>
      <c r="AA3178" s="1">
        <v>774639.54</v>
      </c>
      <c r="AB3178" s="1" t="s">
        <v>2437</v>
      </c>
      <c r="AC3178" s="5">
        <v>42432</v>
      </c>
      <c r="AF3178" s="1">
        <v>10044</v>
      </c>
      <c r="AJ3178" s="1">
        <v>1975</v>
      </c>
      <c r="AL3178" s="1">
        <v>400</v>
      </c>
    </row>
    <row r="3179" spans="1:38" x14ac:dyDescent="0.2">
      <c r="A3179" s="2" t="str">
        <f>HYPERLINK("https://www.compass.com/listing/551-main-street-unit-res-manhattan-ny-10044/313645311293172881/","551 Main St, Unit RES")</f>
        <v>551 Main St, Unit RES</v>
      </c>
      <c r="B3179" s="2" t="str">
        <f t="shared" si="408"/>
        <v>Island House</v>
      </c>
      <c r="C3179" s="1" t="s">
        <v>128</v>
      </c>
      <c r="D3179" s="1" t="s">
        <v>41</v>
      </c>
      <c r="E3179" s="3">
        <v>404299</v>
      </c>
      <c r="Q3179" s="1" t="s">
        <v>129</v>
      </c>
      <c r="S3179" s="1" t="s">
        <v>129</v>
      </c>
      <c r="T3179" s="1" t="s">
        <v>170</v>
      </c>
      <c r="AB3179" s="1" t="s">
        <v>44</v>
      </c>
      <c r="AF3179" s="1">
        <v>10044</v>
      </c>
      <c r="AJ3179" s="1">
        <v>1975</v>
      </c>
      <c r="AL3179" s="1">
        <v>400</v>
      </c>
    </row>
    <row r="3180" spans="1:38" x14ac:dyDescent="0.2">
      <c r="A3180" s="2" t="str">
        <f>HYPERLINK("https://www.compass.com/listing/551-main-street-unit-res-manhattan-ny-10044/313645311293172897/","551 Main St, Unit RES")</f>
        <v>551 Main St, Unit RES</v>
      </c>
      <c r="B3180" s="2" t="str">
        <f t="shared" si="408"/>
        <v>Island House</v>
      </c>
      <c r="C3180" s="1" t="s">
        <v>128</v>
      </c>
      <c r="D3180" s="1" t="s">
        <v>41</v>
      </c>
      <c r="E3180" s="3">
        <v>1230751</v>
      </c>
      <c r="Q3180" s="1" t="s">
        <v>129</v>
      </c>
      <c r="S3180" s="1" t="s">
        <v>129</v>
      </c>
      <c r="T3180" s="1" t="s">
        <v>170</v>
      </c>
      <c r="AB3180" s="1" t="s">
        <v>44</v>
      </c>
      <c r="AF3180" s="1">
        <v>10044</v>
      </c>
      <c r="AJ3180" s="1">
        <v>1975</v>
      </c>
      <c r="AL3180" s="1">
        <v>400</v>
      </c>
    </row>
    <row r="3181" spans="1:38" x14ac:dyDescent="0.2">
      <c r="A3181" s="2" t="str">
        <f>HYPERLINK("https://www.compass.com/listing/551-main-street-unit-res-manhattan-ny-10044/313645311293172913/","551 Main St, Unit RES")</f>
        <v>551 Main St, Unit RES</v>
      </c>
      <c r="B3181" s="2" t="str">
        <f t="shared" si="408"/>
        <v>Island House</v>
      </c>
      <c r="C3181" s="1" t="s">
        <v>128</v>
      </c>
      <c r="D3181" s="1" t="s">
        <v>41</v>
      </c>
      <c r="E3181" s="3">
        <v>670826</v>
      </c>
      <c r="Q3181" s="1" t="s">
        <v>129</v>
      </c>
      <c r="S3181" s="1" t="s">
        <v>129</v>
      </c>
      <c r="T3181" s="1" t="s">
        <v>170</v>
      </c>
      <c r="AB3181" s="1" t="s">
        <v>44</v>
      </c>
      <c r="AF3181" s="1">
        <v>10044</v>
      </c>
      <c r="AJ3181" s="1">
        <v>1975</v>
      </c>
      <c r="AL3181" s="1">
        <v>400</v>
      </c>
    </row>
    <row r="3182" spans="1:38" x14ac:dyDescent="0.2">
      <c r="A3182" s="2" t="str">
        <f>HYPERLINK("https://www.compass.com/listing/551-main-street-unit-res-manhattan-ny-10044/313645311293172929/","551 Main St, Unit RES")</f>
        <v>551 Main St, Unit RES</v>
      </c>
      <c r="B3182" s="2" t="str">
        <f t="shared" si="408"/>
        <v>Island House</v>
      </c>
      <c r="C3182" s="1" t="s">
        <v>128</v>
      </c>
      <c r="D3182" s="1" t="s">
        <v>41</v>
      </c>
      <c r="E3182" s="3">
        <v>817383</v>
      </c>
      <c r="Q3182" s="1" t="s">
        <v>129</v>
      </c>
      <c r="S3182" s="1" t="s">
        <v>129</v>
      </c>
      <c r="T3182" s="1" t="s">
        <v>170</v>
      </c>
      <c r="AA3182" s="1">
        <v>817383.26</v>
      </c>
      <c r="AB3182" s="1" t="s">
        <v>2438</v>
      </c>
      <c r="AC3182" s="5">
        <v>42821</v>
      </c>
      <c r="AF3182" s="1">
        <v>10044</v>
      </c>
      <c r="AJ3182" s="1">
        <v>1975</v>
      </c>
      <c r="AL3182" s="1">
        <v>400</v>
      </c>
    </row>
    <row r="3183" spans="1:38" x14ac:dyDescent="0.2">
      <c r="A3183" s="2" t="str">
        <f>HYPERLINK("https://www.compass.com/listing/551-main-street-unit-res-manhattan-ny-10044/313645311293172945/","551 Main St, Unit RES")</f>
        <v>551 Main St, Unit RES</v>
      </c>
      <c r="B3183" s="2" t="str">
        <f t="shared" si="408"/>
        <v>Island House</v>
      </c>
      <c r="C3183" s="1" t="s">
        <v>128</v>
      </c>
      <c r="D3183" s="1" t="s">
        <v>41</v>
      </c>
      <c r="E3183" s="3">
        <v>497545</v>
      </c>
      <c r="Q3183" s="1" t="s">
        <v>129</v>
      </c>
      <c r="S3183" s="1" t="s">
        <v>129</v>
      </c>
      <c r="T3183" s="1" t="s">
        <v>170</v>
      </c>
      <c r="AB3183" s="1" t="s">
        <v>44</v>
      </c>
      <c r="AF3183" s="1">
        <v>10044</v>
      </c>
      <c r="AJ3183" s="1">
        <v>1975</v>
      </c>
      <c r="AL3183" s="1">
        <v>400</v>
      </c>
    </row>
    <row r="3184" spans="1:38" x14ac:dyDescent="0.2">
      <c r="A3184" s="2" t="str">
        <f>HYPERLINK("https://www.compass.com/listing/551-main-street-unit-res-manhattan-ny-10044/313645311301561569/","551 Main St, Unit RES")</f>
        <v>551 Main St, Unit RES</v>
      </c>
      <c r="B3184" s="2" t="str">
        <f t="shared" si="408"/>
        <v>Island House</v>
      </c>
      <c r="C3184" s="1" t="s">
        <v>128</v>
      </c>
      <c r="D3184" s="1" t="s">
        <v>41</v>
      </c>
      <c r="E3184" s="3">
        <v>467831</v>
      </c>
      <c r="Q3184" s="1" t="s">
        <v>129</v>
      </c>
      <c r="S3184" s="1" t="s">
        <v>129</v>
      </c>
      <c r="T3184" s="1" t="s">
        <v>170</v>
      </c>
      <c r="AA3184" s="1">
        <v>467831.2</v>
      </c>
      <c r="AB3184" s="1" t="s">
        <v>2439</v>
      </c>
      <c r="AC3184" s="5">
        <v>42284</v>
      </c>
      <c r="AF3184" s="1">
        <v>10044</v>
      </c>
      <c r="AJ3184" s="1">
        <v>1975</v>
      </c>
      <c r="AL3184" s="1">
        <v>400</v>
      </c>
    </row>
    <row r="3185" spans="1:38" x14ac:dyDescent="0.2">
      <c r="A3185" s="2" t="str">
        <f>HYPERLINK("https://www.compass.com/listing/551-main-street-unit-res-manhattan-ny-10044/313645311301561585/","551 Main St, Unit RES")</f>
        <v>551 Main St, Unit RES</v>
      </c>
      <c r="B3185" s="2" t="str">
        <f t="shared" si="408"/>
        <v>Island House</v>
      </c>
      <c r="C3185" s="1" t="s">
        <v>128</v>
      </c>
      <c r="D3185" s="1" t="s">
        <v>41</v>
      </c>
      <c r="E3185" s="3">
        <v>300150</v>
      </c>
      <c r="Q3185" s="1" t="s">
        <v>129</v>
      </c>
      <c r="S3185" s="1" t="s">
        <v>129</v>
      </c>
      <c r="T3185" s="1" t="s">
        <v>170</v>
      </c>
      <c r="AA3185" s="1">
        <v>300149.8</v>
      </c>
      <c r="AB3185" s="1" t="s">
        <v>2440</v>
      </c>
      <c r="AC3185" s="5">
        <v>42338</v>
      </c>
      <c r="AF3185" s="1">
        <v>10044</v>
      </c>
      <c r="AJ3185" s="1">
        <v>1975</v>
      </c>
      <c r="AL3185" s="1">
        <v>400</v>
      </c>
    </row>
    <row r="3186" spans="1:38" x14ac:dyDescent="0.2">
      <c r="A3186" s="2" t="str">
        <f>HYPERLINK("https://www.compass.com/listing/551-main-street-unit-res-manhattan-ny-10044/313645311301561601/","551 Main St, Unit RES")</f>
        <v>551 Main St, Unit RES</v>
      </c>
      <c r="B3186" s="2" t="str">
        <f t="shared" si="408"/>
        <v>Island House</v>
      </c>
      <c r="C3186" s="1" t="s">
        <v>128</v>
      </c>
      <c r="D3186" s="1" t="s">
        <v>41</v>
      </c>
      <c r="E3186" s="3">
        <v>127173</v>
      </c>
      <c r="Q3186" s="1" t="s">
        <v>129</v>
      </c>
      <c r="S3186" s="1" t="s">
        <v>129</v>
      </c>
      <c r="T3186" s="1" t="s">
        <v>170</v>
      </c>
      <c r="AB3186" s="1" t="s">
        <v>44</v>
      </c>
      <c r="AF3186" s="1">
        <v>10044</v>
      </c>
      <c r="AJ3186" s="1">
        <v>1975</v>
      </c>
      <c r="AL3186" s="1">
        <v>400</v>
      </c>
    </row>
    <row r="3187" spans="1:38" x14ac:dyDescent="0.2">
      <c r="A3187" s="2" t="str">
        <f>HYPERLINK("https://www.compass.com/listing/551-main-street-unit-res-manhattan-ny-10044/313645311301561617/","551 Main St, Unit RES")</f>
        <v>551 Main St, Unit RES</v>
      </c>
      <c r="B3187" s="2" t="str">
        <f t="shared" si="408"/>
        <v>Island House</v>
      </c>
      <c r="C3187" s="1" t="s">
        <v>128</v>
      </c>
      <c r="D3187" s="1" t="s">
        <v>41</v>
      </c>
      <c r="E3187" s="3">
        <v>787938</v>
      </c>
      <c r="Q3187" s="1" t="s">
        <v>129</v>
      </c>
      <c r="S3187" s="1" t="s">
        <v>129</v>
      </c>
      <c r="T3187" s="1" t="s">
        <v>170</v>
      </c>
      <c r="AB3187" s="1" t="s">
        <v>44</v>
      </c>
      <c r="AF3187" s="1">
        <v>10044</v>
      </c>
      <c r="AJ3187" s="1">
        <v>1975</v>
      </c>
      <c r="AL3187" s="1">
        <v>400</v>
      </c>
    </row>
    <row r="3188" spans="1:38" x14ac:dyDescent="0.2">
      <c r="A3188" s="2" t="str">
        <f>HYPERLINK("https://www.compass.com/listing/551-main-street-unit-res-manhattan-ny-10044/313645311301561633/","551 Main St, Unit RES")</f>
        <v>551 Main St, Unit RES</v>
      </c>
      <c r="B3188" s="2" t="str">
        <f t="shared" si="408"/>
        <v>Island House</v>
      </c>
      <c r="C3188" s="1" t="s">
        <v>128</v>
      </c>
      <c r="D3188" s="1" t="s">
        <v>41</v>
      </c>
      <c r="E3188" s="3">
        <v>485440</v>
      </c>
      <c r="Q3188" s="1" t="s">
        <v>129</v>
      </c>
      <c r="S3188" s="1" t="s">
        <v>129</v>
      </c>
      <c r="T3188" s="1" t="s">
        <v>170</v>
      </c>
      <c r="AA3188" s="1">
        <v>485440.35</v>
      </c>
      <c r="AB3188" s="1" t="s">
        <v>2441</v>
      </c>
      <c r="AC3188" s="5">
        <v>42775</v>
      </c>
      <c r="AF3188" s="1">
        <v>10044</v>
      </c>
      <c r="AJ3188" s="1">
        <v>1975</v>
      </c>
      <c r="AL3188" s="1">
        <v>400</v>
      </c>
    </row>
    <row r="3189" spans="1:38" x14ac:dyDescent="0.2">
      <c r="A3189" s="2" t="str">
        <f>HYPERLINK("https://www.compass.com/listing/551-main-street-unit-res-manhattan-ny-10044/313645311301561649/","551 Main St, Unit RES")</f>
        <v>551 Main St, Unit RES</v>
      </c>
      <c r="B3189" s="2" t="str">
        <f t="shared" si="408"/>
        <v>Island House</v>
      </c>
      <c r="C3189" s="1" t="s">
        <v>128</v>
      </c>
      <c r="D3189" s="1" t="s">
        <v>41</v>
      </c>
      <c r="E3189" s="3">
        <v>484532</v>
      </c>
      <c r="Q3189" s="1" t="s">
        <v>129</v>
      </c>
      <c r="S3189" s="1" t="s">
        <v>129</v>
      </c>
      <c r="T3189" s="1" t="s">
        <v>170</v>
      </c>
      <c r="AB3189" s="1" t="s">
        <v>44</v>
      </c>
      <c r="AF3189" s="1">
        <v>10044</v>
      </c>
      <c r="AJ3189" s="1">
        <v>1975</v>
      </c>
      <c r="AL3189" s="1">
        <v>400</v>
      </c>
    </row>
    <row r="3190" spans="1:38" x14ac:dyDescent="0.2">
      <c r="A3190" s="2" t="str">
        <f>HYPERLINK("https://www.compass.com/listing/551-main-street-unit-res-manhattan-ny-10044/313645311301561665/","551 Main St, Unit RES")</f>
        <v>551 Main St, Unit RES</v>
      </c>
      <c r="B3190" s="2" t="str">
        <f t="shared" si="408"/>
        <v>Island House</v>
      </c>
      <c r="C3190" s="1" t="s">
        <v>128</v>
      </c>
      <c r="D3190" s="1" t="s">
        <v>41</v>
      </c>
      <c r="E3190" s="3">
        <v>500464</v>
      </c>
      <c r="Q3190" s="1" t="s">
        <v>129</v>
      </c>
      <c r="S3190" s="1" t="s">
        <v>129</v>
      </c>
      <c r="T3190" s="1" t="s">
        <v>170</v>
      </c>
      <c r="AB3190" s="1" t="s">
        <v>44</v>
      </c>
      <c r="AF3190" s="1">
        <v>10044</v>
      </c>
      <c r="AJ3190" s="1">
        <v>1975</v>
      </c>
      <c r="AL3190" s="1">
        <v>400</v>
      </c>
    </row>
    <row r="3191" spans="1:38" x14ac:dyDescent="0.2">
      <c r="A3191" s="2" t="str">
        <f>HYPERLINK("https://www.compass.com/listing/551-main-street-unit-res-manhattan-ny-10044/313645311301561681/","551 Main St, Unit RES")</f>
        <v>551 Main St, Unit RES</v>
      </c>
      <c r="B3191" s="2" t="str">
        <f t="shared" si="408"/>
        <v>Island House</v>
      </c>
      <c r="C3191" s="1" t="s">
        <v>128</v>
      </c>
      <c r="D3191" s="1" t="s">
        <v>41</v>
      </c>
      <c r="E3191" s="3">
        <v>597978</v>
      </c>
      <c r="Q3191" s="1" t="s">
        <v>129</v>
      </c>
      <c r="S3191" s="1" t="s">
        <v>129</v>
      </c>
      <c r="T3191" s="1" t="s">
        <v>170</v>
      </c>
      <c r="AB3191" s="1" t="s">
        <v>44</v>
      </c>
      <c r="AF3191" s="1">
        <v>10044</v>
      </c>
      <c r="AJ3191" s="1">
        <v>1975</v>
      </c>
      <c r="AL3191" s="1">
        <v>400</v>
      </c>
    </row>
    <row r="3192" spans="1:38" x14ac:dyDescent="0.2">
      <c r="A3192" s="2" t="str">
        <f>HYPERLINK("https://www.compass.com/listing/551-main-street-unit-res-manhattan-ny-10044/313645311301561697/","551 Main St, Unit RES")</f>
        <v>551 Main St, Unit RES</v>
      </c>
      <c r="B3192" s="2" t="str">
        <f t="shared" si="408"/>
        <v>Island House</v>
      </c>
      <c r="C3192" s="1" t="s">
        <v>128</v>
      </c>
      <c r="D3192" s="1" t="s">
        <v>41</v>
      </c>
      <c r="E3192" s="3">
        <v>862837</v>
      </c>
      <c r="Q3192" s="1" t="s">
        <v>129</v>
      </c>
      <c r="S3192" s="1" t="s">
        <v>129</v>
      </c>
      <c r="T3192" s="1" t="s">
        <v>170</v>
      </c>
      <c r="AA3192" s="1">
        <v>862837.36</v>
      </c>
      <c r="AB3192" s="1" t="s">
        <v>2442</v>
      </c>
      <c r="AC3192" s="5">
        <v>42712</v>
      </c>
      <c r="AF3192" s="1">
        <v>10044</v>
      </c>
      <c r="AJ3192" s="1">
        <v>1975</v>
      </c>
      <c r="AL3192" s="1">
        <v>400</v>
      </c>
    </row>
    <row r="3193" spans="1:38" x14ac:dyDescent="0.2">
      <c r="A3193" s="2" t="str">
        <f>HYPERLINK("https://www.compass.com/listing/551-main-street-unit-res-manhattan-ny-10044/313645311301561713/","551 Main St, Unit RES")</f>
        <v>551 Main St, Unit RES</v>
      </c>
      <c r="B3193" s="2" t="str">
        <f t="shared" si="408"/>
        <v>Island House</v>
      </c>
      <c r="C3193" s="1" t="s">
        <v>128</v>
      </c>
      <c r="D3193" s="1" t="s">
        <v>41</v>
      </c>
      <c r="E3193" s="3">
        <v>389021</v>
      </c>
      <c r="Q3193" s="1" t="s">
        <v>129</v>
      </c>
      <c r="S3193" s="1" t="s">
        <v>129</v>
      </c>
      <c r="T3193" s="1" t="s">
        <v>170</v>
      </c>
      <c r="AA3193" s="1">
        <v>389021.3</v>
      </c>
      <c r="AB3193" s="1" t="s">
        <v>2443</v>
      </c>
      <c r="AC3193" s="5">
        <v>42340</v>
      </c>
      <c r="AF3193" s="1">
        <v>10044</v>
      </c>
      <c r="AJ3193" s="1">
        <v>1975</v>
      </c>
      <c r="AL3193" s="1">
        <v>400</v>
      </c>
    </row>
    <row r="3194" spans="1:38" x14ac:dyDescent="0.2">
      <c r="A3194" s="2" t="str">
        <f>HYPERLINK("https://www.compass.com/listing/551-main-street-unit-res-manhattan-ny-10044/313645311301561729/","551 Main St, Unit RES")</f>
        <v>551 Main St, Unit RES</v>
      </c>
      <c r="B3194" s="2" t="str">
        <f t="shared" si="408"/>
        <v>Island House</v>
      </c>
      <c r="C3194" s="1" t="s">
        <v>128</v>
      </c>
      <c r="D3194" s="1" t="s">
        <v>41</v>
      </c>
      <c r="E3194" s="3">
        <v>1280657</v>
      </c>
      <c r="Q3194" s="1" t="s">
        <v>129</v>
      </c>
      <c r="S3194" s="1" t="s">
        <v>129</v>
      </c>
      <c r="T3194" s="1" t="s">
        <v>170</v>
      </c>
      <c r="AA3194" s="1">
        <v>1280657.45</v>
      </c>
      <c r="AB3194" s="1" t="s">
        <v>2444</v>
      </c>
      <c r="AC3194" s="5">
        <v>42885</v>
      </c>
      <c r="AF3194" s="1">
        <v>10044</v>
      </c>
      <c r="AJ3194" s="1">
        <v>1975</v>
      </c>
      <c r="AL3194" s="1">
        <v>400</v>
      </c>
    </row>
    <row r="3195" spans="1:38" x14ac:dyDescent="0.2">
      <c r="A3195" s="2" t="str">
        <f>HYPERLINK("https://www.compass.com/listing/551-main-street-unit-res-manhattan-ny-10044/313645311301561745/","551 Main St, Unit RES")</f>
        <v>551 Main St, Unit RES</v>
      </c>
      <c r="B3195" s="2" t="str">
        <f t="shared" si="408"/>
        <v>Island House</v>
      </c>
      <c r="C3195" s="1" t="s">
        <v>128</v>
      </c>
      <c r="D3195" s="1" t="s">
        <v>41</v>
      </c>
      <c r="E3195" s="3">
        <v>802110</v>
      </c>
      <c r="Q3195" s="1" t="s">
        <v>129</v>
      </c>
      <c r="S3195" s="1" t="s">
        <v>129</v>
      </c>
      <c r="T3195" s="1" t="s">
        <v>170</v>
      </c>
      <c r="AA3195" s="1">
        <v>802109.51</v>
      </c>
      <c r="AB3195" s="1" t="s">
        <v>2445</v>
      </c>
      <c r="AC3195" s="5">
        <v>42810</v>
      </c>
      <c r="AF3195" s="1">
        <v>10044</v>
      </c>
      <c r="AJ3195" s="1">
        <v>1975</v>
      </c>
      <c r="AL3195" s="1">
        <v>400</v>
      </c>
    </row>
    <row r="3196" spans="1:38" x14ac:dyDescent="0.2">
      <c r="A3196" s="2" t="str">
        <f>HYPERLINK("https://www.compass.com/listing/551-main-street-unit-res-manhattan-ny-10044/313645311301561761/","551 Main St, Unit RES")</f>
        <v>551 Main St, Unit RES</v>
      </c>
      <c r="B3196" s="2" t="str">
        <f t="shared" si="408"/>
        <v>Island House</v>
      </c>
      <c r="C3196" s="1" t="s">
        <v>128</v>
      </c>
      <c r="D3196" s="1" t="s">
        <v>41</v>
      </c>
      <c r="E3196" s="3">
        <v>863126</v>
      </c>
      <c r="Q3196" s="1" t="s">
        <v>129</v>
      </c>
      <c r="S3196" s="1" t="s">
        <v>129</v>
      </c>
      <c r="T3196" s="1" t="s">
        <v>170</v>
      </c>
      <c r="AA3196" s="1">
        <v>863126.06</v>
      </c>
      <c r="AB3196" s="1" t="s">
        <v>2446</v>
      </c>
      <c r="AC3196" s="5">
        <v>42488</v>
      </c>
      <c r="AF3196" s="1">
        <v>10044</v>
      </c>
      <c r="AJ3196" s="1">
        <v>1975</v>
      </c>
      <c r="AL3196" s="1">
        <v>400</v>
      </c>
    </row>
    <row r="3197" spans="1:38" x14ac:dyDescent="0.2">
      <c r="A3197" s="2" t="str">
        <f>HYPERLINK("https://www.compass.com/listing/551-main-street-unit-res-manhattan-ny-10044/313645311301561777/","551 Main St, Unit RES")</f>
        <v>551 Main St, Unit RES</v>
      </c>
      <c r="B3197" s="2" t="str">
        <f t="shared" si="408"/>
        <v>Island House</v>
      </c>
      <c r="C3197" s="1" t="s">
        <v>128</v>
      </c>
      <c r="D3197" s="1" t="s">
        <v>41</v>
      </c>
      <c r="E3197" s="3">
        <v>244928</v>
      </c>
      <c r="Q3197" s="1" t="s">
        <v>129</v>
      </c>
      <c r="S3197" s="1" t="s">
        <v>129</v>
      </c>
      <c r="T3197" s="1" t="s">
        <v>170</v>
      </c>
      <c r="AA3197" s="1">
        <v>244927.6</v>
      </c>
      <c r="AB3197" s="1" t="s">
        <v>2447</v>
      </c>
      <c r="AC3197" s="5">
        <v>42216</v>
      </c>
      <c r="AF3197" s="1">
        <v>10044</v>
      </c>
      <c r="AJ3197" s="1">
        <v>1975</v>
      </c>
      <c r="AL3197" s="1">
        <v>400</v>
      </c>
    </row>
    <row r="3198" spans="1:38" x14ac:dyDescent="0.2">
      <c r="A3198" s="2" t="str">
        <f>HYPERLINK("https://www.compass.com/listing/551-main-street-unit-res-manhattan-ny-10044/313645311301561793/","551 Main St, Unit RES")</f>
        <v>551 Main St, Unit RES</v>
      </c>
      <c r="B3198" s="2" t="str">
        <f t="shared" si="408"/>
        <v>Island House</v>
      </c>
      <c r="C3198" s="1" t="s">
        <v>128</v>
      </c>
      <c r="D3198" s="1" t="s">
        <v>41</v>
      </c>
      <c r="E3198" s="3">
        <v>934172</v>
      </c>
      <c r="Q3198" s="1" t="s">
        <v>129</v>
      </c>
      <c r="S3198" s="1" t="s">
        <v>129</v>
      </c>
      <c r="T3198" s="1" t="s">
        <v>170</v>
      </c>
      <c r="AA3198" s="1">
        <v>934171.87</v>
      </c>
      <c r="AB3198" s="1" t="s">
        <v>2448</v>
      </c>
      <c r="AC3198" s="5">
        <v>42740</v>
      </c>
      <c r="AF3198" s="1">
        <v>10044</v>
      </c>
      <c r="AJ3198" s="1">
        <v>1975</v>
      </c>
      <c r="AL3198" s="1">
        <v>400</v>
      </c>
    </row>
    <row r="3199" spans="1:38" x14ac:dyDescent="0.2">
      <c r="A3199" s="2" t="str">
        <f>HYPERLINK("https://www.compass.com/listing/551-main-street-unit-res-manhattan-ny-10044/313645311301561809/","551 Main St, Unit RES")</f>
        <v>551 Main St, Unit RES</v>
      </c>
      <c r="B3199" s="2" t="str">
        <f t="shared" si="408"/>
        <v>Island House</v>
      </c>
      <c r="C3199" s="1" t="s">
        <v>128</v>
      </c>
      <c r="D3199" s="1" t="s">
        <v>41</v>
      </c>
      <c r="E3199" s="3">
        <v>452909</v>
      </c>
      <c r="Q3199" s="1" t="s">
        <v>129</v>
      </c>
      <c r="S3199" s="1" t="s">
        <v>129</v>
      </c>
      <c r="T3199" s="1" t="s">
        <v>170</v>
      </c>
      <c r="AB3199" s="1" t="s">
        <v>44</v>
      </c>
      <c r="AF3199" s="1">
        <v>10044</v>
      </c>
      <c r="AJ3199" s="1">
        <v>1975</v>
      </c>
      <c r="AL3199" s="1">
        <v>400</v>
      </c>
    </row>
    <row r="3200" spans="1:38" x14ac:dyDescent="0.2">
      <c r="A3200" s="2" t="str">
        <f>HYPERLINK("https://www.compass.com/listing/551-main-street-unit-res-manhattan-ny-10044/313645311301561825/","551 Main St, Unit RES")</f>
        <v>551 Main St, Unit RES</v>
      </c>
      <c r="B3200" s="2" t="str">
        <f t="shared" si="408"/>
        <v>Island House</v>
      </c>
      <c r="C3200" s="1" t="s">
        <v>128</v>
      </c>
      <c r="D3200" s="1" t="s">
        <v>41</v>
      </c>
      <c r="E3200" s="3">
        <v>411082</v>
      </c>
      <c r="Q3200" s="1" t="s">
        <v>129</v>
      </c>
      <c r="S3200" s="1" t="s">
        <v>129</v>
      </c>
      <c r="T3200" s="1" t="s">
        <v>170</v>
      </c>
      <c r="AB3200" s="1" t="s">
        <v>44</v>
      </c>
      <c r="AF3200" s="1">
        <v>10044</v>
      </c>
      <c r="AJ3200" s="1">
        <v>1975</v>
      </c>
      <c r="AL3200" s="1">
        <v>400</v>
      </c>
    </row>
    <row r="3201" spans="1:38" x14ac:dyDescent="0.2">
      <c r="A3201" s="2" t="str">
        <f>HYPERLINK("https://www.compass.com/listing/551-main-street-unit-res-manhattan-ny-10044/313645311301561841/","551 Main St, Unit RES")</f>
        <v>551 Main St, Unit RES</v>
      </c>
      <c r="B3201" s="2" t="str">
        <f t="shared" si="408"/>
        <v>Island House</v>
      </c>
      <c r="C3201" s="1" t="s">
        <v>128</v>
      </c>
      <c r="D3201" s="1" t="s">
        <v>41</v>
      </c>
      <c r="E3201" s="3">
        <v>593687</v>
      </c>
      <c r="Q3201" s="1" t="s">
        <v>129</v>
      </c>
      <c r="S3201" s="1" t="s">
        <v>129</v>
      </c>
      <c r="T3201" s="1" t="s">
        <v>170</v>
      </c>
      <c r="AB3201" s="1" t="s">
        <v>44</v>
      </c>
      <c r="AF3201" s="1">
        <v>10044</v>
      </c>
      <c r="AJ3201" s="1">
        <v>1975</v>
      </c>
      <c r="AL3201" s="1">
        <v>400</v>
      </c>
    </row>
    <row r="3202" spans="1:38" x14ac:dyDescent="0.2">
      <c r="A3202" s="2" t="str">
        <f>HYPERLINK("https://www.compass.com/listing/551-main-street-unit-res-manhattan-ny-10044/313645311301561857/","551 Main St, Unit RES")</f>
        <v>551 Main St, Unit RES</v>
      </c>
      <c r="B3202" s="2" t="str">
        <f t="shared" si="408"/>
        <v>Island House</v>
      </c>
      <c r="C3202" s="1" t="s">
        <v>128</v>
      </c>
      <c r="D3202" s="1" t="s">
        <v>41</v>
      </c>
      <c r="E3202" s="3">
        <v>1126625</v>
      </c>
      <c r="Q3202" s="1" t="s">
        <v>129</v>
      </c>
      <c r="S3202" s="1" t="s">
        <v>129</v>
      </c>
      <c r="T3202" s="1" t="s">
        <v>170</v>
      </c>
      <c r="AB3202" s="1" t="s">
        <v>44</v>
      </c>
      <c r="AF3202" s="1">
        <v>10044</v>
      </c>
      <c r="AJ3202" s="1">
        <v>1975</v>
      </c>
      <c r="AL3202" s="1">
        <v>400</v>
      </c>
    </row>
    <row r="3203" spans="1:38" x14ac:dyDescent="0.2">
      <c r="A3203" s="2" t="str">
        <f>HYPERLINK("https://www.compass.com/listing/551-main-street-unit-res-manhattan-ny-10044/313645311301561873/","551 Main St, Unit RES")</f>
        <v>551 Main St, Unit RES</v>
      </c>
      <c r="B3203" s="2" t="str">
        <f t="shared" si="408"/>
        <v>Island House</v>
      </c>
      <c r="C3203" s="1" t="s">
        <v>128</v>
      </c>
      <c r="D3203" s="1" t="s">
        <v>41</v>
      </c>
      <c r="E3203" s="3">
        <v>482672</v>
      </c>
      <c r="Q3203" s="1" t="s">
        <v>129</v>
      </c>
      <c r="S3203" s="1" t="s">
        <v>129</v>
      </c>
      <c r="T3203" s="1" t="s">
        <v>170</v>
      </c>
      <c r="AB3203" s="1" t="s">
        <v>44</v>
      </c>
      <c r="AF3203" s="1">
        <v>10044</v>
      </c>
      <c r="AJ3203" s="1">
        <v>1975</v>
      </c>
      <c r="AL3203" s="1">
        <v>400</v>
      </c>
    </row>
    <row r="3204" spans="1:38" x14ac:dyDescent="0.2">
      <c r="A3204" s="2" t="str">
        <f>HYPERLINK("https://www.compass.com/listing/551-main-street-unit-res-manhattan-ny-10044/313645311301561889/","551 Main St, Unit RES")</f>
        <v>551 Main St, Unit RES</v>
      </c>
      <c r="B3204" s="2" t="str">
        <f t="shared" si="408"/>
        <v>Island House</v>
      </c>
      <c r="C3204" s="1" t="s">
        <v>128</v>
      </c>
      <c r="D3204" s="1" t="s">
        <v>41</v>
      </c>
      <c r="E3204" s="3">
        <v>840692</v>
      </c>
      <c r="Q3204" s="1" t="s">
        <v>129</v>
      </c>
      <c r="S3204" s="1" t="s">
        <v>129</v>
      </c>
      <c r="T3204" s="1" t="s">
        <v>170</v>
      </c>
      <c r="AB3204" s="1" t="s">
        <v>44</v>
      </c>
      <c r="AF3204" s="1">
        <v>10044</v>
      </c>
      <c r="AJ3204" s="1">
        <v>1975</v>
      </c>
      <c r="AL3204" s="1">
        <v>400</v>
      </c>
    </row>
    <row r="3205" spans="1:38" x14ac:dyDescent="0.2">
      <c r="A3205" s="2" t="str">
        <f>HYPERLINK("https://www.compass.com/listing/551-main-street-unit-res-manhattan-ny-10044/313645311301561905/","551 Main St, Unit RES")</f>
        <v>551 Main St, Unit RES</v>
      </c>
      <c r="B3205" s="2" t="str">
        <f t="shared" si="408"/>
        <v>Island House</v>
      </c>
      <c r="C3205" s="1" t="s">
        <v>128</v>
      </c>
      <c r="D3205" s="1" t="s">
        <v>41</v>
      </c>
      <c r="E3205" s="3">
        <v>125965</v>
      </c>
      <c r="Q3205" s="1" t="s">
        <v>129</v>
      </c>
      <c r="S3205" s="1" t="s">
        <v>129</v>
      </c>
      <c r="T3205" s="1" t="s">
        <v>170</v>
      </c>
      <c r="AA3205" s="1">
        <v>125965.4</v>
      </c>
      <c r="AB3205" s="1" t="s">
        <v>2449</v>
      </c>
      <c r="AC3205" s="5">
        <v>42341</v>
      </c>
      <c r="AF3205" s="1">
        <v>10044</v>
      </c>
      <c r="AJ3205" s="1">
        <v>1975</v>
      </c>
      <c r="AL3205" s="1">
        <v>400</v>
      </c>
    </row>
    <row r="3206" spans="1:38" x14ac:dyDescent="0.2">
      <c r="A3206" s="2" t="str">
        <f>HYPERLINK("https://www.compass.com/listing/551-main-street-unit-res-manhattan-ny-10044/313645311301561921/","551 Main St, Unit RES")</f>
        <v>551 Main St, Unit RES</v>
      </c>
      <c r="B3206" s="2" t="str">
        <f t="shared" si="408"/>
        <v>Island House</v>
      </c>
      <c r="C3206" s="1" t="s">
        <v>128</v>
      </c>
      <c r="D3206" s="1" t="s">
        <v>41</v>
      </c>
      <c r="E3206" s="3">
        <v>502308</v>
      </c>
      <c r="Q3206" s="1" t="s">
        <v>129</v>
      </c>
      <c r="S3206" s="1" t="s">
        <v>129</v>
      </c>
      <c r="T3206" s="1" t="s">
        <v>170</v>
      </c>
      <c r="AA3206" s="1">
        <v>502307.87</v>
      </c>
      <c r="AB3206" s="1" t="s">
        <v>2450</v>
      </c>
      <c r="AC3206" s="5">
        <v>42570</v>
      </c>
      <c r="AF3206" s="1">
        <v>10044</v>
      </c>
      <c r="AJ3206" s="1">
        <v>1975</v>
      </c>
      <c r="AL3206" s="1">
        <v>400</v>
      </c>
    </row>
    <row r="3207" spans="1:38" x14ac:dyDescent="0.2">
      <c r="A3207" s="2" t="str">
        <f>HYPERLINK("https://www.compass.com/listing/551-main-street-unit-res-manhattan-ny-10044/313645311301561937/","551 Main St, Unit RES")</f>
        <v>551 Main St, Unit RES</v>
      </c>
      <c r="B3207" s="2" t="str">
        <f t="shared" si="408"/>
        <v>Island House</v>
      </c>
      <c r="C3207" s="1" t="s">
        <v>128</v>
      </c>
      <c r="D3207" s="1" t="s">
        <v>41</v>
      </c>
      <c r="E3207" s="3">
        <v>650461</v>
      </c>
      <c r="Q3207" s="1" t="s">
        <v>129</v>
      </c>
      <c r="S3207" s="1" t="s">
        <v>129</v>
      </c>
      <c r="T3207" s="1" t="s">
        <v>170</v>
      </c>
      <c r="AB3207" s="1" t="s">
        <v>44</v>
      </c>
      <c r="AF3207" s="1">
        <v>10044</v>
      </c>
      <c r="AJ3207" s="1">
        <v>1975</v>
      </c>
      <c r="AL3207" s="1">
        <v>400</v>
      </c>
    </row>
    <row r="3208" spans="1:38" x14ac:dyDescent="0.2">
      <c r="A3208" s="2" t="str">
        <f>HYPERLINK("https://www.compass.com/listing/551-main-street-unit-res-manhattan-ny-10044/313645311301561953/","551 Main St, Unit RES")</f>
        <v>551 Main St, Unit RES</v>
      </c>
      <c r="B3208" s="2" t="str">
        <f t="shared" si="408"/>
        <v>Island House</v>
      </c>
      <c r="C3208" s="1" t="s">
        <v>128</v>
      </c>
      <c r="D3208" s="1" t="s">
        <v>41</v>
      </c>
      <c r="E3208" s="3">
        <v>628508</v>
      </c>
      <c r="Q3208" s="1" t="s">
        <v>129</v>
      </c>
      <c r="S3208" s="1" t="s">
        <v>129</v>
      </c>
      <c r="T3208" s="1" t="s">
        <v>170</v>
      </c>
      <c r="AA3208" s="1">
        <v>628508.09</v>
      </c>
      <c r="AB3208" s="1" t="s">
        <v>2451</v>
      </c>
      <c r="AC3208" s="5">
        <v>42695</v>
      </c>
      <c r="AF3208" s="1">
        <v>10044</v>
      </c>
      <c r="AJ3208" s="1">
        <v>1975</v>
      </c>
      <c r="AL3208" s="1">
        <v>400</v>
      </c>
    </row>
    <row r="3209" spans="1:38" x14ac:dyDescent="0.2">
      <c r="A3209" s="2" t="str">
        <f>HYPERLINK("https://www.compass.com/listing/551-main-street-unit-res-manhattan-ny-10044/313645311301561969/","551 Main St, Unit RES")</f>
        <v>551 Main St, Unit RES</v>
      </c>
      <c r="B3209" s="2" t="str">
        <f t="shared" si="408"/>
        <v>Island House</v>
      </c>
      <c r="C3209" s="1" t="s">
        <v>128</v>
      </c>
      <c r="D3209" s="1" t="s">
        <v>41</v>
      </c>
      <c r="E3209" s="3">
        <v>611398</v>
      </c>
      <c r="Q3209" s="1" t="s">
        <v>129</v>
      </c>
      <c r="S3209" s="1" t="s">
        <v>129</v>
      </c>
      <c r="T3209" s="1" t="s">
        <v>170</v>
      </c>
      <c r="AA3209" s="1">
        <v>611397.76</v>
      </c>
      <c r="AB3209" s="1" t="s">
        <v>2452</v>
      </c>
      <c r="AC3209" s="5">
        <v>42459</v>
      </c>
      <c r="AF3209" s="1">
        <v>10044</v>
      </c>
      <c r="AJ3209" s="1">
        <v>1975</v>
      </c>
      <c r="AL3209" s="1">
        <v>400</v>
      </c>
    </row>
    <row r="3210" spans="1:38" x14ac:dyDescent="0.2">
      <c r="A3210" s="2" t="str">
        <f>HYPERLINK("https://www.compass.com/listing/551-main-street-unit-res-manhattan-ny-10044/313645311301561985/","551 Main St, Unit RES")</f>
        <v>551 Main St, Unit RES</v>
      </c>
      <c r="B3210" s="2" t="str">
        <f t="shared" si="408"/>
        <v>Island House</v>
      </c>
      <c r="C3210" s="1" t="s">
        <v>128</v>
      </c>
      <c r="D3210" s="1" t="s">
        <v>41</v>
      </c>
      <c r="E3210" s="3">
        <v>315966</v>
      </c>
      <c r="Q3210" s="1" t="s">
        <v>129</v>
      </c>
      <c r="S3210" s="1" t="s">
        <v>129</v>
      </c>
      <c r="T3210" s="1" t="s">
        <v>170</v>
      </c>
      <c r="AA3210" s="1">
        <v>315966</v>
      </c>
      <c r="AB3210" s="1" t="s">
        <v>2453</v>
      </c>
      <c r="AC3210" s="5">
        <v>42331</v>
      </c>
      <c r="AF3210" s="1">
        <v>10044</v>
      </c>
      <c r="AJ3210" s="1">
        <v>1975</v>
      </c>
      <c r="AL3210" s="1">
        <v>400</v>
      </c>
    </row>
    <row r="3211" spans="1:38" x14ac:dyDescent="0.2">
      <c r="A3211" s="2" t="str">
        <f>HYPERLINK("https://www.compass.com/listing/551-main-street-unit-res-manhattan-ny-10044/313645311301562001/","551 Main St, Unit RES")</f>
        <v>551 Main St, Unit RES</v>
      </c>
      <c r="B3211" s="2" t="str">
        <f t="shared" si="408"/>
        <v>Island House</v>
      </c>
      <c r="C3211" s="1" t="s">
        <v>128</v>
      </c>
      <c r="D3211" s="1" t="s">
        <v>41</v>
      </c>
      <c r="E3211" s="3">
        <v>923865</v>
      </c>
      <c r="Q3211" s="1" t="s">
        <v>129</v>
      </c>
      <c r="S3211" s="1" t="s">
        <v>129</v>
      </c>
      <c r="T3211" s="1" t="s">
        <v>170</v>
      </c>
      <c r="AB3211" s="1" t="s">
        <v>44</v>
      </c>
      <c r="AF3211" s="1">
        <v>10044</v>
      </c>
      <c r="AJ3211" s="1">
        <v>1975</v>
      </c>
      <c r="AL3211" s="1">
        <v>400</v>
      </c>
    </row>
    <row r="3212" spans="1:38" x14ac:dyDescent="0.2">
      <c r="A3212" s="2" t="str">
        <f>HYPERLINK("https://www.compass.com/listing/551-main-street-unit-res-manhattan-ny-10044/313645311301562017/","551 Main St, Unit RES")</f>
        <v>551 Main St, Unit RES</v>
      </c>
      <c r="B3212" s="2" t="str">
        <f t="shared" si="408"/>
        <v>Island House</v>
      </c>
      <c r="C3212" s="1" t="s">
        <v>128</v>
      </c>
      <c r="D3212" s="1" t="s">
        <v>41</v>
      </c>
      <c r="E3212" s="3">
        <v>1105693</v>
      </c>
      <c r="Q3212" s="1" t="s">
        <v>129</v>
      </c>
      <c r="S3212" s="1" t="s">
        <v>129</v>
      </c>
      <c r="T3212" s="1" t="s">
        <v>170</v>
      </c>
      <c r="AA3212" s="1">
        <v>1105693.28</v>
      </c>
      <c r="AB3212" s="1" t="s">
        <v>2454</v>
      </c>
      <c r="AC3212" s="5">
        <v>42922</v>
      </c>
      <c r="AF3212" s="1">
        <v>10044</v>
      </c>
      <c r="AJ3212" s="1">
        <v>1975</v>
      </c>
      <c r="AL3212" s="1">
        <v>400</v>
      </c>
    </row>
    <row r="3213" spans="1:38" x14ac:dyDescent="0.2">
      <c r="A3213" s="2" t="str">
        <f>HYPERLINK("https://www.compass.com/listing/551-main-street-unit-res-manhattan-ny-10044/313645311301562033/","551 Main St, Unit RES")</f>
        <v>551 Main St, Unit RES</v>
      </c>
      <c r="B3213" s="2" t="str">
        <f t="shared" si="408"/>
        <v>Island House</v>
      </c>
      <c r="C3213" s="1" t="s">
        <v>128</v>
      </c>
      <c r="D3213" s="1" t="s">
        <v>41</v>
      </c>
      <c r="E3213" s="3">
        <v>1517554</v>
      </c>
      <c r="Q3213" s="1" t="s">
        <v>129</v>
      </c>
      <c r="S3213" s="1" t="s">
        <v>129</v>
      </c>
      <c r="T3213" s="1" t="s">
        <v>170</v>
      </c>
      <c r="AA3213" s="1">
        <v>1517553.78</v>
      </c>
      <c r="AB3213" s="1" t="s">
        <v>2455</v>
      </c>
      <c r="AC3213" s="5">
        <v>42702</v>
      </c>
      <c r="AF3213" s="1">
        <v>10044</v>
      </c>
      <c r="AJ3213" s="1">
        <v>1975</v>
      </c>
      <c r="AL3213" s="1">
        <v>400</v>
      </c>
    </row>
    <row r="3214" spans="1:38" x14ac:dyDescent="0.2">
      <c r="A3214" s="2" t="str">
        <f>HYPERLINK("https://www.compass.com/listing/551-main-street-unit-res-manhattan-ny-10044/313645311301562049/","551 Main St, Unit RES")</f>
        <v>551 Main St, Unit RES</v>
      </c>
      <c r="B3214" s="2" t="str">
        <f t="shared" si="408"/>
        <v>Island House</v>
      </c>
      <c r="C3214" s="1" t="s">
        <v>128</v>
      </c>
      <c r="D3214" s="1" t="s">
        <v>41</v>
      </c>
      <c r="E3214" s="3">
        <v>451130</v>
      </c>
      <c r="Q3214" s="1" t="s">
        <v>129</v>
      </c>
      <c r="S3214" s="1" t="s">
        <v>129</v>
      </c>
      <c r="T3214" s="1" t="s">
        <v>170</v>
      </c>
      <c r="AB3214" s="1" t="s">
        <v>44</v>
      </c>
      <c r="AF3214" s="1">
        <v>10044</v>
      </c>
      <c r="AJ3214" s="1">
        <v>1975</v>
      </c>
      <c r="AL3214" s="1">
        <v>400</v>
      </c>
    </row>
    <row r="3215" spans="1:38" x14ac:dyDescent="0.2">
      <c r="A3215" s="2" t="str">
        <f>HYPERLINK("https://www.compass.com/listing/551-main-street-unit-res-manhattan-ny-10044/313645311301562065/","551 Main St, Unit RES")</f>
        <v>551 Main St, Unit RES</v>
      </c>
      <c r="B3215" s="2" t="str">
        <f t="shared" si="408"/>
        <v>Island House</v>
      </c>
      <c r="C3215" s="1" t="s">
        <v>128</v>
      </c>
      <c r="D3215" s="1" t="s">
        <v>41</v>
      </c>
      <c r="E3215" s="3">
        <v>508706</v>
      </c>
      <c r="Q3215" s="1" t="s">
        <v>129</v>
      </c>
      <c r="S3215" s="1" t="s">
        <v>129</v>
      </c>
      <c r="T3215" s="1" t="s">
        <v>170</v>
      </c>
      <c r="AA3215" s="1">
        <v>508706.05</v>
      </c>
      <c r="AB3215" s="1" t="s">
        <v>2456</v>
      </c>
      <c r="AC3215" s="5">
        <v>42793</v>
      </c>
      <c r="AF3215" s="1">
        <v>10044</v>
      </c>
      <c r="AJ3215" s="1">
        <v>1975</v>
      </c>
      <c r="AL3215" s="1">
        <v>400</v>
      </c>
    </row>
    <row r="3216" spans="1:38" x14ac:dyDescent="0.2">
      <c r="A3216" s="2" t="str">
        <f>HYPERLINK("https://www.compass.com/listing/551-main-street-unit-res-manhattan-ny-10044/313645311301562081/","551 Main St, Unit RES")</f>
        <v>551 Main St, Unit RES</v>
      </c>
      <c r="B3216" s="2" t="str">
        <f t="shared" si="408"/>
        <v>Island House</v>
      </c>
      <c r="C3216" s="1" t="s">
        <v>128</v>
      </c>
      <c r="D3216" s="1" t="s">
        <v>41</v>
      </c>
      <c r="E3216" s="3">
        <v>254787</v>
      </c>
      <c r="Q3216" s="1" t="s">
        <v>129</v>
      </c>
      <c r="S3216" s="1" t="s">
        <v>129</v>
      </c>
      <c r="T3216" s="1" t="s">
        <v>170</v>
      </c>
      <c r="AB3216" s="1" t="s">
        <v>44</v>
      </c>
      <c r="AF3216" s="1">
        <v>10044</v>
      </c>
      <c r="AJ3216" s="1">
        <v>1975</v>
      </c>
      <c r="AL3216" s="1">
        <v>400</v>
      </c>
    </row>
    <row r="3217" spans="1:38" x14ac:dyDescent="0.2">
      <c r="A3217" s="2" t="str">
        <f>HYPERLINK("https://www.compass.com/listing/551-main-street-unit-res-manhattan-ny-10044/313645311301562097/","551 Main St, Unit RES")</f>
        <v>551 Main St, Unit RES</v>
      </c>
      <c r="B3217" s="2" t="str">
        <f t="shared" si="408"/>
        <v>Island House</v>
      </c>
      <c r="C3217" s="1" t="s">
        <v>128</v>
      </c>
      <c r="D3217" s="1" t="s">
        <v>41</v>
      </c>
      <c r="E3217" s="3">
        <v>462043</v>
      </c>
      <c r="Q3217" s="1" t="s">
        <v>129</v>
      </c>
      <c r="S3217" s="1" t="s">
        <v>129</v>
      </c>
      <c r="T3217" s="1" t="s">
        <v>170</v>
      </c>
      <c r="AB3217" s="1" t="s">
        <v>44</v>
      </c>
      <c r="AF3217" s="1">
        <v>10044</v>
      </c>
      <c r="AJ3217" s="1">
        <v>1975</v>
      </c>
      <c r="AL3217" s="1">
        <v>400</v>
      </c>
    </row>
    <row r="3218" spans="1:38" x14ac:dyDescent="0.2">
      <c r="A3218" s="2" t="str">
        <f>HYPERLINK("https://www.compass.com/listing/551-main-street-unit-res-manhattan-ny-10044/313645311301562113/","551 Main St, Unit RES")</f>
        <v>551 Main St, Unit RES</v>
      </c>
      <c r="B3218" s="2" t="str">
        <f t="shared" si="408"/>
        <v>Island House</v>
      </c>
      <c r="C3218" s="1" t="s">
        <v>128</v>
      </c>
      <c r="D3218" s="1" t="s">
        <v>41</v>
      </c>
      <c r="E3218" s="3">
        <v>1067654</v>
      </c>
      <c r="Q3218" s="1" t="s">
        <v>129</v>
      </c>
      <c r="S3218" s="1" t="s">
        <v>129</v>
      </c>
      <c r="T3218" s="1" t="s">
        <v>170</v>
      </c>
      <c r="AA3218" s="1">
        <v>1067653.97</v>
      </c>
      <c r="AB3218" s="1" t="s">
        <v>2457</v>
      </c>
      <c r="AC3218" s="5">
        <v>42947</v>
      </c>
      <c r="AF3218" s="1">
        <v>10044</v>
      </c>
      <c r="AJ3218" s="1">
        <v>1975</v>
      </c>
      <c r="AL3218" s="1">
        <v>400</v>
      </c>
    </row>
    <row r="3219" spans="1:38" x14ac:dyDescent="0.2">
      <c r="A3219" s="2" t="str">
        <f>HYPERLINK("https://www.compass.com/listing/551-main-street-unit-res-manhattan-ny-10044/313645311301562129/","551 Main St, Unit RES")</f>
        <v>551 Main St, Unit RES</v>
      </c>
      <c r="B3219" s="2" t="str">
        <f t="shared" si="408"/>
        <v>Island House</v>
      </c>
      <c r="C3219" s="1" t="s">
        <v>128</v>
      </c>
      <c r="D3219" s="1" t="s">
        <v>41</v>
      </c>
      <c r="E3219" s="3">
        <v>332410</v>
      </c>
      <c r="Q3219" s="1" t="s">
        <v>129</v>
      </c>
      <c r="S3219" s="1" t="s">
        <v>129</v>
      </c>
      <c r="T3219" s="1" t="s">
        <v>170</v>
      </c>
      <c r="AA3219" s="1">
        <v>332409.5</v>
      </c>
      <c r="AB3219" s="1" t="s">
        <v>2458</v>
      </c>
      <c r="AC3219" s="5">
        <v>42216</v>
      </c>
      <c r="AF3219" s="1">
        <v>10044</v>
      </c>
      <c r="AJ3219" s="1">
        <v>1975</v>
      </c>
      <c r="AL3219" s="1">
        <v>400</v>
      </c>
    </row>
    <row r="3220" spans="1:38" x14ac:dyDescent="0.2">
      <c r="A3220" s="2" t="str">
        <f>HYPERLINK("https://www.compass.com/listing/551-main-street-unit-res-manhattan-ny-10044/313645311301562145/","551 Main St, Unit RES")</f>
        <v>551 Main St, Unit RES</v>
      </c>
      <c r="B3220" s="2" t="str">
        <f t="shared" si="408"/>
        <v>Island House</v>
      </c>
      <c r="C3220" s="1" t="s">
        <v>128</v>
      </c>
      <c r="D3220" s="1" t="s">
        <v>41</v>
      </c>
      <c r="E3220" s="3">
        <v>644561</v>
      </c>
      <c r="Q3220" s="1" t="s">
        <v>129</v>
      </c>
      <c r="S3220" s="1" t="s">
        <v>129</v>
      </c>
      <c r="T3220" s="1" t="s">
        <v>170</v>
      </c>
      <c r="AB3220" s="1" t="s">
        <v>44</v>
      </c>
      <c r="AF3220" s="1">
        <v>10044</v>
      </c>
      <c r="AJ3220" s="1">
        <v>1975</v>
      </c>
      <c r="AL3220" s="1">
        <v>400</v>
      </c>
    </row>
    <row r="3221" spans="1:38" x14ac:dyDescent="0.2">
      <c r="A3221" s="2" t="str">
        <f>HYPERLINK("https://www.compass.com/listing/551-main-street-unit-res-manhattan-ny-10044/313645311301562161/","551 Main St, Unit RES")</f>
        <v>551 Main St, Unit RES</v>
      </c>
      <c r="B3221" s="2" t="str">
        <f t="shared" si="408"/>
        <v>Island House</v>
      </c>
      <c r="C3221" s="1" t="s">
        <v>128</v>
      </c>
      <c r="D3221" s="1" t="s">
        <v>41</v>
      </c>
      <c r="E3221" s="3">
        <v>432369</v>
      </c>
      <c r="Q3221" s="1" t="s">
        <v>129</v>
      </c>
      <c r="S3221" s="1" t="s">
        <v>129</v>
      </c>
      <c r="T3221" s="1" t="s">
        <v>170</v>
      </c>
      <c r="AB3221" s="1" t="s">
        <v>44</v>
      </c>
      <c r="AF3221" s="1">
        <v>10044</v>
      </c>
      <c r="AJ3221" s="1">
        <v>1975</v>
      </c>
      <c r="AL3221" s="1">
        <v>400</v>
      </c>
    </row>
    <row r="3222" spans="1:38" x14ac:dyDescent="0.2">
      <c r="A3222" s="2" t="str">
        <f>HYPERLINK("https://www.compass.com/listing/551-main-street-unit-res-manhattan-ny-10044/313645311301562177/","551 Main St, Unit RES")</f>
        <v>551 Main St, Unit RES</v>
      </c>
      <c r="B3222" s="2" t="str">
        <f t="shared" si="408"/>
        <v>Island House</v>
      </c>
      <c r="C3222" s="1" t="s">
        <v>128</v>
      </c>
      <c r="D3222" s="1" t="s">
        <v>41</v>
      </c>
      <c r="E3222" s="3">
        <v>533028</v>
      </c>
      <c r="Q3222" s="1" t="s">
        <v>129</v>
      </c>
      <c r="S3222" s="1" t="s">
        <v>129</v>
      </c>
      <c r="T3222" s="1" t="s">
        <v>170</v>
      </c>
      <c r="AA3222" s="1">
        <v>533028.19999999995</v>
      </c>
      <c r="AB3222" s="1" t="s">
        <v>2459</v>
      </c>
      <c r="AC3222" s="5">
        <v>42284</v>
      </c>
      <c r="AF3222" s="1">
        <v>10044</v>
      </c>
      <c r="AJ3222" s="1">
        <v>1975</v>
      </c>
      <c r="AL3222" s="1">
        <v>400</v>
      </c>
    </row>
    <row r="3223" spans="1:38" x14ac:dyDescent="0.2">
      <c r="A3223" s="2" t="str">
        <f>HYPERLINK("https://www.compass.com/listing/551-main-street-unit-res-manhattan-ny-10044/313645311301562193/","551 Main St, Unit RES")</f>
        <v>551 Main St, Unit RES</v>
      </c>
      <c r="B3223" s="2" t="str">
        <f t="shared" si="408"/>
        <v>Island House</v>
      </c>
      <c r="C3223" s="1" t="s">
        <v>128</v>
      </c>
      <c r="D3223" s="1" t="s">
        <v>41</v>
      </c>
      <c r="E3223" s="3">
        <v>986650</v>
      </c>
      <c r="Q3223" s="1" t="s">
        <v>129</v>
      </c>
      <c r="S3223" s="1" t="s">
        <v>129</v>
      </c>
      <c r="T3223" s="1" t="s">
        <v>170</v>
      </c>
      <c r="AB3223" s="1" t="s">
        <v>44</v>
      </c>
      <c r="AF3223" s="1">
        <v>10044</v>
      </c>
      <c r="AJ3223" s="1">
        <v>1975</v>
      </c>
      <c r="AL3223" s="1">
        <v>400</v>
      </c>
    </row>
    <row r="3224" spans="1:38" x14ac:dyDescent="0.2">
      <c r="A3224" s="2" t="str">
        <f>HYPERLINK("https://www.compass.com/listing/551-main-street-unit-res-manhattan-ny-10044/313645311301562209/","551 Main St, Unit RES")</f>
        <v>551 Main St, Unit RES</v>
      </c>
      <c r="B3224" s="2" t="str">
        <f t="shared" si="408"/>
        <v>Island House</v>
      </c>
      <c r="C3224" s="1" t="s">
        <v>128</v>
      </c>
      <c r="D3224" s="1" t="s">
        <v>41</v>
      </c>
      <c r="E3224" s="3">
        <v>364730</v>
      </c>
      <c r="Q3224" s="1" t="s">
        <v>129</v>
      </c>
      <c r="S3224" s="1" t="s">
        <v>129</v>
      </c>
      <c r="T3224" s="1" t="s">
        <v>170</v>
      </c>
      <c r="AB3224" s="1" t="s">
        <v>44</v>
      </c>
      <c r="AF3224" s="1">
        <v>10044</v>
      </c>
      <c r="AJ3224" s="1">
        <v>1975</v>
      </c>
      <c r="AL3224" s="1">
        <v>400</v>
      </c>
    </row>
    <row r="3225" spans="1:38" x14ac:dyDescent="0.2">
      <c r="A3225" s="2" t="str">
        <f>HYPERLINK("https://www.compass.com/listing/551-main-street-unit-res-manhattan-ny-10044/313645311301562225/","551 Main St, Unit RES")</f>
        <v>551 Main St, Unit RES</v>
      </c>
      <c r="B3225" s="2" t="str">
        <f t="shared" si="408"/>
        <v>Island House</v>
      </c>
      <c r="C3225" s="1" t="s">
        <v>128</v>
      </c>
      <c r="D3225" s="1" t="s">
        <v>41</v>
      </c>
      <c r="E3225" s="3">
        <v>254667</v>
      </c>
      <c r="Q3225" s="1" t="s">
        <v>129</v>
      </c>
      <c r="S3225" s="1" t="s">
        <v>129</v>
      </c>
      <c r="T3225" s="1" t="s">
        <v>170</v>
      </c>
      <c r="AB3225" s="1" t="s">
        <v>44</v>
      </c>
      <c r="AF3225" s="1">
        <v>10044</v>
      </c>
      <c r="AJ3225" s="1">
        <v>1975</v>
      </c>
      <c r="AL3225" s="1">
        <v>400</v>
      </c>
    </row>
    <row r="3226" spans="1:38" x14ac:dyDescent="0.2">
      <c r="A3226" s="2" t="str">
        <f>HYPERLINK("https://www.compass.com/listing/551-main-street-unit-res-manhattan-ny-10044/313645311301562241/","551 Main St, Unit RES")</f>
        <v>551 Main St, Unit RES</v>
      </c>
      <c r="B3226" s="2" t="str">
        <f t="shared" si="408"/>
        <v>Island House</v>
      </c>
      <c r="C3226" s="1" t="s">
        <v>128</v>
      </c>
      <c r="D3226" s="1" t="s">
        <v>41</v>
      </c>
      <c r="E3226" s="3">
        <v>266780</v>
      </c>
      <c r="Q3226" s="1" t="s">
        <v>129</v>
      </c>
      <c r="S3226" s="1" t="s">
        <v>129</v>
      </c>
      <c r="T3226" s="1" t="s">
        <v>170</v>
      </c>
      <c r="AB3226" s="1" t="s">
        <v>44</v>
      </c>
      <c r="AF3226" s="1">
        <v>10044</v>
      </c>
      <c r="AJ3226" s="1">
        <v>1975</v>
      </c>
      <c r="AL3226" s="1">
        <v>400</v>
      </c>
    </row>
    <row r="3227" spans="1:38" x14ac:dyDescent="0.2">
      <c r="A3227" s="2" t="str">
        <f>HYPERLINK("https://www.compass.com/listing/551-main-street-unit-res-manhattan-ny-10044/313645311301562257/","551 Main St, Unit RES")</f>
        <v>551 Main St, Unit RES</v>
      </c>
      <c r="B3227" s="2" t="str">
        <f t="shared" si="408"/>
        <v>Island House</v>
      </c>
      <c r="C3227" s="1" t="s">
        <v>128</v>
      </c>
      <c r="D3227" s="1" t="s">
        <v>41</v>
      </c>
      <c r="E3227" s="3">
        <v>269203</v>
      </c>
      <c r="Q3227" s="1" t="s">
        <v>129</v>
      </c>
      <c r="S3227" s="1" t="s">
        <v>129</v>
      </c>
      <c r="T3227" s="1" t="s">
        <v>170</v>
      </c>
      <c r="AB3227" s="1" t="s">
        <v>44</v>
      </c>
      <c r="AF3227" s="1">
        <v>10044</v>
      </c>
      <c r="AJ3227" s="1">
        <v>1975</v>
      </c>
      <c r="AL3227" s="1">
        <v>400</v>
      </c>
    </row>
    <row r="3228" spans="1:38" x14ac:dyDescent="0.2">
      <c r="A3228" s="2" t="str">
        <f>HYPERLINK("https://www.compass.com/listing/551-main-street-unit-res-manhattan-ny-10044/313645311301562273/","551 Main St, Unit RES")</f>
        <v>551 Main St, Unit RES</v>
      </c>
      <c r="B3228" s="2" t="str">
        <f t="shared" si="408"/>
        <v>Island House</v>
      </c>
      <c r="C3228" s="1" t="s">
        <v>128</v>
      </c>
      <c r="D3228" s="1" t="s">
        <v>41</v>
      </c>
      <c r="E3228" s="3">
        <v>727693</v>
      </c>
      <c r="Q3228" s="1" t="s">
        <v>129</v>
      </c>
      <c r="S3228" s="1" t="s">
        <v>129</v>
      </c>
      <c r="T3228" s="1" t="s">
        <v>170</v>
      </c>
      <c r="AB3228" s="1" t="s">
        <v>44</v>
      </c>
      <c r="AF3228" s="1">
        <v>10044</v>
      </c>
      <c r="AJ3228" s="1">
        <v>1975</v>
      </c>
      <c r="AL3228" s="1">
        <v>400</v>
      </c>
    </row>
    <row r="3229" spans="1:38" x14ac:dyDescent="0.2">
      <c r="A3229" s="2" t="str">
        <f>HYPERLINK("https://www.compass.com/listing/551-main-street-unit-res-manhattan-ny-10044/313645311301562289/","551 Main St, Unit RES")</f>
        <v>551 Main St, Unit RES</v>
      </c>
      <c r="B3229" s="2" t="str">
        <f t="shared" si="408"/>
        <v>Island House</v>
      </c>
      <c r="C3229" s="1" t="s">
        <v>128</v>
      </c>
      <c r="D3229" s="1" t="s">
        <v>41</v>
      </c>
      <c r="E3229" s="3">
        <v>231100</v>
      </c>
      <c r="Q3229" s="1" t="s">
        <v>129</v>
      </c>
      <c r="S3229" s="1" t="s">
        <v>129</v>
      </c>
      <c r="T3229" s="1" t="s">
        <v>170</v>
      </c>
      <c r="AB3229" s="1" t="s">
        <v>44</v>
      </c>
      <c r="AF3229" s="1">
        <v>10044</v>
      </c>
      <c r="AJ3229" s="1">
        <v>1975</v>
      </c>
      <c r="AL3229" s="1">
        <v>400</v>
      </c>
    </row>
    <row r="3230" spans="1:38" x14ac:dyDescent="0.2">
      <c r="A3230" s="2" t="str">
        <f>HYPERLINK("https://www.compass.com/listing/551-main-street-unit-res-manhattan-ny-10044/313645311301562305/","551 Main St, Unit RES")</f>
        <v>551 Main St, Unit RES</v>
      </c>
      <c r="B3230" s="2" t="str">
        <f t="shared" si="408"/>
        <v>Island House</v>
      </c>
      <c r="C3230" s="1" t="s">
        <v>128</v>
      </c>
      <c r="D3230" s="1" t="s">
        <v>41</v>
      </c>
      <c r="E3230" s="3">
        <v>308103</v>
      </c>
      <c r="Q3230" s="1" t="s">
        <v>129</v>
      </c>
      <c r="S3230" s="1" t="s">
        <v>129</v>
      </c>
      <c r="T3230" s="1" t="s">
        <v>170</v>
      </c>
      <c r="AB3230" s="1" t="s">
        <v>44</v>
      </c>
      <c r="AF3230" s="1">
        <v>10044</v>
      </c>
      <c r="AJ3230" s="1">
        <v>1975</v>
      </c>
      <c r="AL3230" s="1">
        <v>400</v>
      </c>
    </row>
    <row r="3231" spans="1:38" x14ac:dyDescent="0.2">
      <c r="A3231" s="2" t="str">
        <f>HYPERLINK("https://www.compass.com/listing/551-main-street-unit-res-manhattan-ny-10044/313645311301562321/","551 Main St, Unit RES")</f>
        <v>551 Main St, Unit RES</v>
      </c>
      <c r="B3231" s="2" t="str">
        <f t="shared" si="408"/>
        <v>Island House</v>
      </c>
      <c r="C3231" s="1" t="s">
        <v>128</v>
      </c>
      <c r="D3231" s="1" t="s">
        <v>41</v>
      </c>
      <c r="E3231" s="3">
        <v>413550</v>
      </c>
      <c r="Q3231" s="1" t="s">
        <v>129</v>
      </c>
      <c r="S3231" s="1" t="s">
        <v>129</v>
      </c>
      <c r="T3231" s="1" t="s">
        <v>170</v>
      </c>
      <c r="AA3231" s="1">
        <v>413549.5</v>
      </c>
      <c r="AB3231" s="1" t="s">
        <v>2460</v>
      </c>
      <c r="AC3231" s="5">
        <v>42285</v>
      </c>
      <c r="AF3231" s="1">
        <v>10044</v>
      </c>
      <c r="AJ3231" s="1">
        <v>1975</v>
      </c>
      <c r="AL3231" s="1">
        <v>400</v>
      </c>
    </row>
    <row r="3232" spans="1:38" x14ac:dyDescent="0.2">
      <c r="A3232" s="2" t="str">
        <f>HYPERLINK("https://www.compass.com/listing/551-main-street-unit-res-manhattan-ny-10044/313645311301562337/","551 Main St, Unit RES")</f>
        <v>551 Main St, Unit RES</v>
      </c>
      <c r="B3232" s="2" t="str">
        <f t="shared" si="408"/>
        <v>Island House</v>
      </c>
      <c r="C3232" s="1" t="s">
        <v>128</v>
      </c>
      <c r="D3232" s="1" t="s">
        <v>41</v>
      </c>
      <c r="E3232" s="3">
        <v>786306</v>
      </c>
      <c r="Q3232" s="1" t="s">
        <v>129</v>
      </c>
      <c r="S3232" s="1" t="s">
        <v>129</v>
      </c>
      <c r="T3232" s="1" t="s">
        <v>170</v>
      </c>
      <c r="AB3232" s="1" t="s">
        <v>44</v>
      </c>
      <c r="AF3232" s="1">
        <v>10044</v>
      </c>
      <c r="AJ3232" s="1">
        <v>1975</v>
      </c>
      <c r="AL3232" s="1">
        <v>400</v>
      </c>
    </row>
    <row r="3233" spans="1:38" x14ac:dyDescent="0.2">
      <c r="A3233" s="2" t="str">
        <f>HYPERLINK("https://www.compass.com/listing/551-main-street-unit-res-manhattan-ny-10044/313645311301562353/","551 Main St, Unit RES")</f>
        <v>551 Main St, Unit RES</v>
      </c>
      <c r="B3233" s="2" t="str">
        <f t="shared" si="408"/>
        <v>Island House</v>
      </c>
      <c r="C3233" s="1" t="s">
        <v>128</v>
      </c>
      <c r="D3233" s="1" t="s">
        <v>41</v>
      </c>
      <c r="E3233" s="3">
        <v>259512</v>
      </c>
      <c r="Q3233" s="1" t="s">
        <v>129</v>
      </c>
      <c r="S3233" s="1" t="s">
        <v>129</v>
      </c>
      <c r="T3233" s="1" t="s">
        <v>170</v>
      </c>
      <c r="AB3233" s="1" t="s">
        <v>44</v>
      </c>
      <c r="AF3233" s="1">
        <v>10044</v>
      </c>
      <c r="AJ3233" s="1">
        <v>1975</v>
      </c>
      <c r="AL3233" s="1">
        <v>400</v>
      </c>
    </row>
    <row r="3234" spans="1:38" x14ac:dyDescent="0.2">
      <c r="A3234" s="2" t="str">
        <f>HYPERLINK("https://www.compass.com/listing/551-main-street-unit-res-manhattan-ny-10044/313645311301562369/","551 Main St, Unit RES")</f>
        <v>551 Main St, Unit RES</v>
      </c>
      <c r="B3234" s="2" t="str">
        <f t="shared" si="408"/>
        <v>Island House</v>
      </c>
      <c r="C3234" s="1" t="s">
        <v>128</v>
      </c>
      <c r="D3234" s="1" t="s">
        <v>41</v>
      </c>
      <c r="E3234" s="3">
        <v>456302</v>
      </c>
      <c r="Q3234" s="1" t="s">
        <v>129</v>
      </c>
      <c r="S3234" s="1" t="s">
        <v>129</v>
      </c>
      <c r="T3234" s="1" t="s">
        <v>170</v>
      </c>
      <c r="AA3234" s="1">
        <v>456301.99</v>
      </c>
      <c r="AB3234" s="1" t="s">
        <v>2461</v>
      </c>
      <c r="AC3234" s="5">
        <v>42509</v>
      </c>
      <c r="AF3234" s="1">
        <v>10044</v>
      </c>
      <c r="AJ3234" s="1">
        <v>1975</v>
      </c>
      <c r="AL3234" s="1">
        <v>400</v>
      </c>
    </row>
    <row r="3235" spans="1:38" x14ac:dyDescent="0.2">
      <c r="A3235" s="2" t="str">
        <f>HYPERLINK("https://www.compass.com/listing/551-main-street-unit-res-manhattan-ny-10044/313645311301562385/","551 Main St, Unit RES")</f>
        <v>551 Main St, Unit RES</v>
      </c>
      <c r="B3235" s="2" t="str">
        <f t="shared" si="408"/>
        <v>Island House</v>
      </c>
      <c r="C3235" s="1" t="s">
        <v>128</v>
      </c>
      <c r="D3235" s="1" t="s">
        <v>41</v>
      </c>
      <c r="E3235" s="3">
        <v>430608</v>
      </c>
      <c r="Q3235" s="1" t="s">
        <v>129</v>
      </c>
      <c r="S3235" s="1" t="s">
        <v>129</v>
      </c>
      <c r="T3235" s="1" t="s">
        <v>170</v>
      </c>
      <c r="AA3235" s="1">
        <v>430608.4</v>
      </c>
      <c r="AB3235" s="1" t="s">
        <v>2462</v>
      </c>
      <c r="AC3235" s="5">
        <v>42352</v>
      </c>
      <c r="AF3235" s="1">
        <v>10044</v>
      </c>
      <c r="AJ3235" s="1">
        <v>1975</v>
      </c>
      <c r="AL3235" s="1">
        <v>400</v>
      </c>
    </row>
    <row r="3236" spans="1:38" x14ac:dyDescent="0.2">
      <c r="A3236" s="2" t="str">
        <f>HYPERLINK("https://www.compass.com/listing/551-main-street-unit-res-manhattan-ny-10044/313645311301562401/","551 Main St, Unit RES")</f>
        <v>551 Main St, Unit RES</v>
      </c>
      <c r="B3236" s="2" t="str">
        <f t="shared" si="408"/>
        <v>Island House</v>
      </c>
      <c r="C3236" s="1" t="s">
        <v>128</v>
      </c>
      <c r="D3236" s="1" t="s">
        <v>41</v>
      </c>
      <c r="E3236" s="3">
        <v>786315</v>
      </c>
      <c r="Q3236" s="1" t="s">
        <v>129</v>
      </c>
      <c r="S3236" s="1" t="s">
        <v>129</v>
      </c>
      <c r="T3236" s="1" t="s">
        <v>170</v>
      </c>
      <c r="AB3236" s="1" t="s">
        <v>44</v>
      </c>
      <c r="AF3236" s="1">
        <v>10044</v>
      </c>
      <c r="AJ3236" s="1">
        <v>1975</v>
      </c>
      <c r="AL3236" s="1">
        <v>400</v>
      </c>
    </row>
    <row r="3237" spans="1:38" x14ac:dyDescent="0.2">
      <c r="A3237" s="2" t="str">
        <f>HYPERLINK("https://www.compass.com/listing/551-main-street-unit-res-manhattan-ny-10044/313650079655122609/","551 Main St, Unit RES")</f>
        <v>551 Main St, Unit RES</v>
      </c>
      <c r="B3237" s="2" t="str">
        <f t="shared" si="408"/>
        <v>Island House</v>
      </c>
      <c r="C3237" s="1" t="s">
        <v>128</v>
      </c>
      <c r="D3237" s="1" t="s">
        <v>41</v>
      </c>
      <c r="E3237" s="3">
        <v>194231</v>
      </c>
      <c r="Q3237" s="1" t="s">
        <v>129</v>
      </c>
      <c r="S3237" s="1" t="s">
        <v>129</v>
      </c>
      <c r="T3237" s="1" t="s">
        <v>170</v>
      </c>
      <c r="AB3237" s="1" t="s">
        <v>44</v>
      </c>
      <c r="AF3237" s="1">
        <v>10044</v>
      </c>
      <c r="AJ3237" s="1">
        <v>1975</v>
      </c>
      <c r="AL3237" s="1">
        <v>400</v>
      </c>
    </row>
    <row r="3238" spans="1:38" x14ac:dyDescent="0.2">
      <c r="A3238" s="2" t="str">
        <f>HYPERLINK("https://www.compass.com/listing/551-main-street-unit-res-manhattan-ny-10044/313650079655122801/","551 Main St, Unit RES")</f>
        <v>551 Main St, Unit RES</v>
      </c>
      <c r="B3238" s="2" t="str">
        <f t="shared" si="408"/>
        <v>Island House</v>
      </c>
      <c r="C3238" s="1" t="s">
        <v>128</v>
      </c>
      <c r="D3238" s="1" t="s">
        <v>41</v>
      </c>
      <c r="E3238" s="3">
        <v>435705</v>
      </c>
      <c r="Q3238" s="1" t="s">
        <v>129</v>
      </c>
      <c r="S3238" s="1" t="s">
        <v>129</v>
      </c>
      <c r="T3238" s="1" t="s">
        <v>170</v>
      </c>
      <c r="AB3238" s="1" t="s">
        <v>44</v>
      </c>
      <c r="AF3238" s="1">
        <v>10044</v>
      </c>
      <c r="AJ3238" s="1">
        <v>1975</v>
      </c>
      <c r="AL3238" s="1">
        <v>400</v>
      </c>
    </row>
    <row r="3239" spans="1:38" x14ac:dyDescent="0.2">
      <c r="A3239" s="2" t="str">
        <f>HYPERLINK("https://www.compass.com/listing/551-main-street-unit-res-manhattan-ny-10044/313650159145210289/","551 Main St, Unit RES")</f>
        <v>551 Main St, Unit RES</v>
      </c>
      <c r="B3239" s="2" t="str">
        <f t="shared" si="408"/>
        <v>Island House</v>
      </c>
      <c r="C3239" s="1" t="s">
        <v>128</v>
      </c>
      <c r="D3239" s="1" t="s">
        <v>41</v>
      </c>
      <c r="E3239" s="3">
        <v>587185</v>
      </c>
      <c r="Q3239" s="1" t="s">
        <v>129</v>
      </c>
      <c r="S3239" s="1" t="s">
        <v>129</v>
      </c>
      <c r="T3239" s="1" t="s">
        <v>170</v>
      </c>
      <c r="AA3239" s="1">
        <v>587185.06000000006</v>
      </c>
      <c r="AB3239" s="1" t="s">
        <v>2463</v>
      </c>
      <c r="AC3239" s="5">
        <v>42179</v>
      </c>
      <c r="AF3239" s="1">
        <v>10044</v>
      </c>
      <c r="AJ3239" s="1">
        <v>1975</v>
      </c>
      <c r="AL3239" s="1">
        <v>400</v>
      </c>
    </row>
    <row r="3240" spans="1:38" x14ac:dyDescent="0.2">
      <c r="A3240" s="2" t="str">
        <f>HYPERLINK("https://www.compass.com/listing/551-main-street-unit-res-manhattan-ny-10044/313650159145210305/","551 Main St, Unit RES")</f>
        <v>551 Main St, Unit RES</v>
      </c>
      <c r="B3240" s="2" t="str">
        <f t="shared" si="408"/>
        <v>Island House</v>
      </c>
      <c r="C3240" s="1" t="s">
        <v>128</v>
      </c>
      <c r="D3240" s="1" t="s">
        <v>41</v>
      </c>
      <c r="E3240" s="3">
        <v>303011</v>
      </c>
      <c r="Q3240" s="1" t="s">
        <v>129</v>
      </c>
      <c r="S3240" s="1" t="s">
        <v>129</v>
      </c>
      <c r="T3240" s="1" t="s">
        <v>170</v>
      </c>
      <c r="AA3240" s="1">
        <v>303011.09999999998</v>
      </c>
      <c r="AB3240" s="1" t="s">
        <v>2464</v>
      </c>
      <c r="AC3240" s="5">
        <v>42207</v>
      </c>
      <c r="AF3240" s="1">
        <v>10044</v>
      </c>
      <c r="AJ3240" s="1">
        <v>1975</v>
      </c>
      <c r="AL3240" s="1">
        <v>400</v>
      </c>
    </row>
    <row r="3241" spans="1:38" x14ac:dyDescent="0.2">
      <c r="A3241" s="2" t="str">
        <f>HYPERLINK("https://www.compass.com/listing/551-main-street-unit-res-manhattan-ny-10044/313650159145210321/","551 Main St, Unit RES")</f>
        <v>551 Main St, Unit RES</v>
      </c>
      <c r="B3241" s="2" t="str">
        <f t="shared" si="408"/>
        <v>Island House</v>
      </c>
      <c r="C3241" s="1" t="s">
        <v>128</v>
      </c>
      <c r="D3241" s="1" t="s">
        <v>41</v>
      </c>
      <c r="E3241" s="3">
        <v>323408</v>
      </c>
      <c r="Q3241" s="1" t="s">
        <v>129</v>
      </c>
      <c r="S3241" s="1" t="s">
        <v>129</v>
      </c>
      <c r="T3241" s="1" t="s">
        <v>170</v>
      </c>
      <c r="AB3241" s="1" t="s">
        <v>44</v>
      </c>
      <c r="AF3241" s="1">
        <v>10044</v>
      </c>
      <c r="AJ3241" s="1">
        <v>1975</v>
      </c>
      <c r="AL3241" s="1">
        <v>400</v>
      </c>
    </row>
    <row r="3242" spans="1:38" x14ac:dyDescent="0.2">
      <c r="A3242" s="2" t="str">
        <f>HYPERLINK("https://www.compass.com/listing/551-main-street-unit-res-manhattan-ny-10044/313650159145210337/","551 Main St, Unit RES")</f>
        <v>551 Main St, Unit RES</v>
      </c>
      <c r="B3242" s="2" t="str">
        <f t="shared" si="408"/>
        <v>Island House</v>
      </c>
      <c r="C3242" s="1" t="s">
        <v>128</v>
      </c>
      <c r="D3242" s="1" t="s">
        <v>41</v>
      </c>
      <c r="E3242" s="3">
        <v>276242</v>
      </c>
      <c r="Q3242" s="1" t="s">
        <v>129</v>
      </c>
      <c r="S3242" s="1" t="s">
        <v>129</v>
      </c>
      <c r="T3242" s="1" t="s">
        <v>170</v>
      </c>
      <c r="AB3242" s="1" t="s">
        <v>44</v>
      </c>
      <c r="AF3242" s="1">
        <v>10044</v>
      </c>
      <c r="AJ3242" s="1">
        <v>1975</v>
      </c>
      <c r="AL3242" s="1">
        <v>400</v>
      </c>
    </row>
    <row r="3243" spans="1:38" x14ac:dyDescent="0.2">
      <c r="A3243" s="2" t="str">
        <f>HYPERLINK("https://www.compass.com/listing/551-main-street-unit-res-manhattan-ny-10044/313650159145210353/","551 Main St, Unit RES")</f>
        <v>551 Main St, Unit RES</v>
      </c>
      <c r="B3243" s="2" t="str">
        <f t="shared" si="408"/>
        <v>Island House</v>
      </c>
      <c r="C3243" s="1" t="s">
        <v>128</v>
      </c>
      <c r="D3243" s="1" t="s">
        <v>41</v>
      </c>
      <c r="E3243" s="3">
        <v>270941</v>
      </c>
      <c r="Q3243" s="1" t="s">
        <v>129</v>
      </c>
      <c r="S3243" s="1" t="s">
        <v>129</v>
      </c>
      <c r="T3243" s="1" t="s">
        <v>170</v>
      </c>
      <c r="AA3243" s="1">
        <v>270940.5</v>
      </c>
      <c r="AB3243" s="1" t="s">
        <v>2465</v>
      </c>
      <c r="AC3243" s="5">
        <v>42207</v>
      </c>
      <c r="AF3243" s="1">
        <v>10044</v>
      </c>
      <c r="AJ3243" s="1">
        <v>1975</v>
      </c>
      <c r="AL3243" s="1">
        <v>400</v>
      </c>
    </row>
    <row r="3244" spans="1:38" x14ac:dyDescent="0.2">
      <c r="A3244" s="2" t="str">
        <f>HYPERLINK("https://www.compass.com/listing/551-main-street-unit-res-manhattan-ny-10044/313650159145210385/","551 Main St, Unit RES")</f>
        <v>551 Main St, Unit RES</v>
      </c>
      <c r="B3244" s="2" t="str">
        <f t="shared" si="408"/>
        <v>Island House</v>
      </c>
      <c r="C3244" s="1" t="s">
        <v>128</v>
      </c>
      <c r="D3244" s="1" t="s">
        <v>41</v>
      </c>
      <c r="E3244" s="3">
        <v>402308</v>
      </c>
      <c r="Q3244" s="1" t="s">
        <v>129</v>
      </c>
      <c r="S3244" s="1" t="s">
        <v>129</v>
      </c>
      <c r="T3244" s="1" t="s">
        <v>170</v>
      </c>
      <c r="AA3244" s="1">
        <v>402308.2</v>
      </c>
      <c r="AB3244" s="1" t="s">
        <v>2466</v>
      </c>
      <c r="AC3244" s="5">
        <v>42206</v>
      </c>
      <c r="AF3244" s="1">
        <v>10044</v>
      </c>
      <c r="AJ3244" s="1">
        <v>1975</v>
      </c>
      <c r="AL3244" s="1">
        <v>400</v>
      </c>
    </row>
    <row r="3245" spans="1:38" x14ac:dyDescent="0.2">
      <c r="A3245" s="2" t="str">
        <f>HYPERLINK("https://www.compass.com/listing/551-main-street-unit-res-manhattan-ny-10044/313650159145210401/","551 Main St, Unit RES")</f>
        <v>551 Main St, Unit RES</v>
      </c>
      <c r="B3245" s="2" t="str">
        <f t="shared" si="408"/>
        <v>Island House</v>
      </c>
      <c r="C3245" s="1" t="s">
        <v>128</v>
      </c>
      <c r="D3245" s="1" t="s">
        <v>41</v>
      </c>
      <c r="E3245" s="3">
        <v>467831</v>
      </c>
      <c r="Q3245" s="1" t="s">
        <v>129</v>
      </c>
      <c r="S3245" s="1" t="s">
        <v>129</v>
      </c>
      <c r="T3245" s="1" t="s">
        <v>170</v>
      </c>
      <c r="AB3245" s="1" t="s">
        <v>44</v>
      </c>
      <c r="AF3245" s="1">
        <v>10044</v>
      </c>
      <c r="AJ3245" s="1">
        <v>1975</v>
      </c>
      <c r="AL3245" s="1">
        <v>400</v>
      </c>
    </row>
    <row r="3246" spans="1:38" x14ac:dyDescent="0.2">
      <c r="A3246" s="2" t="str">
        <f>HYPERLINK("https://www.compass.com/listing/551-main-street-unit-res-manhattan-ny-10044/313650159145210417/","551 Main St, Unit RES")</f>
        <v>551 Main St, Unit RES</v>
      </c>
      <c r="B3246" s="2" t="str">
        <f t="shared" si="408"/>
        <v>Island House</v>
      </c>
      <c r="C3246" s="1" t="s">
        <v>128</v>
      </c>
      <c r="D3246" s="1" t="s">
        <v>41</v>
      </c>
      <c r="E3246" s="3">
        <v>335614</v>
      </c>
      <c r="Q3246" s="1" t="s">
        <v>129</v>
      </c>
      <c r="S3246" s="1" t="s">
        <v>129</v>
      </c>
      <c r="T3246" s="1" t="s">
        <v>170</v>
      </c>
      <c r="AB3246" s="1" t="s">
        <v>44</v>
      </c>
      <c r="AF3246" s="1">
        <v>10044</v>
      </c>
      <c r="AJ3246" s="1">
        <v>1975</v>
      </c>
      <c r="AL3246" s="1">
        <v>400</v>
      </c>
    </row>
    <row r="3247" spans="1:38" x14ac:dyDescent="0.2">
      <c r="A3247" s="2" t="str">
        <f>HYPERLINK("https://www.compass.com/listing/551-main-street-unit-res-manhattan-ny-10044/313650159145210433/","551 Main St, Unit RES")</f>
        <v>551 Main St, Unit RES</v>
      </c>
      <c r="B3247" s="2" t="str">
        <f t="shared" si="408"/>
        <v>Island House</v>
      </c>
      <c r="C3247" s="1" t="s">
        <v>128</v>
      </c>
      <c r="D3247" s="1" t="s">
        <v>41</v>
      </c>
      <c r="E3247" s="3">
        <v>317448</v>
      </c>
      <c r="Q3247" s="1" t="s">
        <v>129</v>
      </c>
      <c r="S3247" s="1" t="s">
        <v>129</v>
      </c>
      <c r="T3247" s="1" t="s">
        <v>170</v>
      </c>
      <c r="AA3247" s="1">
        <v>317447.7</v>
      </c>
      <c r="AB3247" s="1" t="s">
        <v>2467</v>
      </c>
      <c r="AC3247" s="5">
        <v>42215</v>
      </c>
      <c r="AF3247" s="1">
        <v>10044</v>
      </c>
      <c r="AJ3247" s="1">
        <v>1975</v>
      </c>
      <c r="AL3247" s="1">
        <v>400</v>
      </c>
    </row>
    <row r="3248" spans="1:38" x14ac:dyDescent="0.2">
      <c r="A3248" s="2" t="str">
        <f>HYPERLINK("https://www.compass.com/listing/551-main-street-unit-res-manhattan-ny-10044/313650159145210449/","551 Main St, Unit RES")</f>
        <v>551 Main St, Unit RES</v>
      </c>
      <c r="B3248" s="2" t="str">
        <f t="shared" si="408"/>
        <v>Island House</v>
      </c>
      <c r="C3248" s="1" t="s">
        <v>128</v>
      </c>
      <c r="D3248" s="1" t="s">
        <v>41</v>
      </c>
      <c r="E3248" s="3">
        <v>329397</v>
      </c>
      <c r="Q3248" s="1" t="s">
        <v>129</v>
      </c>
      <c r="S3248" s="1" t="s">
        <v>129</v>
      </c>
      <c r="T3248" s="1" t="s">
        <v>170</v>
      </c>
      <c r="AA3248" s="1">
        <v>329397.09999999998</v>
      </c>
      <c r="AB3248" s="1" t="s">
        <v>2468</v>
      </c>
      <c r="AC3248" s="5">
        <v>42215</v>
      </c>
      <c r="AF3248" s="1">
        <v>10044</v>
      </c>
      <c r="AJ3248" s="1">
        <v>1975</v>
      </c>
      <c r="AL3248" s="1">
        <v>400</v>
      </c>
    </row>
    <row r="3249" spans="1:38" x14ac:dyDescent="0.2">
      <c r="A3249" s="2" t="str">
        <f>HYPERLINK("https://www.compass.com/listing/551-main-street-unit-res-manhattan-ny-10044/313650159145210465/","551 Main St, Unit RES")</f>
        <v>551 Main St, Unit RES</v>
      </c>
      <c r="B3249" s="2" t="str">
        <f t="shared" si="408"/>
        <v>Island House</v>
      </c>
      <c r="C3249" s="1" t="s">
        <v>128</v>
      </c>
      <c r="D3249" s="1" t="s">
        <v>41</v>
      </c>
      <c r="E3249" s="3">
        <v>192402</v>
      </c>
      <c r="Q3249" s="1" t="s">
        <v>129</v>
      </c>
      <c r="S3249" s="1" t="s">
        <v>129</v>
      </c>
      <c r="T3249" s="1" t="s">
        <v>170</v>
      </c>
      <c r="AB3249" s="1" t="s">
        <v>44</v>
      </c>
      <c r="AF3249" s="1">
        <v>10044</v>
      </c>
      <c r="AJ3249" s="1">
        <v>1975</v>
      </c>
      <c r="AL3249" s="1">
        <v>400</v>
      </c>
    </row>
    <row r="3250" spans="1:38" x14ac:dyDescent="0.2">
      <c r="A3250" s="2" t="str">
        <f>HYPERLINK("https://www.compass.com/listing/551-main-street-unit-res-manhattan-ny-10044/313650159145210481/","551 Main St, Unit RES")</f>
        <v>551 Main St, Unit RES</v>
      </c>
      <c r="B3250" s="2" t="str">
        <f t="shared" si="408"/>
        <v>Island House</v>
      </c>
      <c r="C3250" s="1" t="s">
        <v>128</v>
      </c>
      <c r="D3250" s="1" t="s">
        <v>41</v>
      </c>
      <c r="E3250" s="3">
        <v>496917</v>
      </c>
      <c r="Q3250" s="1" t="s">
        <v>129</v>
      </c>
      <c r="S3250" s="1" t="s">
        <v>129</v>
      </c>
      <c r="T3250" s="1" t="s">
        <v>170</v>
      </c>
      <c r="AA3250" s="1">
        <v>496916.5</v>
      </c>
      <c r="AB3250" s="1" t="s">
        <v>2469</v>
      </c>
      <c r="AC3250" s="5">
        <v>42215</v>
      </c>
      <c r="AF3250" s="1">
        <v>10044</v>
      </c>
      <c r="AJ3250" s="1">
        <v>1975</v>
      </c>
      <c r="AL3250" s="1">
        <v>400</v>
      </c>
    </row>
    <row r="3251" spans="1:38" x14ac:dyDescent="0.2">
      <c r="A3251" s="2" t="str">
        <f>HYPERLINK("https://www.compass.com/listing/551-main-street-unit-res-manhattan-ny-10044/313650159145210561/","551 Main St, Unit RES")</f>
        <v>551 Main St, Unit RES</v>
      </c>
      <c r="B3251" s="2" t="str">
        <f t="shared" si="408"/>
        <v>Island House</v>
      </c>
      <c r="C3251" s="1" t="s">
        <v>128</v>
      </c>
      <c r="D3251" s="1" t="s">
        <v>41</v>
      </c>
      <c r="E3251" s="3">
        <v>391394</v>
      </c>
      <c r="Q3251" s="1" t="s">
        <v>129</v>
      </c>
      <c r="S3251" s="1" t="s">
        <v>129</v>
      </c>
      <c r="T3251" s="1" t="s">
        <v>170</v>
      </c>
      <c r="AA3251" s="1">
        <v>391394.4</v>
      </c>
      <c r="AB3251" s="1" t="s">
        <v>2470</v>
      </c>
      <c r="AC3251" s="5">
        <v>42212</v>
      </c>
      <c r="AF3251" s="1">
        <v>10044</v>
      </c>
      <c r="AJ3251" s="1">
        <v>1975</v>
      </c>
      <c r="AL3251" s="1">
        <v>400</v>
      </c>
    </row>
    <row r="3252" spans="1:38" x14ac:dyDescent="0.2">
      <c r="A3252" s="2" t="str">
        <f>HYPERLINK("https://www.compass.com/listing/551-main-street-unit-res-manhattan-ny-10044/313650159145210577/","551 Main St, Unit RES")</f>
        <v>551 Main St, Unit RES</v>
      </c>
      <c r="B3252" s="2" t="str">
        <f t="shared" si="408"/>
        <v>Island House</v>
      </c>
      <c r="C3252" s="1" t="s">
        <v>128</v>
      </c>
      <c r="D3252" s="1" t="s">
        <v>41</v>
      </c>
      <c r="E3252" s="3">
        <v>771756</v>
      </c>
      <c r="Q3252" s="1" t="s">
        <v>129</v>
      </c>
      <c r="S3252" s="1" t="s">
        <v>129</v>
      </c>
      <c r="T3252" s="1" t="s">
        <v>170</v>
      </c>
      <c r="AB3252" s="1" t="s">
        <v>44</v>
      </c>
      <c r="AF3252" s="1">
        <v>10044</v>
      </c>
      <c r="AJ3252" s="1">
        <v>1975</v>
      </c>
      <c r="AL3252" s="1">
        <v>400</v>
      </c>
    </row>
    <row r="3253" spans="1:38" x14ac:dyDescent="0.2">
      <c r="A3253" s="2" t="str">
        <f>HYPERLINK("https://www.compass.com/listing/551-main-street-unit-res-manhattan-ny-10044/313650159145210689/","551 Main St, Unit RES")</f>
        <v>551 Main St, Unit RES</v>
      </c>
      <c r="B3253" s="2" t="str">
        <f t="shared" si="408"/>
        <v>Island House</v>
      </c>
      <c r="C3253" s="1" t="s">
        <v>128</v>
      </c>
      <c r="D3253" s="1" t="s">
        <v>41</v>
      </c>
      <c r="E3253" s="3">
        <v>300112</v>
      </c>
      <c r="Q3253" s="1" t="s">
        <v>129</v>
      </c>
      <c r="S3253" s="1" t="s">
        <v>129</v>
      </c>
      <c r="T3253" s="1" t="s">
        <v>170</v>
      </c>
      <c r="AB3253" s="1" t="s">
        <v>44</v>
      </c>
      <c r="AF3253" s="1">
        <v>10044</v>
      </c>
      <c r="AJ3253" s="1">
        <v>1975</v>
      </c>
      <c r="AL3253" s="1">
        <v>400</v>
      </c>
    </row>
    <row r="3254" spans="1:38" x14ac:dyDescent="0.2">
      <c r="A3254" s="2" t="str">
        <f>HYPERLINK("https://www.compass.com/listing/551-main-street-unit-res-manhattan-ny-10044/313650159145210721/","551 Main St, Unit RES")</f>
        <v>551 Main St, Unit RES</v>
      </c>
      <c r="B3254" s="2" t="str">
        <f t="shared" si="408"/>
        <v>Island House</v>
      </c>
      <c r="C3254" s="1" t="s">
        <v>128</v>
      </c>
      <c r="D3254" s="1" t="s">
        <v>41</v>
      </c>
      <c r="E3254" s="3">
        <v>273591</v>
      </c>
      <c r="Q3254" s="1" t="s">
        <v>129</v>
      </c>
      <c r="S3254" s="1" t="s">
        <v>129</v>
      </c>
      <c r="T3254" s="1" t="s">
        <v>170</v>
      </c>
      <c r="AB3254" s="1" t="s">
        <v>44</v>
      </c>
      <c r="AF3254" s="1">
        <v>10044</v>
      </c>
      <c r="AJ3254" s="1">
        <v>1975</v>
      </c>
      <c r="AL3254" s="1">
        <v>400</v>
      </c>
    </row>
    <row r="3255" spans="1:38" x14ac:dyDescent="0.2">
      <c r="A3255" s="2" t="str">
        <f>HYPERLINK("https://www.compass.com/listing/551-main-street-unit-res-manhattan-ny-10044/313650159145210881/","551 Main St, Unit RES")</f>
        <v>551 Main St, Unit RES</v>
      </c>
      <c r="B3255" s="2" t="str">
        <f t="shared" si="408"/>
        <v>Island House</v>
      </c>
      <c r="C3255" s="1" t="s">
        <v>128</v>
      </c>
      <c r="D3255" s="1" t="s">
        <v>41</v>
      </c>
      <c r="E3255" s="3">
        <v>228930</v>
      </c>
      <c r="Q3255" s="1" t="s">
        <v>129</v>
      </c>
      <c r="S3255" s="1" t="s">
        <v>129</v>
      </c>
      <c r="T3255" s="1" t="s">
        <v>170</v>
      </c>
      <c r="AB3255" s="1" t="s">
        <v>44</v>
      </c>
      <c r="AF3255" s="1">
        <v>10044</v>
      </c>
      <c r="AJ3255" s="1">
        <v>1975</v>
      </c>
      <c r="AL3255" s="1">
        <v>400</v>
      </c>
    </row>
    <row r="3256" spans="1:38" x14ac:dyDescent="0.2">
      <c r="A3256" s="2" t="str">
        <f>HYPERLINK("https://www.compass.com/listing/551-main-street-unit-res-manhattan-ny-10044/313650159145211105/","551 Main St, Unit RES")</f>
        <v>551 Main St, Unit RES</v>
      </c>
      <c r="B3256" s="2" t="str">
        <f t="shared" si="408"/>
        <v>Island House</v>
      </c>
      <c r="C3256" s="1" t="s">
        <v>128</v>
      </c>
      <c r="D3256" s="1" t="s">
        <v>41</v>
      </c>
      <c r="E3256" s="3">
        <v>469099</v>
      </c>
      <c r="Q3256" s="1" t="s">
        <v>129</v>
      </c>
      <c r="S3256" s="1" t="s">
        <v>129</v>
      </c>
      <c r="T3256" s="1" t="s">
        <v>170</v>
      </c>
      <c r="AB3256" s="1" t="s">
        <v>44</v>
      </c>
      <c r="AF3256" s="1">
        <v>10044</v>
      </c>
      <c r="AJ3256" s="1">
        <v>1975</v>
      </c>
      <c r="AL3256" s="1">
        <v>400</v>
      </c>
    </row>
    <row r="3257" spans="1:38" x14ac:dyDescent="0.2">
      <c r="A3257" s="2" t="str">
        <f>HYPERLINK("https://www.compass.com/listing/551-main-street-unit-res-manhattan-ny-10044/313650159145211153/","551 Main St, Unit RES")</f>
        <v>551 Main St, Unit RES</v>
      </c>
      <c r="B3257" s="2" t="str">
        <f t="shared" si="408"/>
        <v>Island House</v>
      </c>
      <c r="C3257" s="1" t="s">
        <v>128</v>
      </c>
      <c r="D3257" s="1" t="s">
        <v>41</v>
      </c>
      <c r="E3257" s="3">
        <v>383993</v>
      </c>
      <c r="Q3257" s="1" t="s">
        <v>129</v>
      </c>
      <c r="S3257" s="1" t="s">
        <v>129</v>
      </c>
      <c r="T3257" s="1" t="s">
        <v>170</v>
      </c>
      <c r="AA3257" s="1">
        <v>383993</v>
      </c>
      <c r="AB3257" s="1" t="s">
        <v>2471</v>
      </c>
      <c r="AC3257" s="5">
        <v>42207</v>
      </c>
      <c r="AF3257" s="1">
        <v>10044</v>
      </c>
      <c r="AJ3257" s="1">
        <v>1975</v>
      </c>
      <c r="AL3257" s="1">
        <v>400</v>
      </c>
    </row>
    <row r="3258" spans="1:38" x14ac:dyDescent="0.2">
      <c r="A3258" s="2" t="str">
        <f>HYPERLINK("https://www.compass.com/listing/551-main-street-unit-res-manhattan-ny-10044/313650159145211185/","551 Main St, Unit RES")</f>
        <v>551 Main St, Unit RES</v>
      </c>
      <c r="B3258" s="2" t="str">
        <f t="shared" si="408"/>
        <v>Island House</v>
      </c>
      <c r="C3258" s="1" t="s">
        <v>128</v>
      </c>
      <c r="D3258" s="1" t="s">
        <v>41</v>
      </c>
      <c r="E3258" s="3">
        <v>311424</v>
      </c>
      <c r="Q3258" s="1" t="s">
        <v>129</v>
      </c>
      <c r="S3258" s="1" t="s">
        <v>129</v>
      </c>
      <c r="T3258" s="1" t="s">
        <v>170</v>
      </c>
      <c r="AA3258" s="1">
        <v>311423.90000000002</v>
      </c>
      <c r="AB3258" s="1" t="s">
        <v>2472</v>
      </c>
      <c r="AC3258" s="5">
        <v>42212</v>
      </c>
      <c r="AF3258" s="1">
        <v>10044</v>
      </c>
      <c r="AJ3258" s="1">
        <v>1975</v>
      </c>
      <c r="AL3258" s="1">
        <v>400</v>
      </c>
    </row>
    <row r="3259" spans="1:38" x14ac:dyDescent="0.2">
      <c r="A3259" s="2" t="str">
        <f>HYPERLINK("https://www.compass.com/listing/551-main-street-unit-res-manhattan-ny-10044/313650159145211201/","551 Main St, Unit RES")</f>
        <v>551 Main St, Unit RES</v>
      </c>
      <c r="B3259" s="2" t="str">
        <f t="shared" si="408"/>
        <v>Island House</v>
      </c>
      <c r="C3259" s="1" t="s">
        <v>128</v>
      </c>
      <c r="D3259" s="1" t="s">
        <v>41</v>
      </c>
      <c r="E3259" s="3">
        <v>276242</v>
      </c>
      <c r="Q3259" s="1" t="s">
        <v>129</v>
      </c>
      <c r="S3259" s="1" t="s">
        <v>129</v>
      </c>
      <c r="T3259" s="1" t="s">
        <v>170</v>
      </c>
      <c r="AA3259" s="1">
        <v>276241.90000000002</v>
      </c>
      <c r="AB3259" s="1" t="s">
        <v>2473</v>
      </c>
      <c r="AC3259" s="5">
        <v>42208</v>
      </c>
      <c r="AF3259" s="1">
        <v>10044</v>
      </c>
      <c r="AJ3259" s="1">
        <v>1975</v>
      </c>
      <c r="AL3259" s="1">
        <v>400</v>
      </c>
    </row>
    <row r="3260" spans="1:38" x14ac:dyDescent="0.2">
      <c r="A3260" s="2" t="str">
        <f>HYPERLINK("https://www.compass.com/listing/551-main-street-unit-res-manhattan-ny-10044/313650159145211281/","551 Main St, Unit RES")</f>
        <v>551 Main St, Unit RES</v>
      </c>
      <c r="B3260" s="2" t="str">
        <f t="shared" si="408"/>
        <v>Island House</v>
      </c>
      <c r="C3260" s="1" t="s">
        <v>128</v>
      </c>
      <c r="D3260" s="1" t="s">
        <v>41</v>
      </c>
      <c r="E3260" s="3">
        <v>318755</v>
      </c>
      <c r="Q3260" s="1" t="s">
        <v>129</v>
      </c>
      <c r="S3260" s="1" t="s">
        <v>129</v>
      </c>
      <c r="T3260" s="1" t="s">
        <v>170</v>
      </c>
      <c r="AA3260" s="1">
        <v>318755.3</v>
      </c>
      <c r="AB3260" s="1" t="s">
        <v>2474</v>
      </c>
      <c r="AC3260" s="5">
        <v>42207</v>
      </c>
      <c r="AF3260" s="1">
        <v>10044</v>
      </c>
      <c r="AJ3260" s="1">
        <v>1975</v>
      </c>
      <c r="AL3260" s="1">
        <v>400</v>
      </c>
    </row>
    <row r="3261" spans="1:38" x14ac:dyDescent="0.2">
      <c r="A3261" s="2" t="str">
        <f>HYPERLINK("https://www.compass.com/listing/551-main-street-unit-res-manhattan-ny-10044/313650159145211329/","551 Main St, Unit RES")</f>
        <v>551 Main St, Unit RES</v>
      </c>
      <c r="B3261" s="2" t="str">
        <f t="shared" si="408"/>
        <v>Island House</v>
      </c>
      <c r="C3261" s="1" t="s">
        <v>128</v>
      </c>
      <c r="D3261" s="1" t="s">
        <v>41</v>
      </c>
      <c r="E3261" s="3">
        <v>433590</v>
      </c>
      <c r="Q3261" s="1" t="s">
        <v>129</v>
      </c>
      <c r="S3261" s="1" t="s">
        <v>129</v>
      </c>
      <c r="T3261" s="1" t="s">
        <v>170</v>
      </c>
      <c r="AB3261" s="1" t="s">
        <v>44</v>
      </c>
      <c r="AF3261" s="1">
        <v>10044</v>
      </c>
      <c r="AJ3261" s="1">
        <v>1975</v>
      </c>
      <c r="AL3261" s="1">
        <v>400</v>
      </c>
    </row>
    <row r="3262" spans="1:38" x14ac:dyDescent="0.2">
      <c r="A3262" s="2" t="str">
        <f>HYPERLINK("https://www.compass.com/listing/551-main-street-unit-res-manhattan-ny-10044/313650159145211473/","551 Main St, Unit RES")</f>
        <v>551 Main St, Unit RES</v>
      </c>
      <c r="B3262" s="2" t="str">
        <f t="shared" si="408"/>
        <v>Island House</v>
      </c>
      <c r="C3262" s="1" t="s">
        <v>128</v>
      </c>
      <c r="D3262" s="1" t="s">
        <v>41</v>
      </c>
      <c r="E3262" s="3">
        <v>199814</v>
      </c>
      <c r="Q3262" s="1" t="s">
        <v>129</v>
      </c>
      <c r="S3262" s="1" t="s">
        <v>129</v>
      </c>
      <c r="T3262" s="1" t="s">
        <v>170</v>
      </c>
      <c r="AB3262" s="1" t="s">
        <v>44</v>
      </c>
      <c r="AF3262" s="1">
        <v>10044</v>
      </c>
      <c r="AJ3262" s="1">
        <v>1975</v>
      </c>
      <c r="AL3262" s="1">
        <v>400</v>
      </c>
    </row>
    <row r="3263" spans="1:38" x14ac:dyDescent="0.2">
      <c r="A3263" s="2" t="str">
        <f>HYPERLINK("https://www.compass.com/listing/551-main-street-unit-res-manhattan-ny-10044/313650159145211521/","551 Main St, Unit RES")</f>
        <v>551 Main St, Unit RES</v>
      </c>
      <c r="B3263" s="2" t="str">
        <f t="shared" si="408"/>
        <v>Island House</v>
      </c>
      <c r="C3263" s="1" t="s">
        <v>128</v>
      </c>
      <c r="D3263" s="1" t="s">
        <v>41</v>
      </c>
      <c r="E3263" s="3">
        <v>197937</v>
      </c>
      <c r="Q3263" s="1" t="s">
        <v>129</v>
      </c>
      <c r="S3263" s="1" t="s">
        <v>129</v>
      </c>
      <c r="T3263" s="1" t="s">
        <v>170</v>
      </c>
      <c r="AA3263" s="1">
        <v>197937.2</v>
      </c>
      <c r="AB3263" s="1" t="s">
        <v>2475</v>
      </c>
      <c r="AC3263" s="5">
        <v>42206</v>
      </c>
      <c r="AF3263" s="1">
        <v>10044</v>
      </c>
      <c r="AJ3263" s="1">
        <v>1975</v>
      </c>
      <c r="AL3263" s="1">
        <v>400</v>
      </c>
    </row>
    <row r="3264" spans="1:38" x14ac:dyDescent="0.2">
      <c r="A3264" s="2" t="str">
        <f>HYPERLINK("https://www.compass.com/listing/551-main-street-unit-res-manhattan-ny-10044/313650159145211553/","551 Main St, Unit RES")</f>
        <v>551 Main St, Unit RES</v>
      </c>
      <c r="B3264" s="2" t="str">
        <f t="shared" si="408"/>
        <v>Island House</v>
      </c>
      <c r="C3264" s="1" t="s">
        <v>128</v>
      </c>
      <c r="D3264" s="1" t="s">
        <v>41</v>
      </c>
      <c r="E3264" s="3">
        <v>411566</v>
      </c>
      <c r="Q3264" s="1" t="s">
        <v>129</v>
      </c>
      <c r="S3264" s="1" t="s">
        <v>129</v>
      </c>
      <c r="T3264" s="1" t="s">
        <v>170</v>
      </c>
      <c r="AB3264" s="1" t="s">
        <v>44</v>
      </c>
      <c r="AF3264" s="1">
        <v>10044</v>
      </c>
      <c r="AJ3264" s="1">
        <v>1975</v>
      </c>
      <c r="AL3264" s="1">
        <v>400</v>
      </c>
    </row>
    <row r="3265" spans="1:38" x14ac:dyDescent="0.2">
      <c r="A3265" s="2" t="str">
        <f>HYPERLINK("https://www.compass.com/listing/551-main-street-unit-res-manhattan-ny-10044/313650159145211633/","551 Main St, Unit RES")</f>
        <v>551 Main St, Unit RES</v>
      </c>
      <c r="B3265" s="2" t="str">
        <f t="shared" si="408"/>
        <v>Island House</v>
      </c>
      <c r="C3265" s="1" t="s">
        <v>128</v>
      </c>
      <c r="D3265" s="1" t="s">
        <v>41</v>
      </c>
      <c r="E3265" s="3">
        <v>310755</v>
      </c>
      <c r="Q3265" s="1" t="s">
        <v>129</v>
      </c>
      <c r="S3265" s="1" t="s">
        <v>129</v>
      </c>
      <c r="T3265" s="1" t="s">
        <v>170</v>
      </c>
      <c r="AB3265" s="1" t="s">
        <v>44</v>
      </c>
      <c r="AF3265" s="1">
        <v>10044</v>
      </c>
      <c r="AJ3265" s="1">
        <v>1975</v>
      </c>
      <c r="AL3265" s="1">
        <v>400</v>
      </c>
    </row>
    <row r="3266" spans="1:38" x14ac:dyDescent="0.2">
      <c r="A3266" s="2" t="str">
        <f>HYPERLINK("https://www.compass.com/listing/551-main-street-unit-res-manhattan-ny-10044/313650159145211729/","551 Main St, Unit RES")</f>
        <v>551 Main St, Unit RES</v>
      </c>
      <c r="B3266" s="2" t="str">
        <f t="shared" si="408"/>
        <v>Island House</v>
      </c>
      <c r="C3266" s="1" t="s">
        <v>128</v>
      </c>
      <c r="D3266" s="1" t="s">
        <v>41</v>
      </c>
      <c r="E3266" s="3">
        <v>466858</v>
      </c>
      <c r="Q3266" s="1" t="s">
        <v>129</v>
      </c>
      <c r="S3266" s="1" t="s">
        <v>129</v>
      </c>
      <c r="T3266" s="1" t="s">
        <v>170</v>
      </c>
      <c r="AA3266" s="1">
        <v>466857.8</v>
      </c>
      <c r="AB3266" s="1" t="s">
        <v>2476</v>
      </c>
      <c r="AC3266" s="5">
        <v>42215</v>
      </c>
      <c r="AF3266" s="1">
        <v>10044</v>
      </c>
      <c r="AJ3266" s="1">
        <v>1975</v>
      </c>
      <c r="AL3266" s="1">
        <v>400</v>
      </c>
    </row>
    <row r="3267" spans="1:38" x14ac:dyDescent="0.2">
      <c r="A3267" s="2" t="str">
        <f>HYPERLINK("https://www.compass.com/listing/551-main-street-unit-res-manhattan-ny-10044/313650159145211793/","551 Main St, Unit RES")</f>
        <v>551 Main St, Unit RES</v>
      </c>
      <c r="B3267" s="2" t="str">
        <f t="shared" si="408"/>
        <v>Island House</v>
      </c>
      <c r="C3267" s="1" t="s">
        <v>128</v>
      </c>
      <c r="D3267" s="1" t="s">
        <v>41</v>
      </c>
      <c r="E3267" s="3">
        <v>311424</v>
      </c>
      <c r="Q3267" s="1" t="s">
        <v>129</v>
      </c>
      <c r="S3267" s="1" t="s">
        <v>129</v>
      </c>
      <c r="T3267" s="1" t="s">
        <v>170</v>
      </c>
      <c r="AB3267" s="1" t="s">
        <v>44</v>
      </c>
      <c r="AF3267" s="1">
        <v>10044</v>
      </c>
      <c r="AJ3267" s="1">
        <v>1975</v>
      </c>
      <c r="AL3267" s="1">
        <v>400</v>
      </c>
    </row>
    <row r="3268" spans="1:38" x14ac:dyDescent="0.2">
      <c r="A3268" s="2" t="str">
        <f>HYPERLINK("https://www.compass.com/listing/551-main-street-unit-res-manhattan-ny-10044/313650159145211825/","551 Main St, Unit RES")</f>
        <v>551 Main St, Unit RES</v>
      </c>
      <c r="B3268" s="2" t="str">
        <f t="shared" si="408"/>
        <v>Island House</v>
      </c>
      <c r="C3268" s="1" t="s">
        <v>128</v>
      </c>
      <c r="D3268" s="1" t="s">
        <v>41</v>
      </c>
      <c r="E3268" s="3">
        <v>286847</v>
      </c>
      <c r="Q3268" s="1" t="s">
        <v>129</v>
      </c>
      <c r="S3268" s="1" t="s">
        <v>129</v>
      </c>
      <c r="T3268" s="1" t="s">
        <v>170</v>
      </c>
      <c r="AB3268" s="1" t="s">
        <v>44</v>
      </c>
      <c r="AF3268" s="1">
        <v>10044</v>
      </c>
      <c r="AJ3268" s="1">
        <v>1975</v>
      </c>
      <c r="AL3268" s="1">
        <v>400</v>
      </c>
    </row>
    <row r="3269" spans="1:38" x14ac:dyDescent="0.2">
      <c r="A3269" s="2" t="str">
        <f>HYPERLINK("https://www.compass.com/listing/551-main-street-unit-res-manhattan-ny-10044/313650159145211953/","551 Main St, Unit RES")</f>
        <v>551 Main St, Unit RES</v>
      </c>
      <c r="B3269" s="2" t="str">
        <f t="shared" si="408"/>
        <v>Island House</v>
      </c>
      <c r="C3269" s="1" t="s">
        <v>128</v>
      </c>
      <c r="D3269" s="1" t="s">
        <v>41</v>
      </c>
      <c r="E3269" s="3">
        <v>302486</v>
      </c>
      <c r="Q3269" s="1" t="s">
        <v>129</v>
      </c>
      <c r="S3269" s="1" t="s">
        <v>129</v>
      </c>
      <c r="T3269" s="1" t="s">
        <v>170</v>
      </c>
      <c r="AB3269" s="1" t="s">
        <v>44</v>
      </c>
      <c r="AF3269" s="1">
        <v>10044</v>
      </c>
      <c r="AJ3269" s="1">
        <v>1975</v>
      </c>
      <c r="AL3269" s="1">
        <v>400</v>
      </c>
    </row>
    <row r="3270" spans="1:38" x14ac:dyDescent="0.2">
      <c r="A3270" s="2" t="str">
        <f>HYPERLINK("https://www.compass.com/listing/551-main-street-unit-res-manhattan-ny-10044/313650159145212017/","551 Main St, Unit RES")</f>
        <v>551 Main St, Unit RES</v>
      </c>
      <c r="B3270" s="2" t="str">
        <f t="shared" si="408"/>
        <v>Island House</v>
      </c>
      <c r="C3270" s="1" t="s">
        <v>128</v>
      </c>
      <c r="D3270" s="1" t="s">
        <v>41</v>
      </c>
      <c r="E3270" s="3">
        <v>228930</v>
      </c>
      <c r="Q3270" s="1" t="s">
        <v>129</v>
      </c>
      <c r="S3270" s="1" t="s">
        <v>129</v>
      </c>
      <c r="T3270" s="1" t="s">
        <v>170</v>
      </c>
      <c r="AA3270" s="1">
        <v>228930.3</v>
      </c>
      <c r="AB3270" s="1" t="s">
        <v>2477</v>
      </c>
      <c r="AC3270" s="5">
        <v>42208</v>
      </c>
      <c r="AF3270" s="1">
        <v>10044</v>
      </c>
      <c r="AJ3270" s="1">
        <v>1975</v>
      </c>
      <c r="AL3270" s="1">
        <v>400</v>
      </c>
    </row>
    <row r="3271" spans="1:38" x14ac:dyDescent="0.2">
      <c r="A3271" s="2" t="str">
        <f>HYPERLINK("https://www.compass.com/listing/252-south-street-unit-30e-manhattan-ny-10002/317775254679839761/","252 South St, Unit 30E")</f>
        <v>252 South St, Unit 30E</v>
      </c>
      <c r="B3271" s="2" t="str">
        <f t="shared" ref="B3271:B3276" si="409">HYPERLINK("https://www.compass.com/building/one-manhattan-square-manhattan-ny/294844950218926165/","One Manhattan Square")</f>
        <v>One Manhattan Square</v>
      </c>
      <c r="C3271" s="1" t="s">
        <v>66</v>
      </c>
      <c r="D3271" s="1" t="s">
        <v>41</v>
      </c>
      <c r="E3271" s="3">
        <v>2464907</v>
      </c>
      <c r="F3271" s="1">
        <v>2194.9308993766599</v>
      </c>
      <c r="M3271" s="4">
        <v>1123</v>
      </c>
      <c r="Q3271" s="1" t="s">
        <v>42</v>
      </c>
      <c r="S3271" s="1" t="s">
        <v>42</v>
      </c>
      <c r="T3271" s="1" t="s">
        <v>170</v>
      </c>
      <c r="AA3271" s="1">
        <v>2464907.4</v>
      </c>
      <c r="AB3271" s="1" t="s">
        <v>2478</v>
      </c>
      <c r="AC3271" s="5">
        <v>43641</v>
      </c>
      <c r="AF3271" s="1">
        <v>10002</v>
      </c>
      <c r="AI3271" s="1" t="s">
        <v>55</v>
      </c>
      <c r="AJ3271" s="1">
        <v>2019</v>
      </c>
      <c r="AK3271" s="1" t="s">
        <v>46</v>
      </c>
      <c r="AL3271" s="1">
        <v>787</v>
      </c>
    </row>
    <row r="3272" spans="1:38" x14ac:dyDescent="0.2">
      <c r="A3272" s="2" t="str">
        <f>HYPERLINK("https://www.compass.com/listing/252-south-street-unit-38m-manhattan-ny-10002/317775260333777505/","252 South St, Unit 38M")</f>
        <v>252 South St, Unit 38M</v>
      </c>
      <c r="B3272" s="2" t="str">
        <f t="shared" si="409"/>
        <v>One Manhattan Square</v>
      </c>
      <c r="C3272" s="1" t="s">
        <v>66</v>
      </c>
      <c r="D3272" s="1" t="s">
        <v>41</v>
      </c>
      <c r="E3272" s="3">
        <v>1366923</v>
      </c>
      <c r="F3272" s="1">
        <v>1966.7950359712199</v>
      </c>
      <c r="M3272" s="1">
        <v>695</v>
      </c>
      <c r="Q3272" s="1" t="s">
        <v>42</v>
      </c>
      <c r="S3272" s="1" t="s">
        <v>42</v>
      </c>
      <c r="T3272" s="1" t="s">
        <v>170</v>
      </c>
      <c r="AA3272" s="1">
        <v>1366922.55</v>
      </c>
      <c r="AB3272" s="1" t="s">
        <v>2479</v>
      </c>
      <c r="AC3272" s="5">
        <v>43679</v>
      </c>
      <c r="AF3272" s="1">
        <v>10002</v>
      </c>
      <c r="AI3272" s="1" t="s">
        <v>55</v>
      </c>
      <c r="AJ3272" s="1">
        <v>2019</v>
      </c>
      <c r="AK3272" s="1" t="s">
        <v>46</v>
      </c>
      <c r="AL3272" s="1">
        <v>787</v>
      </c>
    </row>
    <row r="3273" spans="1:38" x14ac:dyDescent="0.2">
      <c r="A3273" s="2" t="str">
        <f>HYPERLINK("https://www.compass.com/listing/252-south-street-unit-25d-manhattan-ny-10002/319949619563479089/","252 South St, Unit 25D")</f>
        <v>252 South St, Unit 25D</v>
      </c>
      <c r="B3273" s="2" t="str">
        <f t="shared" si="409"/>
        <v>One Manhattan Square</v>
      </c>
      <c r="C3273" s="1" t="s">
        <v>66</v>
      </c>
      <c r="D3273" s="1" t="s">
        <v>41</v>
      </c>
      <c r="E3273" s="3">
        <v>2511339</v>
      </c>
      <c r="F3273" s="1">
        <v>2236.2771148708798</v>
      </c>
      <c r="M3273" s="4">
        <v>1123</v>
      </c>
      <c r="Q3273" s="1" t="s">
        <v>42</v>
      </c>
      <c r="S3273" s="1" t="s">
        <v>42</v>
      </c>
      <c r="T3273" s="1" t="s">
        <v>170</v>
      </c>
      <c r="AA3273" s="1">
        <v>2511339.2000000002</v>
      </c>
      <c r="AB3273" s="1" t="s">
        <v>2480</v>
      </c>
      <c r="AC3273" s="5">
        <v>43643</v>
      </c>
      <c r="AF3273" s="1">
        <v>10002</v>
      </c>
      <c r="AI3273" s="1" t="s">
        <v>55</v>
      </c>
      <c r="AJ3273" s="1">
        <v>2019</v>
      </c>
      <c r="AK3273" s="1" t="s">
        <v>46</v>
      </c>
      <c r="AL3273" s="1">
        <v>787</v>
      </c>
    </row>
    <row r="3274" spans="1:38" x14ac:dyDescent="0.2">
      <c r="A3274" s="2" t="str">
        <f>HYPERLINK("https://www.compass.com/listing/252-south-street-unit-23d-manhattan-ny-10002/322848413997290337/","252 South St, Unit 23D")</f>
        <v>252 South St, Unit 23D</v>
      </c>
      <c r="B3274" s="2" t="str">
        <f t="shared" si="409"/>
        <v>One Manhattan Square</v>
      </c>
      <c r="C3274" s="1" t="s">
        <v>66</v>
      </c>
      <c r="D3274" s="1" t="s">
        <v>41</v>
      </c>
      <c r="E3274" s="3">
        <v>2519355</v>
      </c>
      <c r="F3274" s="1">
        <v>2243.4152983080999</v>
      </c>
      <c r="M3274" s="4">
        <v>1123</v>
      </c>
      <c r="Q3274" s="1" t="s">
        <v>42</v>
      </c>
      <c r="S3274" s="1" t="s">
        <v>42</v>
      </c>
      <c r="T3274" s="1" t="s">
        <v>170</v>
      </c>
      <c r="AA3274" s="1">
        <v>2519355.38</v>
      </c>
      <c r="AB3274" s="1" t="s">
        <v>2481</v>
      </c>
      <c r="AC3274" s="5">
        <v>43670</v>
      </c>
      <c r="AF3274" s="1">
        <v>10002</v>
      </c>
      <c r="AI3274" s="1" t="s">
        <v>55</v>
      </c>
      <c r="AJ3274" s="1">
        <v>2019</v>
      </c>
      <c r="AK3274" s="1" t="s">
        <v>46</v>
      </c>
      <c r="AL3274" s="1">
        <v>787</v>
      </c>
    </row>
    <row r="3275" spans="1:38" x14ac:dyDescent="0.2">
      <c r="A3275" s="2" t="str">
        <f>HYPERLINK("https://www.compass.com/listing/252-south-street-unit-24c-manhattan-ny-10002/322848416983634881/","252 South St, Unit 24C")</f>
        <v>252 South St, Unit 24C</v>
      </c>
      <c r="B3275" s="2" t="str">
        <f t="shared" si="409"/>
        <v>One Manhattan Square</v>
      </c>
      <c r="C3275" s="1" t="s">
        <v>66</v>
      </c>
      <c r="D3275" s="1" t="s">
        <v>41</v>
      </c>
      <c r="E3275" s="3">
        <v>1431001</v>
      </c>
      <c r="F3275" s="1">
        <v>2058.9940719424399</v>
      </c>
      <c r="M3275" s="1">
        <v>695</v>
      </c>
      <c r="Q3275" s="1" t="s">
        <v>42</v>
      </c>
      <c r="S3275" s="1" t="s">
        <v>42</v>
      </c>
      <c r="T3275" s="1" t="s">
        <v>170</v>
      </c>
      <c r="AA3275" s="1">
        <v>1431000.88</v>
      </c>
      <c r="AB3275" s="1" t="s">
        <v>2482</v>
      </c>
      <c r="AC3275" s="5">
        <v>43623</v>
      </c>
      <c r="AF3275" s="1">
        <v>10002</v>
      </c>
      <c r="AI3275" s="1" t="s">
        <v>55</v>
      </c>
      <c r="AJ3275" s="1">
        <v>2019</v>
      </c>
      <c r="AK3275" s="1" t="s">
        <v>46</v>
      </c>
      <c r="AL3275" s="1">
        <v>787</v>
      </c>
    </row>
    <row r="3276" spans="1:38" x14ac:dyDescent="0.2">
      <c r="A3276" s="2" t="str">
        <f>HYPERLINK("https://www.compass.com/listing/252-south-street-unit-53k-manhattan-ny-10002/322848445916051313/","252 South St, Unit 53K")</f>
        <v>252 South St, Unit 53K</v>
      </c>
      <c r="B3276" s="2" t="str">
        <f t="shared" si="409"/>
        <v>One Manhattan Square</v>
      </c>
      <c r="C3276" s="1" t="s">
        <v>66</v>
      </c>
      <c r="D3276" s="1" t="s">
        <v>41</v>
      </c>
      <c r="E3276" s="3">
        <v>2363774</v>
      </c>
      <c r="F3276" s="1">
        <v>2104.8745235974998</v>
      </c>
      <c r="M3276" s="4">
        <v>1123</v>
      </c>
      <c r="Q3276" s="1" t="s">
        <v>42</v>
      </c>
      <c r="S3276" s="1" t="s">
        <v>42</v>
      </c>
      <c r="T3276" s="1" t="s">
        <v>170</v>
      </c>
      <c r="AA3276" s="1">
        <v>2363774.09</v>
      </c>
      <c r="AB3276" s="1" t="s">
        <v>2483</v>
      </c>
      <c r="AC3276" s="5">
        <v>43685</v>
      </c>
      <c r="AF3276" s="1">
        <v>10002</v>
      </c>
      <c r="AI3276" s="1" t="s">
        <v>55</v>
      </c>
      <c r="AJ3276" s="1">
        <v>2019</v>
      </c>
      <c r="AK3276" s="1" t="s">
        <v>46</v>
      </c>
      <c r="AL3276" s="1">
        <v>787</v>
      </c>
    </row>
    <row r="3277" spans="1:38" x14ac:dyDescent="0.2">
      <c r="A3277" s="2" t="str">
        <f>HYPERLINK("https://www.compass.com/listing/49-51-chambers-street-unit-14e-manhattan-ny-10007/324762006326150577/","49-51 Chambers St, Unit 14E")</f>
        <v>49-51 Chambers St, Unit 14E</v>
      </c>
      <c r="B3277" s="2" t="str">
        <f>HYPERLINK("https://www.compass.com/building/49-51-chambers-st-manhattan-ny-10007/441163040348878029/","49-51 Chambers St")</f>
        <v>49-51 Chambers St</v>
      </c>
      <c r="C3277" s="1" t="s">
        <v>956</v>
      </c>
      <c r="D3277" s="1" t="s">
        <v>41</v>
      </c>
      <c r="E3277" s="3">
        <v>7300000</v>
      </c>
      <c r="F3277" s="1">
        <v>1851.3821962972299</v>
      </c>
      <c r="M3277" s="4">
        <v>3943</v>
      </c>
      <c r="Q3277" s="1" t="s">
        <v>42</v>
      </c>
      <c r="S3277" s="1" t="s">
        <v>42</v>
      </c>
      <c r="T3277" s="1" t="s">
        <v>170</v>
      </c>
      <c r="AA3277" s="1">
        <v>7300000</v>
      </c>
      <c r="AB3277" s="1" t="s">
        <v>2484</v>
      </c>
      <c r="AC3277" s="5">
        <v>43636</v>
      </c>
      <c r="AF3277" s="1">
        <v>10007</v>
      </c>
    </row>
    <row r="3278" spans="1:38" x14ac:dyDescent="0.2">
      <c r="A3278" s="2" t="str">
        <f>HYPERLINK("https://www.compass.com/listing/412-greenwich-street-unit-4d-manhattan-ny-10013/324779294693446257/","412 Greenwich St, Unit 4D")</f>
        <v>412 Greenwich St, Unit 4D</v>
      </c>
      <c r="B3278" s="2" t="str">
        <f>HYPERLINK("https://www.compass.com/building/412-greenwich-st-manhattan-ny-10013/307448573918203765/","412 Greenwich St")</f>
        <v>412 Greenwich St</v>
      </c>
      <c r="C3278" s="1" t="s">
        <v>40</v>
      </c>
      <c r="D3278" s="1" t="s">
        <v>41</v>
      </c>
      <c r="E3278" s="3">
        <v>8275000</v>
      </c>
      <c r="F3278" s="1">
        <v>2551.64970706136</v>
      </c>
      <c r="M3278" s="4">
        <v>3243</v>
      </c>
      <c r="Q3278" s="1" t="s">
        <v>42</v>
      </c>
      <c r="S3278" s="1" t="s">
        <v>42</v>
      </c>
      <c r="T3278" s="1" t="s">
        <v>170</v>
      </c>
      <c r="AA3278" s="1">
        <v>8275000</v>
      </c>
      <c r="AB3278" s="1" t="s">
        <v>2485</v>
      </c>
      <c r="AC3278" s="5">
        <v>43626</v>
      </c>
      <c r="AF3278" s="1">
        <v>10013</v>
      </c>
    </row>
    <row r="3279" spans="1:38" x14ac:dyDescent="0.2">
      <c r="A3279" s="2" t="str">
        <f>HYPERLINK("https://www.compass.com/listing/252-south-street-unit-16c-manhattan-ny-10002/324786757333497521/","252 South St, Unit 16C")</f>
        <v>252 South St, Unit 16C</v>
      </c>
      <c r="B3279" s="2" t="str">
        <f t="shared" ref="B3279:B3298" si="410">HYPERLINK("https://www.compass.com/building/one-manhattan-square-manhattan-ny/294844950218926165/","One Manhattan Square")</f>
        <v>One Manhattan Square</v>
      </c>
      <c r="C3279" s="1" t="s">
        <v>66</v>
      </c>
      <c r="D3279" s="1" t="s">
        <v>41</v>
      </c>
      <c r="E3279" s="3">
        <v>1307973</v>
      </c>
      <c r="F3279" s="1">
        <v>1881.9748920863301</v>
      </c>
      <c r="M3279" s="1">
        <v>695</v>
      </c>
      <c r="Q3279" s="1" t="s">
        <v>42</v>
      </c>
      <c r="S3279" s="1" t="s">
        <v>42</v>
      </c>
      <c r="T3279" s="1" t="s">
        <v>170</v>
      </c>
      <c r="AA3279" s="1">
        <v>1307972.55</v>
      </c>
      <c r="AB3279" s="1" t="s">
        <v>2486</v>
      </c>
      <c r="AC3279" s="5">
        <v>43560</v>
      </c>
      <c r="AF3279" s="1">
        <v>10002</v>
      </c>
      <c r="AI3279" s="1" t="s">
        <v>55</v>
      </c>
      <c r="AJ3279" s="1">
        <v>2019</v>
      </c>
      <c r="AK3279" s="1" t="s">
        <v>46</v>
      </c>
      <c r="AL3279" s="1">
        <v>787</v>
      </c>
    </row>
    <row r="3280" spans="1:38" x14ac:dyDescent="0.2">
      <c r="A3280" s="2" t="str">
        <f>HYPERLINK("https://www.compass.com/listing/252-south-street-unit-17b-manhattan-ny-10002/324786776710932129/","252 South St, Unit 17B")</f>
        <v>252 South St, Unit 17B</v>
      </c>
      <c r="B3280" s="2" t="str">
        <f t="shared" si="410"/>
        <v>One Manhattan Square</v>
      </c>
      <c r="C3280" s="1" t="s">
        <v>66</v>
      </c>
      <c r="D3280" s="1" t="s">
        <v>41</v>
      </c>
      <c r="E3280" s="3">
        <v>1381846</v>
      </c>
      <c r="F3280" s="1">
        <v>1985.4114798850501</v>
      </c>
      <c r="M3280" s="1">
        <v>696</v>
      </c>
      <c r="Q3280" s="1" t="s">
        <v>42</v>
      </c>
      <c r="S3280" s="1" t="s">
        <v>42</v>
      </c>
      <c r="T3280" s="1" t="s">
        <v>170</v>
      </c>
      <c r="AA3280" s="1">
        <v>1381846.39</v>
      </c>
      <c r="AB3280" s="1" t="s">
        <v>2487</v>
      </c>
      <c r="AC3280" s="5">
        <v>43643</v>
      </c>
      <c r="AF3280" s="1">
        <v>10002</v>
      </c>
      <c r="AI3280" s="1" t="s">
        <v>55</v>
      </c>
      <c r="AJ3280" s="1">
        <v>2019</v>
      </c>
      <c r="AK3280" s="1" t="s">
        <v>46</v>
      </c>
      <c r="AL3280" s="1">
        <v>787</v>
      </c>
    </row>
    <row r="3281" spans="1:38" x14ac:dyDescent="0.2">
      <c r="A3281" s="2" t="str">
        <f>HYPERLINK("https://www.compass.com/listing/252-south-street-unit-25c-manhattan-ny-10002/324786939349283281/","252 South St, Unit 25C")</f>
        <v>252 South St, Unit 25C</v>
      </c>
      <c r="B3281" s="2" t="str">
        <f t="shared" si="410"/>
        <v>One Manhattan Square</v>
      </c>
      <c r="C3281" s="1" t="s">
        <v>66</v>
      </c>
      <c r="D3281" s="1" t="s">
        <v>41</v>
      </c>
      <c r="E3281" s="3">
        <v>1426954</v>
      </c>
      <c r="F3281" s="1">
        <v>2053.1707338129399</v>
      </c>
      <c r="M3281" s="1">
        <v>695</v>
      </c>
      <c r="Q3281" s="1" t="s">
        <v>42</v>
      </c>
      <c r="S3281" s="1" t="s">
        <v>42</v>
      </c>
      <c r="T3281" s="1" t="s">
        <v>170</v>
      </c>
      <c r="AA3281" s="1">
        <v>1426953.66</v>
      </c>
      <c r="AB3281" s="1" t="s">
        <v>2488</v>
      </c>
      <c r="AC3281" s="5">
        <v>43630</v>
      </c>
      <c r="AF3281" s="1">
        <v>10002</v>
      </c>
      <c r="AI3281" s="1" t="s">
        <v>55</v>
      </c>
      <c r="AJ3281" s="1">
        <v>2019</v>
      </c>
      <c r="AK3281" s="1" t="s">
        <v>46</v>
      </c>
      <c r="AL3281" s="1">
        <v>787</v>
      </c>
    </row>
    <row r="3282" spans="1:38" x14ac:dyDescent="0.2">
      <c r="A3282" s="2" t="str">
        <f>HYPERLINK("https://www.compass.com/listing/252-south-street-unit-26c-manhattan-ny-10002/324787001894749153/","252 South St, Unit 26C")</f>
        <v>252 South St, Unit 26C</v>
      </c>
      <c r="B3282" s="2" t="str">
        <f t="shared" si="410"/>
        <v>One Manhattan Square</v>
      </c>
      <c r="C3282" s="1" t="s">
        <v>66</v>
      </c>
      <c r="D3282" s="1" t="s">
        <v>41</v>
      </c>
      <c r="E3282" s="3">
        <v>1426954</v>
      </c>
      <c r="F3282" s="1">
        <v>2053.1707338129399</v>
      </c>
      <c r="M3282" s="1">
        <v>695</v>
      </c>
      <c r="Q3282" s="1" t="s">
        <v>42</v>
      </c>
      <c r="S3282" s="1" t="s">
        <v>42</v>
      </c>
      <c r="T3282" s="1" t="s">
        <v>170</v>
      </c>
      <c r="AA3282" s="1">
        <v>1426953.66</v>
      </c>
      <c r="AB3282" s="1" t="s">
        <v>2489</v>
      </c>
      <c r="AC3282" s="5">
        <v>43627</v>
      </c>
      <c r="AF3282" s="1">
        <v>10002</v>
      </c>
      <c r="AI3282" s="1" t="s">
        <v>55</v>
      </c>
      <c r="AJ3282" s="1">
        <v>2019</v>
      </c>
      <c r="AK3282" s="1" t="s">
        <v>46</v>
      </c>
      <c r="AL3282" s="1">
        <v>787</v>
      </c>
    </row>
    <row r="3283" spans="1:38" x14ac:dyDescent="0.2">
      <c r="A3283" s="2" t="str">
        <f>HYPERLINK("https://www.compass.com/listing/252-south-street-unit-26d-manhattan-ny-10002/324787002683371169/","252 South St, Unit 26D")</f>
        <v>252 South St, Unit 26D</v>
      </c>
      <c r="B3283" s="2" t="str">
        <f t="shared" si="410"/>
        <v>One Manhattan Square</v>
      </c>
      <c r="C3283" s="1" t="s">
        <v>66</v>
      </c>
      <c r="D3283" s="1" t="s">
        <v>41</v>
      </c>
      <c r="E3283" s="3">
        <v>2511339</v>
      </c>
      <c r="F3283" s="1">
        <v>2236.2771148708798</v>
      </c>
      <c r="M3283" s="4">
        <v>1123</v>
      </c>
      <c r="Q3283" s="1" t="s">
        <v>42</v>
      </c>
      <c r="S3283" s="1" t="s">
        <v>42</v>
      </c>
      <c r="T3283" s="1" t="s">
        <v>170</v>
      </c>
      <c r="AA3283" s="1">
        <v>2511339.2000000002</v>
      </c>
      <c r="AB3283" s="1" t="s">
        <v>2490</v>
      </c>
      <c r="AC3283" s="5">
        <v>43642</v>
      </c>
      <c r="AF3283" s="1">
        <v>10002</v>
      </c>
      <c r="AI3283" s="1" t="s">
        <v>55</v>
      </c>
      <c r="AJ3283" s="1">
        <v>2019</v>
      </c>
      <c r="AK3283" s="1" t="s">
        <v>46</v>
      </c>
      <c r="AL3283" s="1">
        <v>787</v>
      </c>
    </row>
    <row r="3284" spans="1:38" x14ac:dyDescent="0.2">
      <c r="A3284" s="2" t="str">
        <f>HYPERLINK("https://www.compass.com/listing/252-south-street-unit-27k-manhattan-ny-10002/324787057595203809/","252 South St, Unit 27K")</f>
        <v>252 South St, Unit 27K</v>
      </c>
      <c r="B3284" s="2" t="str">
        <f t="shared" si="410"/>
        <v>One Manhattan Square</v>
      </c>
      <c r="C3284" s="1" t="s">
        <v>66</v>
      </c>
      <c r="D3284" s="1" t="s">
        <v>41</v>
      </c>
      <c r="E3284" s="3">
        <v>1278952</v>
      </c>
      <c r="F3284" s="1">
        <v>1840.2193237409999</v>
      </c>
      <c r="M3284" s="1">
        <v>695</v>
      </c>
      <c r="Q3284" s="1" t="s">
        <v>42</v>
      </c>
      <c r="S3284" s="1" t="s">
        <v>42</v>
      </c>
      <c r="T3284" s="1" t="s">
        <v>170</v>
      </c>
      <c r="AA3284" s="1">
        <v>1278952.43</v>
      </c>
      <c r="AB3284" s="1" t="s">
        <v>2491</v>
      </c>
      <c r="AC3284" s="5">
        <v>43620</v>
      </c>
      <c r="AF3284" s="1">
        <v>10002</v>
      </c>
      <c r="AI3284" s="1" t="s">
        <v>55</v>
      </c>
      <c r="AJ3284" s="1">
        <v>2019</v>
      </c>
      <c r="AK3284" s="1" t="s">
        <v>46</v>
      </c>
      <c r="AL3284" s="1">
        <v>787</v>
      </c>
    </row>
    <row r="3285" spans="1:38" x14ac:dyDescent="0.2">
      <c r="A3285" s="2" t="str">
        <f>HYPERLINK("https://www.compass.com/listing/252-south-street-unit-27n-manhattan-ny-10002/324787058425835601/","252 South St, Unit 27N")</f>
        <v>252 South St, Unit 27N</v>
      </c>
      <c r="B3285" s="2" t="str">
        <f t="shared" si="410"/>
        <v>One Manhattan Square</v>
      </c>
      <c r="C3285" s="1" t="s">
        <v>66</v>
      </c>
      <c r="D3285" s="1" t="s">
        <v>41</v>
      </c>
      <c r="E3285" s="3">
        <v>1374719</v>
      </c>
      <c r="F3285" s="1">
        <v>1978.0124316546701</v>
      </c>
      <c r="M3285" s="1">
        <v>695</v>
      </c>
      <c r="Q3285" s="1" t="s">
        <v>42</v>
      </c>
      <c r="S3285" s="1" t="s">
        <v>42</v>
      </c>
      <c r="T3285" s="1" t="s">
        <v>170</v>
      </c>
      <c r="AA3285" s="1">
        <v>1374718.64</v>
      </c>
      <c r="AB3285" s="1" t="s">
        <v>2492</v>
      </c>
      <c r="AC3285" s="5">
        <v>43642</v>
      </c>
      <c r="AF3285" s="1">
        <v>10002</v>
      </c>
      <c r="AI3285" s="1" t="s">
        <v>55</v>
      </c>
      <c r="AJ3285" s="1">
        <v>2019</v>
      </c>
      <c r="AK3285" s="1" t="s">
        <v>46</v>
      </c>
      <c r="AL3285" s="1">
        <v>787</v>
      </c>
    </row>
    <row r="3286" spans="1:38" x14ac:dyDescent="0.2">
      <c r="A3286" s="2" t="str">
        <f>HYPERLINK("https://www.compass.com/listing/252-south-street-unit-28j-manhattan-ny-10002/324787092860914097/","252 South St, Unit 28J")</f>
        <v>252 South St, Unit 28J</v>
      </c>
      <c r="B3286" s="2" t="str">
        <f t="shared" si="410"/>
        <v>One Manhattan Square</v>
      </c>
      <c r="C3286" s="1" t="s">
        <v>66</v>
      </c>
      <c r="D3286" s="1" t="s">
        <v>41</v>
      </c>
      <c r="E3286" s="3">
        <v>1285723</v>
      </c>
      <c r="F3286" s="1">
        <v>1847.30343390804</v>
      </c>
      <c r="M3286" s="1">
        <v>696</v>
      </c>
      <c r="Q3286" s="1" t="s">
        <v>42</v>
      </c>
      <c r="S3286" s="1" t="s">
        <v>42</v>
      </c>
      <c r="T3286" s="1" t="s">
        <v>170</v>
      </c>
      <c r="AA3286" s="1">
        <v>1285723.19</v>
      </c>
      <c r="AB3286" s="1" t="s">
        <v>2493</v>
      </c>
      <c r="AC3286" s="5">
        <v>43627</v>
      </c>
      <c r="AF3286" s="1">
        <v>10002</v>
      </c>
      <c r="AI3286" s="1" t="s">
        <v>55</v>
      </c>
      <c r="AJ3286" s="1">
        <v>2019</v>
      </c>
      <c r="AK3286" s="1" t="s">
        <v>46</v>
      </c>
      <c r="AL3286" s="1">
        <v>787</v>
      </c>
    </row>
    <row r="3287" spans="1:38" x14ac:dyDescent="0.2">
      <c r="A3287" s="2" t="str">
        <f>HYPERLINK("https://www.compass.com/listing/252-south-street-unit-29g-manhattan-ny-10002/324787139115607361/","252 South St, Unit 29G")</f>
        <v>252 South St, Unit 29G</v>
      </c>
      <c r="B3287" s="2" t="str">
        <f t="shared" si="410"/>
        <v>One Manhattan Square</v>
      </c>
      <c r="C3287" s="1" t="s">
        <v>66</v>
      </c>
      <c r="D3287" s="1" t="s">
        <v>41</v>
      </c>
      <c r="E3287" s="3">
        <v>1200745</v>
      </c>
      <c r="F3287" s="1">
        <v>1660.78139695712</v>
      </c>
      <c r="M3287" s="1">
        <v>723</v>
      </c>
      <c r="Q3287" s="1" t="s">
        <v>42</v>
      </c>
      <c r="S3287" s="1" t="s">
        <v>42</v>
      </c>
      <c r="T3287" s="1" t="s">
        <v>170</v>
      </c>
      <c r="AA3287" s="1">
        <v>1200744.95</v>
      </c>
      <c r="AB3287" s="1" t="s">
        <v>2494</v>
      </c>
      <c r="AC3287" s="5">
        <v>43643</v>
      </c>
      <c r="AF3287" s="1">
        <v>10002</v>
      </c>
      <c r="AI3287" s="1" t="s">
        <v>55</v>
      </c>
      <c r="AJ3287" s="1">
        <v>2019</v>
      </c>
      <c r="AK3287" s="1" t="s">
        <v>46</v>
      </c>
      <c r="AL3287" s="1">
        <v>787</v>
      </c>
    </row>
    <row r="3288" spans="1:38" x14ac:dyDescent="0.2">
      <c r="A3288" s="2" t="str">
        <f>HYPERLINK("https://www.compass.com/listing/252-south-street-unit-29p-manhattan-ny-10002/324787158552106337/","252 South St, Unit 29P")</f>
        <v>252 South St, Unit 29P</v>
      </c>
      <c r="B3288" s="2" t="str">
        <f t="shared" si="410"/>
        <v>One Manhattan Square</v>
      </c>
      <c r="C3288" s="1" t="s">
        <v>66</v>
      </c>
      <c r="D3288" s="1" t="s">
        <v>41</v>
      </c>
      <c r="E3288" s="3">
        <v>1294725</v>
      </c>
      <c r="F3288" s="1">
        <v>1790.7678561549101</v>
      </c>
      <c r="M3288" s="1">
        <v>723</v>
      </c>
      <c r="Q3288" s="1" t="s">
        <v>42</v>
      </c>
      <c r="S3288" s="1" t="s">
        <v>42</v>
      </c>
      <c r="T3288" s="1" t="s">
        <v>170</v>
      </c>
      <c r="AA3288" s="1">
        <v>1294725.1599999999</v>
      </c>
      <c r="AB3288" s="1" t="s">
        <v>2495</v>
      </c>
      <c r="AC3288" s="5">
        <v>43629</v>
      </c>
      <c r="AF3288" s="1">
        <v>10002</v>
      </c>
      <c r="AI3288" s="1" t="s">
        <v>55</v>
      </c>
      <c r="AJ3288" s="1">
        <v>2019</v>
      </c>
      <c r="AK3288" s="1" t="s">
        <v>46</v>
      </c>
      <c r="AL3288" s="1">
        <v>787</v>
      </c>
    </row>
    <row r="3289" spans="1:38" x14ac:dyDescent="0.2">
      <c r="A3289" s="2" t="str">
        <f>HYPERLINK("https://www.compass.com/listing/252-south-street-unit-35m-manhattan-ny-10002/324787224755164097/","252 South St, Unit 35M")</f>
        <v>252 South St, Unit 35M</v>
      </c>
      <c r="B3289" s="2" t="str">
        <f t="shared" si="410"/>
        <v>One Manhattan Square</v>
      </c>
      <c r="C3289" s="1" t="s">
        <v>66</v>
      </c>
      <c r="D3289" s="1" t="s">
        <v>41</v>
      </c>
      <c r="E3289" s="3">
        <v>1381082</v>
      </c>
      <c r="F3289" s="1">
        <v>1987.16791366906</v>
      </c>
      <c r="M3289" s="1">
        <v>695</v>
      </c>
      <c r="Q3289" s="1" t="s">
        <v>42</v>
      </c>
      <c r="S3289" s="1" t="s">
        <v>42</v>
      </c>
      <c r="T3289" s="1" t="s">
        <v>170</v>
      </c>
      <c r="AA3289" s="1">
        <v>1381081.7</v>
      </c>
      <c r="AB3289" s="1" t="s">
        <v>2496</v>
      </c>
      <c r="AC3289" s="5">
        <v>43642</v>
      </c>
      <c r="AF3289" s="1">
        <v>10002</v>
      </c>
      <c r="AI3289" s="1" t="s">
        <v>55</v>
      </c>
      <c r="AJ3289" s="1">
        <v>2019</v>
      </c>
      <c r="AK3289" s="1" t="s">
        <v>46</v>
      </c>
      <c r="AL3289" s="1">
        <v>787</v>
      </c>
    </row>
    <row r="3290" spans="1:38" x14ac:dyDescent="0.2">
      <c r="A3290" s="2" t="str">
        <f>HYPERLINK("https://www.compass.com/listing/252-south-street-unit-36m-manhattan-ny-10002/324787257789503537/","252 South St, Unit 36M")</f>
        <v>252 South St, Unit 36M</v>
      </c>
      <c r="B3290" s="2" t="str">
        <f t="shared" si="410"/>
        <v>One Manhattan Square</v>
      </c>
      <c r="C3290" s="1" t="s">
        <v>66</v>
      </c>
      <c r="D3290" s="1" t="s">
        <v>41</v>
      </c>
      <c r="E3290" s="3">
        <v>1405842</v>
      </c>
      <c r="F3290" s="1">
        <v>2022.79402877697</v>
      </c>
      <c r="M3290" s="1">
        <v>695</v>
      </c>
      <c r="Q3290" s="1" t="s">
        <v>42</v>
      </c>
      <c r="S3290" s="1" t="s">
        <v>42</v>
      </c>
      <c r="T3290" s="1" t="s">
        <v>170</v>
      </c>
      <c r="AA3290" s="1">
        <v>1405841.85</v>
      </c>
      <c r="AB3290" s="1" t="s">
        <v>2497</v>
      </c>
      <c r="AC3290" s="5">
        <v>43641</v>
      </c>
      <c r="AF3290" s="1">
        <v>10002</v>
      </c>
      <c r="AI3290" s="1" t="s">
        <v>55</v>
      </c>
      <c r="AJ3290" s="1">
        <v>2019</v>
      </c>
      <c r="AK3290" s="1" t="s">
        <v>46</v>
      </c>
      <c r="AL3290" s="1">
        <v>787</v>
      </c>
    </row>
    <row r="3291" spans="1:38" x14ac:dyDescent="0.2">
      <c r="A3291" s="2" t="str">
        <f>HYPERLINK("https://www.compass.com/listing/252-south-street-unit-36n-manhattan-ny-10002/324787269432638545/","252 South St, Unit 36N")</f>
        <v>252 South St, Unit 36N</v>
      </c>
      <c r="B3291" s="2" t="str">
        <f t="shared" si="410"/>
        <v>One Manhattan Square</v>
      </c>
      <c r="C3291" s="1" t="s">
        <v>66</v>
      </c>
      <c r="D3291" s="1" t="s">
        <v>41</v>
      </c>
      <c r="E3291" s="3">
        <v>1361293</v>
      </c>
      <c r="F3291" s="1">
        <v>1882.8392807745499</v>
      </c>
      <c r="M3291" s="1">
        <v>723</v>
      </c>
      <c r="Q3291" s="1" t="s">
        <v>42</v>
      </c>
      <c r="S3291" s="1" t="s">
        <v>42</v>
      </c>
      <c r="T3291" s="1" t="s">
        <v>170</v>
      </c>
      <c r="AA3291" s="1">
        <v>1361292.8</v>
      </c>
      <c r="AB3291" s="1" t="s">
        <v>2498</v>
      </c>
      <c r="AC3291" s="5">
        <v>43641</v>
      </c>
      <c r="AF3291" s="1">
        <v>10002</v>
      </c>
      <c r="AI3291" s="1" t="s">
        <v>55</v>
      </c>
      <c r="AJ3291" s="1">
        <v>2019</v>
      </c>
      <c r="AK3291" s="1" t="s">
        <v>46</v>
      </c>
      <c r="AL3291" s="1">
        <v>787</v>
      </c>
    </row>
    <row r="3292" spans="1:38" x14ac:dyDescent="0.2">
      <c r="A3292" s="2" t="str">
        <f>HYPERLINK("https://www.compass.com/listing/252-south-street-unit-37m-manhattan-ny-10002/324787270657629057/","252 South St, Unit 37M")</f>
        <v>252 South St, Unit 37M</v>
      </c>
      <c r="B3292" s="2" t="str">
        <f t="shared" si="410"/>
        <v>One Manhattan Square</v>
      </c>
      <c r="C3292" s="1" t="s">
        <v>66</v>
      </c>
      <c r="D3292" s="1" t="s">
        <v>41</v>
      </c>
      <c r="E3292" s="3">
        <v>1389514</v>
      </c>
      <c r="F3292" s="1">
        <v>1999.30027338129</v>
      </c>
      <c r="M3292" s="1">
        <v>695</v>
      </c>
      <c r="Q3292" s="1" t="s">
        <v>42</v>
      </c>
      <c r="S3292" s="1" t="s">
        <v>42</v>
      </c>
      <c r="T3292" s="1" t="s">
        <v>170</v>
      </c>
      <c r="AA3292" s="1">
        <v>1389513.69</v>
      </c>
      <c r="AB3292" s="1" t="s">
        <v>2499</v>
      </c>
      <c r="AC3292" s="5">
        <v>43648</v>
      </c>
      <c r="AF3292" s="1">
        <v>10002</v>
      </c>
      <c r="AI3292" s="1" t="s">
        <v>55</v>
      </c>
      <c r="AJ3292" s="1">
        <v>2019</v>
      </c>
      <c r="AK3292" s="1" t="s">
        <v>46</v>
      </c>
      <c r="AL3292" s="1">
        <v>787</v>
      </c>
    </row>
    <row r="3293" spans="1:38" x14ac:dyDescent="0.2">
      <c r="A3293" s="2" t="str">
        <f>HYPERLINK("https://www.compass.com/listing/252-south-street-unit-38c-manhattan-ny-10002/324787285580963441/","252 South St, Unit 38C")</f>
        <v>252 South St, Unit 38C</v>
      </c>
      <c r="B3293" s="2" t="str">
        <f t="shared" si="410"/>
        <v>One Manhattan Square</v>
      </c>
      <c r="C3293" s="1" t="s">
        <v>66</v>
      </c>
      <c r="D3293" s="1" t="s">
        <v>41</v>
      </c>
      <c r="E3293" s="3">
        <v>3645059</v>
      </c>
      <c r="F3293" s="1">
        <v>2451.28389374579</v>
      </c>
      <c r="M3293" s="4">
        <v>1487</v>
      </c>
      <c r="Q3293" s="1" t="s">
        <v>42</v>
      </c>
      <c r="S3293" s="1" t="s">
        <v>42</v>
      </c>
      <c r="T3293" s="1" t="s">
        <v>170</v>
      </c>
      <c r="AA3293" s="1">
        <v>3645059.15</v>
      </c>
      <c r="AB3293" s="1" t="s">
        <v>2500</v>
      </c>
      <c r="AC3293" s="5">
        <v>43637</v>
      </c>
      <c r="AF3293" s="1">
        <v>10002</v>
      </c>
      <c r="AI3293" s="1" t="s">
        <v>55</v>
      </c>
      <c r="AJ3293" s="1">
        <v>2019</v>
      </c>
      <c r="AK3293" s="1" t="s">
        <v>46</v>
      </c>
      <c r="AL3293" s="1">
        <v>787</v>
      </c>
    </row>
    <row r="3294" spans="1:38" x14ac:dyDescent="0.2">
      <c r="A3294" s="2" t="str">
        <f>HYPERLINK("https://www.compass.com/listing/252-south-street-unit-43j-manhattan-ny-10002/324787365893345409/","252 South St, Unit 43J")</f>
        <v>252 South St, Unit 43J</v>
      </c>
      <c r="B3294" s="2" t="str">
        <f t="shared" si="410"/>
        <v>One Manhattan Square</v>
      </c>
      <c r="C3294" s="1" t="s">
        <v>66</v>
      </c>
      <c r="D3294" s="1" t="s">
        <v>41</v>
      </c>
      <c r="E3294" s="3">
        <v>1408511</v>
      </c>
      <c r="F3294" s="1">
        <v>2026.63388489208</v>
      </c>
      <c r="M3294" s="1">
        <v>695</v>
      </c>
      <c r="Q3294" s="1" t="s">
        <v>42</v>
      </c>
      <c r="S3294" s="1" t="s">
        <v>42</v>
      </c>
      <c r="T3294" s="1" t="s">
        <v>170</v>
      </c>
      <c r="AA3294" s="1">
        <v>1408510.55</v>
      </c>
      <c r="AB3294" s="1" t="s">
        <v>2501</v>
      </c>
      <c r="AC3294" s="5">
        <v>43622</v>
      </c>
      <c r="AF3294" s="1">
        <v>10002</v>
      </c>
      <c r="AI3294" s="1" t="s">
        <v>55</v>
      </c>
      <c r="AJ3294" s="1">
        <v>2019</v>
      </c>
      <c r="AK3294" s="1" t="s">
        <v>46</v>
      </c>
      <c r="AL3294" s="1">
        <v>787</v>
      </c>
    </row>
    <row r="3295" spans="1:38" x14ac:dyDescent="0.2">
      <c r="A3295" s="2" t="str">
        <f>HYPERLINK("https://www.compass.com/listing/252-south-street-unit-46f-manhattan-ny-10002/324787384784265873/","252 South St, Unit 46F")</f>
        <v>252 South St, Unit 46F</v>
      </c>
      <c r="B3295" s="2" t="str">
        <f t="shared" si="410"/>
        <v>One Manhattan Square</v>
      </c>
      <c r="C3295" s="1" t="s">
        <v>66</v>
      </c>
      <c r="D3295" s="1" t="s">
        <v>41</v>
      </c>
      <c r="E3295" s="3">
        <v>1336025</v>
      </c>
      <c r="F3295" s="1">
        <v>1850.4503324099701</v>
      </c>
      <c r="M3295" s="1">
        <v>722</v>
      </c>
      <c r="Q3295" s="1" t="s">
        <v>42</v>
      </c>
      <c r="S3295" s="1" t="s">
        <v>42</v>
      </c>
      <c r="T3295" s="1" t="s">
        <v>170</v>
      </c>
      <c r="AA3295" s="1">
        <v>1336025.1399999999</v>
      </c>
      <c r="AB3295" s="1" t="s">
        <v>2502</v>
      </c>
      <c r="AC3295" s="5">
        <v>43668</v>
      </c>
      <c r="AF3295" s="1">
        <v>10002</v>
      </c>
      <c r="AI3295" s="1" t="s">
        <v>55</v>
      </c>
      <c r="AJ3295" s="1">
        <v>2019</v>
      </c>
      <c r="AK3295" s="1" t="s">
        <v>46</v>
      </c>
      <c r="AL3295" s="1">
        <v>787</v>
      </c>
    </row>
    <row r="3296" spans="1:38" x14ac:dyDescent="0.2">
      <c r="A3296" s="2" t="str">
        <f>HYPERLINK("https://www.compass.com/listing/252-south-street-unit-48a-manhattan-ny-10002/324787408960236065/","252 South St, Unit 48A")</f>
        <v>252 South St, Unit 48A</v>
      </c>
      <c r="B3296" s="2" t="str">
        <f t="shared" si="410"/>
        <v>One Manhattan Square</v>
      </c>
      <c r="C3296" s="1" t="s">
        <v>66</v>
      </c>
      <c r="D3296" s="1" t="s">
        <v>41</v>
      </c>
      <c r="E3296" s="3">
        <v>2661278</v>
      </c>
      <c r="F3296" s="1">
        <v>2288.2867669819402</v>
      </c>
      <c r="M3296" s="4">
        <v>1163</v>
      </c>
      <c r="Q3296" s="1" t="s">
        <v>42</v>
      </c>
      <c r="S3296" s="1" t="s">
        <v>42</v>
      </c>
      <c r="T3296" s="1" t="s">
        <v>170</v>
      </c>
      <c r="AA3296" s="1">
        <v>2661277.5099999998</v>
      </c>
      <c r="AB3296" s="1" t="s">
        <v>2503</v>
      </c>
      <c r="AC3296" s="5">
        <v>43656</v>
      </c>
      <c r="AF3296" s="1">
        <v>10002</v>
      </c>
      <c r="AI3296" s="1" t="s">
        <v>55</v>
      </c>
      <c r="AJ3296" s="1">
        <v>2019</v>
      </c>
      <c r="AK3296" s="1" t="s">
        <v>46</v>
      </c>
      <c r="AL3296" s="1">
        <v>787</v>
      </c>
    </row>
    <row r="3297" spans="1:38" x14ac:dyDescent="0.2">
      <c r="A3297" s="2" t="str">
        <f>HYPERLINK("https://www.compass.com/listing/252-south-street-unit-48m-manhattan-ny-10002/324787432247013777/","252 South St, Unit 48M")</f>
        <v>252 South St, Unit 48M</v>
      </c>
      <c r="B3297" s="2" t="str">
        <f t="shared" si="410"/>
        <v>One Manhattan Square</v>
      </c>
      <c r="C3297" s="1" t="s">
        <v>66</v>
      </c>
      <c r="D3297" s="1" t="s">
        <v>41</v>
      </c>
      <c r="E3297" s="3">
        <v>1526590</v>
      </c>
      <c r="F3297" s="1">
        <v>2196.5324172661799</v>
      </c>
      <c r="M3297" s="1">
        <v>695</v>
      </c>
      <c r="Q3297" s="1" t="s">
        <v>42</v>
      </c>
      <c r="S3297" s="1" t="s">
        <v>42</v>
      </c>
      <c r="T3297" s="1" t="s">
        <v>170</v>
      </c>
      <c r="AA3297" s="1">
        <v>1526590.03</v>
      </c>
      <c r="AB3297" s="1" t="s">
        <v>2504</v>
      </c>
      <c r="AC3297" s="5">
        <v>43656</v>
      </c>
      <c r="AF3297" s="1">
        <v>10002</v>
      </c>
      <c r="AI3297" s="1" t="s">
        <v>55</v>
      </c>
      <c r="AJ3297" s="1">
        <v>2019</v>
      </c>
      <c r="AK3297" s="1" t="s">
        <v>46</v>
      </c>
      <c r="AL3297" s="1">
        <v>787</v>
      </c>
    </row>
    <row r="3298" spans="1:38" x14ac:dyDescent="0.2">
      <c r="A3298" s="2" t="str">
        <f>HYPERLINK("https://www.compass.com/listing/252-south-street-unit-50m-manhattan-ny-10002/324787455491848273/","252 South St, Unit 50M")</f>
        <v>252 South St, Unit 50M</v>
      </c>
      <c r="B3298" s="2" t="str">
        <f t="shared" si="410"/>
        <v>One Manhattan Square</v>
      </c>
      <c r="C3298" s="1" t="s">
        <v>66</v>
      </c>
      <c r="D3298" s="1" t="s">
        <v>41</v>
      </c>
      <c r="E3298" s="3">
        <v>1433542</v>
      </c>
      <c r="F3298" s="1">
        <v>2062.6501582733799</v>
      </c>
      <c r="M3298" s="1">
        <v>695</v>
      </c>
      <c r="Q3298" s="1" t="s">
        <v>42</v>
      </c>
      <c r="S3298" s="1" t="s">
        <v>42</v>
      </c>
      <c r="T3298" s="1" t="s">
        <v>170</v>
      </c>
      <c r="AA3298" s="1">
        <v>1433541.86</v>
      </c>
      <c r="AB3298" s="1" t="s">
        <v>2505</v>
      </c>
      <c r="AC3298" s="5">
        <v>43642</v>
      </c>
      <c r="AF3298" s="1">
        <v>10002</v>
      </c>
      <c r="AI3298" s="1" t="s">
        <v>55</v>
      </c>
      <c r="AJ3298" s="1">
        <v>2019</v>
      </c>
      <c r="AK3298" s="1" t="s">
        <v>46</v>
      </c>
      <c r="AL3298" s="1">
        <v>787</v>
      </c>
    </row>
    <row r="3299" spans="1:38" x14ac:dyDescent="0.2">
      <c r="A3299" s="2" t="str">
        <f>HYPERLINK("https://www.compass.com/listing/150-west-12th-street-unit-4-manhattan-ny-10011/324846272795907985/","150 W 12th St, Unit 4")</f>
        <v>150 W 12th St, Unit 4</v>
      </c>
      <c r="B3299" s="2" t="str">
        <f>HYPERLINK("https://www.compass.com/building/the-greenwich-lane-manhattan-ny/567553885067785157/","The Greenwich Lane")</f>
        <v>The Greenwich Lane</v>
      </c>
      <c r="C3299" s="1" t="s">
        <v>71</v>
      </c>
      <c r="D3299" s="1" t="s">
        <v>41</v>
      </c>
      <c r="E3299" s="3">
        <v>4125000</v>
      </c>
      <c r="F3299" s="1">
        <v>2815.6996587030699</v>
      </c>
      <c r="M3299" s="4">
        <v>1465</v>
      </c>
      <c r="Q3299" s="1" t="s">
        <v>42</v>
      </c>
      <c r="S3299" s="1" t="s">
        <v>42</v>
      </c>
      <c r="T3299" s="1" t="s">
        <v>170</v>
      </c>
      <c r="AA3299" s="1">
        <v>4125000</v>
      </c>
      <c r="AB3299" s="1" t="s">
        <v>2506</v>
      </c>
      <c r="AC3299" s="5">
        <v>43635</v>
      </c>
      <c r="AF3299" s="1">
        <v>10011</v>
      </c>
      <c r="AI3299" s="1" t="s">
        <v>59</v>
      </c>
      <c r="AK3299" s="1" t="s">
        <v>49</v>
      </c>
      <c r="AL3299" s="1">
        <v>24</v>
      </c>
    </row>
    <row r="3300" spans="1:38" x14ac:dyDescent="0.2">
      <c r="A3300" s="2" t="str">
        <f>HYPERLINK("https://www.compass.com/listing/520-park-avenue-unit-35-manhattan-ny-10065/324922667001545473/","520 Park Ave, Unit 35")</f>
        <v>520 Park Ave, Unit 35</v>
      </c>
      <c r="B3300" s="2" t="str">
        <f>HYPERLINK("https://www.compass.com/building/520-park-ave-manhattan-ny-10065/344158009579879061/","520 Park Ave")</f>
        <v>520 Park Ave</v>
      </c>
      <c r="C3300" s="1" t="s">
        <v>115</v>
      </c>
      <c r="D3300" s="1" t="s">
        <v>41</v>
      </c>
      <c r="E3300" s="3">
        <v>30500000</v>
      </c>
      <c r="F3300" s="1">
        <v>6590.3197925669801</v>
      </c>
      <c r="M3300" s="4">
        <v>4628</v>
      </c>
      <c r="Q3300" s="1" t="s">
        <v>42</v>
      </c>
      <c r="S3300" s="1" t="s">
        <v>42</v>
      </c>
      <c r="T3300" s="1" t="s">
        <v>170</v>
      </c>
      <c r="AA3300" s="1">
        <v>30500000</v>
      </c>
      <c r="AB3300" s="1" t="s">
        <v>2507</v>
      </c>
      <c r="AC3300" s="5">
        <v>43643</v>
      </c>
      <c r="AF3300" s="1">
        <v>10065</v>
      </c>
      <c r="AI3300" s="1" t="s">
        <v>48</v>
      </c>
      <c r="AJ3300" s="1">
        <v>2018</v>
      </c>
      <c r="AK3300" s="1" t="s">
        <v>46</v>
      </c>
      <c r="AL3300" s="1">
        <v>35</v>
      </c>
    </row>
    <row r="3301" spans="1:38" x14ac:dyDescent="0.2">
      <c r="A3301" s="2" t="str">
        <f>HYPERLINK("https://www.compass.com/listing/2040-frederick-douglass-boulevard-unit-9b-manhattan-ny-10026/324937405668263473/","2040 Frederick Douglass Blvd, Unit 9B")</f>
        <v>2040 Frederick Douglass Blvd, Unit 9B</v>
      </c>
      <c r="B3301" s="2" t="str">
        <f>HYPERLINK("https://www.compass.com/building/2040-frederick-douglass-blvd-manhattan-ny-10026/389266835817241253/","2040 Frederick Douglass Blvd")</f>
        <v>2040 Frederick Douglass Blvd</v>
      </c>
      <c r="C3301" s="1" t="s">
        <v>106</v>
      </c>
      <c r="D3301" s="1" t="s">
        <v>41</v>
      </c>
      <c r="E3301" s="3">
        <v>4011000</v>
      </c>
      <c r="F3301" s="1">
        <v>2232.05342237061</v>
      </c>
      <c r="M3301" s="4">
        <v>1797</v>
      </c>
      <c r="Q3301" s="1" t="s">
        <v>42</v>
      </c>
      <c r="S3301" s="1" t="s">
        <v>42</v>
      </c>
      <c r="T3301" s="1" t="s">
        <v>170</v>
      </c>
      <c r="AA3301" s="1">
        <v>4011000</v>
      </c>
      <c r="AB3301" s="1" t="s">
        <v>2508</v>
      </c>
      <c r="AC3301" s="5">
        <v>43630</v>
      </c>
      <c r="AF3301" s="1">
        <v>10026</v>
      </c>
    </row>
    <row r="3302" spans="1:38" x14ac:dyDescent="0.2">
      <c r="A3302" s="2" t="str">
        <f>HYPERLINK("https://www.compass.com/listing/252-south-street-unit-19g-manhattan-ny-10002/328425722456277457/","252 South St, Unit 19G")</f>
        <v>252 South St, Unit 19G</v>
      </c>
      <c r="B3302" s="2" t="str">
        <f t="shared" ref="B3302:B3305" si="411">HYPERLINK("https://www.compass.com/building/one-manhattan-square-manhattan-ny/294844950218926165/","One Manhattan Square")</f>
        <v>One Manhattan Square</v>
      </c>
      <c r="C3302" s="1" t="s">
        <v>66</v>
      </c>
      <c r="D3302" s="1" t="s">
        <v>41</v>
      </c>
      <c r="E3302" s="3">
        <v>1149531</v>
      </c>
      <c r="F3302" s="1">
        <v>1589.9464038727499</v>
      </c>
      <c r="M3302" s="1">
        <v>723</v>
      </c>
      <c r="Q3302" s="1" t="s">
        <v>42</v>
      </c>
      <c r="S3302" s="1" t="s">
        <v>42</v>
      </c>
      <c r="T3302" s="1" t="s">
        <v>170</v>
      </c>
      <c r="AA3302" s="1">
        <v>1149531.25</v>
      </c>
      <c r="AB3302" s="1" t="s">
        <v>2509</v>
      </c>
      <c r="AC3302" s="5">
        <v>43682</v>
      </c>
      <c r="AF3302" s="1">
        <v>10002</v>
      </c>
      <c r="AI3302" s="1" t="s">
        <v>55</v>
      </c>
      <c r="AJ3302" s="1">
        <v>2019</v>
      </c>
      <c r="AK3302" s="1" t="s">
        <v>46</v>
      </c>
      <c r="AL3302" s="1">
        <v>787</v>
      </c>
    </row>
    <row r="3303" spans="1:38" x14ac:dyDescent="0.2">
      <c r="A3303" s="2" t="str">
        <f>HYPERLINK("https://www.compass.com/listing/252-south-street-unit-22b-manhattan-ny-10002/328425727824834097/","252 South St, Unit 22B")</f>
        <v>252 South St, Unit 22B</v>
      </c>
      <c r="B3303" s="2" t="str">
        <f t="shared" si="411"/>
        <v>One Manhattan Square</v>
      </c>
      <c r="C3303" s="1" t="s">
        <v>66</v>
      </c>
      <c r="D3303" s="1" t="s">
        <v>41</v>
      </c>
      <c r="E3303" s="3">
        <v>1416313</v>
      </c>
      <c r="F3303" s="1">
        <v>2034.9321120689599</v>
      </c>
      <c r="M3303" s="1">
        <v>696</v>
      </c>
      <c r="Q3303" s="1" t="s">
        <v>42</v>
      </c>
      <c r="S3303" s="1" t="s">
        <v>42</v>
      </c>
      <c r="T3303" s="1" t="s">
        <v>170</v>
      </c>
      <c r="AA3303" s="1">
        <v>1416312.75</v>
      </c>
      <c r="AB3303" s="1" t="s">
        <v>2510</v>
      </c>
      <c r="AC3303" s="5">
        <v>43643</v>
      </c>
      <c r="AF3303" s="1">
        <v>10002</v>
      </c>
      <c r="AI3303" s="1" t="s">
        <v>55</v>
      </c>
      <c r="AJ3303" s="1">
        <v>2019</v>
      </c>
      <c r="AK3303" s="1" t="s">
        <v>46</v>
      </c>
      <c r="AL3303" s="1">
        <v>787</v>
      </c>
    </row>
    <row r="3304" spans="1:38" x14ac:dyDescent="0.2">
      <c r="A3304" s="2" t="str">
        <f>HYPERLINK("https://www.compass.com/listing/252-south-street-unit-22c-manhattan-ny-10002/328425728294749441/","252 South St, Unit 22C")</f>
        <v>252 South St, Unit 22C</v>
      </c>
      <c r="B3304" s="2" t="str">
        <f t="shared" si="411"/>
        <v>One Manhattan Square</v>
      </c>
      <c r="C3304" s="1" t="s">
        <v>66</v>
      </c>
      <c r="D3304" s="1" t="s">
        <v>41</v>
      </c>
      <c r="E3304" s="3">
        <v>1414380</v>
      </c>
      <c r="F3304" s="1">
        <v>2035.0786762589901</v>
      </c>
      <c r="M3304" s="1">
        <v>695</v>
      </c>
      <c r="Q3304" s="1" t="s">
        <v>42</v>
      </c>
      <c r="S3304" s="1" t="s">
        <v>42</v>
      </c>
      <c r="T3304" s="1" t="s">
        <v>170</v>
      </c>
      <c r="AA3304" s="1">
        <v>1414379.68</v>
      </c>
      <c r="AB3304" s="1" t="s">
        <v>2511</v>
      </c>
      <c r="AC3304" s="5">
        <v>43635</v>
      </c>
      <c r="AF3304" s="1">
        <v>10002</v>
      </c>
      <c r="AI3304" s="1" t="s">
        <v>55</v>
      </c>
      <c r="AJ3304" s="1">
        <v>2019</v>
      </c>
      <c r="AK3304" s="1" t="s">
        <v>46</v>
      </c>
      <c r="AL3304" s="1">
        <v>787</v>
      </c>
    </row>
    <row r="3305" spans="1:38" x14ac:dyDescent="0.2">
      <c r="A3305" s="2" t="str">
        <f>HYPERLINK("https://www.compass.com/listing/252-south-street-unit-54a-manhattan-ny-10002/334603764190679457/","252 South St, Unit 54A")</f>
        <v>252 South St, Unit 54A</v>
      </c>
      <c r="B3305" s="2" t="str">
        <f t="shared" si="411"/>
        <v>One Manhattan Square</v>
      </c>
      <c r="C3305" s="1" t="s">
        <v>66</v>
      </c>
      <c r="D3305" s="1" t="s">
        <v>41</v>
      </c>
      <c r="E3305" s="3">
        <v>2827822</v>
      </c>
      <c r="F3305" s="1">
        <v>2431.4894582974998</v>
      </c>
      <c r="M3305" s="4">
        <v>1163</v>
      </c>
      <c r="Q3305" s="1" t="s">
        <v>42</v>
      </c>
      <c r="S3305" s="1" t="s">
        <v>42</v>
      </c>
      <c r="T3305" s="1" t="s">
        <v>170</v>
      </c>
      <c r="AA3305" s="1">
        <v>2827822.24</v>
      </c>
      <c r="AB3305" s="1" t="s">
        <v>2512</v>
      </c>
      <c r="AC3305" s="5">
        <v>43689</v>
      </c>
      <c r="AF3305" s="1">
        <v>10002</v>
      </c>
      <c r="AI3305" s="1" t="s">
        <v>55</v>
      </c>
      <c r="AJ3305" s="1">
        <v>2019</v>
      </c>
      <c r="AK3305" s="1" t="s">
        <v>46</v>
      </c>
      <c r="AL3305" s="1">
        <v>787</v>
      </c>
    </row>
    <row r="3306" spans="1:38" x14ac:dyDescent="0.2">
      <c r="A3306" s="2" t="str">
        <f>HYPERLINK("https://www.compass.com/listing/225-east-19th-street-unit-504-manhattan-ny-10003/33727539264416625/","225 E 19th St, Unit 504")</f>
        <v>225 E 19th St, Unit 504</v>
      </c>
      <c r="B3306" s="2" t="str">
        <f>HYPERLINK("https://www.compass.com/building/the-prewar-at-gramercy-square-manhattan-ny/282059248584654437/","The Prewar at Gramercy Square")</f>
        <v>The Prewar at Gramercy Square</v>
      </c>
      <c r="C3306" s="1" t="s">
        <v>54</v>
      </c>
      <c r="D3306" s="1" t="s">
        <v>41</v>
      </c>
      <c r="E3306" s="3">
        <v>1568105</v>
      </c>
      <c r="F3306" s="1">
        <v>2253.0244252873499</v>
      </c>
      <c r="M3306" s="1">
        <v>696</v>
      </c>
      <c r="Q3306" s="1" t="s">
        <v>42</v>
      </c>
      <c r="S3306" s="1" t="s">
        <v>42</v>
      </c>
      <c r="T3306" s="1" t="s">
        <v>170</v>
      </c>
      <c r="AA3306" s="1">
        <v>1568105</v>
      </c>
      <c r="AB3306" s="1" t="s">
        <v>2513</v>
      </c>
      <c r="AC3306" s="5">
        <v>43280</v>
      </c>
      <c r="AF3306" s="1">
        <v>10003</v>
      </c>
      <c r="AI3306" s="1" t="s">
        <v>76</v>
      </c>
      <c r="AJ3306" s="1">
        <v>1920</v>
      </c>
      <c r="AK3306" s="1" t="s">
        <v>46</v>
      </c>
      <c r="AL3306" s="1">
        <v>48</v>
      </c>
    </row>
    <row r="3307" spans="1:38" x14ac:dyDescent="0.2">
      <c r="A3307" s="2" t="str">
        <f>HYPERLINK("https://www.compass.com/listing/252-south-street-unit-25b-manhattan-ny-10002/338041464545786561/","252 South St, Unit 25B")</f>
        <v>252 South St, Unit 25B</v>
      </c>
      <c r="B3307" s="2" t="str">
        <f t="shared" ref="B3307:B3313" si="412">HYPERLINK("https://www.compass.com/building/one-manhattan-square-manhattan-ny/294844950218926165/","One Manhattan Square")</f>
        <v>One Manhattan Square</v>
      </c>
      <c r="C3307" s="1" t="s">
        <v>66</v>
      </c>
      <c r="D3307" s="1" t="s">
        <v>41</v>
      </c>
      <c r="E3307" s="3">
        <v>1428889</v>
      </c>
      <c r="F3307" s="1">
        <v>2053.0010632183898</v>
      </c>
      <c r="M3307" s="1">
        <v>696</v>
      </c>
      <c r="Q3307" s="1" t="s">
        <v>42</v>
      </c>
      <c r="S3307" s="1" t="s">
        <v>42</v>
      </c>
      <c r="T3307" s="1" t="s">
        <v>170</v>
      </c>
      <c r="AA3307" s="1">
        <v>1428888.74</v>
      </c>
      <c r="AB3307" s="1" t="s">
        <v>2514</v>
      </c>
      <c r="AC3307" s="5">
        <v>43629</v>
      </c>
      <c r="AF3307" s="1">
        <v>10002</v>
      </c>
      <c r="AI3307" s="1" t="s">
        <v>55</v>
      </c>
      <c r="AJ3307" s="1">
        <v>2019</v>
      </c>
      <c r="AK3307" s="1" t="s">
        <v>46</v>
      </c>
      <c r="AL3307" s="1">
        <v>787</v>
      </c>
    </row>
    <row r="3308" spans="1:38" x14ac:dyDescent="0.2">
      <c r="A3308" s="2" t="str">
        <f>HYPERLINK("https://www.compass.com/listing/252-south-street-unit-28b-manhattan-ny-10002/338041625137312449/","252 South St, Unit 28B")</f>
        <v>252 South St, Unit 28B</v>
      </c>
      <c r="B3308" s="2" t="str">
        <f t="shared" si="412"/>
        <v>One Manhattan Square</v>
      </c>
      <c r="C3308" s="1" t="s">
        <v>66</v>
      </c>
      <c r="D3308" s="1" t="s">
        <v>41</v>
      </c>
      <c r="E3308" s="3">
        <v>1539521</v>
      </c>
      <c r="F3308" s="1">
        <v>2211.9554597701099</v>
      </c>
      <c r="M3308" s="1">
        <v>696</v>
      </c>
      <c r="Q3308" s="1" t="s">
        <v>42</v>
      </c>
      <c r="S3308" s="1" t="s">
        <v>42</v>
      </c>
      <c r="T3308" s="1" t="s">
        <v>170</v>
      </c>
      <c r="AA3308" s="1">
        <v>1539521</v>
      </c>
      <c r="AB3308" s="1" t="s">
        <v>2515</v>
      </c>
      <c r="AC3308" s="5">
        <v>43678</v>
      </c>
      <c r="AF3308" s="1">
        <v>10002</v>
      </c>
      <c r="AI3308" s="1" t="s">
        <v>55</v>
      </c>
      <c r="AJ3308" s="1">
        <v>2019</v>
      </c>
      <c r="AK3308" s="1" t="s">
        <v>46</v>
      </c>
      <c r="AL3308" s="1">
        <v>787</v>
      </c>
    </row>
    <row r="3309" spans="1:38" x14ac:dyDescent="0.2">
      <c r="A3309" s="2" t="str">
        <f>HYPERLINK("https://www.compass.com/listing/252-south-street-unit-30a-manhattan-ny-10002/338041720952180225/","252 South St, Unit 30A")</f>
        <v>252 South St, Unit 30A</v>
      </c>
      <c r="B3309" s="2" t="str">
        <f t="shared" si="412"/>
        <v>One Manhattan Square</v>
      </c>
      <c r="C3309" s="1" t="s">
        <v>66</v>
      </c>
      <c r="D3309" s="1" t="s">
        <v>41</v>
      </c>
      <c r="E3309" s="3">
        <v>2533634</v>
      </c>
      <c r="F3309" s="1">
        <v>2180.4080895008601</v>
      </c>
      <c r="M3309" s="4">
        <v>1162</v>
      </c>
      <c r="Q3309" s="1" t="s">
        <v>42</v>
      </c>
      <c r="S3309" s="1" t="s">
        <v>42</v>
      </c>
      <c r="T3309" s="1" t="s">
        <v>170</v>
      </c>
      <c r="AA3309" s="1">
        <v>2533634.2000000002</v>
      </c>
      <c r="AB3309" s="1" t="s">
        <v>2516</v>
      </c>
      <c r="AC3309" s="5">
        <v>43671</v>
      </c>
      <c r="AF3309" s="1">
        <v>10002</v>
      </c>
      <c r="AI3309" s="1" t="s">
        <v>55</v>
      </c>
      <c r="AJ3309" s="1">
        <v>2019</v>
      </c>
      <c r="AK3309" s="1" t="s">
        <v>46</v>
      </c>
      <c r="AL3309" s="1">
        <v>787</v>
      </c>
    </row>
    <row r="3310" spans="1:38" x14ac:dyDescent="0.2">
      <c r="A3310" s="2" t="str">
        <f>HYPERLINK("https://www.compass.com/listing/252-south-street-unit-38n-manhattan-ny-10002/338041942411273281/","252 South St, Unit 38N")</f>
        <v>252 South St, Unit 38N</v>
      </c>
      <c r="B3310" s="2" t="str">
        <f t="shared" si="412"/>
        <v>One Manhattan Square</v>
      </c>
      <c r="C3310" s="1" t="s">
        <v>66</v>
      </c>
      <c r="D3310" s="1" t="s">
        <v>41</v>
      </c>
      <c r="E3310" s="3">
        <v>1323611</v>
      </c>
      <c r="F3310" s="1">
        <v>1830.7212033195001</v>
      </c>
      <c r="M3310" s="1">
        <v>723</v>
      </c>
      <c r="Q3310" s="1" t="s">
        <v>42</v>
      </c>
      <c r="S3310" s="1" t="s">
        <v>42</v>
      </c>
      <c r="T3310" s="1" t="s">
        <v>170</v>
      </c>
      <c r="AA3310" s="1">
        <v>1323611.43</v>
      </c>
      <c r="AB3310" s="1" t="s">
        <v>2517</v>
      </c>
      <c r="AC3310" s="5">
        <v>43676</v>
      </c>
      <c r="AF3310" s="1">
        <v>10002</v>
      </c>
      <c r="AI3310" s="1" t="s">
        <v>55</v>
      </c>
      <c r="AJ3310" s="1">
        <v>2019</v>
      </c>
      <c r="AK3310" s="1" t="s">
        <v>46</v>
      </c>
      <c r="AL3310" s="1">
        <v>787</v>
      </c>
    </row>
    <row r="3311" spans="1:38" x14ac:dyDescent="0.2">
      <c r="A3311" s="2" t="str">
        <f>HYPERLINK("https://www.compass.com/listing/252-south-street-unit-50f-manhattan-ny-10002/338042070505096273/","252 South St, Unit 50F")</f>
        <v>252 South St, Unit 50F</v>
      </c>
      <c r="B3311" s="2" t="str">
        <f t="shared" si="412"/>
        <v>One Manhattan Square</v>
      </c>
      <c r="C3311" s="1" t="s">
        <v>66</v>
      </c>
      <c r="D3311" s="1" t="s">
        <v>41</v>
      </c>
      <c r="E3311" s="3">
        <v>1360208</v>
      </c>
      <c r="F3311" s="1">
        <v>1883.9440166204899</v>
      </c>
      <c r="M3311" s="1">
        <v>722</v>
      </c>
      <c r="Q3311" s="1" t="s">
        <v>42</v>
      </c>
      <c r="S3311" s="1" t="s">
        <v>42</v>
      </c>
      <c r="T3311" s="1" t="s">
        <v>170</v>
      </c>
      <c r="AA3311" s="1">
        <v>1360207.58</v>
      </c>
      <c r="AB3311" s="1" t="s">
        <v>2518</v>
      </c>
      <c r="AC3311" s="5">
        <v>43686</v>
      </c>
      <c r="AF3311" s="1">
        <v>10002</v>
      </c>
      <c r="AI3311" s="1" t="s">
        <v>55</v>
      </c>
      <c r="AJ3311" s="1">
        <v>2019</v>
      </c>
      <c r="AK3311" s="1" t="s">
        <v>46</v>
      </c>
      <c r="AL3311" s="1">
        <v>787</v>
      </c>
    </row>
    <row r="3312" spans="1:38" x14ac:dyDescent="0.2">
      <c r="A3312" s="2" t="str">
        <f>HYPERLINK("https://www.compass.com/listing/252-south-street-unit-52m-manhattan-ny-10002/338042126264178113/","252 South St, Unit 52M")</f>
        <v>252 South St, Unit 52M</v>
      </c>
      <c r="B3312" s="2" t="str">
        <f t="shared" si="412"/>
        <v>One Manhattan Square</v>
      </c>
      <c r="C3312" s="1" t="s">
        <v>66</v>
      </c>
      <c r="D3312" s="1" t="s">
        <v>41</v>
      </c>
      <c r="E3312" s="3">
        <v>1433542</v>
      </c>
      <c r="F3312" s="1">
        <v>2062.6501582733799</v>
      </c>
      <c r="M3312" s="1">
        <v>695</v>
      </c>
      <c r="Q3312" s="1" t="s">
        <v>42</v>
      </c>
      <c r="S3312" s="1" t="s">
        <v>42</v>
      </c>
      <c r="T3312" s="1" t="s">
        <v>170</v>
      </c>
      <c r="AA3312" s="1">
        <v>1433541.86</v>
      </c>
      <c r="AB3312" s="1" t="s">
        <v>2519</v>
      </c>
      <c r="AC3312" s="5">
        <v>43686</v>
      </c>
      <c r="AF3312" s="1">
        <v>10002</v>
      </c>
      <c r="AI3312" s="1" t="s">
        <v>55</v>
      </c>
      <c r="AJ3312" s="1">
        <v>2019</v>
      </c>
      <c r="AK3312" s="1" t="s">
        <v>46</v>
      </c>
      <c r="AL3312" s="1">
        <v>787</v>
      </c>
    </row>
    <row r="3313" spans="1:38" x14ac:dyDescent="0.2">
      <c r="A3313" s="2" t="str">
        <f>HYPERLINK("https://www.compass.com/listing/252-south-street-unit-54k-manhattan-ny-10002/338042162159034897/","252 South St, Unit 54K")</f>
        <v>252 South St, Unit 54K</v>
      </c>
      <c r="B3313" s="2" t="str">
        <f t="shared" si="412"/>
        <v>One Manhattan Square</v>
      </c>
      <c r="C3313" s="1" t="s">
        <v>66</v>
      </c>
      <c r="D3313" s="1" t="s">
        <v>41</v>
      </c>
      <c r="E3313" s="3">
        <v>2546010</v>
      </c>
      <c r="F3313" s="1">
        <v>2267.1508548530701</v>
      </c>
      <c r="M3313" s="4">
        <v>1123</v>
      </c>
      <c r="Q3313" s="1" t="s">
        <v>42</v>
      </c>
      <c r="S3313" s="1" t="s">
        <v>42</v>
      </c>
      <c r="T3313" s="1" t="s">
        <v>170</v>
      </c>
      <c r="AA3313" s="1">
        <v>2546010.41</v>
      </c>
      <c r="AB3313" s="1" t="s">
        <v>2520</v>
      </c>
      <c r="AC3313" s="5">
        <v>43685</v>
      </c>
      <c r="AF3313" s="1">
        <v>10002</v>
      </c>
      <c r="AI3313" s="1" t="s">
        <v>55</v>
      </c>
      <c r="AJ3313" s="1">
        <v>2019</v>
      </c>
      <c r="AK3313" s="1" t="s">
        <v>46</v>
      </c>
      <c r="AL3313" s="1">
        <v>787</v>
      </c>
    </row>
    <row r="3314" spans="1:38" x14ac:dyDescent="0.2">
      <c r="A3314" s="2" t="str">
        <f>HYPERLINK("https://www.compass.com/listing/265-east-houston-street-unit-3a-manhattan-ny-10002/345328328700936417/","265 E Houston St, Unit 3A")</f>
        <v>265 E Houston St, Unit 3A</v>
      </c>
      <c r="B3314" s="2" t="str">
        <f>HYPERLINK("https://www.compass.com/building/265-e-houston-st-manhattan-ny-10002/281886808264939173/","265 E Houston St")</f>
        <v>265 E Houston St</v>
      </c>
      <c r="C3314" s="1" t="s">
        <v>66</v>
      </c>
      <c r="D3314" s="1" t="s">
        <v>41</v>
      </c>
      <c r="E3314" s="3">
        <v>1920000</v>
      </c>
      <c r="F3314" s="1">
        <v>1371.42857142857</v>
      </c>
      <c r="H3314" s="1">
        <v>2</v>
      </c>
      <c r="J3314" s="1">
        <v>2</v>
      </c>
      <c r="M3314" s="4">
        <v>1400</v>
      </c>
      <c r="N3314" s="1">
        <v>1491</v>
      </c>
      <c r="O3314" s="1">
        <v>2714</v>
      </c>
      <c r="P3314" s="1">
        <v>1223</v>
      </c>
      <c r="Q3314" s="1" t="s">
        <v>42</v>
      </c>
      <c r="S3314" s="1" t="s">
        <v>42</v>
      </c>
      <c r="T3314" s="1" t="s">
        <v>170</v>
      </c>
      <c r="AA3314" s="1">
        <v>1920000</v>
      </c>
      <c r="AB3314" s="1" t="s">
        <v>2521</v>
      </c>
      <c r="AC3314" s="5">
        <v>43402</v>
      </c>
      <c r="AF3314" s="1">
        <v>10002</v>
      </c>
      <c r="AI3314" s="1" t="s">
        <v>53</v>
      </c>
      <c r="AJ3314" s="1">
        <v>2015</v>
      </c>
      <c r="AL3314" s="1">
        <v>7</v>
      </c>
    </row>
    <row r="3315" spans="1:38" x14ac:dyDescent="0.2">
      <c r="A3315" s="2" t="str">
        <f>HYPERLINK("https://www.compass.com/listing/121-east-22nd-street-unit-n408-manhattan-ny-10010/345332847528291345/","121 E 22nd St, Unit N408")</f>
        <v>121 E 22nd St, Unit N408</v>
      </c>
      <c r="B3315" s="2" t="str">
        <f>HYPERLINK("https://www.compass.com/building/121-e-22nd-manhattan-ny/292795784653461493/","121 E 22nd")</f>
        <v>121 E 22nd</v>
      </c>
      <c r="C3315" s="1" t="s">
        <v>54</v>
      </c>
      <c r="D3315" s="1" t="s">
        <v>41</v>
      </c>
      <c r="E3315" s="3">
        <v>3151484</v>
      </c>
      <c r="F3315" s="1">
        <v>1846.2119214997001</v>
      </c>
      <c r="M3315" s="4">
        <v>1707</v>
      </c>
      <c r="Q3315" s="1" t="s">
        <v>42</v>
      </c>
      <c r="S3315" s="1" t="s">
        <v>42</v>
      </c>
      <c r="T3315" s="1" t="s">
        <v>170</v>
      </c>
      <c r="AA3315" s="1">
        <v>3151483.75</v>
      </c>
      <c r="AB3315" s="1" t="s">
        <v>2522</v>
      </c>
      <c r="AC3315" s="5">
        <v>43693</v>
      </c>
      <c r="AF3315" s="1">
        <v>10010</v>
      </c>
      <c r="AI3315" s="1" t="s">
        <v>55</v>
      </c>
      <c r="AJ3315" s="1">
        <v>2016</v>
      </c>
      <c r="AK3315" s="1" t="s">
        <v>49</v>
      </c>
      <c r="AL3315" s="1">
        <v>140</v>
      </c>
    </row>
    <row r="3316" spans="1:38" x14ac:dyDescent="0.2">
      <c r="A3316" s="2" t="str">
        <f>HYPERLINK("https://www.compass.com/listing/252-south-street-unit-24d-manhattan-ny-10002/350399187100139681/","252 South St, Unit 24D")</f>
        <v>252 South St, Unit 24D</v>
      </c>
      <c r="B3316" s="2" t="str">
        <f>HYPERLINK("https://www.compass.com/building/one-manhattan-square-manhattan-ny/294844950218926165/","One Manhattan Square")</f>
        <v>One Manhattan Square</v>
      </c>
      <c r="C3316" s="1" t="s">
        <v>66</v>
      </c>
      <c r="D3316" s="1" t="s">
        <v>41</v>
      </c>
      <c r="E3316" s="3">
        <v>2490057</v>
      </c>
      <c r="F3316" s="1">
        <v>2217.3262511130802</v>
      </c>
      <c r="M3316" s="4">
        <v>1123</v>
      </c>
      <c r="Q3316" s="1" t="s">
        <v>42</v>
      </c>
      <c r="S3316" s="1" t="s">
        <v>42</v>
      </c>
      <c r="T3316" s="1" t="s">
        <v>170</v>
      </c>
      <c r="AA3316" s="1">
        <v>2490057.38</v>
      </c>
      <c r="AB3316" s="1" t="s">
        <v>2523</v>
      </c>
      <c r="AC3316" s="5">
        <v>43725</v>
      </c>
      <c r="AF3316" s="1">
        <v>10002</v>
      </c>
      <c r="AI3316" s="1" t="s">
        <v>55</v>
      </c>
      <c r="AJ3316" s="1">
        <v>2019</v>
      </c>
      <c r="AK3316" s="1" t="s">
        <v>46</v>
      </c>
      <c r="AL3316" s="1">
        <v>787</v>
      </c>
    </row>
    <row r="3317" spans="1:38" x14ac:dyDescent="0.2">
      <c r="A3317" s="2" t="str">
        <f>HYPERLINK("https://www.compass.com/listing/21-east-12th-street-unit-phc-manhattan-ny-10003/369422587871924433/","21 E 12th St, Unit PHC")</f>
        <v>21 E 12th St, Unit PHC</v>
      </c>
      <c r="B3317" s="2" t="str">
        <f>HYPERLINK("https://www.compass.com/building/21-east-12th-street-manhattan-ny/292779727154847925/","21 East 12th Street")</f>
        <v>21 East 12th Street</v>
      </c>
      <c r="C3317" s="1" t="s">
        <v>370</v>
      </c>
      <c r="D3317" s="1" t="s">
        <v>41</v>
      </c>
      <c r="E3317" s="3">
        <v>17281288</v>
      </c>
      <c r="F3317" s="1">
        <v>3336.8000791658601</v>
      </c>
      <c r="M3317" s="4">
        <v>5179</v>
      </c>
      <c r="Q3317" s="1" t="s">
        <v>42</v>
      </c>
      <c r="S3317" s="1" t="s">
        <v>42</v>
      </c>
      <c r="T3317" s="1" t="s">
        <v>170</v>
      </c>
      <c r="AA3317" s="1">
        <v>17281287.609999999</v>
      </c>
      <c r="AB3317" s="1" t="s">
        <v>2524</v>
      </c>
      <c r="AC3317" s="5">
        <v>43745</v>
      </c>
      <c r="AF3317" s="1">
        <v>10003</v>
      </c>
      <c r="AI3317" s="1" t="s">
        <v>59</v>
      </c>
      <c r="AJ3317" s="1">
        <v>2018</v>
      </c>
      <c r="AK3317" s="1" t="s">
        <v>172</v>
      </c>
      <c r="AL3317" s="1">
        <v>52</v>
      </c>
    </row>
    <row r="3318" spans="1:38" x14ac:dyDescent="0.2">
      <c r="A3318" s="2" t="str">
        <f>HYPERLINK("https://www.compass.com/listing/49-51-chambers-street-unit-8h-manhattan-ny-10007/370697126557407953/","49-51 Chambers St, Unit 8H")</f>
        <v>49-51 Chambers St, Unit 8H</v>
      </c>
      <c r="B3318" s="2" t="str">
        <f>HYPERLINK("https://www.compass.com/building/49-51-chambers-st-manhattan-ny-10007/441163040348878029/","49-51 Chambers St")</f>
        <v>49-51 Chambers St</v>
      </c>
      <c r="C3318" s="1" t="s">
        <v>956</v>
      </c>
      <c r="D3318" s="1" t="s">
        <v>41</v>
      </c>
      <c r="E3318" s="3">
        <v>2341975</v>
      </c>
      <c r="F3318" s="1">
        <v>1605.19191226867</v>
      </c>
      <c r="M3318" s="4">
        <v>1459</v>
      </c>
      <c r="Q3318" s="1" t="s">
        <v>42</v>
      </c>
      <c r="S3318" s="1" t="s">
        <v>42</v>
      </c>
      <c r="T3318" s="1" t="s">
        <v>170</v>
      </c>
      <c r="AA3318" s="1">
        <v>2341975</v>
      </c>
      <c r="AB3318" s="1" t="s">
        <v>2525</v>
      </c>
      <c r="AC3318" s="5">
        <v>43731</v>
      </c>
      <c r="AF3318" s="1">
        <v>10007</v>
      </c>
    </row>
    <row r="3319" spans="1:38" x14ac:dyDescent="0.2">
      <c r="A3319" s="2" t="str">
        <f>HYPERLINK("https://www.compass.com/listing/21-east-12th-street-unit-4c-manhattan-ny-10003/370699780905520017/","21 E 12th St, Unit 4C")</f>
        <v>21 E 12th St, Unit 4C</v>
      </c>
      <c r="B3319" s="2" t="str">
        <f>HYPERLINK("https://www.compass.com/building/21-east-12th-street-manhattan-ny/292779727154847925/","21 East 12th Street")</f>
        <v>21 East 12th Street</v>
      </c>
      <c r="C3319" s="1" t="s">
        <v>370</v>
      </c>
      <c r="D3319" s="1" t="s">
        <v>41</v>
      </c>
      <c r="E3319" s="3">
        <v>2265606</v>
      </c>
      <c r="F3319" s="1">
        <v>2545.625</v>
      </c>
      <c r="M3319" s="1">
        <v>890</v>
      </c>
      <c r="Q3319" s="1" t="s">
        <v>42</v>
      </c>
      <c r="S3319" s="1" t="s">
        <v>42</v>
      </c>
      <c r="T3319" s="1" t="s">
        <v>170</v>
      </c>
      <c r="AA3319" s="1">
        <v>2265606.25</v>
      </c>
      <c r="AB3319" s="1" t="s">
        <v>2526</v>
      </c>
      <c r="AC3319" s="5">
        <v>43749</v>
      </c>
      <c r="AF3319" s="1">
        <v>10003</v>
      </c>
      <c r="AI3319" s="1" t="s">
        <v>59</v>
      </c>
      <c r="AJ3319" s="1">
        <v>2018</v>
      </c>
      <c r="AK3319" s="1" t="s">
        <v>172</v>
      </c>
      <c r="AL3319" s="1">
        <v>52</v>
      </c>
    </row>
    <row r="3320" spans="1:38" x14ac:dyDescent="0.2">
      <c r="A3320" s="2" t="str">
        <f>HYPERLINK("https://www.compass.com/listing/551-main-street-unit-res-manhattan-ny-10044/374119187275197345/","551 Main St, Unit RES")</f>
        <v>551 Main St, Unit RES</v>
      </c>
      <c r="B3320" s="2" t="str">
        <f t="shared" ref="B3320:B3344" si="413">HYPERLINK("https://www.compass.com/building/island-house-manhattan-ny/282059863998105557/","Island House")</f>
        <v>Island House</v>
      </c>
      <c r="C3320" s="1" t="s">
        <v>128</v>
      </c>
      <c r="D3320" s="1" t="s">
        <v>41</v>
      </c>
      <c r="E3320" s="3">
        <v>199774</v>
      </c>
      <c r="Q3320" s="1" t="s">
        <v>129</v>
      </c>
      <c r="S3320" s="1" t="s">
        <v>129</v>
      </c>
      <c r="T3320" s="1" t="s">
        <v>170</v>
      </c>
      <c r="AA3320" s="1">
        <v>199774.1</v>
      </c>
      <c r="AB3320" s="1" t="s">
        <v>2527</v>
      </c>
      <c r="AC3320" s="5">
        <v>42277</v>
      </c>
      <c r="AF3320" s="1">
        <v>10044</v>
      </c>
      <c r="AJ3320" s="1">
        <v>1975</v>
      </c>
      <c r="AL3320" s="1">
        <v>400</v>
      </c>
    </row>
    <row r="3321" spans="1:38" x14ac:dyDescent="0.2">
      <c r="A3321" s="2" t="str">
        <f>HYPERLINK("https://www.compass.com/listing/551-main-street-unit-res-manhattan-ny-10044/374119187275197553/","551 Main St, Unit RES")</f>
        <v>551 Main St, Unit RES</v>
      </c>
      <c r="B3321" s="2" t="str">
        <f t="shared" si="413"/>
        <v>Island House</v>
      </c>
      <c r="C3321" s="1" t="s">
        <v>128</v>
      </c>
      <c r="D3321" s="1" t="s">
        <v>41</v>
      </c>
      <c r="E3321" s="3">
        <v>396867</v>
      </c>
      <c r="Q3321" s="1" t="s">
        <v>129</v>
      </c>
      <c r="S3321" s="1" t="s">
        <v>129</v>
      </c>
      <c r="T3321" s="1" t="s">
        <v>170</v>
      </c>
      <c r="AA3321" s="1">
        <v>396866.9</v>
      </c>
      <c r="AB3321" s="1" t="s">
        <v>2528</v>
      </c>
      <c r="AC3321" s="5">
        <v>42282</v>
      </c>
      <c r="AF3321" s="1">
        <v>10044</v>
      </c>
      <c r="AJ3321" s="1">
        <v>1975</v>
      </c>
      <c r="AL3321" s="1">
        <v>400</v>
      </c>
    </row>
    <row r="3322" spans="1:38" x14ac:dyDescent="0.2">
      <c r="A3322" s="2" t="str">
        <f>HYPERLINK("https://www.compass.com/listing/551-main-street-unit-res-manhattan-ny-10044/374119187275197617/","551 Main St, Unit RES")</f>
        <v>551 Main St, Unit RES</v>
      </c>
      <c r="B3322" s="2" t="str">
        <f t="shared" si="413"/>
        <v>Island House</v>
      </c>
      <c r="C3322" s="1" t="s">
        <v>128</v>
      </c>
      <c r="D3322" s="1" t="s">
        <v>41</v>
      </c>
      <c r="E3322" s="3">
        <v>479856</v>
      </c>
      <c r="Q3322" s="1" t="s">
        <v>129</v>
      </c>
      <c r="S3322" s="1" t="s">
        <v>129</v>
      </c>
      <c r="T3322" s="1" t="s">
        <v>170</v>
      </c>
      <c r="AA3322" s="1">
        <v>479855.5</v>
      </c>
      <c r="AB3322" s="1" t="s">
        <v>2529</v>
      </c>
      <c r="AC3322" s="5">
        <v>42263</v>
      </c>
      <c r="AF3322" s="1">
        <v>10044</v>
      </c>
      <c r="AJ3322" s="1">
        <v>1975</v>
      </c>
      <c r="AL3322" s="1">
        <v>400</v>
      </c>
    </row>
    <row r="3323" spans="1:38" x14ac:dyDescent="0.2">
      <c r="A3323" s="2" t="str">
        <f>HYPERLINK("https://www.compass.com/listing/551-main-street-unit-res-manhattan-ny-10044/374119187275197713/","551 Main St, Unit RES")</f>
        <v>551 Main St, Unit RES</v>
      </c>
      <c r="B3323" s="2" t="str">
        <f t="shared" si="413"/>
        <v>Island House</v>
      </c>
      <c r="C3323" s="1" t="s">
        <v>128</v>
      </c>
      <c r="D3323" s="1" t="s">
        <v>41</v>
      </c>
      <c r="E3323" s="3">
        <v>181918</v>
      </c>
      <c r="Q3323" s="1" t="s">
        <v>129</v>
      </c>
      <c r="S3323" s="1" t="s">
        <v>129</v>
      </c>
      <c r="T3323" s="1" t="s">
        <v>170</v>
      </c>
      <c r="AB3323" s="1" t="s">
        <v>44</v>
      </c>
      <c r="AF3323" s="1">
        <v>10044</v>
      </c>
      <c r="AJ3323" s="1">
        <v>1975</v>
      </c>
      <c r="AL3323" s="1">
        <v>400</v>
      </c>
    </row>
    <row r="3324" spans="1:38" x14ac:dyDescent="0.2">
      <c r="A3324" s="2" t="str">
        <f>HYPERLINK("https://www.compass.com/listing/551-main-street-unit-res-manhattan-ny-10044/374119187275197889/","551 Main St, Unit RES")</f>
        <v>551 Main St, Unit RES</v>
      </c>
      <c r="B3324" s="2" t="str">
        <f t="shared" si="413"/>
        <v>Island House</v>
      </c>
      <c r="C3324" s="1" t="s">
        <v>128</v>
      </c>
      <c r="D3324" s="1" t="s">
        <v>41</v>
      </c>
      <c r="E3324" s="3">
        <v>273591</v>
      </c>
      <c r="Q3324" s="1" t="s">
        <v>129</v>
      </c>
      <c r="S3324" s="1" t="s">
        <v>129</v>
      </c>
      <c r="T3324" s="1" t="s">
        <v>170</v>
      </c>
      <c r="AB3324" s="1" t="s">
        <v>44</v>
      </c>
      <c r="AF3324" s="1">
        <v>10044</v>
      </c>
      <c r="AJ3324" s="1">
        <v>1975</v>
      </c>
      <c r="AL3324" s="1">
        <v>400</v>
      </c>
    </row>
    <row r="3325" spans="1:38" x14ac:dyDescent="0.2">
      <c r="A3325" s="2" t="str">
        <f>HYPERLINK("https://www.compass.com/listing/551-main-street-unit-res-manhattan-ny-10044/374119187275197921/","551 Main St, Unit RES")</f>
        <v>551 Main St, Unit RES</v>
      </c>
      <c r="B3325" s="2" t="str">
        <f t="shared" si="413"/>
        <v>Island House</v>
      </c>
      <c r="C3325" s="1" t="s">
        <v>128</v>
      </c>
      <c r="D3325" s="1" t="s">
        <v>41</v>
      </c>
      <c r="E3325" s="3">
        <v>327076</v>
      </c>
      <c r="Q3325" s="1" t="s">
        <v>129</v>
      </c>
      <c r="S3325" s="1" t="s">
        <v>129</v>
      </c>
      <c r="T3325" s="1" t="s">
        <v>170</v>
      </c>
      <c r="AA3325" s="1">
        <v>327076.09999999998</v>
      </c>
      <c r="AB3325" s="1" t="s">
        <v>2530</v>
      </c>
      <c r="AC3325" s="5">
        <v>42263</v>
      </c>
      <c r="AF3325" s="1">
        <v>10044</v>
      </c>
      <c r="AJ3325" s="1">
        <v>1975</v>
      </c>
      <c r="AL3325" s="1">
        <v>400</v>
      </c>
    </row>
    <row r="3326" spans="1:38" x14ac:dyDescent="0.2">
      <c r="A3326" s="2" t="str">
        <f>HYPERLINK("https://www.compass.com/listing/551-main-street-unit-res-manhattan-ny-10044/374119187275197969/","551 Main St, Unit RES")</f>
        <v>551 Main St, Unit RES</v>
      </c>
      <c r="B3326" s="2" t="str">
        <f t="shared" si="413"/>
        <v>Island House</v>
      </c>
      <c r="C3326" s="1" t="s">
        <v>128</v>
      </c>
      <c r="D3326" s="1" t="s">
        <v>41</v>
      </c>
      <c r="E3326" s="3">
        <v>281544</v>
      </c>
      <c r="Q3326" s="1" t="s">
        <v>129</v>
      </c>
      <c r="S3326" s="1" t="s">
        <v>129</v>
      </c>
      <c r="T3326" s="1" t="s">
        <v>170</v>
      </c>
      <c r="AB3326" s="1" t="s">
        <v>44</v>
      </c>
      <c r="AF3326" s="1">
        <v>10044</v>
      </c>
      <c r="AJ3326" s="1">
        <v>1975</v>
      </c>
      <c r="AL3326" s="1">
        <v>400</v>
      </c>
    </row>
    <row r="3327" spans="1:38" x14ac:dyDescent="0.2">
      <c r="A3327" s="2" t="str">
        <f>HYPERLINK("https://www.compass.com/listing/551-main-street-unit-res-manhattan-ny-10044/374119187275198001/","551 Main St, Unit RES")</f>
        <v>551 Main St, Unit RES</v>
      </c>
      <c r="B3327" s="2" t="str">
        <f t="shared" si="413"/>
        <v>Island House</v>
      </c>
      <c r="C3327" s="1" t="s">
        <v>128</v>
      </c>
      <c r="D3327" s="1" t="s">
        <v>41</v>
      </c>
      <c r="E3327" s="3">
        <v>307556</v>
      </c>
      <c r="Q3327" s="1" t="s">
        <v>129</v>
      </c>
      <c r="S3327" s="1" t="s">
        <v>129</v>
      </c>
      <c r="T3327" s="1" t="s">
        <v>170</v>
      </c>
      <c r="AA3327" s="1">
        <v>307556.2</v>
      </c>
      <c r="AB3327" s="1" t="s">
        <v>2531</v>
      </c>
      <c r="AC3327" s="5">
        <v>42282</v>
      </c>
      <c r="AF3327" s="1">
        <v>10044</v>
      </c>
      <c r="AJ3327" s="1">
        <v>1975</v>
      </c>
      <c r="AL3327" s="1">
        <v>400</v>
      </c>
    </row>
    <row r="3328" spans="1:38" x14ac:dyDescent="0.2">
      <c r="A3328" s="2" t="str">
        <f>HYPERLINK("https://www.compass.com/listing/551-main-street-unit-res-manhattan-ny-10044/374119187275198049/","551 Main St, Unit RES")</f>
        <v>551 Main St, Unit RES</v>
      </c>
      <c r="B3328" s="2" t="str">
        <f t="shared" si="413"/>
        <v>Island House</v>
      </c>
      <c r="C3328" s="1" t="s">
        <v>128</v>
      </c>
      <c r="D3328" s="1" t="s">
        <v>41</v>
      </c>
      <c r="E3328" s="3">
        <v>296585</v>
      </c>
      <c r="Q3328" s="1" t="s">
        <v>129</v>
      </c>
      <c r="S3328" s="1" t="s">
        <v>129</v>
      </c>
      <c r="T3328" s="1" t="s">
        <v>170</v>
      </c>
      <c r="AA3328" s="1">
        <v>296585.2</v>
      </c>
      <c r="AB3328" s="1" t="s">
        <v>2532</v>
      </c>
      <c r="AC3328" s="5">
        <v>42275</v>
      </c>
      <c r="AF3328" s="1">
        <v>10044</v>
      </c>
      <c r="AJ3328" s="1">
        <v>1975</v>
      </c>
      <c r="AL3328" s="1">
        <v>400</v>
      </c>
    </row>
    <row r="3329" spans="1:38" x14ac:dyDescent="0.2">
      <c r="A3329" s="2" t="str">
        <f>HYPERLINK("https://www.compass.com/listing/551-main-street-unit-res-manhattan-ny-10044/374119187275198177/","551 Main St, Unit RES")</f>
        <v>551 Main St, Unit RES</v>
      </c>
      <c r="B3329" s="2" t="str">
        <f t="shared" si="413"/>
        <v>Island House</v>
      </c>
      <c r="C3329" s="1" t="s">
        <v>128</v>
      </c>
      <c r="D3329" s="1" t="s">
        <v>41</v>
      </c>
      <c r="E3329" s="3">
        <v>427269</v>
      </c>
      <c r="Q3329" s="1" t="s">
        <v>129</v>
      </c>
      <c r="S3329" s="1" t="s">
        <v>129</v>
      </c>
      <c r="T3329" s="1" t="s">
        <v>170</v>
      </c>
      <c r="AA3329" s="1">
        <v>427268.6</v>
      </c>
      <c r="AB3329" s="1" t="s">
        <v>2533</v>
      </c>
      <c r="AC3329" s="5">
        <v>42263</v>
      </c>
      <c r="AF3329" s="1">
        <v>10044</v>
      </c>
      <c r="AJ3329" s="1">
        <v>1975</v>
      </c>
      <c r="AL3329" s="1">
        <v>400</v>
      </c>
    </row>
    <row r="3330" spans="1:38" x14ac:dyDescent="0.2">
      <c r="A3330" s="2" t="str">
        <f>HYPERLINK("https://www.compass.com/listing/551-main-street-unit-res-manhattan-ny-10044/374119187275198353/","551 Main St, Unit RES")</f>
        <v>551 Main St, Unit RES</v>
      </c>
      <c r="B3330" s="2" t="str">
        <f t="shared" si="413"/>
        <v>Island House</v>
      </c>
      <c r="C3330" s="1" t="s">
        <v>128</v>
      </c>
      <c r="D3330" s="1" t="s">
        <v>41</v>
      </c>
      <c r="E3330" s="3">
        <v>321498</v>
      </c>
      <c r="Q3330" s="1" t="s">
        <v>129</v>
      </c>
      <c r="S3330" s="1" t="s">
        <v>129</v>
      </c>
      <c r="T3330" s="1" t="s">
        <v>170</v>
      </c>
      <c r="AB3330" s="1" t="s">
        <v>44</v>
      </c>
      <c r="AF3330" s="1">
        <v>10044</v>
      </c>
      <c r="AJ3330" s="1">
        <v>1975</v>
      </c>
      <c r="AL3330" s="1">
        <v>400</v>
      </c>
    </row>
    <row r="3331" spans="1:38" x14ac:dyDescent="0.2">
      <c r="A3331" s="2" t="str">
        <f>HYPERLINK("https://www.compass.com/listing/551-main-street-unit-res-manhattan-ny-10044/374119187275198673/","551 Main St, Unit RES")</f>
        <v>551 Main St, Unit RES</v>
      </c>
      <c r="B3331" s="2" t="str">
        <f t="shared" si="413"/>
        <v>Island House</v>
      </c>
      <c r="C3331" s="1" t="s">
        <v>128</v>
      </c>
      <c r="D3331" s="1" t="s">
        <v>41</v>
      </c>
      <c r="E3331" s="3">
        <v>459480</v>
      </c>
      <c r="Q3331" s="1" t="s">
        <v>129</v>
      </c>
      <c r="S3331" s="1" t="s">
        <v>129</v>
      </c>
      <c r="T3331" s="1" t="s">
        <v>170</v>
      </c>
      <c r="AB3331" s="1" t="s">
        <v>44</v>
      </c>
      <c r="AF3331" s="1">
        <v>10044</v>
      </c>
      <c r="AJ3331" s="1">
        <v>1975</v>
      </c>
      <c r="AL3331" s="1">
        <v>400</v>
      </c>
    </row>
    <row r="3332" spans="1:38" x14ac:dyDescent="0.2">
      <c r="A3332" s="2" t="str">
        <f>HYPERLINK("https://www.compass.com/listing/551-main-street-unit-res-manhattan-ny-10044/374119187275198705/","551 Main St, Unit RES")</f>
        <v>551 Main St, Unit RES</v>
      </c>
      <c r="B3332" s="2" t="str">
        <f t="shared" si="413"/>
        <v>Island House</v>
      </c>
      <c r="C3332" s="1" t="s">
        <v>128</v>
      </c>
      <c r="D3332" s="1" t="s">
        <v>41</v>
      </c>
      <c r="E3332" s="3">
        <v>513379</v>
      </c>
      <c r="Q3332" s="1" t="s">
        <v>129</v>
      </c>
      <c r="S3332" s="1" t="s">
        <v>129</v>
      </c>
      <c r="T3332" s="1" t="s">
        <v>170</v>
      </c>
      <c r="AB3332" s="1" t="s">
        <v>44</v>
      </c>
      <c r="AF3332" s="1">
        <v>10044</v>
      </c>
      <c r="AJ3332" s="1">
        <v>1975</v>
      </c>
      <c r="AL3332" s="1">
        <v>400</v>
      </c>
    </row>
    <row r="3333" spans="1:38" x14ac:dyDescent="0.2">
      <c r="A3333" s="2" t="str">
        <f>HYPERLINK("https://www.compass.com/listing/551-main-street-unit-res-manhattan-ny-10044/374119187275198801/","551 Main St, Unit RES")</f>
        <v>551 Main St, Unit RES</v>
      </c>
      <c r="B3333" s="2" t="str">
        <f t="shared" si="413"/>
        <v>Island House</v>
      </c>
      <c r="C3333" s="1" t="s">
        <v>128</v>
      </c>
      <c r="D3333" s="1" t="s">
        <v>41</v>
      </c>
      <c r="E3333" s="3">
        <v>484532</v>
      </c>
      <c r="Q3333" s="1" t="s">
        <v>129</v>
      </c>
      <c r="S3333" s="1" t="s">
        <v>129</v>
      </c>
      <c r="T3333" s="1" t="s">
        <v>170</v>
      </c>
      <c r="AB3333" s="1" t="s">
        <v>44</v>
      </c>
      <c r="AF3333" s="1">
        <v>10044</v>
      </c>
      <c r="AJ3333" s="1">
        <v>1975</v>
      </c>
      <c r="AL3333" s="1">
        <v>400</v>
      </c>
    </row>
    <row r="3334" spans="1:38" x14ac:dyDescent="0.2">
      <c r="A3334" s="2" t="str">
        <f>HYPERLINK("https://www.compass.com/listing/551-main-street-unit-res-manhattan-ny-10044/374119187275198849/","551 Main St, Unit RES")</f>
        <v>551 Main St, Unit RES</v>
      </c>
      <c r="B3334" s="2" t="str">
        <f t="shared" si="413"/>
        <v>Island House</v>
      </c>
      <c r="C3334" s="1" t="s">
        <v>128</v>
      </c>
      <c r="D3334" s="1" t="s">
        <v>41</v>
      </c>
      <c r="E3334" s="3">
        <v>120071</v>
      </c>
      <c r="Q3334" s="1" t="s">
        <v>129</v>
      </c>
      <c r="S3334" s="1" t="s">
        <v>129</v>
      </c>
      <c r="T3334" s="1" t="s">
        <v>170</v>
      </c>
      <c r="AA3334" s="1">
        <v>120070.7</v>
      </c>
      <c r="AB3334" s="1" t="s">
        <v>2534</v>
      </c>
      <c r="AC3334" s="5">
        <v>42282</v>
      </c>
      <c r="AF3334" s="1">
        <v>10044</v>
      </c>
      <c r="AJ3334" s="1">
        <v>1975</v>
      </c>
      <c r="AL3334" s="1">
        <v>400</v>
      </c>
    </row>
    <row r="3335" spans="1:38" x14ac:dyDescent="0.2">
      <c r="A3335" s="2" t="str">
        <f>HYPERLINK("https://www.compass.com/listing/551-main-street-unit-res-manhattan-ny-10044/374119187275198865/","551 Main St, Unit RES")</f>
        <v>551 Main St, Unit RES</v>
      </c>
      <c r="B3335" s="2" t="str">
        <f t="shared" si="413"/>
        <v>Island House</v>
      </c>
      <c r="C3335" s="1" t="s">
        <v>128</v>
      </c>
      <c r="D3335" s="1" t="s">
        <v>41</v>
      </c>
      <c r="E3335" s="3">
        <v>488186</v>
      </c>
      <c r="Q3335" s="1" t="s">
        <v>129</v>
      </c>
      <c r="S3335" s="1" t="s">
        <v>129</v>
      </c>
      <c r="T3335" s="1" t="s">
        <v>170</v>
      </c>
      <c r="AA3335" s="1">
        <v>488185.5</v>
      </c>
      <c r="AB3335" s="1" t="s">
        <v>2535</v>
      </c>
      <c r="AC3335" s="5">
        <v>42263</v>
      </c>
      <c r="AF3335" s="1">
        <v>10044</v>
      </c>
      <c r="AJ3335" s="1">
        <v>1975</v>
      </c>
      <c r="AL3335" s="1">
        <v>400</v>
      </c>
    </row>
    <row r="3336" spans="1:38" x14ac:dyDescent="0.2">
      <c r="A3336" s="2" t="str">
        <f>HYPERLINK("https://www.compass.com/listing/551-main-street-unit-res-manhattan-ny-10044/374119187275198913/","551 Main St, Unit RES")</f>
        <v>551 Main St, Unit RES</v>
      </c>
      <c r="B3336" s="2" t="str">
        <f t="shared" si="413"/>
        <v>Island House</v>
      </c>
      <c r="C3336" s="1" t="s">
        <v>128</v>
      </c>
      <c r="D3336" s="1" t="s">
        <v>41</v>
      </c>
      <c r="E3336" s="3">
        <v>209463</v>
      </c>
      <c r="Q3336" s="1" t="s">
        <v>129</v>
      </c>
      <c r="S3336" s="1" t="s">
        <v>129</v>
      </c>
      <c r="T3336" s="1" t="s">
        <v>170</v>
      </c>
      <c r="AB3336" s="1" t="s">
        <v>44</v>
      </c>
      <c r="AF3336" s="1">
        <v>10044</v>
      </c>
      <c r="AJ3336" s="1">
        <v>1975</v>
      </c>
      <c r="AL3336" s="1">
        <v>400</v>
      </c>
    </row>
    <row r="3337" spans="1:38" x14ac:dyDescent="0.2">
      <c r="A3337" s="2" t="str">
        <f>HYPERLINK("https://www.compass.com/listing/551-main-street-unit-res-manhattan-ny-10044/374119187275198961/","551 Main St, Unit RES")</f>
        <v>551 Main St, Unit RES</v>
      </c>
      <c r="B3337" s="2" t="str">
        <f t="shared" si="413"/>
        <v>Island House</v>
      </c>
      <c r="C3337" s="1" t="s">
        <v>128</v>
      </c>
      <c r="D3337" s="1" t="s">
        <v>41</v>
      </c>
      <c r="E3337" s="3">
        <v>266780</v>
      </c>
      <c r="Q3337" s="1" t="s">
        <v>129</v>
      </c>
      <c r="S3337" s="1" t="s">
        <v>129</v>
      </c>
      <c r="T3337" s="1" t="s">
        <v>170</v>
      </c>
      <c r="AB3337" s="1" t="s">
        <v>44</v>
      </c>
      <c r="AF3337" s="1">
        <v>10044</v>
      </c>
      <c r="AJ3337" s="1">
        <v>1975</v>
      </c>
      <c r="AL3337" s="1">
        <v>400</v>
      </c>
    </row>
    <row r="3338" spans="1:38" x14ac:dyDescent="0.2">
      <c r="A3338" s="2" t="str">
        <f>HYPERLINK("https://www.compass.com/listing/551-main-street-unit-res-manhattan-ny-10044/374119187275198977/","551 Main St, Unit RES")</f>
        <v>551 Main St, Unit RES</v>
      </c>
      <c r="B3338" s="2" t="str">
        <f t="shared" si="413"/>
        <v>Island House</v>
      </c>
      <c r="C3338" s="1" t="s">
        <v>128</v>
      </c>
      <c r="D3338" s="1" t="s">
        <v>41</v>
      </c>
      <c r="E3338" s="3">
        <v>513379</v>
      </c>
      <c r="Q3338" s="1" t="s">
        <v>129</v>
      </c>
      <c r="S3338" s="1" t="s">
        <v>129</v>
      </c>
      <c r="T3338" s="1" t="s">
        <v>170</v>
      </c>
      <c r="AB3338" s="1" t="s">
        <v>44</v>
      </c>
      <c r="AF3338" s="1">
        <v>10044</v>
      </c>
      <c r="AJ3338" s="1">
        <v>1975</v>
      </c>
      <c r="AL3338" s="1">
        <v>400</v>
      </c>
    </row>
    <row r="3339" spans="1:38" x14ac:dyDescent="0.2">
      <c r="A3339" s="2" t="str">
        <f>HYPERLINK("https://www.compass.com/listing/551-main-street-unit-res-manhattan-ny-10044/374119187275199073/","551 Main St, Unit RES")</f>
        <v>551 Main St, Unit RES</v>
      </c>
      <c r="B3339" s="2" t="str">
        <f t="shared" si="413"/>
        <v>Island House</v>
      </c>
      <c r="C3339" s="1" t="s">
        <v>128</v>
      </c>
      <c r="D3339" s="1" t="s">
        <v>41</v>
      </c>
      <c r="E3339" s="3">
        <v>513379</v>
      </c>
      <c r="Q3339" s="1" t="s">
        <v>129</v>
      </c>
      <c r="S3339" s="1" t="s">
        <v>129</v>
      </c>
      <c r="T3339" s="1" t="s">
        <v>170</v>
      </c>
      <c r="AB3339" s="1" t="s">
        <v>44</v>
      </c>
      <c r="AF3339" s="1">
        <v>10044</v>
      </c>
      <c r="AJ3339" s="1">
        <v>1975</v>
      </c>
      <c r="AL3339" s="1">
        <v>400</v>
      </c>
    </row>
    <row r="3340" spans="1:38" x14ac:dyDescent="0.2">
      <c r="A3340" s="2" t="str">
        <f>HYPERLINK("https://www.compass.com/listing/551-main-street-unit-res-manhattan-ny-10044/374119187275199121/","551 Main St, Unit RES")</f>
        <v>551 Main St, Unit RES</v>
      </c>
      <c r="B3340" s="2" t="str">
        <f t="shared" si="413"/>
        <v>Island House</v>
      </c>
      <c r="C3340" s="1" t="s">
        <v>128</v>
      </c>
      <c r="D3340" s="1" t="s">
        <v>41</v>
      </c>
      <c r="E3340" s="3">
        <v>323422</v>
      </c>
      <c r="Q3340" s="1" t="s">
        <v>129</v>
      </c>
      <c r="S3340" s="1" t="s">
        <v>129</v>
      </c>
      <c r="T3340" s="1" t="s">
        <v>170</v>
      </c>
      <c r="AB3340" s="1" t="s">
        <v>44</v>
      </c>
      <c r="AF3340" s="1">
        <v>10044</v>
      </c>
      <c r="AJ3340" s="1">
        <v>1975</v>
      </c>
      <c r="AL3340" s="1">
        <v>400</v>
      </c>
    </row>
    <row r="3341" spans="1:38" x14ac:dyDescent="0.2">
      <c r="A3341" s="2" t="str">
        <f>HYPERLINK("https://www.compass.com/listing/551-main-street-unit-res-manhattan-ny-10044/374119187275199137/","551 Main St, Unit RES")</f>
        <v>551 Main St, Unit RES</v>
      </c>
      <c r="B3341" s="2" t="str">
        <f t="shared" si="413"/>
        <v>Island House</v>
      </c>
      <c r="C3341" s="1" t="s">
        <v>128</v>
      </c>
      <c r="D3341" s="1" t="s">
        <v>41</v>
      </c>
      <c r="E3341" s="3">
        <v>313454</v>
      </c>
      <c r="Q3341" s="1" t="s">
        <v>129</v>
      </c>
      <c r="S3341" s="1" t="s">
        <v>129</v>
      </c>
      <c r="T3341" s="1" t="s">
        <v>170</v>
      </c>
      <c r="AA3341" s="1">
        <v>313453.90000000002</v>
      </c>
      <c r="AB3341" s="1" t="s">
        <v>2536</v>
      </c>
      <c r="AC3341" s="5">
        <v>42282</v>
      </c>
      <c r="AF3341" s="1">
        <v>10044</v>
      </c>
      <c r="AJ3341" s="1">
        <v>1975</v>
      </c>
      <c r="AL3341" s="1">
        <v>400</v>
      </c>
    </row>
    <row r="3342" spans="1:38" x14ac:dyDescent="0.2">
      <c r="A3342" s="2" t="str">
        <f>HYPERLINK("https://www.compass.com/listing/551-main-street-unit-res-manhattan-ny-10044/374119187275199297/","551 Main St, Unit RES")</f>
        <v>551 Main St, Unit RES</v>
      </c>
      <c r="B3342" s="2" t="str">
        <f t="shared" si="413"/>
        <v>Island House</v>
      </c>
      <c r="C3342" s="1" t="s">
        <v>128</v>
      </c>
      <c r="D3342" s="1" t="s">
        <v>41</v>
      </c>
      <c r="E3342" s="3">
        <v>329397</v>
      </c>
      <c r="Q3342" s="1" t="s">
        <v>129</v>
      </c>
      <c r="S3342" s="1" t="s">
        <v>129</v>
      </c>
      <c r="T3342" s="1" t="s">
        <v>170</v>
      </c>
      <c r="AB3342" s="1" t="s">
        <v>44</v>
      </c>
      <c r="AF3342" s="1">
        <v>10044</v>
      </c>
      <c r="AJ3342" s="1">
        <v>1975</v>
      </c>
      <c r="AL3342" s="1">
        <v>400</v>
      </c>
    </row>
    <row r="3343" spans="1:38" x14ac:dyDescent="0.2">
      <c r="A3343" s="2" t="str">
        <f>HYPERLINK("https://www.compass.com/listing/551-main-street-unit-res-manhattan-ny-10044/374119187283588145/","551 Main St, Unit RES")</f>
        <v>551 Main St, Unit RES</v>
      </c>
      <c r="B3343" s="2" t="str">
        <f t="shared" si="413"/>
        <v>Island House</v>
      </c>
      <c r="C3343" s="1" t="s">
        <v>128</v>
      </c>
      <c r="D3343" s="1" t="s">
        <v>41</v>
      </c>
      <c r="E3343" s="3">
        <v>297499</v>
      </c>
      <c r="Q3343" s="1" t="s">
        <v>129</v>
      </c>
      <c r="S3343" s="1" t="s">
        <v>129</v>
      </c>
      <c r="T3343" s="1" t="s">
        <v>170</v>
      </c>
      <c r="AB3343" s="1" t="s">
        <v>44</v>
      </c>
      <c r="AF3343" s="1">
        <v>10044</v>
      </c>
      <c r="AJ3343" s="1">
        <v>1975</v>
      </c>
      <c r="AL3343" s="1">
        <v>400</v>
      </c>
    </row>
    <row r="3344" spans="1:38" x14ac:dyDescent="0.2">
      <c r="A3344" s="2" t="str">
        <f>HYPERLINK("https://www.compass.com/listing/551-main-street-unit-res-manhattan-ny-10044/374119187283588353/","551 Main St, Unit RES")</f>
        <v>551 Main St, Unit RES</v>
      </c>
      <c r="B3344" s="2" t="str">
        <f t="shared" si="413"/>
        <v>Island House</v>
      </c>
      <c r="C3344" s="1" t="s">
        <v>128</v>
      </c>
      <c r="D3344" s="1" t="s">
        <v>41</v>
      </c>
      <c r="E3344" s="3">
        <v>426264</v>
      </c>
      <c r="Q3344" s="1" t="s">
        <v>129</v>
      </c>
      <c r="S3344" s="1" t="s">
        <v>129</v>
      </c>
      <c r="T3344" s="1" t="s">
        <v>170</v>
      </c>
      <c r="AB3344" s="1" t="s">
        <v>44</v>
      </c>
      <c r="AF3344" s="1">
        <v>10044</v>
      </c>
      <c r="AJ3344" s="1">
        <v>1975</v>
      </c>
      <c r="AL3344" s="1">
        <v>400</v>
      </c>
    </row>
    <row r="3345" spans="1:38" x14ac:dyDescent="0.2">
      <c r="A3345" s="2" t="str">
        <f>HYPERLINK("https://www.compass.com/listing/2351-adam-clayton-powell-jr-boulevard-unit-806-p-manhattan-ny-10030/375788925577873969/","2351 Adam Clayton Powell Jr Blvd, Unit 806/P")</f>
        <v>2351 Adam Clayton Powell Jr Blvd, Unit 806/P</v>
      </c>
      <c r="B3345" s="2" t="str">
        <f t="shared" ref="B3345:B3346" si="414">HYPERLINK("https://www.compass.com/building/the-rennie-manhattan-ny/307439143554395509/","THE RENNIE")</f>
        <v>THE RENNIE</v>
      </c>
      <c r="C3345" s="1" t="s">
        <v>61</v>
      </c>
      <c r="D3345" s="1" t="s">
        <v>41</v>
      </c>
      <c r="E3345" s="3">
        <v>998000</v>
      </c>
      <c r="F3345" s="1">
        <v>1258.51197982345</v>
      </c>
      <c r="M3345" s="1">
        <v>793</v>
      </c>
      <c r="Q3345" s="1" t="s">
        <v>42</v>
      </c>
      <c r="S3345" s="1" t="s">
        <v>42</v>
      </c>
      <c r="T3345" s="1" t="s">
        <v>170</v>
      </c>
      <c r="AA3345" s="1">
        <v>998000</v>
      </c>
      <c r="AB3345" s="1" t="s">
        <v>2537</v>
      </c>
      <c r="AC3345" s="5">
        <v>43762</v>
      </c>
      <c r="AF3345" s="1">
        <v>10030</v>
      </c>
      <c r="AI3345" s="1" t="s">
        <v>45</v>
      </c>
      <c r="AJ3345" s="1">
        <v>2018</v>
      </c>
      <c r="AK3345" s="1" t="s">
        <v>49</v>
      </c>
      <c r="AL3345" s="1">
        <v>106</v>
      </c>
    </row>
    <row r="3346" spans="1:38" x14ac:dyDescent="0.2">
      <c r="A3346" s="2" t="str">
        <f>HYPERLINK("https://www.compass.com/listing/2351-adam-clayton-powell-jr-boulevard-unit-810-p-manhattan-ny-10030/378690663207210497/","2351 Adam Clayton Powell Jr Blvd, Unit 810/P")</f>
        <v>2351 Adam Clayton Powell Jr Blvd, Unit 810/P</v>
      </c>
      <c r="B3346" s="2" t="str">
        <f t="shared" si="414"/>
        <v>THE RENNIE</v>
      </c>
      <c r="C3346" s="1" t="s">
        <v>61</v>
      </c>
      <c r="D3346" s="1" t="s">
        <v>41</v>
      </c>
      <c r="E3346" s="3">
        <v>645000</v>
      </c>
      <c r="F3346" s="1">
        <v>1166.36528028933</v>
      </c>
      <c r="M3346" s="1">
        <v>553</v>
      </c>
      <c r="Q3346" s="1" t="s">
        <v>42</v>
      </c>
      <c r="S3346" s="1" t="s">
        <v>42</v>
      </c>
      <c r="T3346" s="1" t="s">
        <v>170</v>
      </c>
      <c r="AA3346" s="1">
        <v>645000</v>
      </c>
      <c r="AB3346" s="1" t="s">
        <v>2538</v>
      </c>
      <c r="AC3346" s="5">
        <v>43763</v>
      </c>
      <c r="AF3346" s="1">
        <v>10030</v>
      </c>
      <c r="AI3346" s="1" t="s">
        <v>45</v>
      </c>
      <c r="AJ3346" s="1">
        <v>2018</v>
      </c>
      <c r="AK3346" s="1" t="s">
        <v>49</v>
      </c>
      <c r="AL3346" s="1">
        <v>106</v>
      </c>
    </row>
    <row r="3347" spans="1:38" x14ac:dyDescent="0.2">
      <c r="A3347" s="2" t="str">
        <f>HYPERLINK("https://www.compass.com/listing/63-greene-street-unit-4c-manhattan-ny-10012/380662129355825761/","63 Greene St, Unit 4C")</f>
        <v>63 Greene St, Unit 4C</v>
      </c>
      <c r="B3347" s="2" t="str">
        <f>HYPERLINK("https://www.compass.com/building/63-greene-street-manhattan-ny/292812252044627637/","63 Greene Street")</f>
        <v>63 Greene Street</v>
      </c>
      <c r="C3347" s="1" t="s">
        <v>104</v>
      </c>
      <c r="D3347" s="1" t="s">
        <v>41</v>
      </c>
      <c r="E3347" s="3">
        <v>6000000</v>
      </c>
      <c r="F3347" s="1">
        <v>3696.8576709796598</v>
      </c>
      <c r="M3347" s="4">
        <v>1623</v>
      </c>
      <c r="Q3347" s="1" t="s">
        <v>42</v>
      </c>
      <c r="S3347" s="1" t="s">
        <v>42</v>
      </c>
      <c r="T3347" s="1" t="s">
        <v>170</v>
      </c>
      <c r="AA3347" s="1">
        <v>6000000</v>
      </c>
      <c r="AB3347" s="1" t="s">
        <v>2539</v>
      </c>
      <c r="AC3347" s="5">
        <v>42970</v>
      </c>
      <c r="AF3347" s="1">
        <v>10012</v>
      </c>
      <c r="AI3347" s="1" t="s">
        <v>786</v>
      </c>
      <c r="AJ3347" s="1">
        <v>1877</v>
      </c>
      <c r="AK3347" s="1" t="s">
        <v>87</v>
      </c>
      <c r="AL3347" s="1">
        <v>23</v>
      </c>
    </row>
    <row r="3348" spans="1:38" x14ac:dyDescent="0.2">
      <c r="A3348" s="2" t="str">
        <f>HYPERLINK("https://www.compass.com/listing/48-east-132nd-street-unit-phe-manhattan-ny-10037/380801076279405601/","48 E 132nd St, Unit PHE")</f>
        <v>48 E 132nd St, Unit PHE</v>
      </c>
      <c r="B3348" s="2" t="str">
        <f t="shared" ref="B3348:B3349" si="415">HYPERLINK("https://www.compass.com/building/48-e-132nd-st-manhattan-ny-10037/282028625274876293/","48 E 132nd St")</f>
        <v>48 E 132nd St</v>
      </c>
      <c r="C3348" s="1" t="s">
        <v>61</v>
      </c>
      <c r="D3348" s="1" t="s">
        <v>41</v>
      </c>
      <c r="E3348" s="3">
        <v>733018</v>
      </c>
      <c r="F3348" s="1">
        <v>18795.3284615384</v>
      </c>
      <c r="M3348" s="1">
        <v>39</v>
      </c>
      <c r="Q3348" s="1" t="s">
        <v>42</v>
      </c>
      <c r="S3348" s="1" t="s">
        <v>42</v>
      </c>
      <c r="T3348" s="1" t="s">
        <v>170</v>
      </c>
      <c r="AA3348" s="1">
        <v>733017.81</v>
      </c>
      <c r="AB3348" s="1" t="s">
        <v>2540</v>
      </c>
      <c r="AC3348" s="5">
        <v>42928</v>
      </c>
      <c r="AF3348" s="1">
        <v>10037</v>
      </c>
      <c r="AI3348" s="1" t="s">
        <v>59</v>
      </c>
      <c r="AJ3348" s="1">
        <v>2016</v>
      </c>
      <c r="AL3348" s="1">
        <v>19</v>
      </c>
    </row>
    <row r="3349" spans="1:38" x14ac:dyDescent="0.2">
      <c r="A3349" s="2" t="str">
        <f>HYPERLINK("https://www.compass.com/listing/48-east-132nd-street-unit-3f-manhattan-ny-10037/380801077722016609/","48 E 132nd St, Unit 3F")</f>
        <v>48 E 132nd St, Unit 3F</v>
      </c>
      <c r="B3349" s="2" t="str">
        <f t="shared" si="415"/>
        <v>48 E 132nd St</v>
      </c>
      <c r="C3349" s="1" t="s">
        <v>61</v>
      </c>
      <c r="D3349" s="1" t="s">
        <v>41</v>
      </c>
      <c r="E3349" s="3">
        <v>455286</v>
      </c>
      <c r="F3349" s="1">
        <v>991.90849673202604</v>
      </c>
      <c r="M3349" s="1">
        <v>459</v>
      </c>
      <c r="Q3349" s="1" t="s">
        <v>42</v>
      </c>
      <c r="S3349" s="1" t="s">
        <v>42</v>
      </c>
      <c r="T3349" s="1" t="s">
        <v>170</v>
      </c>
      <c r="AA3349" s="1">
        <v>455286</v>
      </c>
      <c r="AB3349" s="1" t="s">
        <v>2541</v>
      </c>
      <c r="AC3349" s="5">
        <v>42926</v>
      </c>
      <c r="AF3349" s="1">
        <v>10037</v>
      </c>
      <c r="AI3349" s="1" t="s">
        <v>59</v>
      </c>
      <c r="AJ3349" s="1">
        <v>2016</v>
      </c>
      <c r="AL3349" s="1">
        <v>19</v>
      </c>
    </row>
    <row r="3350" spans="1:38" x14ac:dyDescent="0.2">
      <c r="A3350" s="2" t="str">
        <f>HYPERLINK("https://www.compass.com/listing/2040-frederick-douglass-boulevard-unit-5h-manhattan-ny-10026/380801758306571873/","2040 Frederick Douglass Blvd, Unit 5H")</f>
        <v>2040 Frederick Douglass Blvd, Unit 5H</v>
      </c>
      <c r="B3350" s="2" t="str">
        <f t="shared" ref="B3350:B3352" si="416">HYPERLINK("https://www.compass.com/building/2040-frederick-douglass-blvd-manhattan-ny-10026/389266835817241253/","2040 Frederick Douglass Blvd")</f>
        <v>2040 Frederick Douglass Blvd</v>
      </c>
      <c r="C3350" s="1" t="s">
        <v>106</v>
      </c>
      <c r="D3350" s="1" t="s">
        <v>41</v>
      </c>
      <c r="E3350" s="3">
        <v>3592386</v>
      </c>
      <c r="F3350" s="1">
        <v>2412.6165211551302</v>
      </c>
      <c r="M3350" s="4">
        <v>1489</v>
      </c>
      <c r="Q3350" s="1" t="s">
        <v>42</v>
      </c>
      <c r="S3350" s="1" t="s">
        <v>42</v>
      </c>
      <c r="T3350" s="1" t="s">
        <v>170</v>
      </c>
      <c r="AA3350" s="1">
        <v>3592386</v>
      </c>
      <c r="AB3350" s="1" t="s">
        <v>2542</v>
      </c>
      <c r="AC3350" s="5">
        <v>42908</v>
      </c>
      <c r="AF3350" s="1">
        <v>10026</v>
      </c>
    </row>
    <row r="3351" spans="1:38" x14ac:dyDescent="0.2">
      <c r="A3351" s="2" t="str">
        <f>HYPERLINK("https://www.compass.com/listing/2040-frederick-douglass-boulevard-unit-6a-manhattan-ny-10026/380801758801166465/","2040 Frederick Douglass Blvd, Unit 6A")</f>
        <v>2040 Frederick Douglass Blvd, Unit 6A</v>
      </c>
      <c r="B3351" s="2" t="str">
        <f t="shared" si="416"/>
        <v>2040 Frederick Douglass Blvd</v>
      </c>
      <c r="C3351" s="1" t="s">
        <v>106</v>
      </c>
      <c r="D3351" s="1" t="s">
        <v>41</v>
      </c>
      <c r="E3351" s="3">
        <v>3843894</v>
      </c>
      <c r="F3351" s="1">
        <v>25123.488562091501</v>
      </c>
      <c r="M3351" s="1">
        <v>153</v>
      </c>
      <c r="Q3351" s="1" t="s">
        <v>42</v>
      </c>
      <c r="S3351" s="1" t="s">
        <v>42</v>
      </c>
      <c r="T3351" s="1" t="s">
        <v>170</v>
      </c>
      <c r="AA3351" s="1">
        <v>3843893.75</v>
      </c>
      <c r="AB3351" s="1" t="s">
        <v>2543</v>
      </c>
      <c r="AC3351" s="5">
        <v>42923</v>
      </c>
      <c r="AF3351" s="1">
        <v>10026</v>
      </c>
    </row>
    <row r="3352" spans="1:38" x14ac:dyDescent="0.2">
      <c r="A3352" s="2" t="str">
        <f>HYPERLINK("https://www.compass.com/listing/2040-frederick-douglass-boulevard-unit-3a-manhattan-ny-10026/380801763759167089/","2040 Frederick Douglass Blvd, Unit 3A")</f>
        <v>2040 Frederick Douglass Blvd, Unit 3A</v>
      </c>
      <c r="B3352" s="2" t="str">
        <f t="shared" si="416"/>
        <v>2040 Frederick Douglass Blvd</v>
      </c>
      <c r="C3352" s="1" t="s">
        <v>106</v>
      </c>
      <c r="D3352" s="1" t="s">
        <v>41</v>
      </c>
      <c r="E3352" s="3">
        <v>3436746</v>
      </c>
      <c r="F3352" s="1">
        <v>22462.395359477101</v>
      </c>
      <c r="M3352" s="1">
        <v>153</v>
      </c>
      <c r="Q3352" s="1" t="s">
        <v>42</v>
      </c>
      <c r="S3352" s="1" t="s">
        <v>42</v>
      </c>
      <c r="T3352" s="1" t="s">
        <v>170</v>
      </c>
      <c r="AA3352" s="1">
        <v>3436746.49</v>
      </c>
      <c r="AB3352" s="1" t="s">
        <v>2544</v>
      </c>
      <c r="AC3352" s="5">
        <v>43089</v>
      </c>
      <c r="AF3352" s="1">
        <v>10026</v>
      </c>
    </row>
    <row r="3353" spans="1:38" x14ac:dyDescent="0.2">
      <c r="A3353" s="2" t="str">
        <f>HYPERLINK("https://www.compass.com/listing/321-west-110th-street-unit-10c-manhattan-ny-10026/380803704730510129/","321 W 110th St, Unit 10C")</f>
        <v>321 W 110th St, Unit 10C</v>
      </c>
      <c r="B3353" s="2" t="str">
        <f>HYPERLINK("https://www.compass.com/building/one-morningside-park-manhattan-ny/294836904016796069/","One Morningside Park")</f>
        <v>One Morningside Park</v>
      </c>
      <c r="C3353" s="1" t="s">
        <v>106</v>
      </c>
      <c r="D3353" s="1" t="s">
        <v>41</v>
      </c>
      <c r="E3353" s="3">
        <v>2787969</v>
      </c>
      <c r="F3353" s="1">
        <v>4453.6238019169296</v>
      </c>
      <c r="M3353" s="1">
        <v>626</v>
      </c>
      <c r="Q3353" s="1" t="s">
        <v>42</v>
      </c>
      <c r="S3353" s="1" t="s">
        <v>42</v>
      </c>
      <c r="T3353" s="1" t="s">
        <v>170</v>
      </c>
      <c r="AA3353" s="1">
        <v>2787968.5</v>
      </c>
      <c r="AB3353" s="1" t="s">
        <v>2545</v>
      </c>
      <c r="AC3353" s="5">
        <v>41935</v>
      </c>
      <c r="AF3353" s="1">
        <v>10026</v>
      </c>
      <c r="AI3353" s="1" t="s">
        <v>242</v>
      </c>
      <c r="AJ3353" s="1">
        <v>2012</v>
      </c>
      <c r="AK3353" s="1" t="s">
        <v>49</v>
      </c>
      <c r="AL3353" s="1">
        <v>88</v>
      </c>
    </row>
    <row r="3354" spans="1:38" x14ac:dyDescent="0.2">
      <c r="A3354" s="2" t="str">
        <f>HYPERLINK("https://www.compass.com/listing/252-south-street-unit-54c-manhattan-ny-10002/385918100651397841/","252 South St, Unit 54C")</f>
        <v>252 South St, Unit 54C</v>
      </c>
      <c r="B3354" s="2" t="str">
        <f>HYPERLINK("https://www.compass.com/building/one-manhattan-square-manhattan-ny/294844950218926165/","One Manhattan Square")</f>
        <v>One Manhattan Square</v>
      </c>
      <c r="C3354" s="1" t="s">
        <v>66</v>
      </c>
      <c r="D3354" s="1" t="s">
        <v>41</v>
      </c>
      <c r="E3354" s="3">
        <v>4009745</v>
      </c>
      <c r="F3354" s="1">
        <v>2696.5331472763901</v>
      </c>
      <c r="M3354" s="4">
        <v>1487</v>
      </c>
      <c r="Q3354" s="1" t="s">
        <v>42</v>
      </c>
      <c r="S3354" s="1" t="s">
        <v>42</v>
      </c>
      <c r="T3354" s="1" t="s">
        <v>170</v>
      </c>
      <c r="AA3354" s="1">
        <v>4009744.79</v>
      </c>
      <c r="AB3354" s="1" t="s">
        <v>2546</v>
      </c>
      <c r="AC3354" s="5">
        <v>43769</v>
      </c>
      <c r="AF3354" s="1">
        <v>10002</v>
      </c>
      <c r="AI3354" s="1" t="s">
        <v>55</v>
      </c>
      <c r="AJ3354" s="1">
        <v>2019</v>
      </c>
      <c r="AK3354" s="1" t="s">
        <v>46</v>
      </c>
      <c r="AL3354" s="1">
        <v>787</v>
      </c>
    </row>
    <row r="3355" spans="1:38" x14ac:dyDescent="0.2">
      <c r="A3355" s="2" t="str">
        <f>HYPERLINK("https://www.compass.com/listing/551-main-street-unit-res-manhattan-ny-00000/388844691442294961/","551 Main St, Unit RES")</f>
        <v>551 Main St, Unit RES</v>
      </c>
      <c r="B3355" s="1" t="s">
        <v>2547</v>
      </c>
      <c r="C3355" s="1" t="s">
        <v>128</v>
      </c>
      <c r="D3355" s="1" t="s">
        <v>41</v>
      </c>
      <c r="E3355" s="3">
        <v>1124130</v>
      </c>
      <c r="Q3355" s="1" t="s">
        <v>129</v>
      </c>
      <c r="S3355" s="1" t="s">
        <v>129</v>
      </c>
      <c r="T3355" s="1" t="s">
        <v>170</v>
      </c>
      <c r="AA3355" s="1">
        <v>1124129.77</v>
      </c>
      <c r="AB3355" s="1" t="s">
        <v>2548</v>
      </c>
      <c r="AC3355" s="5">
        <v>43111</v>
      </c>
      <c r="AF3355" s="1">
        <v>0</v>
      </c>
    </row>
    <row r="3356" spans="1:38" x14ac:dyDescent="0.2">
      <c r="A3356" s="2" t="str">
        <f>HYPERLINK("https://www.compass.com/listing/551-main-street-unit-res-manhattan-ny-00000/388844692019449729/","551 Main St, Unit RES")</f>
        <v>551 Main St, Unit RES</v>
      </c>
      <c r="B3356" s="1" t="s">
        <v>2547</v>
      </c>
      <c r="C3356" s="1" t="s">
        <v>128</v>
      </c>
      <c r="D3356" s="1" t="s">
        <v>41</v>
      </c>
      <c r="E3356" s="3">
        <v>978176</v>
      </c>
      <c r="Q3356" s="1" t="s">
        <v>129</v>
      </c>
      <c r="S3356" s="1" t="s">
        <v>129</v>
      </c>
      <c r="T3356" s="1" t="s">
        <v>170</v>
      </c>
      <c r="AA3356" s="1">
        <v>978176.02</v>
      </c>
      <c r="AB3356" s="1" t="s">
        <v>2549</v>
      </c>
      <c r="AC3356" s="5">
        <v>43125</v>
      </c>
      <c r="AF3356" s="1">
        <v>0</v>
      </c>
    </row>
    <row r="3357" spans="1:38" x14ac:dyDescent="0.2">
      <c r="A3357" s="2" t="str">
        <f>HYPERLINK("https://www.compass.com/listing/551-main-street-unit-res-manhattan-ny-00000/388844692641620961/","551 Main St, Unit RES")</f>
        <v>551 Main St, Unit RES</v>
      </c>
      <c r="B3357" s="1" t="s">
        <v>2547</v>
      </c>
      <c r="C3357" s="1" t="s">
        <v>128</v>
      </c>
      <c r="D3357" s="1" t="s">
        <v>41</v>
      </c>
      <c r="E3357" s="3">
        <v>1276586</v>
      </c>
      <c r="Q3357" s="1" t="s">
        <v>129</v>
      </c>
      <c r="S3357" s="1" t="s">
        <v>129</v>
      </c>
      <c r="T3357" s="1" t="s">
        <v>170</v>
      </c>
      <c r="AA3357" s="1">
        <v>1276585.75</v>
      </c>
      <c r="AB3357" s="1" t="s">
        <v>2550</v>
      </c>
      <c r="AC3357" s="5">
        <v>43222</v>
      </c>
      <c r="AF3357" s="1">
        <v>0</v>
      </c>
    </row>
    <row r="3358" spans="1:38" x14ac:dyDescent="0.2">
      <c r="A3358" s="2" t="str">
        <f>HYPERLINK("https://www.compass.com/listing/551-main-street-unit-res-manhattan-ny-00000/388844693403270513/","551 Main St, Unit RES")</f>
        <v>551 Main St, Unit RES</v>
      </c>
      <c r="B3358" s="1" t="s">
        <v>2547</v>
      </c>
      <c r="C3358" s="1" t="s">
        <v>128</v>
      </c>
      <c r="D3358" s="1" t="s">
        <v>41</v>
      </c>
      <c r="E3358" s="3">
        <v>1464533</v>
      </c>
      <c r="Q3358" s="1" t="s">
        <v>129</v>
      </c>
      <c r="S3358" s="1" t="s">
        <v>129</v>
      </c>
      <c r="T3358" s="1" t="s">
        <v>170</v>
      </c>
      <c r="AA3358" s="1">
        <v>1464532.73</v>
      </c>
      <c r="AB3358" s="1" t="s">
        <v>2551</v>
      </c>
      <c r="AC3358" s="5">
        <v>43227</v>
      </c>
      <c r="AF3358" s="1">
        <v>0</v>
      </c>
    </row>
    <row r="3359" spans="1:38" x14ac:dyDescent="0.2">
      <c r="A3359" s="2" t="str">
        <f>HYPERLINK("https://www.compass.com/listing/551-main-street-unit-res-manhattan-ny-00000/388844694152009665/","551 Main St, Unit RES")</f>
        <v>551 Main St, Unit RES</v>
      </c>
      <c r="B3359" s="1" t="s">
        <v>2547</v>
      </c>
      <c r="C3359" s="1" t="s">
        <v>128</v>
      </c>
      <c r="D3359" s="1" t="s">
        <v>41</v>
      </c>
      <c r="E3359" s="3">
        <v>1727484</v>
      </c>
      <c r="Q3359" s="1" t="s">
        <v>129</v>
      </c>
      <c r="S3359" s="1" t="s">
        <v>129</v>
      </c>
      <c r="T3359" s="1" t="s">
        <v>170</v>
      </c>
      <c r="AA3359" s="1">
        <v>1727483.65</v>
      </c>
      <c r="AB3359" s="1" t="s">
        <v>2552</v>
      </c>
      <c r="AC3359" s="5">
        <v>43291</v>
      </c>
      <c r="AF3359" s="1">
        <v>0</v>
      </c>
    </row>
    <row r="3360" spans="1:38" x14ac:dyDescent="0.2">
      <c r="A3360" s="2" t="str">
        <f>HYPERLINK("https://www.compass.com/listing/551-main-street-unit-res-manhattan-ny-00000/388844694871379873/","551 Main St, Unit RES")</f>
        <v>551 Main St, Unit RES</v>
      </c>
      <c r="B3360" s="1" t="s">
        <v>2547</v>
      </c>
      <c r="C3360" s="1" t="s">
        <v>128</v>
      </c>
      <c r="D3360" s="1" t="s">
        <v>41</v>
      </c>
      <c r="E3360" s="3">
        <v>512896</v>
      </c>
      <c r="Q3360" s="1" t="s">
        <v>129</v>
      </c>
      <c r="S3360" s="1" t="s">
        <v>129</v>
      </c>
      <c r="T3360" s="1" t="s">
        <v>170</v>
      </c>
      <c r="AA3360" s="1">
        <v>512896</v>
      </c>
      <c r="AB3360" s="1" t="s">
        <v>2553</v>
      </c>
      <c r="AC3360" s="5">
        <v>43410</v>
      </c>
      <c r="AF3360" s="1">
        <v>0</v>
      </c>
    </row>
    <row r="3361" spans="1:38" x14ac:dyDescent="0.2">
      <c r="A3361" s="2" t="str">
        <f>HYPERLINK("https://www.compass.com/listing/551-main-street-unit-res-manhattan-ny-00000/388844695653638449/","551 Main St, Unit RES")</f>
        <v>551 Main St, Unit RES</v>
      </c>
      <c r="B3361" s="1" t="s">
        <v>2547</v>
      </c>
      <c r="C3361" s="1" t="s">
        <v>128</v>
      </c>
      <c r="D3361" s="1" t="s">
        <v>41</v>
      </c>
      <c r="E3361" s="3">
        <v>1380926</v>
      </c>
      <c r="Q3361" s="1" t="s">
        <v>129</v>
      </c>
      <c r="S3361" s="1" t="s">
        <v>129</v>
      </c>
      <c r="T3361" s="1" t="s">
        <v>170</v>
      </c>
      <c r="AA3361" s="1">
        <v>1380925.83</v>
      </c>
      <c r="AB3361" s="1" t="s">
        <v>2554</v>
      </c>
      <c r="AC3361" s="5">
        <v>43600</v>
      </c>
      <c r="AF3361" s="1">
        <v>0</v>
      </c>
    </row>
    <row r="3362" spans="1:38" x14ac:dyDescent="0.2">
      <c r="A3362" s="2" t="str">
        <f>HYPERLINK("https://www.compass.com/listing/551-main-street-unit-res-manhattan-ny-00000/388844696517336593/","551 Main St, Unit RES")</f>
        <v>551 Main St, Unit RES</v>
      </c>
      <c r="B3362" s="1" t="s">
        <v>2547</v>
      </c>
      <c r="C3362" s="1" t="s">
        <v>128</v>
      </c>
      <c r="D3362" s="1" t="s">
        <v>41</v>
      </c>
      <c r="E3362" s="3">
        <v>620000</v>
      </c>
      <c r="Q3362" s="1" t="s">
        <v>129</v>
      </c>
      <c r="S3362" s="1" t="s">
        <v>129</v>
      </c>
      <c r="T3362" s="1" t="s">
        <v>170</v>
      </c>
      <c r="AA3362" s="1">
        <v>620000</v>
      </c>
      <c r="AB3362" s="1" t="s">
        <v>2555</v>
      </c>
      <c r="AC3362" s="5">
        <v>43733</v>
      </c>
      <c r="AF3362" s="1">
        <v>0</v>
      </c>
    </row>
    <row r="3363" spans="1:38" x14ac:dyDescent="0.2">
      <c r="A3363" s="2" t="str">
        <f>HYPERLINK("https://www.compass.com/listing/2351-adam-clayton-powell-jr-boulevard-unit-808-p-manhattan-ny-10030/388858285197910305/","2351 Adam Clayton Powell Jr Blvd, Unit 808/P")</f>
        <v>2351 Adam Clayton Powell Jr Blvd, Unit 808/P</v>
      </c>
      <c r="B3363" s="2" t="str">
        <f>HYPERLINK("https://www.compass.com/building/the-rennie-manhattan-ny/307439143554395509/","THE RENNIE")</f>
        <v>THE RENNIE</v>
      </c>
      <c r="C3363" s="1" t="s">
        <v>61</v>
      </c>
      <c r="D3363" s="1" t="s">
        <v>41</v>
      </c>
      <c r="E3363" s="3">
        <v>1245015</v>
      </c>
      <c r="F3363" s="1">
        <v>1351.80781758957</v>
      </c>
      <c r="M3363" s="1">
        <v>921</v>
      </c>
      <c r="Q3363" s="1" t="s">
        <v>42</v>
      </c>
      <c r="S3363" s="1" t="s">
        <v>42</v>
      </c>
      <c r="T3363" s="1" t="s">
        <v>170</v>
      </c>
      <c r="AA3363" s="1">
        <v>1245015</v>
      </c>
      <c r="AB3363" s="1" t="s">
        <v>2556</v>
      </c>
      <c r="AC3363" s="5">
        <v>43770</v>
      </c>
      <c r="AF3363" s="1">
        <v>10030</v>
      </c>
      <c r="AI3363" s="1" t="s">
        <v>45</v>
      </c>
      <c r="AJ3363" s="1">
        <v>2018</v>
      </c>
      <c r="AK3363" s="1" t="s">
        <v>49</v>
      </c>
      <c r="AL3363" s="1">
        <v>106</v>
      </c>
    </row>
    <row r="3364" spans="1:38" x14ac:dyDescent="0.2">
      <c r="A3364" s="2" t="str">
        <f>HYPERLINK("https://www.compass.com/listing/252-south-street-unit-33l-manhattan-ny-10002/399451713535394033/","252 South St, Unit 33L")</f>
        <v>252 South St, Unit 33L</v>
      </c>
      <c r="B3364" s="2" t="str">
        <f>HYPERLINK("https://www.compass.com/building/one-manhattan-square-manhattan-ny/294844950218926165/","One Manhattan Square")</f>
        <v>One Manhattan Square</v>
      </c>
      <c r="C3364" s="1" t="s">
        <v>66</v>
      </c>
      <c r="D3364" s="1" t="s">
        <v>41</v>
      </c>
      <c r="E3364" s="3">
        <v>2504497</v>
      </c>
      <c r="F3364" s="1">
        <v>2230.1847195013302</v>
      </c>
      <c r="M3364" s="4">
        <v>1123</v>
      </c>
      <c r="Q3364" s="1" t="s">
        <v>42</v>
      </c>
      <c r="S3364" s="1" t="s">
        <v>42</v>
      </c>
      <c r="T3364" s="1" t="s">
        <v>170</v>
      </c>
      <c r="AA3364" s="1">
        <v>2504497.44</v>
      </c>
      <c r="AB3364" s="1" t="s">
        <v>2557</v>
      </c>
      <c r="AC3364" s="5">
        <v>43732</v>
      </c>
      <c r="AF3364" s="1">
        <v>10002</v>
      </c>
      <c r="AI3364" s="1" t="s">
        <v>55</v>
      </c>
      <c r="AJ3364" s="1">
        <v>2019</v>
      </c>
      <c r="AK3364" s="1" t="s">
        <v>46</v>
      </c>
      <c r="AL3364" s="1">
        <v>787</v>
      </c>
    </row>
    <row r="3365" spans="1:38" x14ac:dyDescent="0.2">
      <c r="A3365" s="2" t="str">
        <f>HYPERLINK("https://www.compass.com/listing/225-east-19th-street-unit-302-manhattan-ny-10003/40972164849069905/","225 E 19th St, Unit 302")</f>
        <v>225 E 19th St, Unit 302</v>
      </c>
      <c r="B3365" s="2" t="str">
        <f>HYPERLINK("https://www.compass.com/building/the-prewar-at-gramercy-square-manhattan-ny/282059248584654437/","The Prewar at Gramercy Square")</f>
        <v>The Prewar at Gramercy Square</v>
      </c>
      <c r="C3365" s="1" t="s">
        <v>54</v>
      </c>
      <c r="D3365" s="1" t="s">
        <v>41</v>
      </c>
      <c r="E3365" s="3">
        <v>1604509</v>
      </c>
      <c r="F3365" s="1">
        <v>1959.1071428571399</v>
      </c>
      <c r="M3365" s="1">
        <v>819</v>
      </c>
      <c r="Q3365" s="1" t="s">
        <v>42</v>
      </c>
      <c r="S3365" s="1" t="s">
        <v>42</v>
      </c>
      <c r="T3365" s="1" t="s">
        <v>170</v>
      </c>
      <c r="AA3365" s="1">
        <v>1604508.75</v>
      </c>
      <c r="AB3365" s="1" t="s">
        <v>2558</v>
      </c>
      <c r="AC3365" s="5">
        <v>43297</v>
      </c>
      <c r="AF3365" s="1">
        <v>10003</v>
      </c>
      <c r="AI3365" s="1" t="s">
        <v>76</v>
      </c>
      <c r="AJ3365" s="1">
        <v>1920</v>
      </c>
      <c r="AK3365" s="1" t="s">
        <v>46</v>
      </c>
      <c r="AL3365" s="1">
        <v>48</v>
      </c>
    </row>
    <row r="3366" spans="1:38" x14ac:dyDescent="0.2">
      <c r="A3366" s="2" t="str">
        <f>HYPERLINK("https://www.compass.com/listing/252-south-street-unit-38l-manhattan-ny-10002/409830519461512513/","252 South St, Unit 38L")</f>
        <v>252 South St, Unit 38L</v>
      </c>
      <c r="B3366" s="2" t="str">
        <f t="shared" ref="B3366:B3367" si="417">HYPERLINK("https://www.compass.com/building/one-manhattan-square-manhattan-ny/294844950218926165/","One Manhattan Square")</f>
        <v>One Manhattan Square</v>
      </c>
      <c r="C3366" s="1" t="s">
        <v>66</v>
      </c>
      <c r="D3366" s="1" t="s">
        <v>41</v>
      </c>
      <c r="E3366" s="3">
        <v>2569990</v>
      </c>
      <c r="F3366" s="1">
        <v>2288.50400712377</v>
      </c>
      <c r="G3366" s="1">
        <v>5</v>
      </c>
      <c r="H3366" s="1">
        <v>2</v>
      </c>
      <c r="I3366" s="1">
        <v>2</v>
      </c>
      <c r="J3366" s="1">
        <v>2</v>
      </c>
      <c r="K3366" s="1">
        <v>2</v>
      </c>
      <c r="M3366" s="4">
        <v>1123</v>
      </c>
      <c r="N3366" s="1">
        <v>1370.78</v>
      </c>
      <c r="O3366" s="1">
        <v>1392.42</v>
      </c>
      <c r="P3366" s="1">
        <v>21.6666666666666</v>
      </c>
      <c r="Q3366" s="1" t="s">
        <v>42</v>
      </c>
      <c r="S3366" s="1" t="s">
        <v>42</v>
      </c>
      <c r="T3366" s="1" t="s">
        <v>170</v>
      </c>
      <c r="U3366" s="1">
        <v>233</v>
      </c>
      <c r="V3366" s="5">
        <v>44161</v>
      </c>
      <c r="W3366" s="5">
        <v>43817</v>
      </c>
      <c r="X3366" s="1">
        <v>2625390</v>
      </c>
      <c r="Y3366" s="1">
        <v>2625390</v>
      </c>
      <c r="Z3366" s="5">
        <v>44161</v>
      </c>
      <c r="AA3366" s="1">
        <v>2569990</v>
      </c>
      <c r="AB3366" s="1" t="s">
        <v>2559</v>
      </c>
      <c r="AC3366" s="5">
        <v>44144</v>
      </c>
      <c r="AF3366" s="1">
        <v>10002</v>
      </c>
      <c r="AI3366" s="1" t="s">
        <v>2178</v>
      </c>
      <c r="AJ3366" s="1">
        <v>2019</v>
      </c>
      <c r="AK3366" s="1" t="s">
        <v>73</v>
      </c>
      <c r="AL3366" s="1">
        <v>787</v>
      </c>
    </row>
    <row r="3367" spans="1:38" x14ac:dyDescent="0.2">
      <c r="A3367" s="2" t="str">
        <f>HYPERLINK("https://www.compass.com/listing/252-south-street-unit-53l-manhattan-ny-10002/414192548680313905/","252 South St, Unit 53L")</f>
        <v>252 South St, Unit 53L</v>
      </c>
      <c r="B3367" s="2" t="str">
        <f t="shared" si="417"/>
        <v>One Manhattan Square</v>
      </c>
      <c r="C3367" s="1" t="s">
        <v>66</v>
      </c>
      <c r="D3367" s="1" t="s">
        <v>41</v>
      </c>
      <c r="E3367" s="3">
        <v>2507104</v>
      </c>
      <c r="F3367" s="1">
        <v>2232.5057168299199</v>
      </c>
      <c r="M3367" s="4">
        <v>1123</v>
      </c>
      <c r="Q3367" s="1" t="s">
        <v>42</v>
      </c>
      <c r="S3367" s="1" t="s">
        <v>42</v>
      </c>
      <c r="T3367" s="1" t="s">
        <v>170</v>
      </c>
      <c r="AA3367" s="1">
        <v>2507103.92</v>
      </c>
      <c r="AB3367" s="1" t="s">
        <v>2560</v>
      </c>
      <c r="AC3367" s="5">
        <v>43817</v>
      </c>
      <c r="AF3367" s="1">
        <v>10002</v>
      </c>
      <c r="AI3367" s="1" t="s">
        <v>55</v>
      </c>
      <c r="AJ3367" s="1">
        <v>2019</v>
      </c>
      <c r="AK3367" s="1" t="s">
        <v>46</v>
      </c>
      <c r="AL3367" s="1">
        <v>787</v>
      </c>
    </row>
    <row r="3368" spans="1:38" x14ac:dyDescent="0.2">
      <c r="A3368" s="2" t="str">
        <f>HYPERLINK("https://www.compass.com/listing/2351-adam-clayton-powell-jr-boulevard-unit-802-p-manhattan-ny-10030/414939525232009425/","2351 Adam Clayton Powell Jr Blvd, Unit 802/P")</f>
        <v>2351 Adam Clayton Powell Jr Blvd, Unit 802/P</v>
      </c>
      <c r="B3368" s="2" t="str">
        <f t="shared" ref="B3368:B3369" si="418">HYPERLINK("https://www.compass.com/building/the-rennie-manhattan-ny/307439143554395509/","THE RENNIE")</f>
        <v>THE RENNIE</v>
      </c>
      <c r="C3368" s="1" t="s">
        <v>61</v>
      </c>
      <c r="D3368" s="1" t="s">
        <v>41</v>
      </c>
      <c r="E3368" s="3">
        <v>1181170</v>
      </c>
      <c r="F3368" s="1">
        <v>1204.0468909276201</v>
      </c>
      <c r="M3368" s="1">
        <v>981</v>
      </c>
      <c r="Q3368" s="1" t="s">
        <v>42</v>
      </c>
      <c r="S3368" s="1" t="s">
        <v>42</v>
      </c>
      <c r="T3368" s="1" t="s">
        <v>170</v>
      </c>
      <c r="AA3368" s="1">
        <v>1181170</v>
      </c>
      <c r="AB3368" s="1" t="s">
        <v>2561</v>
      </c>
      <c r="AC3368" s="5">
        <v>43811</v>
      </c>
      <c r="AF3368" s="1">
        <v>10030</v>
      </c>
      <c r="AI3368" s="1" t="s">
        <v>45</v>
      </c>
      <c r="AJ3368" s="1">
        <v>2018</v>
      </c>
      <c r="AK3368" s="1" t="s">
        <v>49</v>
      </c>
      <c r="AL3368" s="1">
        <v>106</v>
      </c>
    </row>
    <row r="3369" spans="1:38" x14ac:dyDescent="0.2">
      <c r="A3369" s="2" t="str">
        <f>HYPERLINK("https://www.compass.com/listing/2351-adam-clayton-powell-jr-boulevard-unit-706-p-manhattan-ny-10030/419289795390913969/","2351 Adam Clayton Powell Jr Blvd, Unit 706/P")</f>
        <v>2351 Adam Clayton Powell Jr Blvd, Unit 706/P</v>
      </c>
      <c r="B3369" s="2" t="str">
        <f t="shared" si="418"/>
        <v>THE RENNIE</v>
      </c>
      <c r="C3369" s="1" t="s">
        <v>61</v>
      </c>
      <c r="D3369" s="1" t="s">
        <v>41</v>
      </c>
      <c r="E3369" s="3">
        <v>1528089</v>
      </c>
      <c r="F3369" s="1">
        <v>1297.1888794567001</v>
      </c>
      <c r="M3369" s="4">
        <v>1178</v>
      </c>
      <c r="Q3369" s="1" t="s">
        <v>42</v>
      </c>
      <c r="S3369" s="1" t="s">
        <v>42</v>
      </c>
      <c r="T3369" s="1" t="s">
        <v>170</v>
      </c>
      <c r="AA3369" s="1">
        <v>1528088.5</v>
      </c>
      <c r="AB3369" s="1" t="s">
        <v>2562</v>
      </c>
      <c r="AC3369" s="5">
        <v>43812</v>
      </c>
      <c r="AF3369" s="1">
        <v>10030</v>
      </c>
      <c r="AI3369" s="1" t="s">
        <v>45</v>
      </c>
      <c r="AJ3369" s="1">
        <v>2018</v>
      </c>
      <c r="AK3369" s="1" t="s">
        <v>49</v>
      </c>
      <c r="AL3369" s="1">
        <v>106</v>
      </c>
    </row>
    <row r="3370" spans="1:38" x14ac:dyDescent="0.2">
      <c r="A3370" s="2" t="str">
        <f>HYPERLINK("https://www.compass.com/listing/252-south-street-unit-51l-manhattan-ny-10002/421440913151631713/","252 South St, Unit 51L")</f>
        <v>252 South St, Unit 51L</v>
      </c>
      <c r="B3370" s="2" t="str">
        <f t="shared" ref="B3370:B3374" si="419">HYPERLINK("https://www.compass.com/building/one-manhattan-square-manhattan-ny/294844950218926165/","One Manhattan Square")</f>
        <v>One Manhattan Square</v>
      </c>
      <c r="C3370" s="1" t="s">
        <v>66</v>
      </c>
      <c r="D3370" s="1" t="s">
        <v>41</v>
      </c>
      <c r="E3370" s="3">
        <v>2492116</v>
      </c>
      <c r="F3370" s="1">
        <v>2219.1595369545798</v>
      </c>
      <c r="M3370" s="4">
        <v>1123</v>
      </c>
      <c r="Q3370" s="1" t="s">
        <v>42</v>
      </c>
      <c r="S3370" s="1" t="s">
        <v>42</v>
      </c>
      <c r="T3370" s="1" t="s">
        <v>170</v>
      </c>
      <c r="AA3370" s="1">
        <v>2492116.16</v>
      </c>
      <c r="AB3370" s="1" t="s">
        <v>2563</v>
      </c>
      <c r="AC3370" s="5">
        <v>43825</v>
      </c>
      <c r="AF3370" s="1">
        <v>10002</v>
      </c>
      <c r="AI3370" s="1" t="s">
        <v>55</v>
      </c>
      <c r="AJ3370" s="1">
        <v>2019</v>
      </c>
      <c r="AK3370" s="1" t="s">
        <v>46</v>
      </c>
      <c r="AL3370" s="1">
        <v>787</v>
      </c>
    </row>
    <row r="3371" spans="1:38" x14ac:dyDescent="0.2">
      <c r="A3371" s="2" t="str">
        <f>HYPERLINK("https://www.compass.com/listing/252-south-street-unit-43l-manhattan-ny-10002/424908131978073185/","252 South St, Unit 43L")</f>
        <v>252 South St, Unit 43L</v>
      </c>
      <c r="B3371" s="2" t="str">
        <f t="shared" si="419"/>
        <v>One Manhattan Square</v>
      </c>
      <c r="C3371" s="1" t="s">
        <v>66</v>
      </c>
      <c r="D3371" s="1" t="s">
        <v>41</v>
      </c>
      <c r="E3371" s="3">
        <v>2570666</v>
      </c>
      <c r="F3371" s="1">
        <v>2289.10636687444</v>
      </c>
      <c r="M3371" s="4">
        <v>1123</v>
      </c>
      <c r="Q3371" s="1" t="s">
        <v>42</v>
      </c>
      <c r="S3371" s="1" t="s">
        <v>42</v>
      </c>
      <c r="T3371" s="1" t="s">
        <v>170</v>
      </c>
      <c r="AA3371" s="1">
        <v>2570666.4500000002</v>
      </c>
      <c r="AB3371" s="1" t="s">
        <v>2564</v>
      </c>
      <c r="AC3371" s="5">
        <v>43766</v>
      </c>
      <c r="AF3371" s="1">
        <v>10002</v>
      </c>
      <c r="AI3371" s="1" t="s">
        <v>55</v>
      </c>
      <c r="AJ3371" s="1">
        <v>2019</v>
      </c>
      <c r="AK3371" s="1" t="s">
        <v>46</v>
      </c>
      <c r="AL3371" s="1">
        <v>787</v>
      </c>
    </row>
    <row r="3372" spans="1:38" x14ac:dyDescent="0.2">
      <c r="A3372" s="2" t="str">
        <f>HYPERLINK("https://www.compass.com/listing/252-south-street-unit-52l-manhattan-ny-10002/424908163057645345/","252 South St, Unit 52L")</f>
        <v>252 South St, Unit 52L</v>
      </c>
      <c r="B3372" s="2" t="str">
        <f t="shared" si="419"/>
        <v>One Manhattan Square</v>
      </c>
      <c r="C3372" s="1" t="s">
        <v>66</v>
      </c>
      <c r="D3372" s="1" t="s">
        <v>41</v>
      </c>
      <c r="E3372" s="3">
        <v>2492116</v>
      </c>
      <c r="F3372" s="1">
        <v>2219.1595369545798</v>
      </c>
      <c r="M3372" s="4">
        <v>1123</v>
      </c>
      <c r="Q3372" s="1" t="s">
        <v>42</v>
      </c>
      <c r="S3372" s="1" t="s">
        <v>42</v>
      </c>
      <c r="T3372" s="1" t="s">
        <v>170</v>
      </c>
      <c r="AA3372" s="1">
        <v>2492116.16</v>
      </c>
      <c r="AB3372" s="1" t="s">
        <v>2565</v>
      </c>
      <c r="AC3372" s="5">
        <v>43784</v>
      </c>
      <c r="AF3372" s="1">
        <v>10002</v>
      </c>
      <c r="AI3372" s="1" t="s">
        <v>55</v>
      </c>
      <c r="AJ3372" s="1">
        <v>2019</v>
      </c>
      <c r="AK3372" s="1" t="s">
        <v>46</v>
      </c>
      <c r="AL3372" s="1">
        <v>787</v>
      </c>
    </row>
    <row r="3373" spans="1:38" x14ac:dyDescent="0.2">
      <c r="A3373" s="2" t="str">
        <f>HYPERLINK("https://www.compass.com/listing/252-south-street-unit-54l-manhattan-ny-10002/424908171479593025/","252 South St, Unit 54L")</f>
        <v>252 South St, Unit 54L</v>
      </c>
      <c r="B3373" s="2" t="str">
        <f t="shared" si="419"/>
        <v>One Manhattan Square</v>
      </c>
      <c r="C3373" s="1" t="s">
        <v>66</v>
      </c>
      <c r="D3373" s="1" t="s">
        <v>41</v>
      </c>
      <c r="E3373" s="3">
        <v>2614656</v>
      </c>
      <c r="F3373" s="1">
        <v>2328.2778984861902</v>
      </c>
      <c r="M3373" s="4">
        <v>1123</v>
      </c>
      <c r="Q3373" s="1" t="s">
        <v>42</v>
      </c>
      <c r="S3373" s="1" t="s">
        <v>42</v>
      </c>
      <c r="T3373" s="1" t="s">
        <v>170</v>
      </c>
      <c r="AA3373" s="1">
        <v>2614656.08</v>
      </c>
      <c r="AB3373" s="1" t="s">
        <v>2566</v>
      </c>
      <c r="AC3373" s="5">
        <v>43766</v>
      </c>
      <c r="AF3373" s="1">
        <v>10002</v>
      </c>
      <c r="AI3373" s="1" t="s">
        <v>55</v>
      </c>
      <c r="AJ3373" s="1">
        <v>2019</v>
      </c>
      <c r="AK3373" s="1" t="s">
        <v>46</v>
      </c>
      <c r="AL3373" s="1">
        <v>787</v>
      </c>
    </row>
    <row r="3374" spans="1:38" x14ac:dyDescent="0.2">
      <c r="A3374" s="2" t="str">
        <f>HYPERLINK("https://www.compass.com/listing/252-south-street-unit-75k-manhattan-ny-10002/424908187927969905/","252 South St, Unit 75K")</f>
        <v>252 South St, Unit 75K</v>
      </c>
      <c r="B3374" s="2" t="str">
        <f t="shared" si="419"/>
        <v>One Manhattan Square</v>
      </c>
      <c r="C3374" s="1" t="s">
        <v>66</v>
      </c>
      <c r="D3374" s="1" t="s">
        <v>41</v>
      </c>
      <c r="E3374" s="3">
        <v>1627662</v>
      </c>
      <c r="F3374" s="1">
        <v>2365.7884883720899</v>
      </c>
      <c r="M3374" s="1">
        <v>688</v>
      </c>
      <c r="Q3374" s="1" t="s">
        <v>42</v>
      </c>
      <c r="S3374" s="1" t="s">
        <v>42</v>
      </c>
      <c r="T3374" s="1" t="s">
        <v>170</v>
      </c>
      <c r="AA3374" s="1">
        <v>1627662.48</v>
      </c>
      <c r="AB3374" s="1" t="s">
        <v>2567</v>
      </c>
      <c r="AC3374" s="5">
        <v>43761</v>
      </c>
      <c r="AF3374" s="1">
        <v>10002</v>
      </c>
      <c r="AI3374" s="1" t="s">
        <v>55</v>
      </c>
      <c r="AJ3374" s="1">
        <v>2019</v>
      </c>
      <c r="AK3374" s="1" t="s">
        <v>46</v>
      </c>
      <c r="AL3374" s="1">
        <v>787</v>
      </c>
    </row>
    <row r="3375" spans="1:38" x14ac:dyDescent="0.2">
      <c r="A3375" s="2" t="str">
        <f>HYPERLINK("https://www.compass.com/listing/2040-frederick-douglass-boulevard-unit-7c-manhattan-ny-10026/424931311579046673/","2040 Frederick Douglass Blvd, Unit 7C")</f>
        <v>2040 Frederick Douglass Blvd, Unit 7C</v>
      </c>
      <c r="B3375" s="2" t="str">
        <f>HYPERLINK("https://www.compass.com/building/2040-frederick-douglass-blvd-manhattan-ny-10026/389266835817241253/","2040 Frederick Douglass Blvd")</f>
        <v>2040 Frederick Douglass Blvd</v>
      </c>
      <c r="C3375" s="1" t="s">
        <v>106</v>
      </c>
      <c r="D3375" s="1" t="s">
        <v>41</v>
      </c>
      <c r="E3375" s="3">
        <v>1390369</v>
      </c>
      <c r="F3375" s="1">
        <v>871.15880952380905</v>
      </c>
      <c r="M3375" s="4">
        <v>1596</v>
      </c>
      <c r="Q3375" s="1" t="s">
        <v>42</v>
      </c>
      <c r="S3375" s="1" t="s">
        <v>42</v>
      </c>
      <c r="T3375" s="1" t="s">
        <v>170</v>
      </c>
      <c r="AA3375" s="1">
        <v>1390369.46</v>
      </c>
      <c r="AB3375" s="1" t="s">
        <v>2568</v>
      </c>
      <c r="AC3375" s="5">
        <v>43781</v>
      </c>
      <c r="AF3375" s="1">
        <v>10026</v>
      </c>
    </row>
    <row r="3376" spans="1:38" x14ac:dyDescent="0.2">
      <c r="A3376" s="2" t="str">
        <f>HYPERLINK("https://www.compass.com/listing/252-south-street-unit-50l-manhattan-ny-10002/429875668164131649/","252 South St, Unit 50L")</f>
        <v>252 South St, Unit 50L</v>
      </c>
      <c r="B3376" s="2" t="str">
        <f t="shared" ref="B3376:B3379" si="420">HYPERLINK("https://www.compass.com/building/one-manhattan-square-manhattan-ny/294844950218926165/","One Manhattan Square")</f>
        <v>One Manhattan Square</v>
      </c>
      <c r="C3376" s="1" t="s">
        <v>66</v>
      </c>
      <c r="D3376" s="1" t="s">
        <v>41</v>
      </c>
      <c r="E3376" s="3">
        <v>2532682</v>
      </c>
      <c r="F3376" s="1">
        <v>2255.2821727515502</v>
      </c>
      <c r="M3376" s="4">
        <v>1123</v>
      </c>
      <c r="Q3376" s="1" t="s">
        <v>42</v>
      </c>
      <c r="S3376" s="1" t="s">
        <v>42</v>
      </c>
      <c r="T3376" s="1" t="s">
        <v>170</v>
      </c>
      <c r="AA3376" s="1">
        <v>2532681.88</v>
      </c>
      <c r="AB3376" s="1" t="s">
        <v>2569</v>
      </c>
      <c r="AC3376" s="5">
        <v>43794</v>
      </c>
      <c r="AF3376" s="1">
        <v>10002</v>
      </c>
      <c r="AI3376" s="1" t="s">
        <v>55</v>
      </c>
      <c r="AJ3376" s="1">
        <v>2019</v>
      </c>
      <c r="AK3376" s="1" t="s">
        <v>46</v>
      </c>
      <c r="AL3376" s="1">
        <v>787</v>
      </c>
    </row>
    <row r="3377" spans="1:38" x14ac:dyDescent="0.2">
      <c r="A3377" s="2" t="str">
        <f>HYPERLINK("https://www.compass.com/listing/252-south-street-unit-76g-manhattan-ny-10002/429875728629350745/","252 South St, Unit 76G")</f>
        <v>252 South St, Unit 76G</v>
      </c>
      <c r="B3377" s="2" t="str">
        <f t="shared" si="420"/>
        <v>One Manhattan Square</v>
      </c>
      <c r="C3377" s="1" t="s">
        <v>66</v>
      </c>
      <c r="D3377" s="1" t="s">
        <v>41</v>
      </c>
      <c r="E3377" s="3">
        <v>1629709</v>
      </c>
      <c r="F3377" s="1">
        <v>2368.7632703488298</v>
      </c>
      <c r="M3377" s="1">
        <v>688</v>
      </c>
      <c r="Q3377" s="1" t="s">
        <v>42</v>
      </c>
      <c r="S3377" s="1" t="s">
        <v>42</v>
      </c>
      <c r="T3377" s="1" t="s">
        <v>170</v>
      </c>
      <c r="AA3377" s="1">
        <v>1629709.13</v>
      </c>
      <c r="AB3377" s="1" t="s">
        <v>2570</v>
      </c>
      <c r="AC3377" s="5">
        <v>43795</v>
      </c>
      <c r="AF3377" s="1">
        <v>10002</v>
      </c>
      <c r="AI3377" s="1" t="s">
        <v>55</v>
      </c>
      <c r="AJ3377" s="1">
        <v>2019</v>
      </c>
      <c r="AK3377" s="1" t="s">
        <v>46</v>
      </c>
      <c r="AL3377" s="1">
        <v>787</v>
      </c>
    </row>
    <row r="3378" spans="1:38" x14ac:dyDescent="0.2">
      <c r="A3378" s="2" t="str">
        <f>HYPERLINK("https://www.compass.com/listing/252-south-street-unit-76l-manhattan-ny-10002/429875730516817017/","252 South St, Unit 76L")</f>
        <v>252 South St, Unit 76L</v>
      </c>
      <c r="B3378" s="2" t="str">
        <f t="shared" si="420"/>
        <v>One Manhattan Square</v>
      </c>
      <c r="C3378" s="1" t="s">
        <v>66</v>
      </c>
      <c r="D3378" s="1" t="s">
        <v>41</v>
      </c>
      <c r="E3378" s="3">
        <v>1749354</v>
      </c>
      <c r="F3378" s="1">
        <v>2467.3533145275001</v>
      </c>
      <c r="M3378" s="1">
        <v>709</v>
      </c>
      <c r="Q3378" s="1" t="s">
        <v>42</v>
      </c>
      <c r="S3378" s="1" t="s">
        <v>42</v>
      </c>
      <c r="T3378" s="1" t="s">
        <v>170</v>
      </c>
      <c r="AA3378" s="1">
        <v>1749353.5</v>
      </c>
      <c r="AB3378" s="1" t="s">
        <v>2571</v>
      </c>
      <c r="AC3378" s="5">
        <v>43795</v>
      </c>
      <c r="AF3378" s="1">
        <v>10002</v>
      </c>
      <c r="AI3378" s="1" t="s">
        <v>55</v>
      </c>
      <c r="AJ3378" s="1">
        <v>2019</v>
      </c>
      <c r="AK3378" s="1" t="s">
        <v>46</v>
      </c>
      <c r="AL3378" s="1">
        <v>787</v>
      </c>
    </row>
    <row r="3379" spans="1:38" x14ac:dyDescent="0.2">
      <c r="A3379" s="2" t="str">
        <f>HYPERLINK("https://www.compass.com/listing/252-south-street-unit-80a-manhattan-ny-10002/429875731943208753/","252 South St, Unit 80A")</f>
        <v>252 South St, Unit 80A</v>
      </c>
      <c r="B3379" s="2" t="str">
        <f t="shared" si="420"/>
        <v>One Manhattan Square</v>
      </c>
      <c r="C3379" s="1" t="s">
        <v>66</v>
      </c>
      <c r="D3379" s="1" t="s">
        <v>41</v>
      </c>
      <c r="E3379" s="3">
        <v>4909929</v>
      </c>
      <c r="F3379" s="1">
        <v>2924.3171530672998</v>
      </c>
      <c r="M3379" s="4">
        <v>1679</v>
      </c>
      <c r="Q3379" s="1" t="s">
        <v>42</v>
      </c>
      <c r="S3379" s="1" t="s">
        <v>42</v>
      </c>
      <c r="T3379" s="1" t="s">
        <v>170</v>
      </c>
      <c r="AA3379" s="1">
        <v>4909928.5</v>
      </c>
      <c r="AB3379" s="1" t="s">
        <v>2572</v>
      </c>
      <c r="AC3379" s="5">
        <v>43790</v>
      </c>
      <c r="AF3379" s="1">
        <v>10002</v>
      </c>
      <c r="AI3379" s="1" t="s">
        <v>55</v>
      </c>
      <c r="AJ3379" s="1">
        <v>2019</v>
      </c>
      <c r="AK3379" s="1" t="s">
        <v>46</v>
      </c>
      <c r="AL3379" s="1">
        <v>787</v>
      </c>
    </row>
    <row r="3380" spans="1:38" x14ac:dyDescent="0.2">
      <c r="A3380" s="2" t="str">
        <f>HYPERLINK("https://www.compass.com/listing/2351-adam-clayton-powell-jr-boulevard-unit-ph23-manhattan-ny-10030/430392071107778353/","2351 Adam Clayton Powell Jr Blvd, Unit PH23")</f>
        <v>2351 Adam Clayton Powell Jr Blvd, Unit PH23</v>
      </c>
      <c r="B3380" s="2" t="str">
        <f>HYPERLINK("https://www.compass.com/building/the-rennie-manhattan-ny/307439143554395509/","THE RENNIE")</f>
        <v>THE RENNIE</v>
      </c>
      <c r="C3380" s="1" t="s">
        <v>61</v>
      </c>
      <c r="D3380" s="1" t="s">
        <v>41</v>
      </c>
      <c r="E3380" s="3">
        <v>998000</v>
      </c>
      <c r="F3380" s="1">
        <v>1258.51197982345</v>
      </c>
      <c r="G3380" s="1">
        <v>4</v>
      </c>
      <c r="H3380" s="1">
        <v>2</v>
      </c>
      <c r="I3380" s="1">
        <v>1</v>
      </c>
      <c r="J3380" s="1">
        <v>1</v>
      </c>
      <c r="K3380" s="1">
        <v>1</v>
      </c>
      <c r="M3380" s="1">
        <v>793</v>
      </c>
      <c r="N3380" s="1">
        <v>901</v>
      </c>
      <c r="O3380" s="1">
        <v>936</v>
      </c>
      <c r="P3380" s="1">
        <v>35</v>
      </c>
      <c r="Q3380" s="1" t="s">
        <v>42</v>
      </c>
      <c r="S3380" s="1" t="s">
        <v>42</v>
      </c>
      <c r="T3380" s="1" t="s">
        <v>170</v>
      </c>
      <c r="U3380" s="1">
        <v>289</v>
      </c>
      <c r="V3380" s="5">
        <v>43846</v>
      </c>
      <c r="W3380" s="5">
        <v>43472</v>
      </c>
      <c r="X3380" s="1">
        <v>998000</v>
      </c>
      <c r="Y3380" s="1">
        <v>998000</v>
      </c>
      <c r="AA3380" s="1">
        <v>998000</v>
      </c>
      <c r="AB3380" s="1" t="s">
        <v>181</v>
      </c>
      <c r="AC3380" s="5">
        <v>43762</v>
      </c>
      <c r="AF3380" s="1">
        <v>10030</v>
      </c>
      <c r="AI3380" s="1" t="s">
        <v>74</v>
      </c>
      <c r="AJ3380" s="1">
        <v>2018</v>
      </c>
      <c r="AK3380" s="1" t="s">
        <v>77</v>
      </c>
      <c r="AL3380" s="1">
        <v>106</v>
      </c>
    </row>
    <row r="3381" spans="1:38" x14ac:dyDescent="0.2">
      <c r="A3381" s="2" t="str">
        <f>HYPERLINK("https://www.compass.com/listing/252-south-street-unit-68k-manhattan-ny-10002/435455792612182953/","252 South St, Unit 68K")</f>
        <v>252 South St, Unit 68K</v>
      </c>
      <c r="B3381" s="2" t="str">
        <f>HYPERLINK("https://www.compass.com/building/one-manhattan-square-manhattan-ny/294844950218926165/","One Manhattan Square")</f>
        <v>One Manhattan Square</v>
      </c>
      <c r="C3381" s="1" t="s">
        <v>66</v>
      </c>
      <c r="D3381" s="1" t="s">
        <v>41</v>
      </c>
      <c r="E3381" s="3">
        <v>1527221</v>
      </c>
      <c r="F3381" s="1">
        <v>2219.7977616278999</v>
      </c>
      <c r="M3381" s="1">
        <v>688</v>
      </c>
      <c r="Q3381" s="1" t="s">
        <v>42</v>
      </c>
      <c r="S3381" s="1" t="s">
        <v>42</v>
      </c>
      <c r="T3381" s="1" t="s">
        <v>170</v>
      </c>
      <c r="AA3381" s="1">
        <v>1527220.86</v>
      </c>
      <c r="AB3381" s="1" t="s">
        <v>2573</v>
      </c>
      <c r="AC3381" s="5">
        <v>43843</v>
      </c>
      <c r="AF3381" s="1">
        <v>10002</v>
      </c>
      <c r="AI3381" s="1" t="s">
        <v>55</v>
      </c>
      <c r="AJ3381" s="1">
        <v>2019</v>
      </c>
      <c r="AK3381" s="1" t="s">
        <v>46</v>
      </c>
      <c r="AL3381" s="1">
        <v>787</v>
      </c>
    </row>
    <row r="3382" spans="1:38" x14ac:dyDescent="0.2">
      <c r="A3382" s="2" t="str">
        <f>HYPERLINK("https://www.compass.com/listing/225-east-19th-street-unit-102-manhattan-ny-10003/437127729763423097/","225 E 19th St, Unit 102")</f>
        <v>225 E 19th St, Unit 102</v>
      </c>
      <c r="B3382" s="2" t="str">
        <f>HYPERLINK("https://www.compass.com/building/the-prewar-at-gramercy-square-manhattan-ny/282059248584654437/","The Prewar at Gramercy Square")</f>
        <v>The Prewar at Gramercy Square</v>
      </c>
      <c r="C3382" s="1" t="s">
        <v>54</v>
      </c>
      <c r="D3382" s="1" t="s">
        <v>41</v>
      </c>
      <c r="E3382" s="3">
        <v>1664839</v>
      </c>
      <c r="F3382" s="1">
        <v>1894.01450511945</v>
      </c>
      <c r="M3382" s="1">
        <v>879</v>
      </c>
      <c r="Q3382" s="1" t="s">
        <v>42</v>
      </c>
      <c r="S3382" s="1" t="s">
        <v>42</v>
      </c>
      <c r="T3382" s="1" t="s">
        <v>170</v>
      </c>
      <c r="AA3382" s="1">
        <v>1664838.75</v>
      </c>
      <c r="AB3382" s="1" t="s">
        <v>2574</v>
      </c>
      <c r="AC3382" s="5">
        <v>43837</v>
      </c>
      <c r="AF3382" s="1">
        <v>10003</v>
      </c>
      <c r="AI3382" s="1" t="s">
        <v>76</v>
      </c>
      <c r="AJ3382" s="1">
        <v>1920</v>
      </c>
      <c r="AK3382" s="1" t="s">
        <v>46</v>
      </c>
      <c r="AL3382" s="1">
        <v>48</v>
      </c>
    </row>
    <row r="3383" spans="1:38" x14ac:dyDescent="0.2">
      <c r="A3383" s="2" t="str">
        <f>HYPERLINK("https://www.compass.com/listing/2351-adam-clayton-powell-jr-boulevard-unit-701-p-manhattan-ny-10030/437143660032257761/","2351 Adam Clayton Powell Jr Blvd, Unit 701/P")</f>
        <v>2351 Adam Clayton Powell Jr Blvd, Unit 701/P</v>
      </c>
      <c r="B3383" s="2" t="str">
        <f>HYPERLINK("https://www.compass.com/building/the-rennie-manhattan-ny/307439143554395509/","THE RENNIE")</f>
        <v>THE RENNIE</v>
      </c>
      <c r="C3383" s="1" t="s">
        <v>61</v>
      </c>
      <c r="D3383" s="1" t="s">
        <v>41</v>
      </c>
      <c r="E3383" s="3">
        <v>958000</v>
      </c>
      <c r="F3383" s="1">
        <v>1150.0600240096001</v>
      </c>
      <c r="M3383" s="1">
        <v>833</v>
      </c>
      <c r="Q3383" s="1" t="s">
        <v>42</v>
      </c>
      <c r="S3383" s="1" t="s">
        <v>42</v>
      </c>
      <c r="T3383" s="1" t="s">
        <v>170</v>
      </c>
      <c r="AA3383" s="1">
        <v>958000</v>
      </c>
      <c r="AB3383" s="1" t="s">
        <v>2575</v>
      </c>
      <c r="AC3383" s="5">
        <v>43775</v>
      </c>
      <c r="AF3383" s="1">
        <v>10030</v>
      </c>
      <c r="AI3383" s="1" t="s">
        <v>45</v>
      </c>
      <c r="AJ3383" s="1">
        <v>2018</v>
      </c>
      <c r="AK3383" s="1" t="s">
        <v>49</v>
      </c>
      <c r="AL3383" s="1">
        <v>106</v>
      </c>
    </row>
    <row r="3384" spans="1:38" x14ac:dyDescent="0.2">
      <c r="A3384" s="2" t="str">
        <f>HYPERLINK("https://www.compass.com/listing/49-51-chambers-street-unit-7b-manhattan-ny-10007/440131893728500041/","49-51 Chambers St, Unit 7B")</f>
        <v>49-51 Chambers St, Unit 7B</v>
      </c>
      <c r="B3384" s="2" t="str">
        <f t="shared" ref="B3384:B3401" si="421">HYPERLINK("https://www.compass.com/building/49-51-chambers-st-manhattan-ny-10007/441163040348878029/","49-51 Chambers St")</f>
        <v>49-51 Chambers St</v>
      </c>
      <c r="C3384" s="1" t="s">
        <v>956</v>
      </c>
      <c r="D3384" s="1" t="s">
        <v>41</v>
      </c>
      <c r="E3384" s="3">
        <v>2775094</v>
      </c>
      <c r="F3384" s="1">
        <v>1585.7678571428501</v>
      </c>
      <c r="M3384" s="4">
        <v>1750</v>
      </c>
      <c r="Q3384" s="1" t="s">
        <v>42</v>
      </c>
      <c r="S3384" s="1" t="s">
        <v>42</v>
      </c>
      <c r="T3384" s="1" t="s">
        <v>170</v>
      </c>
      <c r="AA3384" s="1">
        <v>2775093.75</v>
      </c>
      <c r="AB3384" s="1" t="s">
        <v>2576</v>
      </c>
      <c r="AC3384" s="5">
        <v>43614</v>
      </c>
      <c r="AF3384" s="1">
        <v>10007</v>
      </c>
    </row>
    <row r="3385" spans="1:38" x14ac:dyDescent="0.2">
      <c r="A3385" s="2" t="str">
        <f>HYPERLINK("https://www.compass.com/listing/49-51-chambers-street-unit-8b-manhattan-ny-10007/440131896245461617/","49-51 Chambers St, Unit 8B")</f>
        <v>49-51 Chambers St, Unit 8B</v>
      </c>
      <c r="B3385" s="2" t="str">
        <f t="shared" si="421"/>
        <v>49-51 Chambers St</v>
      </c>
      <c r="C3385" s="1" t="s">
        <v>956</v>
      </c>
      <c r="D3385" s="1" t="s">
        <v>41</v>
      </c>
      <c r="E3385" s="3">
        <v>2900000</v>
      </c>
      <c r="F3385" s="1">
        <v>1657.1428571428501</v>
      </c>
      <c r="M3385" s="4">
        <v>1750</v>
      </c>
      <c r="Q3385" s="1" t="s">
        <v>42</v>
      </c>
      <c r="S3385" s="1" t="s">
        <v>42</v>
      </c>
      <c r="T3385" s="1" t="s">
        <v>170</v>
      </c>
      <c r="AA3385" s="1">
        <v>2900000</v>
      </c>
      <c r="AB3385" s="1" t="s">
        <v>2577</v>
      </c>
      <c r="AC3385" s="5">
        <v>43781</v>
      </c>
      <c r="AF3385" s="1">
        <v>10007</v>
      </c>
    </row>
    <row r="3386" spans="1:38" x14ac:dyDescent="0.2">
      <c r="A3386" s="2" t="str">
        <f>HYPERLINK("https://www.compass.com/listing/49-51-chambers-street-unit-9b-manhattan-ny-10007/440131898552232825/","49-51 Chambers St, Unit 9B")</f>
        <v>49-51 Chambers St, Unit 9B</v>
      </c>
      <c r="B3386" s="2" t="str">
        <f t="shared" si="421"/>
        <v>49-51 Chambers St</v>
      </c>
      <c r="C3386" s="1" t="s">
        <v>956</v>
      </c>
      <c r="D3386" s="1" t="s">
        <v>41</v>
      </c>
      <c r="E3386" s="3">
        <v>2926463</v>
      </c>
      <c r="F3386" s="1">
        <v>1672.26428571428</v>
      </c>
      <c r="M3386" s="4">
        <v>1750</v>
      </c>
      <c r="Q3386" s="1" t="s">
        <v>42</v>
      </c>
      <c r="S3386" s="1" t="s">
        <v>42</v>
      </c>
      <c r="T3386" s="1" t="s">
        <v>170</v>
      </c>
      <c r="AA3386" s="1">
        <v>2926462.5</v>
      </c>
      <c r="AB3386" s="1" t="s">
        <v>2578</v>
      </c>
      <c r="AC3386" s="5">
        <v>43677</v>
      </c>
      <c r="AF3386" s="1">
        <v>10007</v>
      </c>
    </row>
    <row r="3387" spans="1:38" x14ac:dyDescent="0.2">
      <c r="A3387" s="2" t="str">
        <f>HYPERLINK("https://www.compass.com/listing/49-51-chambers-street-unit-6c-manhattan-ny-10007/440131902326953577/","49-51 Chambers St, Unit 6C")</f>
        <v>49-51 Chambers St, Unit 6C</v>
      </c>
      <c r="B3387" s="2" t="str">
        <f t="shared" si="421"/>
        <v>49-51 Chambers St</v>
      </c>
      <c r="C3387" s="1" t="s">
        <v>956</v>
      </c>
      <c r="D3387" s="1" t="s">
        <v>41</v>
      </c>
      <c r="E3387" s="3">
        <v>2000000</v>
      </c>
      <c r="F3387" s="1">
        <v>1550.3875968992199</v>
      </c>
      <c r="M3387" s="4">
        <v>1290</v>
      </c>
      <c r="Q3387" s="1" t="s">
        <v>42</v>
      </c>
      <c r="S3387" s="1" t="s">
        <v>42</v>
      </c>
      <c r="T3387" s="1" t="s">
        <v>170</v>
      </c>
      <c r="AA3387" s="1">
        <v>2000000</v>
      </c>
      <c r="AB3387" s="1" t="s">
        <v>2579</v>
      </c>
      <c r="AC3387" s="5">
        <v>43705</v>
      </c>
      <c r="AF3387" s="1">
        <v>10007</v>
      </c>
    </row>
    <row r="3388" spans="1:38" x14ac:dyDescent="0.2">
      <c r="A3388" s="2" t="str">
        <f>HYPERLINK("https://www.compass.com/listing/49-51-chambers-street-unit-7c-manhattan-ny-10007/440131904114011769/","49-51 Chambers St, Unit 7C")</f>
        <v>49-51 Chambers St, Unit 7C</v>
      </c>
      <c r="B3388" s="2" t="str">
        <f t="shared" si="421"/>
        <v>49-51 Chambers St</v>
      </c>
      <c r="C3388" s="1" t="s">
        <v>956</v>
      </c>
      <c r="D3388" s="1" t="s">
        <v>41</v>
      </c>
      <c r="E3388" s="3">
        <v>2050000</v>
      </c>
      <c r="F3388" s="1">
        <v>1589.1472868216999</v>
      </c>
      <c r="M3388" s="4">
        <v>1290</v>
      </c>
      <c r="Q3388" s="1" t="s">
        <v>42</v>
      </c>
      <c r="S3388" s="1" t="s">
        <v>42</v>
      </c>
      <c r="T3388" s="1" t="s">
        <v>170</v>
      </c>
      <c r="AA3388" s="1">
        <v>2050000</v>
      </c>
      <c r="AB3388" s="1" t="s">
        <v>2580</v>
      </c>
      <c r="AC3388" s="5">
        <v>43585</v>
      </c>
      <c r="AF3388" s="1">
        <v>10007</v>
      </c>
    </row>
    <row r="3389" spans="1:38" x14ac:dyDescent="0.2">
      <c r="A3389" s="2" t="str">
        <f>HYPERLINK("https://www.compass.com/listing/49-51-chambers-street-unit-10c-manhattan-ny-10007/440131906714227473/","49-51 Chambers St, Unit 10C")</f>
        <v>49-51 Chambers St, Unit 10C</v>
      </c>
      <c r="B3389" s="2" t="str">
        <f t="shared" si="421"/>
        <v>49-51 Chambers St</v>
      </c>
      <c r="C3389" s="1" t="s">
        <v>956</v>
      </c>
      <c r="D3389" s="1" t="s">
        <v>41</v>
      </c>
      <c r="E3389" s="3">
        <v>2210000</v>
      </c>
      <c r="F3389" s="1">
        <v>1713.17829457364</v>
      </c>
      <c r="M3389" s="4">
        <v>1290</v>
      </c>
      <c r="Q3389" s="1" t="s">
        <v>42</v>
      </c>
      <c r="S3389" s="1" t="s">
        <v>42</v>
      </c>
      <c r="T3389" s="1" t="s">
        <v>170</v>
      </c>
      <c r="AA3389" s="1">
        <v>2210000</v>
      </c>
      <c r="AB3389" s="1" t="s">
        <v>2581</v>
      </c>
      <c r="AC3389" s="5">
        <v>43580</v>
      </c>
      <c r="AF3389" s="1">
        <v>10007</v>
      </c>
    </row>
    <row r="3390" spans="1:38" x14ac:dyDescent="0.2">
      <c r="A3390" s="2" t="str">
        <f>HYPERLINK("https://www.compass.com/listing/49-51-chambers-street-unit-11c-manhattan-ny-10007/440131908677259913/","49-51 Chambers St, Unit 11C")</f>
        <v>49-51 Chambers St, Unit 11C</v>
      </c>
      <c r="B3390" s="2" t="str">
        <f t="shared" si="421"/>
        <v>49-51 Chambers St</v>
      </c>
      <c r="C3390" s="1" t="s">
        <v>956</v>
      </c>
      <c r="D3390" s="1" t="s">
        <v>41</v>
      </c>
      <c r="E3390" s="3">
        <v>2325000</v>
      </c>
      <c r="F3390" s="1">
        <v>1802.3255813953399</v>
      </c>
      <c r="M3390" s="4">
        <v>1290</v>
      </c>
      <c r="Q3390" s="1" t="s">
        <v>42</v>
      </c>
      <c r="S3390" s="1" t="s">
        <v>42</v>
      </c>
      <c r="T3390" s="1" t="s">
        <v>170</v>
      </c>
      <c r="AA3390" s="1">
        <v>2325000</v>
      </c>
      <c r="AB3390" s="1" t="s">
        <v>2582</v>
      </c>
      <c r="AC3390" s="5">
        <v>43571</v>
      </c>
      <c r="AF3390" s="1">
        <v>10007</v>
      </c>
    </row>
    <row r="3391" spans="1:38" x14ac:dyDescent="0.2">
      <c r="A3391" s="2" t="str">
        <f>HYPERLINK("https://www.compass.com/listing/49-51-chambers-street-unit-12c-manhattan-ny-10007/440131910480552505/","49-51 Chambers St, Unit 12C")</f>
        <v>49-51 Chambers St, Unit 12C</v>
      </c>
      <c r="B3391" s="2" t="str">
        <f t="shared" si="421"/>
        <v>49-51 Chambers St</v>
      </c>
      <c r="C3391" s="1" t="s">
        <v>956</v>
      </c>
      <c r="D3391" s="1" t="s">
        <v>41</v>
      </c>
      <c r="E3391" s="3">
        <v>2000000</v>
      </c>
      <c r="F3391" s="1">
        <v>1550.3875968992199</v>
      </c>
      <c r="M3391" s="4">
        <v>1290</v>
      </c>
      <c r="Q3391" s="1" t="s">
        <v>42</v>
      </c>
      <c r="S3391" s="1" t="s">
        <v>42</v>
      </c>
      <c r="T3391" s="1" t="s">
        <v>170</v>
      </c>
      <c r="AA3391" s="1">
        <v>2000000</v>
      </c>
      <c r="AB3391" s="1" t="s">
        <v>2583</v>
      </c>
      <c r="AC3391" s="5">
        <v>43815</v>
      </c>
      <c r="AF3391" s="1">
        <v>10007</v>
      </c>
    </row>
    <row r="3392" spans="1:38" x14ac:dyDescent="0.2">
      <c r="A3392" s="2" t="str">
        <f>HYPERLINK("https://www.compass.com/listing/49-51-chambers-street-unit-10d-manhattan-ny-10007/440131917309009073/","49-51 Chambers St, Unit 10D")</f>
        <v>49-51 Chambers St, Unit 10D</v>
      </c>
      <c r="B3392" s="2" t="str">
        <f t="shared" si="421"/>
        <v>49-51 Chambers St</v>
      </c>
      <c r="C3392" s="1" t="s">
        <v>956</v>
      </c>
      <c r="D3392" s="1" t="s">
        <v>41</v>
      </c>
      <c r="E3392" s="3">
        <v>3900000</v>
      </c>
      <c r="F3392" s="1">
        <v>1728.72340425531</v>
      </c>
      <c r="M3392" s="4">
        <v>2256</v>
      </c>
      <c r="Q3392" s="1" t="s">
        <v>42</v>
      </c>
      <c r="S3392" s="1" t="s">
        <v>42</v>
      </c>
      <c r="T3392" s="1" t="s">
        <v>170</v>
      </c>
      <c r="AA3392" s="1">
        <v>3900000</v>
      </c>
      <c r="AB3392" s="1" t="s">
        <v>2584</v>
      </c>
      <c r="AC3392" s="5">
        <v>43598</v>
      </c>
      <c r="AF3392" s="1">
        <v>10007</v>
      </c>
    </row>
    <row r="3393" spans="1:38" x14ac:dyDescent="0.2">
      <c r="A3393" s="2" t="str">
        <f>HYPERLINK("https://www.compass.com/listing/49-51-chambers-street-unit-12d-manhattan-ny-10007/440131920698364049/","49-51 Chambers St, Unit 12D")</f>
        <v>49-51 Chambers St, Unit 12D</v>
      </c>
      <c r="B3393" s="2" t="str">
        <f t="shared" si="421"/>
        <v>49-51 Chambers St</v>
      </c>
      <c r="C3393" s="1" t="s">
        <v>956</v>
      </c>
      <c r="D3393" s="1" t="s">
        <v>41</v>
      </c>
      <c r="E3393" s="3">
        <v>4030000</v>
      </c>
      <c r="F3393" s="1">
        <v>1786.3475177304899</v>
      </c>
      <c r="M3393" s="4">
        <v>2256</v>
      </c>
      <c r="Q3393" s="1" t="s">
        <v>42</v>
      </c>
      <c r="S3393" s="1" t="s">
        <v>42</v>
      </c>
      <c r="T3393" s="1" t="s">
        <v>170</v>
      </c>
      <c r="AA3393" s="1">
        <v>4030000</v>
      </c>
      <c r="AB3393" s="1" t="s">
        <v>2585</v>
      </c>
      <c r="AC3393" s="5">
        <v>43615</v>
      </c>
      <c r="AF3393" s="1">
        <v>10007</v>
      </c>
    </row>
    <row r="3394" spans="1:38" x14ac:dyDescent="0.2">
      <c r="A3394" s="2" t="str">
        <f>HYPERLINK("https://www.compass.com/listing/49-51-chambers-street-unit-14d-manhattan-ny-10007/440131922568698993/","49-51 Chambers St, Unit 14D")</f>
        <v>49-51 Chambers St, Unit 14D</v>
      </c>
      <c r="B3394" s="2" t="str">
        <f t="shared" si="421"/>
        <v>49-51 Chambers St</v>
      </c>
      <c r="C3394" s="1" t="s">
        <v>956</v>
      </c>
      <c r="D3394" s="1" t="s">
        <v>41</v>
      </c>
      <c r="E3394" s="3">
        <v>4150000</v>
      </c>
      <c r="F3394" s="1">
        <v>1839.5390070921901</v>
      </c>
      <c r="M3394" s="4">
        <v>2256</v>
      </c>
      <c r="Q3394" s="1" t="s">
        <v>42</v>
      </c>
      <c r="S3394" s="1" t="s">
        <v>42</v>
      </c>
      <c r="T3394" s="1" t="s">
        <v>170</v>
      </c>
      <c r="AA3394" s="1">
        <v>4150000</v>
      </c>
      <c r="AB3394" s="1" t="s">
        <v>2586</v>
      </c>
      <c r="AC3394" s="5">
        <v>43577</v>
      </c>
      <c r="AF3394" s="1">
        <v>10007</v>
      </c>
    </row>
    <row r="3395" spans="1:38" x14ac:dyDescent="0.2">
      <c r="A3395" s="2" t="str">
        <f>HYPERLINK("https://www.compass.com/listing/49-51-chambers-street-unit-6f-manhattan-ny-10007/440131928315114449/","49-51 Chambers St, Unit 6F")</f>
        <v>49-51 Chambers St, Unit 6F</v>
      </c>
      <c r="B3395" s="2" t="str">
        <f t="shared" si="421"/>
        <v>49-51 Chambers St</v>
      </c>
      <c r="C3395" s="1" t="s">
        <v>956</v>
      </c>
      <c r="D3395" s="1" t="s">
        <v>41</v>
      </c>
      <c r="E3395" s="3">
        <v>1580000</v>
      </c>
      <c r="F3395" s="1">
        <v>1632.2314049586701</v>
      </c>
      <c r="M3395" s="1">
        <v>968</v>
      </c>
      <c r="Q3395" s="1" t="s">
        <v>42</v>
      </c>
      <c r="S3395" s="1" t="s">
        <v>42</v>
      </c>
      <c r="T3395" s="1" t="s">
        <v>170</v>
      </c>
      <c r="AA3395" s="1">
        <v>1580000</v>
      </c>
      <c r="AB3395" s="1" t="s">
        <v>2587</v>
      </c>
      <c r="AC3395" s="5">
        <v>43682</v>
      </c>
      <c r="AF3395" s="1">
        <v>10007</v>
      </c>
    </row>
    <row r="3396" spans="1:38" x14ac:dyDescent="0.2">
      <c r="A3396" s="2" t="str">
        <f>HYPERLINK("https://www.compass.com/listing/49-51-chambers-street-unit-7f-manhattan-ny-10007/440131931452358033/","49-51 Chambers St, Unit 7F")</f>
        <v>49-51 Chambers St, Unit 7F</v>
      </c>
      <c r="B3396" s="2" t="str">
        <f t="shared" si="421"/>
        <v>49-51 Chambers St</v>
      </c>
      <c r="C3396" s="1" t="s">
        <v>956</v>
      </c>
      <c r="D3396" s="1" t="s">
        <v>41</v>
      </c>
      <c r="E3396" s="3">
        <v>1650000</v>
      </c>
      <c r="F3396" s="1">
        <v>1704.54545454545</v>
      </c>
      <c r="M3396" s="1">
        <v>968</v>
      </c>
      <c r="Q3396" s="1" t="s">
        <v>42</v>
      </c>
      <c r="S3396" s="1" t="s">
        <v>42</v>
      </c>
      <c r="T3396" s="1" t="s">
        <v>170</v>
      </c>
      <c r="AA3396" s="1">
        <v>1650000</v>
      </c>
      <c r="AB3396" s="1" t="s">
        <v>2588</v>
      </c>
      <c r="AC3396" s="5">
        <v>43593</v>
      </c>
      <c r="AF3396" s="1">
        <v>10007</v>
      </c>
    </row>
    <row r="3397" spans="1:38" x14ac:dyDescent="0.2">
      <c r="A3397" s="2" t="str">
        <f>HYPERLINK("https://www.compass.com/listing/49-51-chambers-street-unit-8f-manhattan-ny-10007/440131934321048297/","49-51 Chambers St, Unit 8F")</f>
        <v>49-51 Chambers St, Unit 8F</v>
      </c>
      <c r="B3397" s="2" t="str">
        <f t="shared" si="421"/>
        <v>49-51 Chambers St</v>
      </c>
      <c r="C3397" s="1" t="s">
        <v>956</v>
      </c>
      <c r="D3397" s="1" t="s">
        <v>41</v>
      </c>
      <c r="E3397" s="3">
        <v>1650000</v>
      </c>
      <c r="F3397" s="1">
        <v>1704.54545454545</v>
      </c>
      <c r="M3397" s="1">
        <v>968</v>
      </c>
      <c r="Q3397" s="1" t="s">
        <v>42</v>
      </c>
      <c r="S3397" s="1" t="s">
        <v>42</v>
      </c>
      <c r="T3397" s="1" t="s">
        <v>170</v>
      </c>
      <c r="AA3397" s="1">
        <v>1650000</v>
      </c>
      <c r="AB3397" s="1" t="s">
        <v>2589</v>
      </c>
      <c r="AC3397" s="5">
        <v>43662</v>
      </c>
      <c r="AF3397" s="1">
        <v>10007</v>
      </c>
    </row>
    <row r="3398" spans="1:38" x14ac:dyDescent="0.2">
      <c r="A3398" s="2" t="str">
        <f>HYPERLINK("https://www.compass.com/listing/49-51-chambers-street-unit-11f-manhattan-ny-10007/440131936653142049/","49-51 Chambers St, Unit 11F")</f>
        <v>49-51 Chambers St, Unit 11F</v>
      </c>
      <c r="B3398" s="2" t="str">
        <f t="shared" si="421"/>
        <v>49-51 Chambers St</v>
      </c>
      <c r="C3398" s="1" t="s">
        <v>956</v>
      </c>
      <c r="D3398" s="1" t="s">
        <v>41</v>
      </c>
      <c r="E3398" s="3">
        <v>1750000</v>
      </c>
      <c r="F3398" s="1">
        <v>1807.85123966942</v>
      </c>
      <c r="M3398" s="1">
        <v>968</v>
      </c>
      <c r="Q3398" s="1" t="s">
        <v>42</v>
      </c>
      <c r="S3398" s="1" t="s">
        <v>42</v>
      </c>
      <c r="T3398" s="1" t="s">
        <v>170</v>
      </c>
      <c r="AA3398" s="1">
        <v>1750000</v>
      </c>
      <c r="AB3398" s="1" t="s">
        <v>2590</v>
      </c>
      <c r="AC3398" s="5">
        <v>43585</v>
      </c>
      <c r="AF3398" s="1">
        <v>10007</v>
      </c>
    </row>
    <row r="3399" spans="1:38" x14ac:dyDescent="0.2">
      <c r="A3399" s="2" t="str">
        <f>HYPERLINK("https://www.compass.com/listing/49-51-chambers-street-unit-8g-manhattan-ny-10007/440131939950222049/","49-51 Chambers St, Unit 8G")</f>
        <v>49-51 Chambers St, Unit 8G</v>
      </c>
      <c r="B3399" s="2" t="str">
        <f t="shared" si="421"/>
        <v>49-51 Chambers St</v>
      </c>
      <c r="C3399" s="1" t="s">
        <v>956</v>
      </c>
      <c r="D3399" s="1" t="s">
        <v>41</v>
      </c>
      <c r="E3399" s="3">
        <v>1900000</v>
      </c>
      <c r="F3399" s="1">
        <v>1653.6118363794601</v>
      </c>
      <c r="M3399" s="4">
        <v>1149</v>
      </c>
      <c r="Q3399" s="1" t="s">
        <v>42</v>
      </c>
      <c r="S3399" s="1" t="s">
        <v>42</v>
      </c>
      <c r="T3399" s="1" t="s">
        <v>170</v>
      </c>
      <c r="AA3399" s="1">
        <v>1900000</v>
      </c>
      <c r="AB3399" s="1" t="s">
        <v>2591</v>
      </c>
      <c r="AC3399" s="5">
        <v>43707</v>
      </c>
      <c r="AF3399" s="1">
        <v>10007</v>
      </c>
    </row>
    <row r="3400" spans="1:38" x14ac:dyDescent="0.2">
      <c r="A3400" s="2" t="str">
        <f>HYPERLINK("https://www.compass.com/listing/49-51-chambers-street-unit-phb-manhattan-ny-10007/440131944664392361/","49-51 Chambers St, Unit PHB")</f>
        <v>49-51 Chambers St, Unit PHB</v>
      </c>
      <c r="B3400" s="2" t="str">
        <f t="shared" si="421"/>
        <v>49-51 Chambers St</v>
      </c>
      <c r="C3400" s="1" t="s">
        <v>956</v>
      </c>
      <c r="D3400" s="1" t="s">
        <v>41</v>
      </c>
      <c r="E3400" s="3">
        <v>8750000</v>
      </c>
      <c r="F3400" s="1">
        <v>2229.8674821610598</v>
      </c>
      <c r="M3400" s="4">
        <v>3924</v>
      </c>
      <c r="Q3400" s="1" t="s">
        <v>42</v>
      </c>
      <c r="S3400" s="1" t="s">
        <v>42</v>
      </c>
      <c r="T3400" s="1" t="s">
        <v>170</v>
      </c>
      <c r="AA3400" s="1">
        <v>8750000</v>
      </c>
      <c r="AB3400" s="1" t="s">
        <v>2592</v>
      </c>
      <c r="AC3400" s="5">
        <v>43766</v>
      </c>
      <c r="AF3400" s="1">
        <v>10007</v>
      </c>
    </row>
    <row r="3401" spans="1:38" x14ac:dyDescent="0.2">
      <c r="A3401" s="2" t="str">
        <f>HYPERLINK("https://www.compass.com/listing/49-51-chambers-street-unit-16d-manhattan-ny-10007/440929372384828305/","49-51 Chambers St, Unit 16D")</f>
        <v>49-51 Chambers St, Unit 16D</v>
      </c>
      <c r="B3401" s="2" t="str">
        <f t="shared" si="421"/>
        <v>49-51 Chambers St</v>
      </c>
      <c r="C3401" s="1" t="s">
        <v>956</v>
      </c>
      <c r="D3401" s="1" t="s">
        <v>41</v>
      </c>
      <c r="E3401" s="3">
        <v>4050000</v>
      </c>
      <c r="F3401" s="1">
        <v>1795.2127659574401</v>
      </c>
      <c r="M3401" s="4">
        <v>2256</v>
      </c>
      <c r="Q3401" s="1" t="s">
        <v>42</v>
      </c>
      <c r="S3401" s="1" t="s">
        <v>42</v>
      </c>
      <c r="T3401" s="1" t="s">
        <v>170</v>
      </c>
      <c r="AA3401" s="1">
        <v>4050000</v>
      </c>
      <c r="AB3401" s="1" t="s">
        <v>2593</v>
      </c>
      <c r="AC3401" s="5">
        <v>43846</v>
      </c>
      <c r="AF3401" s="1">
        <v>10007</v>
      </c>
    </row>
    <row r="3402" spans="1:38" x14ac:dyDescent="0.2">
      <c r="A3402" s="2" t="str">
        <f>HYPERLINK("https://www.compass.com/listing/200-east-95th-street-unit-3g-manhattan-ny-10128/440957239734637217/","200 E 95th St, Unit 3G")</f>
        <v>200 E 95th St, Unit 3G</v>
      </c>
      <c r="B3402" s="2" t="str">
        <f>HYPERLINK("https://www.compass.com/building/the-kent-manhattan-ny/282049801384650021/","The Kent")</f>
        <v>The Kent</v>
      </c>
      <c r="C3402" s="1" t="s">
        <v>115</v>
      </c>
      <c r="D3402" s="1" t="s">
        <v>41</v>
      </c>
      <c r="E3402" s="3">
        <v>404700</v>
      </c>
      <c r="F3402" s="1">
        <v>450.16685205784199</v>
      </c>
      <c r="M3402" s="1">
        <v>899</v>
      </c>
      <c r="Q3402" s="1" t="s">
        <v>42</v>
      </c>
      <c r="S3402" s="1" t="s">
        <v>42</v>
      </c>
      <c r="T3402" s="1" t="s">
        <v>170</v>
      </c>
      <c r="AA3402" s="1">
        <v>404700</v>
      </c>
      <c r="AB3402" s="1" t="s">
        <v>2594</v>
      </c>
      <c r="AC3402" s="5">
        <v>43839</v>
      </c>
      <c r="AF3402" s="1">
        <v>10128</v>
      </c>
      <c r="AJ3402" s="1">
        <v>2017</v>
      </c>
      <c r="AK3402" s="1" t="s">
        <v>46</v>
      </c>
      <c r="AL3402" s="1">
        <v>83</v>
      </c>
    </row>
    <row r="3403" spans="1:38" x14ac:dyDescent="0.2">
      <c r="A3403" s="2" t="str">
        <f>HYPERLINK("https://www.compass.com/listing/49-51-chambers-street-unit-16e-manhattan-ny-10007/441337590369745441/","49-51 Chambers St, Unit 16E")</f>
        <v>49-51 Chambers St, Unit 16E</v>
      </c>
      <c r="B3403" s="2" t="str">
        <f>HYPERLINK("https://www.compass.com/building/49-51-chambers-st-manhattan-ny-10007/441163040348878029/","49-51 Chambers St")</f>
        <v>49-51 Chambers St</v>
      </c>
      <c r="C3403" s="1" t="s">
        <v>956</v>
      </c>
      <c r="D3403" s="1" t="s">
        <v>41</v>
      </c>
      <c r="E3403" s="3">
        <v>5400000</v>
      </c>
      <c r="F3403" s="1">
        <v>1815.12605042016</v>
      </c>
      <c r="M3403" s="4">
        <v>2975</v>
      </c>
      <c r="Q3403" s="1" t="s">
        <v>42</v>
      </c>
      <c r="S3403" s="1" t="s">
        <v>42</v>
      </c>
      <c r="T3403" s="1" t="s">
        <v>170</v>
      </c>
      <c r="AA3403" s="1">
        <v>5400000</v>
      </c>
      <c r="AB3403" s="1" t="s">
        <v>2595</v>
      </c>
      <c r="AC3403" s="5">
        <v>43833</v>
      </c>
      <c r="AF3403" s="1">
        <v>10007</v>
      </c>
    </row>
    <row r="3404" spans="1:38" x14ac:dyDescent="0.2">
      <c r="A3404" s="2" t="str">
        <f>HYPERLINK("https://www.compass.com/listing/252-south-street-unit-80b-manhattan-ny-10002/441339229067530681/","252 South St, Unit 80B")</f>
        <v>252 South St, Unit 80B</v>
      </c>
      <c r="B3404" s="2" t="str">
        <f t="shared" ref="B3404:B3405" si="422">HYPERLINK("https://www.compass.com/building/one-manhattan-square-manhattan-ny/294844950218926165/","One Manhattan Square")</f>
        <v>One Manhattan Square</v>
      </c>
      <c r="C3404" s="1" t="s">
        <v>66</v>
      </c>
      <c r="D3404" s="1" t="s">
        <v>41</v>
      </c>
      <c r="E3404" s="3">
        <v>2753275</v>
      </c>
      <c r="F3404" s="1">
        <v>2667.9021317829402</v>
      </c>
      <c r="H3404" s="1">
        <v>2</v>
      </c>
      <c r="J3404" s="1">
        <v>2</v>
      </c>
      <c r="M3404" s="4">
        <v>1032</v>
      </c>
      <c r="N3404" s="1">
        <v>1550</v>
      </c>
      <c r="O3404" s="1">
        <v>1575</v>
      </c>
      <c r="P3404" s="1">
        <v>25</v>
      </c>
      <c r="Q3404" s="1" t="s">
        <v>42</v>
      </c>
      <c r="S3404" s="1" t="s">
        <v>42</v>
      </c>
      <c r="T3404" s="1" t="s">
        <v>170</v>
      </c>
      <c r="AA3404" s="1">
        <v>2753275</v>
      </c>
      <c r="AB3404" s="1" t="s">
        <v>2596</v>
      </c>
      <c r="AC3404" s="5">
        <v>43826</v>
      </c>
      <c r="AF3404" s="1">
        <v>10002</v>
      </c>
      <c r="AI3404" s="1" t="s">
        <v>55</v>
      </c>
      <c r="AJ3404" s="1">
        <v>2019</v>
      </c>
      <c r="AK3404" s="1" t="s">
        <v>46</v>
      </c>
      <c r="AL3404" s="1">
        <v>787</v>
      </c>
    </row>
    <row r="3405" spans="1:38" x14ac:dyDescent="0.2">
      <c r="A3405" s="2" t="str">
        <f>HYPERLINK("https://www.compass.com/listing/252-south-street-unit-80c-manhattan-ny-10002/441339230108024361/","252 South St, Unit 80C")</f>
        <v>252 South St, Unit 80C</v>
      </c>
      <c r="B3405" s="2" t="str">
        <f t="shared" si="422"/>
        <v>One Manhattan Square</v>
      </c>
      <c r="C3405" s="1" t="s">
        <v>66</v>
      </c>
      <c r="D3405" s="1" t="s">
        <v>41</v>
      </c>
      <c r="E3405" s="3">
        <v>12751575</v>
      </c>
      <c r="F3405" s="1">
        <v>3447.3033738848299</v>
      </c>
      <c r="M3405" s="4">
        <v>3699</v>
      </c>
      <c r="Q3405" s="1" t="s">
        <v>42</v>
      </c>
      <c r="S3405" s="1" t="s">
        <v>42</v>
      </c>
      <c r="T3405" s="1" t="s">
        <v>170</v>
      </c>
      <c r="AA3405" s="1">
        <v>12751575.18</v>
      </c>
      <c r="AB3405" s="1" t="s">
        <v>2597</v>
      </c>
      <c r="AC3405" s="5">
        <v>43826</v>
      </c>
      <c r="AF3405" s="1">
        <v>10002</v>
      </c>
      <c r="AI3405" s="1" t="s">
        <v>55</v>
      </c>
      <c r="AJ3405" s="1">
        <v>2019</v>
      </c>
      <c r="AK3405" s="1" t="s">
        <v>46</v>
      </c>
      <c r="AL3405" s="1">
        <v>787</v>
      </c>
    </row>
    <row r="3406" spans="1:38" x14ac:dyDescent="0.2">
      <c r="A3406" s="2" t="str">
        <f>HYPERLINK("https://www.compass.com/listing/555-west-end-avenue-unit-ths-manhattan-ny-10024/441363130854418449/","555 W End Ave, Unit THS")</f>
        <v>555 W End Ave, Unit THS</v>
      </c>
      <c r="B3406" s="2" t="str">
        <f>HYPERLINK("https://www.compass.com/building/555-west-end-avenue-manhattan-ny/292874438096018885/","555 West End Avenue")</f>
        <v>555 West End Avenue</v>
      </c>
      <c r="C3406" s="1" t="s">
        <v>50</v>
      </c>
      <c r="D3406" s="1" t="s">
        <v>41</v>
      </c>
      <c r="E3406" s="3">
        <v>12000000</v>
      </c>
      <c r="F3406" s="1">
        <v>1223.74056699979</v>
      </c>
      <c r="M3406" s="4">
        <v>9806</v>
      </c>
      <c r="Q3406" s="1" t="s">
        <v>42</v>
      </c>
      <c r="S3406" s="1" t="s">
        <v>42</v>
      </c>
      <c r="T3406" s="1" t="s">
        <v>170</v>
      </c>
      <c r="AA3406" s="1">
        <v>12000000</v>
      </c>
      <c r="AB3406" s="1" t="s">
        <v>2598</v>
      </c>
      <c r="AC3406" s="5">
        <v>43826</v>
      </c>
      <c r="AF3406" s="1">
        <v>10024</v>
      </c>
      <c r="AJ3406" s="1">
        <v>2019</v>
      </c>
      <c r="AK3406" s="1" t="s">
        <v>49</v>
      </c>
      <c r="AL3406" s="1">
        <v>13</v>
      </c>
    </row>
    <row r="3407" spans="1:38" x14ac:dyDescent="0.2">
      <c r="A3407" s="2" t="str">
        <f>HYPERLINK("https://www.compass.com/listing/2351-adam-clayton-powell-jr-boulevard-unit-807-p-manhattan-ny-10030/441766791124104937/","2351 Adam Clayton Powell Jr Blvd, Unit 807/P")</f>
        <v>2351 Adam Clayton Powell Jr Blvd, Unit 807/P</v>
      </c>
      <c r="B3407" s="2" t="str">
        <f t="shared" ref="B3407:B3409" si="423">HYPERLINK("https://www.compass.com/building/the-rennie-manhattan-ny/307439143554395509/","THE RENNIE")</f>
        <v>THE RENNIE</v>
      </c>
      <c r="C3407" s="1" t="s">
        <v>61</v>
      </c>
      <c r="D3407" s="1" t="s">
        <v>41</v>
      </c>
      <c r="E3407" s="3">
        <v>1121807</v>
      </c>
      <c r="F3407" s="1">
        <v>1313.59104215456</v>
      </c>
      <c r="M3407" s="1">
        <v>854</v>
      </c>
      <c r="Q3407" s="1" t="s">
        <v>42</v>
      </c>
      <c r="S3407" s="1" t="s">
        <v>42</v>
      </c>
      <c r="T3407" s="1" t="s">
        <v>170</v>
      </c>
      <c r="AA3407" s="1">
        <v>1121806.75</v>
      </c>
      <c r="AB3407" s="1" t="s">
        <v>2599</v>
      </c>
      <c r="AC3407" s="5">
        <v>43812</v>
      </c>
      <c r="AF3407" s="1">
        <v>10030</v>
      </c>
      <c r="AI3407" s="1" t="s">
        <v>45</v>
      </c>
      <c r="AJ3407" s="1">
        <v>2018</v>
      </c>
      <c r="AK3407" s="1" t="s">
        <v>49</v>
      </c>
      <c r="AL3407" s="1">
        <v>106</v>
      </c>
    </row>
    <row r="3408" spans="1:38" x14ac:dyDescent="0.2">
      <c r="A3408" s="2" t="str">
        <f>HYPERLINK("https://www.compass.com/listing/2351-adam-clayton-powell-jr-boulevard-unit-814-p-manhattan-ny-10030/443519162854726993/","2351 Adam Clayton Powell Jr Blvd, Unit 814/P")</f>
        <v>2351 Adam Clayton Powell Jr Blvd, Unit 814/P</v>
      </c>
      <c r="B3408" s="2" t="str">
        <f t="shared" si="423"/>
        <v>THE RENNIE</v>
      </c>
      <c r="C3408" s="1" t="s">
        <v>61</v>
      </c>
      <c r="D3408" s="1" t="s">
        <v>41</v>
      </c>
      <c r="E3408" s="3">
        <v>1515000</v>
      </c>
      <c r="F3408" s="1">
        <v>1318.5378590078301</v>
      </c>
      <c r="M3408" s="4">
        <v>1149</v>
      </c>
      <c r="Q3408" s="1" t="s">
        <v>42</v>
      </c>
      <c r="S3408" s="1" t="s">
        <v>42</v>
      </c>
      <c r="T3408" s="1" t="s">
        <v>170</v>
      </c>
      <c r="AA3408" s="1">
        <v>1515000</v>
      </c>
      <c r="AB3408" s="1" t="s">
        <v>2600</v>
      </c>
      <c r="AC3408" s="5">
        <v>43853</v>
      </c>
      <c r="AF3408" s="1">
        <v>10030</v>
      </c>
      <c r="AI3408" s="1" t="s">
        <v>45</v>
      </c>
      <c r="AJ3408" s="1">
        <v>2018</v>
      </c>
      <c r="AK3408" s="1" t="s">
        <v>49</v>
      </c>
      <c r="AL3408" s="1">
        <v>106</v>
      </c>
    </row>
    <row r="3409" spans="1:38" x14ac:dyDescent="0.2">
      <c r="A3409" s="2" t="str">
        <f>HYPERLINK("https://www.compass.com/listing/2351-adam-clayton-powell-jr-boulevard-unit-709-p-manhattan-ny-10030/446105837216708537/","2351 Adam Clayton Powell Jr Blvd, Unit 709/P")</f>
        <v>2351 Adam Clayton Powell Jr Blvd, Unit 709/P</v>
      </c>
      <c r="B3409" s="2" t="str">
        <f t="shared" si="423"/>
        <v>THE RENNIE</v>
      </c>
      <c r="C3409" s="1" t="s">
        <v>61</v>
      </c>
      <c r="D3409" s="1" t="s">
        <v>41</v>
      </c>
      <c r="E3409" s="3">
        <v>843111</v>
      </c>
      <c r="F3409" s="1">
        <v>1293.11503067484</v>
      </c>
      <c r="M3409" s="1">
        <v>652</v>
      </c>
      <c r="Q3409" s="1" t="s">
        <v>42</v>
      </c>
      <c r="S3409" s="1" t="s">
        <v>42</v>
      </c>
      <c r="T3409" s="1" t="s">
        <v>170</v>
      </c>
      <c r="AA3409" s="1">
        <v>843111</v>
      </c>
      <c r="AB3409" s="1" t="s">
        <v>2601</v>
      </c>
      <c r="AC3409" s="5">
        <v>43847</v>
      </c>
      <c r="AF3409" s="1">
        <v>10030</v>
      </c>
      <c r="AI3409" s="1" t="s">
        <v>45</v>
      </c>
      <c r="AJ3409" s="1">
        <v>2018</v>
      </c>
      <c r="AK3409" s="1" t="s">
        <v>49</v>
      </c>
      <c r="AL3409" s="1">
        <v>106</v>
      </c>
    </row>
    <row r="3410" spans="1:38" x14ac:dyDescent="0.2">
      <c r="A3410" s="2" t="str">
        <f>HYPERLINK("https://www.compass.com/listing/86-canal-street-unit-6c-manhattan-ny-10002/446591909923139049/","86 Canal St, Unit 6C")</f>
        <v>86 Canal St, Unit 6C</v>
      </c>
      <c r="B3410" s="2" t="str">
        <f>HYPERLINK("https://www.compass.com/building/86-canal-st-manhattan-ny-10002/281888255618581733/","86 Canal St")</f>
        <v>86 Canal St</v>
      </c>
      <c r="C3410" s="1" t="s">
        <v>1340</v>
      </c>
      <c r="D3410" s="1" t="s">
        <v>41</v>
      </c>
      <c r="E3410" s="3">
        <v>810000</v>
      </c>
      <c r="F3410" s="1">
        <v>1578.94736842105</v>
      </c>
      <c r="M3410" s="1">
        <v>513</v>
      </c>
      <c r="Q3410" s="1" t="s">
        <v>42</v>
      </c>
      <c r="S3410" s="1" t="s">
        <v>42</v>
      </c>
      <c r="T3410" s="1" t="s">
        <v>170</v>
      </c>
      <c r="AA3410" s="1">
        <v>810000</v>
      </c>
      <c r="AB3410" s="1" t="s">
        <v>2602</v>
      </c>
      <c r="AC3410" s="5">
        <v>43313</v>
      </c>
      <c r="AF3410" s="1">
        <v>10002</v>
      </c>
      <c r="AJ3410" s="1">
        <v>2012</v>
      </c>
      <c r="AL3410" s="1">
        <v>89</v>
      </c>
    </row>
    <row r="3411" spans="1:38" x14ac:dyDescent="0.2">
      <c r="A3411" s="2" t="str">
        <f>HYPERLINK("https://www.compass.com/listing/252-south-street-unit-53n-manhattan-ny-10002/446796503357540049/","252 South St, Unit 53N")</f>
        <v>252 South St, Unit 53N</v>
      </c>
      <c r="B3411" s="2" t="str">
        <f>HYPERLINK("https://www.compass.com/building/one-manhattan-square-manhattan-ny/294844950218926165/","One Manhattan Square")</f>
        <v>One Manhattan Square</v>
      </c>
      <c r="C3411" s="1" t="s">
        <v>66</v>
      </c>
      <c r="D3411" s="1" t="s">
        <v>41</v>
      </c>
      <c r="E3411" s="3">
        <v>1534328</v>
      </c>
      <c r="F3411" s="1">
        <v>2122.16919778699</v>
      </c>
      <c r="M3411" s="1">
        <v>723</v>
      </c>
      <c r="Q3411" s="1" t="s">
        <v>42</v>
      </c>
      <c r="S3411" s="1" t="s">
        <v>42</v>
      </c>
      <c r="T3411" s="1" t="s">
        <v>170</v>
      </c>
      <c r="AA3411" s="1">
        <v>1534328.33</v>
      </c>
      <c r="AB3411" s="1" t="s">
        <v>2603</v>
      </c>
      <c r="AC3411" s="5">
        <v>43859</v>
      </c>
      <c r="AF3411" s="1">
        <v>10002</v>
      </c>
      <c r="AI3411" s="1" t="s">
        <v>55</v>
      </c>
      <c r="AJ3411" s="1">
        <v>2019</v>
      </c>
      <c r="AK3411" s="1" t="s">
        <v>46</v>
      </c>
      <c r="AL3411" s="1">
        <v>787</v>
      </c>
    </row>
    <row r="3412" spans="1:38" x14ac:dyDescent="0.2">
      <c r="A3412" s="2" t="str">
        <f>HYPERLINK("https://www.compass.com/listing/265-east-houston-street-unit-6a-manhattan-ny-10002/451145549685751457/","265 E Houston St, Unit 6A")</f>
        <v>265 E Houston St, Unit 6A</v>
      </c>
      <c r="B3412" s="2" t="str">
        <f>HYPERLINK("https://www.compass.com/building/265-e-houston-st-manhattan-ny-10002/281886808264939173/","265 E Houston St")</f>
        <v>265 E Houston St</v>
      </c>
      <c r="C3412" s="1" t="s">
        <v>66</v>
      </c>
      <c r="D3412" s="1" t="s">
        <v>41</v>
      </c>
      <c r="E3412" s="3">
        <v>1995000</v>
      </c>
      <c r="F3412" s="1">
        <v>1425</v>
      </c>
      <c r="M3412" s="4">
        <v>1400</v>
      </c>
      <c r="Q3412" s="1" t="s">
        <v>42</v>
      </c>
      <c r="S3412" s="1" t="s">
        <v>42</v>
      </c>
      <c r="T3412" s="1" t="s">
        <v>170</v>
      </c>
      <c r="AA3412" s="1">
        <v>1995000</v>
      </c>
      <c r="AB3412" s="1" t="s">
        <v>2604</v>
      </c>
      <c r="AC3412" s="5">
        <v>43860</v>
      </c>
      <c r="AF3412" s="1">
        <v>10002</v>
      </c>
      <c r="AI3412" s="1" t="s">
        <v>53</v>
      </c>
      <c r="AJ3412" s="1">
        <v>2015</v>
      </c>
      <c r="AL3412" s="1">
        <v>7</v>
      </c>
    </row>
    <row r="3413" spans="1:38" x14ac:dyDescent="0.2">
      <c r="A3413" s="2" t="str">
        <f>HYPERLINK("https://www.compass.com/listing/15-west-61st-street-unit-11b-manhattan-ny-10023/451151204135948929/","15 W 61st St, Unit 11B")</f>
        <v>15 W 61st St, Unit 11B</v>
      </c>
      <c r="B3413" s="2" t="str">
        <f t="shared" ref="B3413:B3414" si="424">HYPERLINK("https://www.compass.com/building/the-park-loggia-manhattan-ny/292861833130357557/","The Park Loggia")</f>
        <v>The Park Loggia</v>
      </c>
      <c r="C3413" s="1" t="s">
        <v>50</v>
      </c>
      <c r="D3413" s="1" t="s">
        <v>41</v>
      </c>
      <c r="E3413" s="3">
        <v>3293831</v>
      </c>
      <c r="F3413" s="1">
        <v>2643.5242776885998</v>
      </c>
      <c r="G3413" s="1">
        <v>4</v>
      </c>
      <c r="H3413" s="1">
        <v>2</v>
      </c>
      <c r="I3413" s="1">
        <v>2</v>
      </c>
      <c r="J3413" s="1">
        <v>2</v>
      </c>
      <c r="K3413" s="1">
        <v>2</v>
      </c>
      <c r="M3413" s="4">
        <v>1246</v>
      </c>
      <c r="N3413" s="1">
        <v>1320</v>
      </c>
      <c r="O3413" s="1">
        <v>2590</v>
      </c>
      <c r="P3413" s="1">
        <v>1270</v>
      </c>
      <c r="Q3413" s="1" t="s">
        <v>42</v>
      </c>
      <c r="S3413" s="1" t="s">
        <v>42</v>
      </c>
      <c r="T3413" s="1" t="s">
        <v>170</v>
      </c>
      <c r="U3413" s="1">
        <v>126</v>
      </c>
      <c r="V3413" s="5">
        <v>43911</v>
      </c>
      <c r="W3413" s="5">
        <v>43733</v>
      </c>
      <c r="X3413" s="1">
        <v>3275000</v>
      </c>
      <c r="Y3413" s="1">
        <v>3275000</v>
      </c>
      <c r="AA3413" s="1">
        <v>3293831.25</v>
      </c>
      <c r="AB3413" s="1" t="s">
        <v>2605</v>
      </c>
      <c r="AC3413" s="5">
        <v>43859</v>
      </c>
      <c r="AF3413" s="1">
        <v>10023</v>
      </c>
      <c r="AI3413" s="1" t="s">
        <v>103</v>
      </c>
      <c r="AJ3413" s="1">
        <v>2019</v>
      </c>
      <c r="AK3413" s="1" t="s">
        <v>77</v>
      </c>
      <c r="AL3413" s="1">
        <v>172</v>
      </c>
    </row>
    <row r="3414" spans="1:38" x14ac:dyDescent="0.2">
      <c r="A3414" s="2" t="str">
        <f>HYPERLINK("https://www.compass.com/listing/15-west-61st-street-unit-29d-manhattan-ny-10023/451151204715090337/","15 W 61st St, Unit 29D")</f>
        <v>15 W 61st St, Unit 29D</v>
      </c>
      <c r="B3414" s="2" t="str">
        <f t="shared" si="424"/>
        <v>The Park Loggia</v>
      </c>
      <c r="C3414" s="1" t="s">
        <v>50</v>
      </c>
      <c r="D3414" s="1" t="s">
        <v>41</v>
      </c>
      <c r="E3414" s="3">
        <v>3775000</v>
      </c>
      <c r="F3414" s="1">
        <v>2771.65932452276</v>
      </c>
      <c r="G3414" s="1">
        <v>4</v>
      </c>
      <c r="H3414" s="1">
        <v>2</v>
      </c>
      <c r="I3414" s="1">
        <v>2</v>
      </c>
      <c r="J3414" s="1">
        <v>2</v>
      </c>
      <c r="K3414" s="1">
        <v>2</v>
      </c>
      <c r="M3414" s="4">
        <v>1362</v>
      </c>
      <c r="N3414" s="1">
        <v>1437</v>
      </c>
      <c r="O3414" s="1">
        <v>2820</v>
      </c>
      <c r="P3414" s="1">
        <v>1383</v>
      </c>
      <c r="Q3414" s="1" t="s">
        <v>42</v>
      </c>
      <c r="S3414" s="1" t="s">
        <v>42</v>
      </c>
      <c r="T3414" s="1" t="s">
        <v>170</v>
      </c>
      <c r="U3414" s="1">
        <v>214</v>
      </c>
      <c r="V3414" s="5">
        <v>43911</v>
      </c>
      <c r="W3414" s="5">
        <v>43647</v>
      </c>
      <c r="X3414" s="1">
        <v>3775000</v>
      </c>
      <c r="Y3414" s="1">
        <v>3775000</v>
      </c>
      <c r="AA3414" s="1">
        <v>3775000</v>
      </c>
      <c r="AB3414" s="1" t="s">
        <v>2606</v>
      </c>
      <c r="AC3414" s="5">
        <v>43861</v>
      </c>
      <c r="AF3414" s="1">
        <v>10023</v>
      </c>
      <c r="AI3414" s="1" t="s">
        <v>103</v>
      </c>
      <c r="AJ3414" s="1">
        <v>2019</v>
      </c>
      <c r="AK3414" s="1" t="s">
        <v>77</v>
      </c>
      <c r="AL3414" s="1">
        <v>172</v>
      </c>
    </row>
    <row r="3415" spans="1:38" x14ac:dyDescent="0.2">
      <c r="A3415" s="2" t="str">
        <f>HYPERLINK("https://www.compass.com/listing/200-east-95th-street-unit-3j-manhattan-ny-10128/451877052837344921/","200 E 95th St, Unit 3J")</f>
        <v>200 E 95th St, Unit 3J</v>
      </c>
      <c r="B3415" s="2" t="str">
        <f>HYPERLINK("https://www.compass.com/building/the-kent-manhattan-ny/282049801384650021/","The Kent")</f>
        <v>The Kent</v>
      </c>
      <c r="C3415" s="1" t="s">
        <v>115</v>
      </c>
      <c r="D3415" s="1" t="s">
        <v>41</v>
      </c>
      <c r="E3415" s="3">
        <v>393600</v>
      </c>
      <c r="F3415" s="1">
        <v>419.61620469083101</v>
      </c>
      <c r="M3415" s="1">
        <v>938</v>
      </c>
      <c r="Q3415" s="1" t="s">
        <v>42</v>
      </c>
      <c r="S3415" s="1" t="s">
        <v>42</v>
      </c>
      <c r="T3415" s="1" t="s">
        <v>170</v>
      </c>
      <c r="AA3415" s="1">
        <v>393600</v>
      </c>
      <c r="AB3415" s="1" t="s">
        <v>2607</v>
      </c>
      <c r="AC3415" s="5">
        <v>43864</v>
      </c>
      <c r="AF3415" s="1">
        <v>10128</v>
      </c>
      <c r="AJ3415" s="1">
        <v>2017</v>
      </c>
      <c r="AK3415" s="1" t="s">
        <v>46</v>
      </c>
      <c r="AL3415" s="1">
        <v>83</v>
      </c>
    </row>
    <row r="3416" spans="1:38" x14ac:dyDescent="0.2">
      <c r="A3416" s="2" t="str">
        <f>HYPERLINK("https://www.compass.com/listing/252-south-street-unit-26m-manhattan-ny-10002/455493003252425729/","252 South St, Unit 26M")</f>
        <v>252 South St, Unit 26M</v>
      </c>
      <c r="B3416" s="2" t="str">
        <f>HYPERLINK("https://www.compass.com/building/one-manhattan-square-manhattan-ny/294844950218926165/","One Manhattan Square")</f>
        <v>One Manhattan Square</v>
      </c>
      <c r="C3416" s="1" t="s">
        <v>66</v>
      </c>
      <c r="D3416" s="1" t="s">
        <v>41</v>
      </c>
      <c r="E3416" s="3">
        <v>2279484</v>
      </c>
      <c r="F3416" s="1">
        <v>2029.8169902048</v>
      </c>
      <c r="M3416" s="4">
        <v>1123</v>
      </c>
      <c r="Q3416" s="1" t="s">
        <v>42</v>
      </c>
      <c r="S3416" s="1" t="s">
        <v>42</v>
      </c>
      <c r="T3416" s="1" t="s">
        <v>170</v>
      </c>
      <c r="AA3416" s="1">
        <v>2279484.48</v>
      </c>
      <c r="AB3416" s="1" t="s">
        <v>2608</v>
      </c>
      <c r="AC3416" s="5">
        <v>43860</v>
      </c>
      <c r="AF3416" s="1">
        <v>10002</v>
      </c>
      <c r="AI3416" s="1" t="s">
        <v>55</v>
      </c>
      <c r="AJ3416" s="1">
        <v>2019</v>
      </c>
      <c r="AK3416" s="1" t="s">
        <v>46</v>
      </c>
      <c r="AL3416" s="1">
        <v>787</v>
      </c>
    </row>
    <row r="3417" spans="1:38" x14ac:dyDescent="0.2">
      <c r="A3417" s="2" t="str">
        <f>HYPERLINK("https://www.compass.com/listing/15-west-61st-street-unit-21d-manhattan-ny-10023/455497894347535945/","15 W 61st St, Unit 21D")</f>
        <v>15 W 61st St, Unit 21D</v>
      </c>
      <c r="B3417" s="2" t="str">
        <f t="shared" ref="B3417:B3418" si="425">HYPERLINK("https://www.compass.com/building/the-park-loggia-manhattan-ny/292861833130357557/","The Park Loggia")</f>
        <v>The Park Loggia</v>
      </c>
      <c r="C3417" s="1" t="s">
        <v>50</v>
      </c>
      <c r="D3417" s="1" t="s">
        <v>41</v>
      </c>
      <c r="E3417" s="3">
        <v>3735875</v>
      </c>
      <c r="F3417" s="1">
        <v>27879.664179104398</v>
      </c>
      <c r="G3417" s="1">
        <v>4</v>
      </c>
      <c r="H3417" s="1">
        <v>2</v>
      </c>
      <c r="I3417" s="1">
        <v>2</v>
      </c>
      <c r="J3417" s="1">
        <v>2</v>
      </c>
      <c r="K3417" s="1">
        <v>2</v>
      </c>
      <c r="M3417" s="1">
        <v>134</v>
      </c>
      <c r="N3417" s="1">
        <v>1415</v>
      </c>
      <c r="O3417" s="1">
        <v>2776</v>
      </c>
      <c r="P3417" s="1">
        <v>1361</v>
      </c>
      <c r="Q3417" s="1" t="s">
        <v>42</v>
      </c>
      <c r="S3417" s="1" t="s">
        <v>42</v>
      </c>
      <c r="T3417" s="1" t="s">
        <v>170</v>
      </c>
      <c r="U3417" s="1">
        <v>228</v>
      </c>
      <c r="V3417" s="5">
        <v>43911</v>
      </c>
      <c r="W3417" s="5">
        <v>43644</v>
      </c>
      <c r="X3417" s="1">
        <v>3575000</v>
      </c>
      <c r="Y3417" s="1">
        <v>3575000</v>
      </c>
      <c r="AA3417" s="1">
        <v>3735875</v>
      </c>
      <c r="AB3417" s="1" t="s">
        <v>2609</v>
      </c>
      <c r="AC3417" s="5">
        <v>43872</v>
      </c>
      <c r="AF3417" s="1">
        <v>10023</v>
      </c>
      <c r="AI3417" s="1" t="s">
        <v>103</v>
      </c>
      <c r="AJ3417" s="1">
        <v>2019</v>
      </c>
      <c r="AK3417" s="1" t="s">
        <v>77</v>
      </c>
      <c r="AL3417" s="1">
        <v>172</v>
      </c>
    </row>
    <row r="3418" spans="1:38" x14ac:dyDescent="0.2">
      <c r="A3418" s="2" t="str">
        <f>HYPERLINK("https://www.compass.com/listing/15-west-61st-street-unit-16a-manhattan-ny-10023/456948721089922209/","15 W 61st St, Unit 16A")</f>
        <v>15 W 61st St, Unit 16A</v>
      </c>
      <c r="B3418" s="2" t="str">
        <f t="shared" si="425"/>
        <v>The Park Loggia</v>
      </c>
      <c r="C3418" s="1" t="s">
        <v>50</v>
      </c>
      <c r="D3418" s="1" t="s">
        <v>41</v>
      </c>
      <c r="E3418" s="3">
        <v>4049250</v>
      </c>
      <c r="F3418" s="1">
        <v>2913.1294964028698</v>
      </c>
      <c r="G3418" s="1">
        <v>4</v>
      </c>
      <c r="H3418" s="1">
        <v>2</v>
      </c>
      <c r="I3418" s="1">
        <v>2</v>
      </c>
      <c r="J3418" s="1">
        <v>2</v>
      </c>
      <c r="K3418" s="1">
        <v>2</v>
      </c>
      <c r="M3418" s="4">
        <v>1390</v>
      </c>
      <c r="N3418" s="1">
        <v>1520</v>
      </c>
      <c r="O3418" s="1">
        <v>2982</v>
      </c>
      <c r="P3418" s="1">
        <v>1462</v>
      </c>
      <c r="Q3418" s="1" t="s">
        <v>42</v>
      </c>
      <c r="S3418" s="1" t="s">
        <v>42</v>
      </c>
      <c r="T3418" s="1" t="s">
        <v>170</v>
      </c>
      <c r="U3418" s="1">
        <v>220</v>
      </c>
      <c r="V3418" s="5">
        <v>43911</v>
      </c>
      <c r="W3418" s="5">
        <v>43654</v>
      </c>
      <c r="X3418" s="1">
        <v>4000000</v>
      </c>
      <c r="Y3418" s="1">
        <v>4000000</v>
      </c>
      <c r="AA3418" s="1">
        <v>4049250</v>
      </c>
      <c r="AB3418" s="1" t="s">
        <v>2610</v>
      </c>
      <c r="AC3418" s="5">
        <v>43874</v>
      </c>
      <c r="AF3418" s="1">
        <v>10023</v>
      </c>
      <c r="AI3418" s="1" t="s">
        <v>103</v>
      </c>
      <c r="AJ3418" s="1">
        <v>2019</v>
      </c>
      <c r="AK3418" s="1" t="s">
        <v>77</v>
      </c>
      <c r="AL3418" s="1">
        <v>172</v>
      </c>
    </row>
    <row r="3419" spans="1:38" x14ac:dyDescent="0.2">
      <c r="A3419" s="2" t="str">
        <f>HYPERLINK("https://www.compass.com/listing/86-canal-street-unit-9c-manhattan-ny-10002/46039917456865905/","86 Canal St, Unit 9C")</f>
        <v>86 Canal St, Unit 9C</v>
      </c>
      <c r="B3419" s="2" t="str">
        <f>HYPERLINK("https://www.compass.com/building/86-canal-st-manhattan-ny-10002/281888255618581733/","86 Canal St")</f>
        <v>86 Canal St</v>
      </c>
      <c r="C3419" s="1" t="s">
        <v>1340</v>
      </c>
      <c r="D3419" s="1" t="s">
        <v>41</v>
      </c>
      <c r="E3419" s="3">
        <v>457314</v>
      </c>
      <c r="F3419" s="1">
        <v>891.45029239765995</v>
      </c>
      <c r="M3419" s="1">
        <v>513</v>
      </c>
      <c r="Q3419" s="1" t="s">
        <v>42</v>
      </c>
      <c r="S3419" s="1" t="s">
        <v>42</v>
      </c>
      <c r="T3419" s="1" t="s">
        <v>170</v>
      </c>
      <c r="AA3419" s="1">
        <v>457314</v>
      </c>
      <c r="AB3419" s="1" t="s">
        <v>2611</v>
      </c>
      <c r="AC3419" s="5">
        <v>43299</v>
      </c>
      <c r="AF3419" s="1">
        <v>10002</v>
      </c>
      <c r="AJ3419" s="1">
        <v>2012</v>
      </c>
      <c r="AL3419" s="1">
        <v>89</v>
      </c>
    </row>
    <row r="3420" spans="1:38" x14ac:dyDescent="0.2">
      <c r="A3420" s="2" t="str">
        <f>HYPERLINK("https://www.compass.com/listing/100-barrow-street-unit-1a-manhattan-ny-10014/46059963142982721/","100 Barrow St, Unit 1A")</f>
        <v>100 Barrow St, Unit 1A</v>
      </c>
      <c r="B3420" s="2" t="str">
        <f>HYPERLINK("https://www.compass.com/building/100-barrow-manhattan-ny/292834978184618837/","100 Barrow")</f>
        <v>100 Barrow</v>
      </c>
      <c r="C3420" s="1" t="s">
        <v>71</v>
      </c>
      <c r="D3420" s="1" t="s">
        <v>41</v>
      </c>
      <c r="E3420" s="3">
        <v>145000</v>
      </c>
      <c r="Q3420" s="1" t="s">
        <v>129</v>
      </c>
      <c r="S3420" s="1" t="s">
        <v>129</v>
      </c>
      <c r="T3420" s="1" t="s">
        <v>170</v>
      </c>
      <c r="AA3420" s="1">
        <v>145000</v>
      </c>
      <c r="AB3420" s="1" t="s">
        <v>2612</v>
      </c>
      <c r="AC3420" s="5">
        <v>43308</v>
      </c>
      <c r="AF3420" s="1">
        <v>10014</v>
      </c>
      <c r="AJ3420" s="1">
        <v>2015</v>
      </c>
      <c r="AK3420" s="1" t="s">
        <v>172</v>
      </c>
      <c r="AL3420" s="1">
        <v>33</v>
      </c>
    </row>
    <row r="3421" spans="1:38" x14ac:dyDescent="0.2">
      <c r="A3421" s="2" t="str">
        <f>HYPERLINK("https://www.compass.com/listing/15-west-61st-street-unit-11a-manhattan-ny-10023/461295388742736673/","15 W 61st St, Unit 11A")</f>
        <v>15 W 61st St, Unit 11A</v>
      </c>
      <c r="B3421" s="2" t="str">
        <f t="shared" ref="B3421:B3423" si="426">HYPERLINK("https://www.compass.com/building/the-park-loggia-manhattan-ny/292861833130357557/","The Park Loggia")</f>
        <v>The Park Loggia</v>
      </c>
      <c r="C3421" s="1" t="s">
        <v>50</v>
      </c>
      <c r="D3421" s="1" t="s">
        <v>41</v>
      </c>
      <c r="E3421" s="3">
        <v>4950000</v>
      </c>
      <c r="F3421" s="1">
        <v>3201.8111254851201</v>
      </c>
      <c r="G3421" s="1">
        <v>5</v>
      </c>
      <c r="H3421" s="1">
        <v>3</v>
      </c>
      <c r="I3421" s="1">
        <v>3</v>
      </c>
      <c r="J3421" s="1">
        <v>2.5</v>
      </c>
      <c r="K3421" s="1">
        <v>2</v>
      </c>
      <c r="L3421" s="1">
        <v>1</v>
      </c>
      <c r="M3421" s="4">
        <v>1546</v>
      </c>
      <c r="N3421" s="1">
        <v>1680</v>
      </c>
      <c r="O3421" s="1">
        <v>3296</v>
      </c>
      <c r="P3421" s="1">
        <v>1616</v>
      </c>
      <c r="Q3421" s="1" t="s">
        <v>42</v>
      </c>
      <c r="S3421" s="1" t="s">
        <v>42</v>
      </c>
      <c r="T3421" s="1" t="s">
        <v>170</v>
      </c>
      <c r="U3421" s="1">
        <v>112</v>
      </c>
      <c r="V3421" s="5">
        <v>43911</v>
      </c>
      <c r="W3421" s="5">
        <v>43768</v>
      </c>
      <c r="X3421" s="1">
        <v>4950000</v>
      </c>
      <c r="Y3421" s="1">
        <v>4950000</v>
      </c>
      <c r="AA3421" s="1">
        <v>4950000</v>
      </c>
      <c r="AB3421" s="1" t="s">
        <v>2613</v>
      </c>
      <c r="AC3421" s="5">
        <v>43880</v>
      </c>
      <c r="AF3421" s="1">
        <v>10023</v>
      </c>
      <c r="AI3421" s="1" t="s">
        <v>103</v>
      </c>
      <c r="AJ3421" s="1">
        <v>2019</v>
      </c>
      <c r="AK3421" s="1" t="s">
        <v>77</v>
      </c>
      <c r="AL3421" s="1">
        <v>172</v>
      </c>
    </row>
    <row r="3422" spans="1:38" x14ac:dyDescent="0.2">
      <c r="A3422" s="2" t="str">
        <f>HYPERLINK("https://www.compass.com/listing/15-west-61st-street-unit-29c-manhattan-ny-10023/461295391997391921/","15 W 61st St, Unit 29C")</f>
        <v>15 W 61st St, Unit 29C</v>
      </c>
      <c r="B3422" s="2" t="str">
        <f t="shared" si="426"/>
        <v>The Park Loggia</v>
      </c>
      <c r="C3422" s="1" t="s">
        <v>50</v>
      </c>
      <c r="D3422" s="1" t="s">
        <v>41</v>
      </c>
      <c r="E3422" s="3">
        <v>2172036</v>
      </c>
      <c r="F3422" s="1">
        <v>2598.1294856459299</v>
      </c>
      <c r="G3422" s="1">
        <v>3</v>
      </c>
      <c r="H3422" s="1">
        <v>1</v>
      </c>
      <c r="I3422" s="1">
        <v>1</v>
      </c>
      <c r="J3422" s="1">
        <v>1</v>
      </c>
      <c r="K3422" s="1">
        <v>1</v>
      </c>
      <c r="M3422" s="1">
        <v>836</v>
      </c>
      <c r="N3422" s="1">
        <v>860</v>
      </c>
      <c r="O3422" s="1">
        <v>1687</v>
      </c>
      <c r="P3422" s="1">
        <v>827</v>
      </c>
      <c r="Q3422" s="1" t="s">
        <v>42</v>
      </c>
      <c r="S3422" s="1" t="s">
        <v>42</v>
      </c>
      <c r="T3422" s="1" t="s">
        <v>170</v>
      </c>
      <c r="U3422" s="1">
        <v>134</v>
      </c>
      <c r="V3422" s="5">
        <v>43911</v>
      </c>
      <c r="W3422" s="5">
        <v>43745</v>
      </c>
      <c r="X3422" s="1">
        <v>2165000</v>
      </c>
      <c r="Y3422" s="1">
        <v>2165000</v>
      </c>
      <c r="AA3422" s="1">
        <v>2172036.25</v>
      </c>
      <c r="AB3422" s="1" t="s">
        <v>2614</v>
      </c>
      <c r="AC3422" s="5">
        <v>43879</v>
      </c>
      <c r="AF3422" s="1">
        <v>10023</v>
      </c>
      <c r="AI3422" s="1" t="s">
        <v>76</v>
      </c>
      <c r="AJ3422" s="1">
        <v>2019</v>
      </c>
      <c r="AK3422" s="1" t="s">
        <v>77</v>
      </c>
      <c r="AL3422" s="1">
        <v>172</v>
      </c>
    </row>
    <row r="3423" spans="1:38" x14ac:dyDescent="0.2">
      <c r="A3423" s="2" t="str">
        <f>HYPERLINK("https://www.compass.com/listing/15-west-61st-street-unit-26d-manhattan-ny-10023/462747222585624721/","15 W 61st St, Unit 26D")</f>
        <v>15 W 61st St, Unit 26D</v>
      </c>
      <c r="B3423" s="2" t="str">
        <f t="shared" si="426"/>
        <v>The Park Loggia</v>
      </c>
      <c r="C3423" s="1" t="s">
        <v>50</v>
      </c>
      <c r="D3423" s="1" t="s">
        <v>41</v>
      </c>
      <c r="E3423" s="3">
        <v>3700000</v>
      </c>
      <c r="F3423" s="1">
        <v>2716.5932452276002</v>
      </c>
      <c r="G3423" s="1">
        <v>4</v>
      </c>
      <c r="H3423" s="1">
        <v>2</v>
      </c>
      <c r="I3423" s="1">
        <v>2</v>
      </c>
      <c r="J3423" s="1">
        <v>2</v>
      </c>
      <c r="K3423" s="1">
        <v>2</v>
      </c>
      <c r="M3423" s="4">
        <v>1362</v>
      </c>
      <c r="N3423" s="1">
        <v>1437</v>
      </c>
      <c r="O3423" s="1">
        <v>2820</v>
      </c>
      <c r="P3423" s="1">
        <v>1383</v>
      </c>
      <c r="Q3423" s="1" t="s">
        <v>42</v>
      </c>
      <c r="S3423" s="1" t="s">
        <v>42</v>
      </c>
      <c r="T3423" s="1" t="s">
        <v>170</v>
      </c>
      <c r="U3423" s="1">
        <v>280</v>
      </c>
      <c r="V3423" s="5">
        <v>43911</v>
      </c>
      <c r="W3423" s="5">
        <v>43595</v>
      </c>
      <c r="X3423" s="1">
        <v>3700000</v>
      </c>
      <c r="Y3423" s="1">
        <v>3700000</v>
      </c>
      <c r="AA3423" s="1">
        <v>3700000</v>
      </c>
      <c r="AB3423" s="1" t="s">
        <v>2615</v>
      </c>
      <c r="AC3423" s="5">
        <v>43875</v>
      </c>
      <c r="AF3423" s="1">
        <v>10023</v>
      </c>
      <c r="AI3423" s="1" t="s">
        <v>103</v>
      </c>
      <c r="AJ3423" s="1">
        <v>2019</v>
      </c>
      <c r="AK3423" s="1" t="s">
        <v>77</v>
      </c>
      <c r="AL3423" s="1">
        <v>172</v>
      </c>
    </row>
    <row r="3424" spans="1:38" x14ac:dyDescent="0.2">
      <c r="A3424" s="2" t="str">
        <f>HYPERLINK("https://www.compass.com/listing/200-east-95th-street-unit-4a-manhattan-ny-10128/462753299421078153/","200 E 95th St, Unit 4A")</f>
        <v>200 E 95th St, Unit 4A</v>
      </c>
      <c r="B3424" s="2" t="str">
        <f>HYPERLINK("https://www.compass.com/building/the-kent-manhattan-ny/282049801384650021/","The Kent")</f>
        <v>The Kent</v>
      </c>
      <c r="C3424" s="1" t="s">
        <v>115</v>
      </c>
      <c r="D3424" s="1" t="s">
        <v>41</v>
      </c>
      <c r="E3424" s="3">
        <v>413700</v>
      </c>
      <c r="F3424" s="1">
        <v>489.00709219858101</v>
      </c>
      <c r="M3424" s="1">
        <v>846</v>
      </c>
      <c r="Q3424" s="1" t="s">
        <v>42</v>
      </c>
      <c r="S3424" s="1" t="s">
        <v>42</v>
      </c>
      <c r="T3424" s="1" t="s">
        <v>170</v>
      </c>
      <c r="AA3424" s="1">
        <v>413700</v>
      </c>
      <c r="AB3424" s="1" t="s">
        <v>2616</v>
      </c>
      <c r="AC3424" s="5">
        <v>43875</v>
      </c>
      <c r="AF3424" s="1">
        <v>10128</v>
      </c>
      <c r="AJ3424" s="1">
        <v>2017</v>
      </c>
      <c r="AK3424" s="1" t="s">
        <v>46</v>
      </c>
      <c r="AL3424" s="1">
        <v>83</v>
      </c>
    </row>
    <row r="3425" spans="1:38" x14ac:dyDescent="0.2">
      <c r="A3425" s="2" t="str">
        <f>HYPERLINK("https://www.compass.com/listing/49-51-chambers-street-unit-8c-manhattan-ny-10007/466622561158483905/","49-51 Chambers St, Unit 8C")</f>
        <v>49-51 Chambers St, Unit 8C</v>
      </c>
      <c r="B3425" s="2" t="str">
        <f>HYPERLINK("https://www.compass.com/building/49-51-chambers-st-manhattan-ny-10007/441163040348878029/","49-51 Chambers St")</f>
        <v>49-51 Chambers St</v>
      </c>
      <c r="C3425" s="1" t="s">
        <v>956</v>
      </c>
      <c r="D3425" s="1" t="s">
        <v>41</v>
      </c>
      <c r="E3425" s="3">
        <v>1895000</v>
      </c>
      <c r="F3425" s="1">
        <v>1468.99224806201</v>
      </c>
      <c r="M3425" s="4">
        <v>1290</v>
      </c>
      <c r="Q3425" s="1" t="s">
        <v>42</v>
      </c>
      <c r="S3425" s="1" t="s">
        <v>42</v>
      </c>
      <c r="T3425" s="1" t="s">
        <v>170</v>
      </c>
      <c r="AA3425" s="1">
        <v>1895000</v>
      </c>
      <c r="AB3425" s="1" t="s">
        <v>2617</v>
      </c>
      <c r="AC3425" s="5">
        <v>43885</v>
      </c>
      <c r="AF3425" s="1">
        <v>10007</v>
      </c>
    </row>
    <row r="3426" spans="1:38" x14ac:dyDescent="0.2">
      <c r="A3426" s="2" t="str">
        <f>HYPERLINK("https://www.compass.com/listing/15-west-61st-street-unit-14a-manhattan-ny-10023/466629930225213713/","15 W 61st St, Unit 14A")</f>
        <v>15 W 61st St, Unit 14A</v>
      </c>
      <c r="B3426" s="2" t="str">
        <f t="shared" ref="B3426:B3427" si="427">HYPERLINK("https://www.compass.com/building/the-park-loggia-manhattan-ny/292861833130357557/","The Park Loggia")</f>
        <v>The Park Loggia</v>
      </c>
      <c r="C3426" s="1" t="s">
        <v>50</v>
      </c>
      <c r="D3426" s="1" t="s">
        <v>41</v>
      </c>
      <c r="E3426" s="3">
        <v>4966970</v>
      </c>
      <c r="F3426" s="1">
        <v>3212.7875161707598</v>
      </c>
      <c r="G3426" s="1">
        <v>5</v>
      </c>
      <c r="H3426" s="1">
        <v>3</v>
      </c>
      <c r="I3426" s="1">
        <v>3</v>
      </c>
      <c r="J3426" s="1">
        <v>2.5</v>
      </c>
      <c r="K3426" s="1">
        <v>2</v>
      </c>
      <c r="L3426" s="1">
        <v>1</v>
      </c>
      <c r="M3426" s="4">
        <v>1546</v>
      </c>
      <c r="N3426" s="1">
        <v>1680</v>
      </c>
      <c r="O3426" s="1">
        <v>3296</v>
      </c>
      <c r="P3426" s="1">
        <v>1616</v>
      </c>
      <c r="Q3426" s="1" t="s">
        <v>42</v>
      </c>
      <c r="S3426" s="1" t="s">
        <v>42</v>
      </c>
      <c r="T3426" s="1" t="s">
        <v>170</v>
      </c>
      <c r="U3426" s="1">
        <v>270</v>
      </c>
      <c r="V3426" s="5">
        <v>43911</v>
      </c>
      <c r="W3426" s="5">
        <v>43619</v>
      </c>
      <c r="X3426" s="1">
        <v>4866000</v>
      </c>
      <c r="Y3426" s="1">
        <v>4866000</v>
      </c>
      <c r="AA3426" s="1">
        <v>4966969.5</v>
      </c>
      <c r="AB3426" s="1" t="s">
        <v>2618</v>
      </c>
      <c r="AC3426" s="5">
        <v>43889</v>
      </c>
      <c r="AF3426" s="1">
        <v>10023</v>
      </c>
      <c r="AI3426" s="1" t="s">
        <v>103</v>
      </c>
      <c r="AJ3426" s="1">
        <v>2019</v>
      </c>
      <c r="AK3426" s="1" t="s">
        <v>77</v>
      </c>
      <c r="AL3426" s="1">
        <v>172</v>
      </c>
    </row>
    <row r="3427" spans="1:38" x14ac:dyDescent="0.2">
      <c r="A3427" s="2" t="str">
        <f>HYPERLINK("https://www.compass.com/listing/15-west-61st-street-unit-28c-manhattan-ny-10023/466629934241351273/","15 W 61st St, Unit 28C")</f>
        <v>15 W 61st St, Unit 28C</v>
      </c>
      <c r="B3427" s="2" t="str">
        <f t="shared" si="427"/>
        <v>The Park Loggia</v>
      </c>
      <c r="C3427" s="1" t="s">
        <v>50</v>
      </c>
      <c r="D3427" s="1" t="s">
        <v>41</v>
      </c>
      <c r="E3427" s="3">
        <v>2060000</v>
      </c>
      <c r="F3427" s="1">
        <v>2464.1148325358799</v>
      </c>
      <c r="H3427" s="1">
        <v>1</v>
      </c>
      <c r="J3427" s="1">
        <v>1</v>
      </c>
      <c r="K3427" s="1">
        <v>1</v>
      </c>
      <c r="M3427" s="1">
        <v>836</v>
      </c>
      <c r="N3427" s="1">
        <v>860</v>
      </c>
      <c r="O3427" s="1">
        <v>1687</v>
      </c>
      <c r="P3427" s="1">
        <v>827</v>
      </c>
      <c r="Q3427" s="1" t="s">
        <v>42</v>
      </c>
      <c r="S3427" s="1" t="s">
        <v>42</v>
      </c>
      <c r="T3427" s="1" t="s">
        <v>170</v>
      </c>
      <c r="AA3427" s="1">
        <v>2060000</v>
      </c>
      <c r="AB3427" s="1" t="s">
        <v>2619</v>
      </c>
      <c r="AC3427" s="5">
        <v>43514</v>
      </c>
      <c r="AF3427" s="1">
        <v>10023</v>
      </c>
      <c r="AI3427" s="1" t="s">
        <v>76</v>
      </c>
      <c r="AJ3427" s="1">
        <v>2019</v>
      </c>
      <c r="AK3427" s="1" t="s">
        <v>49</v>
      </c>
      <c r="AL3427" s="1">
        <v>172</v>
      </c>
    </row>
    <row r="3428" spans="1:38" x14ac:dyDescent="0.2">
      <c r="A3428" s="2" t="str">
        <f>HYPERLINK("https://www.compass.com/listing/200-east-95th-street-unit-3b-manhattan-ny-10128/466636326268255945/","200 E 95th St, Unit 3B")</f>
        <v>200 E 95th St, Unit 3B</v>
      </c>
      <c r="B3428" s="2" t="str">
        <f>HYPERLINK("https://www.compass.com/building/the-kent-manhattan-ny/282049801384650021/","The Kent")</f>
        <v>The Kent</v>
      </c>
      <c r="C3428" s="1" t="s">
        <v>115</v>
      </c>
      <c r="D3428" s="1" t="s">
        <v>41</v>
      </c>
      <c r="E3428" s="3">
        <v>411400</v>
      </c>
      <c r="F3428" s="1">
        <v>484.57008244994103</v>
      </c>
      <c r="M3428" s="1">
        <v>849</v>
      </c>
      <c r="Q3428" s="1" t="s">
        <v>42</v>
      </c>
      <c r="S3428" s="1" t="s">
        <v>42</v>
      </c>
      <c r="T3428" s="1" t="s">
        <v>170</v>
      </c>
      <c r="AA3428" s="1">
        <v>411400</v>
      </c>
      <c r="AB3428" s="1" t="s">
        <v>2620</v>
      </c>
      <c r="AC3428" s="5">
        <v>43881</v>
      </c>
      <c r="AF3428" s="1">
        <v>10128</v>
      </c>
      <c r="AJ3428" s="1">
        <v>2017</v>
      </c>
      <c r="AK3428" s="1" t="s">
        <v>46</v>
      </c>
      <c r="AL3428" s="1">
        <v>83</v>
      </c>
    </row>
    <row r="3429" spans="1:38" x14ac:dyDescent="0.2">
      <c r="A3429" s="2" t="str">
        <f>HYPERLINK("https://www.compass.com/listing/15-west-61st-street-unit-16e-manhattan-ny-10023/470721143727425369/","15 W 61st St, Unit 16E")</f>
        <v>15 W 61st St, Unit 16E</v>
      </c>
      <c r="B3429" s="2" t="str">
        <f>HYPERLINK("https://www.compass.com/building/the-park-loggia-manhattan-ny/292861833130357557/","The Park Loggia")</f>
        <v>The Park Loggia</v>
      </c>
      <c r="C3429" s="1" t="s">
        <v>50</v>
      </c>
      <c r="D3429" s="1" t="s">
        <v>41</v>
      </c>
      <c r="E3429" s="3">
        <v>1755688</v>
      </c>
      <c r="F3429" s="1">
        <v>2540.79232995658</v>
      </c>
      <c r="G3429" s="1">
        <v>3</v>
      </c>
      <c r="H3429" s="1">
        <v>1</v>
      </c>
      <c r="I3429" s="1">
        <v>1</v>
      </c>
      <c r="J3429" s="1">
        <v>1</v>
      </c>
      <c r="K3429" s="1">
        <v>1</v>
      </c>
      <c r="M3429" s="1">
        <v>691</v>
      </c>
      <c r="N3429" s="1">
        <v>711</v>
      </c>
      <c r="O3429" s="1">
        <v>1395</v>
      </c>
      <c r="P3429" s="1">
        <v>684</v>
      </c>
      <c r="Q3429" s="1" t="s">
        <v>42</v>
      </c>
      <c r="S3429" s="1" t="s">
        <v>42</v>
      </c>
      <c r="T3429" s="1" t="s">
        <v>170</v>
      </c>
      <c r="U3429" s="1">
        <v>317</v>
      </c>
      <c r="V3429" s="5">
        <v>43911</v>
      </c>
      <c r="W3429" s="5">
        <v>43578</v>
      </c>
      <c r="X3429" s="1">
        <v>1750000</v>
      </c>
      <c r="Y3429" s="1">
        <v>1750000</v>
      </c>
      <c r="AA3429" s="1">
        <v>1755687.5</v>
      </c>
      <c r="AB3429" s="1" t="s">
        <v>2621</v>
      </c>
      <c r="AC3429" s="5">
        <v>43895</v>
      </c>
      <c r="AF3429" s="1">
        <v>10023</v>
      </c>
      <c r="AI3429" s="1" t="s">
        <v>76</v>
      </c>
      <c r="AJ3429" s="1">
        <v>2019</v>
      </c>
      <c r="AK3429" s="1" t="s">
        <v>77</v>
      </c>
      <c r="AL3429" s="1">
        <v>172</v>
      </c>
    </row>
    <row r="3430" spans="1:38" x14ac:dyDescent="0.2">
      <c r="A3430" s="2" t="str">
        <f>HYPERLINK("https://www.compass.com/listing/200-east-95th-street-unit-4g-manhattan-ny-10128/472177423883272737/","200 E 95th St, Unit 4G")</f>
        <v>200 E 95th St, Unit 4G</v>
      </c>
      <c r="B3430" s="2" t="str">
        <f>HYPERLINK("https://www.compass.com/building/the-kent-manhattan-ny/282049801384650021/","The Kent")</f>
        <v>The Kent</v>
      </c>
      <c r="C3430" s="1" t="s">
        <v>115</v>
      </c>
      <c r="D3430" s="1" t="s">
        <v>41</v>
      </c>
      <c r="E3430" s="3">
        <v>404700</v>
      </c>
      <c r="F3430" s="1">
        <v>450.16685205784199</v>
      </c>
      <c r="M3430" s="1">
        <v>899</v>
      </c>
      <c r="Q3430" s="1" t="s">
        <v>42</v>
      </c>
      <c r="S3430" s="1" t="s">
        <v>42</v>
      </c>
      <c r="T3430" s="1" t="s">
        <v>170</v>
      </c>
      <c r="AA3430" s="1">
        <v>404700</v>
      </c>
      <c r="AB3430" s="1" t="s">
        <v>2622</v>
      </c>
      <c r="AC3430" s="5">
        <v>43889</v>
      </c>
      <c r="AF3430" s="1">
        <v>10128</v>
      </c>
      <c r="AJ3430" s="1">
        <v>2017</v>
      </c>
      <c r="AK3430" s="1" t="s">
        <v>46</v>
      </c>
      <c r="AL3430" s="1">
        <v>83</v>
      </c>
    </row>
    <row r="3431" spans="1:38" x14ac:dyDescent="0.2">
      <c r="A3431" s="2" t="str">
        <f>HYPERLINK("https://www.compass.com/listing/15-west-61st-street-unit-29a-manhattan-ny-10023/475067891910662177/","15 W 61st St, Unit 29A")</f>
        <v>15 W 61st St, Unit 29A</v>
      </c>
      <c r="B3431" s="2" t="str">
        <f>HYPERLINK("https://www.compass.com/building/the-park-loggia-manhattan-ny/292861833130357557/","The Park Loggia")</f>
        <v>The Park Loggia</v>
      </c>
      <c r="C3431" s="1" t="s">
        <v>50</v>
      </c>
      <c r="D3431" s="1" t="s">
        <v>41</v>
      </c>
      <c r="E3431" s="3">
        <v>6790614</v>
      </c>
      <c r="F3431" s="1">
        <v>3544.1617118997901</v>
      </c>
      <c r="G3431" s="1">
        <v>5</v>
      </c>
      <c r="H3431" s="1">
        <v>3</v>
      </c>
      <c r="I3431" s="1">
        <v>3</v>
      </c>
      <c r="J3431" s="1">
        <v>2.5</v>
      </c>
      <c r="K3431" s="1">
        <v>2</v>
      </c>
      <c r="L3431" s="1">
        <v>1</v>
      </c>
      <c r="M3431" s="4">
        <v>1916</v>
      </c>
      <c r="N3431" s="1">
        <v>2061</v>
      </c>
      <c r="O3431" s="1">
        <v>4044</v>
      </c>
      <c r="P3431" s="1">
        <v>1983</v>
      </c>
      <c r="Q3431" s="1" t="s">
        <v>42</v>
      </c>
      <c r="S3431" s="1" t="s">
        <v>42</v>
      </c>
      <c r="T3431" s="1" t="s">
        <v>170</v>
      </c>
      <c r="U3431" s="1">
        <v>94</v>
      </c>
      <c r="V3431" s="5">
        <v>43911</v>
      </c>
      <c r="W3431" s="5">
        <v>43774</v>
      </c>
      <c r="X3431" s="1">
        <v>6650000</v>
      </c>
      <c r="Y3431" s="1">
        <v>6650000</v>
      </c>
      <c r="AA3431" s="1">
        <v>6790613.8399999999</v>
      </c>
      <c r="AB3431" s="1" t="s">
        <v>2623</v>
      </c>
      <c r="AC3431" s="5">
        <v>43868</v>
      </c>
      <c r="AF3431" s="1">
        <v>10023</v>
      </c>
      <c r="AI3431" s="1" t="s">
        <v>103</v>
      </c>
      <c r="AJ3431" s="1">
        <v>2019</v>
      </c>
      <c r="AK3431" s="1" t="s">
        <v>77</v>
      </c>
      <c r="AL3431" s="1">
        <v>172</v>
      </c>
    </row>
    <row r="3432" spans="1:38" x14ac:dyDescent="0.2">
      <c r="A3432" s="2" t="str">
        <f>HYPERLINK("https://www.compass.com/listing/200-east-95th-street-unit-4b-manhattan-ny-10128/475073521624731113/","200 E 95th St, Unit 4B")</f>
        <v>200 E 95th St, Unit 4B</v>
      </c>
      <c r="B3432" s="2" t="str">
        <f>HYPERLINK("https://www.compass.com/building/the-kent-manhattan-ny/282049801384650021/","The Kent")</f>
        <v>The Kent</v>
      </c>
      <c r="C3432" s="1" t="s">
        <v>115</v>
      </c>
      <c r="D3432" s="1" t="s">
        <v>41</v>
      </c>
      <c r="E3432" s="3">
        <v>411400</v>
      </c>
      <c r="F3432" s="1">
        <v>484.57008244994103</v>
      </c>
      <c r="M3432" s="1">
        <v>849</v>
      </c>
      <c r="Q3432" s="1" t="s">
        <v>42</v>
      </c>
      <c r="S3432" s="1" t="s">
        <v>42</v>
      </c>
      <c r="T3432" s="1" t="s">
        <v>170</v>
      </c>
      <c r="AA3432" s="1">
        <v>411400</v>
      </c>
      <c r="AB3432" s="1" t="s">
        <v>2624</v>
      </c>
      <c r="AC3432" s="5">
        <v>43889</v>
      </c>
      <c r="AF3432" s="1">
        <v>10128</v>
      </c>
      <c r="AJ3432" s="1">
        <v>2017</v>
      </c>
      <c r="AK3432" s="1" t="s">
        <v>46</v>
      </c>
      <c r="AL3432" s="1">
        <v>83</v>
      </c>
    </row>
    <row r="3433" spans="1:38" x14ac:dyDescent="0.2">
      <c r="A3433" s="2" t="str">
        <f>HYPERLINK("https://www.compass.com/listing/15-west-61st-street-unit-4h-manhattan-ny-10023/476518144392325201/","15 W 61st St, Unit 4H")</f>
        <v>15 W 61st St, Unit 4H</v>
      </c>
      <c r="B3433" s="2" t="str">
        <f t="shared" ref="B3433:B3436" si="428">HYPERLINK("https://www.compass.com/building/the-park-loggia-manhattan-ny/292861833130357557/","The Park Loggia")</f>
        <v>The Park Loggia</v>
      </c>
      <c r="C3433" s="1" t="s">
        <v>50</v>
      </c>
      <c r="D3433" s="1" t="s">
        <v>41</v>
      </c>
      <c r="E3433" s="3">
        <v>1680601</v>
      </c>
      <c r="F3433" s="1">
        <v>2130.03978453738</v>
      </c>
      <c r="G3433" s="1">
        <v>3</v>
      </c>
      <c r="H3433" s="1">
        <v>1</v>
      </c>
      <c r="I3433" s="1">
        <v>2</v>
      </c>
      <c r="J3433" s="1">
        <v>1.5</v>
      </c>
      <c r="K3433" s="1">
        <v>1</v>
      </c>
      <c r="L3433" s="1">
        <v>1</v>
      </c>
      <c r="M3433" s="1">
        <v>789</v>
      </c>
      <c r="N3433" s="1">
        <v>811</v>
      </c>
      <c r="O3433" s="1">
        <v>1591</v>
      </c>
      <c r="P3433" s="1">
        <v>780</v>
      </c>
      <c r="Q3433" s="1" t="s">
        <v>42</v>
      </c>
      <c r="S3433" s="1" t="s">
        <v>42</v>
      </c>
      <c r="T3433" s="1" t="s">
        <v>170</v>
      </c>
      <c r="U3433" s="1">
        <v>303</v>
      </c>
      <c r="V3433" s="5">
        <v>43911</v>
      </c>
      <c r="W3433" s="5">
        <v>43586</v>
      </c>
      <c r="X3433" s="1">
        <v>1663550</v>
      </c>
      <c r="Y3433" s="1">
        <v>1663550</v>
      </c>
      <c r="AA3433" s="1">
        <v>1680601.39</v>
      </c>
      <c r="AB3433" s="1" t="s">
        <v>2625</v>
      </c>
      <c r="AC3433" s="5">
        <v>43889</v>
      </c>
      <c r="AF3433" s="1">
        <v>10023</v>
      </c>
      <c r="AI3433" s="1" t="s">
        <v>76</v>
      </c>
      <c r="AJ3433" s="1">
        <v>2019</v>
      </c>
      <c r="AK3433" s="1" t="s">
        <v>77</v>
      </c>
      <c r="AL3433" s="1">
        <v>172</v>
      </c>
    </row>
    <row r="3434" spans="1:38" x14ac:dyDescent="0.2">
      <c r="A3434" s="2" t="str">
        <f>HYPERLINK("https://www.compass.com/listing/15-west-61st-street-unit-5j-manhattan-ny-10023/477244525442752065/","15 W 61st St, Unit 5J")</f>
        <v>15 W 61st St, Unit 5J</v>
      </c>
      <c r="B3434" s="2" t="str">
        <f t="shared" si="428"/>
        <v>The Park Loggia</v>
      </c>
      <c r="C3434" s="1" t="s">
        <v>50</v>
      </c>
      <c r="D3434" s="1" t="s">
        <v>41</v>
      </c>
      <c r="E3434" s="3">
        <v>1836108</v>
      </c>
      <c r="F3434" s="1">
        <v>2283.71691542288</v>
      </c>
      <c r="G3434" s="1">
        <v>3</v>
      </c>
      <c r="H3434" s="1">
        <v>1</v>
      </c>
      <c r="I3434" s="1">
        <v>1</v>
      </c>
      <c r="J3434" s="1">
        <v>1</v>
      </c>
      <c r="K3434" s="1">
        <v>1</v>
      </c>
      <c r="M3434" s="1">
        <v>804</v>
      </c>
      <c r="N3434" s="1">
        <v>827</v>
      </c>
      <c r="O3434" s="1">
        <v>1622</v>
      </c>
      <c r="P3434" s="1">
        <v>795</v>
      </c>
      <c r="Q3434" s="1" t="s">
        <v>42</v>
      </c>
      <c r="S3434" s="1" t="s">
        <v>42</v>
      </c>
      <c r="T3434" s="1" t="s">
        <v>170</v>
      </c>
      <c r="U3434" s="1">
        <v>222</v>
      </c>
      <c r="V3434" s="5">
        <v>43911</v>
      </c>
      <c r="W3434" s="5">
        <v>43684</v>
      </c>
      <c r="X3434" s="1">
        <v>1803200</v>
      </c>
      <c r="Y3434" s="1">
        <v>1803200</v>
      </c>
      <c r="AA3434" s="1">
        <v>1836108.4</v>
      </c>
      <c r="AB3434" s="1" t="s">
        <v>2626</v>
      </c>
      <c r="AC3434" s="5">
        <v>43906</v>
      </c>
      <c r="AF3434" s="1">
        <v>10023</v>
      </c>
      <c r="AI3434" s="1" t="s">
        <v>76</v>
      </c>
      <c r="AJ3434" s="1">
        <v>2019</v>
      </c>
      <c r="AK3434" s="1" t="s">
        <v>77</v>
      </c>
      <c r="AL3434" s="1">
        <v>172</v>
      </c>
    </row>
    <row r="3435" spans="1:38" x14ac:dyDescent="0.2">
      <c r="A3435" s="2" t="str">
        <f>HYPERLINK("https://www.compass.com/listing/15-west-61st-street-unit-6b-manhattan-ny-10023/477244526810484393/","15 W 61st St, Unit 6B")</f>
        <v>15 W 61st St, Unit 6B</v>
      </c>
      <c r="B3435" s="2" t="str">
        <f t="shared" si="428"/>
        <v>The Park Loggia</v>
      </c>
      <c r="C3435" s="1" t="s">
        <v>50</v>
      </c>
      <c r="D3435" s="1" t="s">
        <v>41</v>
      </c>
      <c r="E3435" s="3">
        <v>3158594</v>
      </c>
      <c r="F3435" s="1">
        <v>2360.6829222720398</v>
      </c>
      <c r="G3435" s="1">
        <v>4</v>
      </c>
      <c r="H3435" s="1">
        <v>2</v>
      </c>
      <c r="I3435" s="1">
        <v>3</v>
      </c>
      <c r="J3435" s="1">
        <v>2.5</v>
      </c>
      <c r="K3435" s="1">
        <v>2</v>
      </c>
      <c r="L3435" s="1">
        <v>1</v>
      </c>
      <c r="M3435" s="4">
        <v>1338</v>
      </c>
      <c r="N3435" s="1">
        <v>1375</v>
      </c>
      <c r="O3435" s="1">
        <v>2698</v>
      </c>
      <c r="P3435" s="1">
        <v>1323</v>
      </c>
      <c r="Q3435" s="1" t="s">
        <v>42</v>
      </c>
      <c r="S3435" s="1" t="s">
        <v>42</v>
      </c>
      <c r="T3435" s="1" t="s">
        <v>170</v>
      </c>
      <c r="U3435" s="1">
        <v>315</v>
      </c>
      <c r="V3435" s="5">
        <v>43911</v>
      </c>
      <c r="W3435" s="5">
        <v>43587</v>
      </c>
      <c r="X3435" s="1">
        <v>3125000</v>
      </c>
      <c r="Y3435" s="1">
        <v>3125000</v>
      </c>
      <c r="AA3435" s="1">
        <v>3158593.75</v>
      </c>
      <c r="AB3435" s="1" t="s">
        <v>2627</v>
      </c>
      <c r="AC3435" s="5">
        <v>43902</v>
      </c>
      <c r="AF3435" s="1">
        <v>10023</v>
      </c>
      <c r="AI3435" s="1" t="s">
        <v>76</v>
      </c>
      <c r="AJ3435" s="1">
        <v>2019</v>
      </c>
      <c r="AK3435" s="1" t="s">
        <v>77</v>
      </c>
      <c r="AL3435" s="1">
        <v>172</v>
      </c>
    </row>
    <row r="3436" spans="1:38" x14ac:dyDescent="0.2">
      <c r="A3436" s="2" t="str">
        <f>HYPERLINK("https://www.compass.com/listing/15-west-61st-street-unit-23d-manhattan-ny-10023/477244538302714977/","15 W 61st St, Unit 23D")</f>
        <v>15 W 61st St, Unit 23D</v>
      </c>
      <c r="B3436" s="2" t="str">
        <f t="shared" si="428"/>
        <v>The Park Loggia</v>
      </c>
      <c r="C3436" s="1" t="s">
        <v>50</v>
      </c>
      <c r="D3436" s="1" t="s">
        <v>41</v>
      </c>
      <c r="E3436" s="3">
        <v>3677252</v>
      </c>
      <c r="F3436" s="1">
        <v>2744.2178208955202</v>
      </c>
      <c r="G3436" s="1">
        <v>4</v>
      </c>
      <c r="H3436" s="1">
        <v>2</v>
      </c>
      <c r="I3436" s="1">
        <v>2</v>
      </c>
      <c r="J3436" s="1">
        <v>2</v>
      </c>
      <c r="K3436" s="1">
        <v>2</v>
      </c>
      <c r="M3436" s="4">
        <v>1340</v>
      </c>
      <c r="N3436" s="1">
        <v>1415</v>
      </c>
      <c r="O3436" s="1">
        <v>2776</v>
      </c>
      <c r="P3436" s="1">
        <v>1361</v>
      </c>
      <c r="Q3436" s="1" t="s">
        <v>42</v>
      </c>
      <c r="S3436" s="1" t="s">
        <v>42</v>
      </c>
      <c r="T3436" s="1" t="s">
        <v>170</v>
      </c>
      <c r="U3436" s="1">
        <v>125</v>
      </c>
      <c r="V3436" s="5">
        <v>43911</v>
      </c>
      <c r="W3436" s="5">
        <v>43777</v>
      </c>
      <c r="X3436" s="1">
        <v>3602500</v>
      </c>
      <c r="Y3436" s="1">
        <v>3602500</v>
      </c>
      <c r="AA3436" s="1">
        <v>3677251.88</v>
      </c>
      <c r="AB3436" s="1" t="s">
        <v>2628</v>
      </c>
      <c r="AC3436" s="5">
        <v>43903</v>
      </c>
      <c r="AF3436" s="1">
        <v>10023</v>
      </c>
      <c r="AI3436" s="1" t="s">
        <v>103</v>
      </c>
      <c r="AJ3436" s="1">
        <v>2019</v>
      </c>
      <c r="AK3436" s="1" t="s">
        <v>77</v>
      </c>
      <c r="AL3436" s="1">
        <v>172</v>
      </c>
    </row>
    <row r="3437" spans="1:38" x14ac:dyDescent="0.2">
      <c r="A3437" s="2" t="str">
        <f>HYPERLINK("https://www.compass.com/listing/2351-adam-clayton-powell-jr-boulevard-unit-809-p-manhattan-ny-10030/477253817126698425/","2351 Adam Clayton Powell Jr Blvd, Unit 809/P")</f>
        <v>2351 Adam Clayton Powell Jr Blvd, Unit 809/P</v>
      </c>
      <c r="B3437" s="2" t="str">
        <f>HYPERLINK("https://www.compass.com/building/the-rennie-manhattan-ny/307439143554395509/","THE RENNIE")</f>
        <v>THE RENNIE</v>
      </c>
      <c r="C3437" s="1" t="s">
        <v>61</v>
      </c>
      <c r="D3437" s="1" t="s">
        <v>41</v>
      </c>
      <c r="E3437" s="3">
        <v>1916933</v>
      </c>
      <c r="F3437" s="1">
        <v>1461.0766006097499</v>
      </c>
      <c r="M3437" s="4">
        <v>1312</v>
      </c>
      <c r="Q3437" s="1" t="s">
        <v>42</v>
      </c>
      <c r="S3437" s="1" t="s">
        <v>42</v>
      </c>
      <c r="T3437" s="1" t="s">
        <v>170</v>
      </c>
      <c r="AA3437" s="1">
        <v>1916932.5</v>
      </c>
      <c r="AB3437" s="1" t="s">
        <v>2629</v>
      </c>
      <c r="AC3437" s="5">
        <v>43899</v>
      </c>
      <c r="AF3437" s="1">
        <v>10030</v>
      </c>
      <c r="AI3437" s="1" t="s">
        <v>45</v>
      </c>
      <c r="AJ3437" s="1">
        <v>2018</v>
      </c>
      <c r="AK3437" s="1" t="s">
        <v>49</v>
      </c>
      <c r="AL3437" s="1">
        <v>106</v>
      </c>
    </row>
    <row r="3438" spans="1:38" x14ac:dyDescent="0.2">
      <c r="A3438" s="2" t="str">
        <f>HYPERLINK("https://www.compass.com/listing/15-west-61st-street-unit-3m-manhattan-ny-10023/477409222104256345/","15 W 61st St, Unit 3M")</f>
        <v>15 W 61st St, Unit 3M</v>
      </c>
      <c r="B3438" s="2" t="str">
        <f t="shared" ref="B3438:B3443" si="429">HYPERLINK("https://www.compass.com/building/the-park-loggia-manhattan-ny/292861833130357557/","The Park Loggia")</f>
        <v>The Park Loggia</v>
      </c>
      <c r="C3438" s="1" t="s">
        <v>50</v>
      </c>
      <c r="D3438" s="1" t="s">
        <v>41</v>
      </c>
      <c r="E3438" s="3">
        <v>1900000</v>
      </c>
      <c r="F3438" s="1">
        <v>2173.9130434782601</v>
      </c>
      <c r="G3438" s="1">
        <v>3</v>
      </c>
      <c r="H3438" s="1">
        <v>1</v>
      </c>
      <c r="I3438" s="1">
        <v>1</v>
      </c>
      <c r="J3438" s="1">
        <v>1</v>
      </c>
      <c r="K3438" s="1">
        <v>1</v>
      </c>
      <c r="M3438" s="1">
        <v>874</v>
      </c>
      <c r="N3438" s="1">
        <v>899</v>
      </c>
      <c r="O3438" s="1">
        <v>1763</v>
      </c>
      <c r="P3438" s="1">
        <v>864</v>
      </c>
      <c r="Q3438" s="1" t="s">
        <v>42</v>
      </c>
      <c r="S3438" s="1" t="s">
        <v>42</v>
      </c>
      <c r="T3438" s="1" t="s">
        <v>170</v>
      </c>
      <c r="U3438" s="1">
        <v>37</v>
      </c>
      <c r="V3438" s="5">
        <v>43911</v>
      </c>
      <c r="W3438" s="5">
        <v>43861</v>
      </c>
      <c r="X3438" s="1">
        <v>1900000</v>
      </c>
      <c r="Y3438" s="1">
        <v>1900000</v>
      </c>
      <c r="AA3438" s="1">
        <v>1900000</v>
      </c>
      <c r="AB3438" s="1" t="s">
        <v>2630</v>
      </c>
      <c r="AC3438" s="5">
        <v>43899</v>
      </c>
      <c r="AF3438" s="1">
        <v>10023</v>
      </c>
      <c r="AI3438" s="1" t="s">
        <v>76</v>
      </c>
      <c r="AJ3438" s="1">
        <v>2019</v>
      </c>
      <c r="AK3438" s="1" t="s">
        <v>77</v>
      </c>
      <c r="AL3438" s="1">
        <v>172</v>
      </c>
    </row>
    <row r="3439" spans="1:38" x14ac:dyDescent="0.2">
      <c r="A3439" s="2" t="str">
        <f>HYPERLINK("https://www.compass.com/listing/15-west-61st-street-unit-10d-manhattan-ny-10023/477461052528301049/","15 W 61st St, Unit 10D")</f>
        <v>15 W 61st St, Unit 10D</v>
      </c>
      <c r="B3439" s="2" t="str">
        <f t="shared" si="429"/>
        <v>The Park Loggia</v>
      </c>
      <c r="C3439" s="1" t="s">
        <v>50</v>
      </c>
      <c r="D3439" s="1" t="s">
        <v>41</v>
      </c>
      <c r="E3439" s="3">
        <v>1563014</v>
      </c>
      <c r="F3439" s="1">
        <v>2339.8409431137702</v>
      </c>
      <c r="G3439" s="1">
        <v>3</v>
      </c>
      <c r="H3439" s="1">
        <v>1</v>
      </c>
      <c r="I3439" s="1">
        <v>1</v>
      </c>
      <c r="J3439" s="1">
        <v>1</v>
      </c>
      <c r="K3439" s="1">
        <v>1</v>
      </c>
      <c r="M3439" s="1">
        <v>668</v>
      </c>
      <c r="N3439" s="1">
        <v>687</v>
      </c>
      <c r="O3439" s="1">
        <v>1348</v>
      </c>
      <c r="P3439" s="1">
        <v>661</v>
      </c>
      <c r="Q3439" s="1" t="s">
        <v>42</v>
      </c>
      <c r="S3439" s="1" t="s">
        <v>42</v>
      </c>
      <c r="T3439" s="1" t="s">
        <v>170</v>
      </c>
      <c r="U3439" s="1">
        <v>123</v>
      </c>
      <c r="V3439" s="5">
        <v>43911</v>
      </c>
      <c r="W3439" s="5">
        <v>43766</v>
      </c>
      <c r="X3439" s="1">
        <v>1535000</v>
      </c>
      <c r="Y3439" s="1">
        <v>1535000</v>
      </c>
      <c r="AA3439" s="1">
        <v>1563013.75</v>
      </c>
      <c r="AB3439" s="1" t="s">
        <v>2631</v>
      </c>
      <c r="AC3439" s="5">
        <v>43889</v>
      </c>
      <c r="AF3439" s="1">
        <v>10023</v>
      </c>
      <c r="AI3439" s="1" t="s">
        <v>76</v>
      </c>
      <c r="AJ3439" s="1">
        <v>2019</v>
      </c>
      <c r="AK3439" s="1" t="s">
        <v>77</v>
      </c>
      <c r="AL3439" s="1">
        <v>172</v>
      </c>
    </row>
    <row r="3440" spans="1:38" x14ac:dyDescent="0.2">
      <c r="A3440" s="2" t="str">
        <f>HYPERLINK("https://www.compass.com/listing/15-west-61st-street-unit-10e-manhattan-ny-10023/477461085025652721/","15 W 61st St, Unit 10E")</f>
        <v>15 W 61st St, Unit 10E</v>
      </c>
      <c r="B3440" s="2" t="str">
        <f t="shared" si="429"/>
        <v>The Park Loggia</v>
      </c>
      <c r="C3440" s="1" t="s">
        <v>50</v>
      </c>
      <c r="D3440" s="1" t="s">
        <v>41</v>
      </c>
      <c r="E3440" s="3">
        <v>1847192</v>
      </c>
      <c r="F3440" s="1">
        <v>2377.3379794079701</v>
      </c>
      <c r="G3440" s="1">
        <v>3</v>
      </c>
      <c r="H3440" s="1">
        <v>1</v>
      </c>
      <c r="I3440" s="1">
        <v>1</v>
      </c>
      <c r="J3440" s="1">
        <v>1</v>
      </c>
      <c r="K3440" s="1">
        <v>1</v>
      </c>
      <c r="M3440" s="1">
        <v>777</v>
      </c>
      <c r="N3440" s="1">
        <v>799</v>
      </c>
      <c r="O3440" s="1">
        <v>1568</v>
      </c>
      <c r="P3440" s="1">
        <v>769</v>
      </c>
      <c r="Q3440" s="1" t="s">
        <v>42</v>
      </c>
      <c r="S3440" s="1" t="s">
        <v>42</v>
      </c>
      <c r="T3440" s="1" t="s">
        <v>170</v>
      </c>
      <c r="U3440" s="1">
        <v>303</v>
      </c>
      <c r="V3440" s="5">
        <v>43911</v>
      </c>
      <c r="W3440" s="5">
        <v>43586</v>
      </c>
      <c r="X3440" s="1">
        <v>1828450</v>
      </c>
      <c r="Y3440" s="1">
        <v>1828450</v>
      </c>
      <c r="AA3440" s="1">
        <v>1847191.61</v>
      </c>
      <c r="AB3440" s="1" t="s">
        <v>1174</v>
      </c>
      <c r="AC3440" s="5">
        <v>43889</v>
      </c>
      <c r="AF3440" s="1">
        <v>10023</v>
      </c>
      <c r="AI3440" s="1" t="s">
        <v>76</v>
      </c>
      <c r="AJ3440" s="1">
        <v>2019</v>
      </c>
      <c r="AK3440" s="1" t="s">
        <v>77</v>
      </c>
      <c r="AL3440" s="1">
        <v>172</v>
      </c>
    </row>
    <row r="3441" spans="1:38" x14ac:dyDescent="0.2">
      <c r="A3441" s="2" t="str">
        <f>HYPERLINK("https://www.compass.com/listing/15-west-61st-street-unit-15c-manhattan-ny-10023/477507358114228329/","15 W 61st St, Unit 15C")</f>
        <v>15 W 61st St, Unit 15C</v>
      </c>
      <c r="B3441" s="2" t="str">
        <f t="shared" si="429"/>
        <v>The Park Loggia</v>
      </c>
      <c r="C3441" s="1" t="s">
        <v>50</v>
      </c>
      <c r="D3441" s="1" t="s">
        <v>41</v>
      </c>
      <c r="E3441" s="3">
        <v>1739231</v>
      </c>
      <c r="F3441" s="1">
        <v>2516.9772069464502</v>
      </c>
      <c r="G3441" s="1">
        <v>3</v>
      </c>
      <c r="H3441" s="1">
        <v>1</v>
      </c>
      <c r="I3441" s="1">
        <v>1</v>
      </c>
      <c r="J3441" s="1">
        <v>1</v>
      </c>
      <c r="K3441" s="1">
        <v>1</v>
      </c>
      <c r="M3441" s="1">
        <v>691</v>
      </c>
      <c r="N3441" s="1">
        <v>711</v>
      </c>
      <c r="O3441" s="1">
        <v>1395</v>
      </c>
      <c r="P3441" s="1">
        <v>684</v>
      </c>
      <c r="Q3441" s="1" t="s">
        <v>42</v>
      </c>
      <c r="S3441" s="1" t="s">
        <v>42</v>
      </c>
      <c r="T3441" s="1" t="s">
        <v>170</v>
      </c>
      <c r="U3441" s="1">
        <v>301</v>
      </c>
      <c r="V3441" s="5">
        <v>43911</v>
      </c>
      <c r="W3441" s="5">
        <v>43601</v>
      </c>
      <c r="X3441" s="1">
        <v>1725000</v>
      </c>
      <c r="Y3441" s="1">
        <v>1725000</v>
      </c>
      <c r="AA3441" s="1">
        <v>1739231.25</v>
      </c>
      <c r="AB3441" s="1" t="s">
        <v>2632</v>
      </c>
      <c r="AC3441" s="5">
        <v>43902</v>
      </c>
      <c r="AF3441" s="1">
        <v>10023</v>
      </c>
      <c r="AI3441" s="1" t="s">
        <v>76</v>
      </c>
      <c r="AJ3441" s="1">
        <v>2019</v>
      </c>
      <c r="AK3441" s="1" t="s">
        <v>77</v>
      </c>
      <c r="AL3441" s="1">
        <v>172</v>
      </c>
    </row>
    <row r="3442" spans="1:38" x14ac:dyDescent="0.2">
      <c r="A3442" s="2" t="str">
        <f>HYPERLINK("https://www.compass.com/listing/15-west-61st-street-unit-24d-manhattan-ny-10023/477519955202610561/","15 W 61st St, Unit 24D")</f>
        <v>15 W 61st St, Unit 24D</v>
      </c>
      <c r="B3442" s="2" t="str">
        <f t="shared" si="429"/>
        <v>The Park Loggia</v>
      </c>
      <c r="C3442" s="1" t="s">
        <v>50</v>
      </c>
      <c r="D3442" s="1" t="s">
        <v>41</v>
      </c>
      <c r="E3442" s="3">
        <v>3475000</v>
      </c>
      <c r="F3442" s="1">
        <v>2551.3950073421402</v>
      </c>
      <c r="G3442" s="1">
        <v>4</v>
      </c>
      <c r="H3442" s="1">
        <v>2</v>
      </c>
      <c r="I3442" s="1">
        <v>2</v>
      </c>
      <c r="J3442" s="1">
        <v>2</v>
      </c>
      <c r="K3442" s="1">
        <v>2</v>
      </c>
      <c r="M3442" s="4">
        <v>1362</v>
      </c>
      <c r="N3442" s="1">
        <v>1437</v>
      </c>
      <c r="O3442" s="1">
        <v>2820</v>
      </c>
      <c r="P3442" s="1">
        <v>1383</v>
      </c>
      <c r="Q3442" s="1" t="s">
        <v>42</v>
      </c>
      <c r="S3442" s="1" t="s">
        <v>42</v>
      </c>
      <c r="T3442" s="1" t="s">
        <v>170</v>
      </c>
      <c r="U3442" s="1">
        <v>49</v>
      </c>
      <c r="V3442" s="5">
        <v>43911</v>
      </c>
      <c r="W3442" s="5">
        <v>43858</v>
      </c>
      <c r="X3442" s="1">
        <v>3475000</v>
      </c>
      <c r="Y3442" s="1">
        <v>3475000</v>
      </c>
      <c r="AA3442" s="1">
        <v>3475000</v>
      </c>
      <c r="AB3442" s="1" t="s">
        <v>2633</v>
      </c>
      <c r="AC3442" s="5">
        <v>43908</v>
      </c>
      <c r="AF3442" s="1">
        <v>10023</v>
      </c>
      <c r="AI3442" s="1" t="s">
        <v>103</v>
      </c>
      <c r="AJ3442" s="1">
        <v>2019</v>
      </c>
      <c r="AK3442" s="1" t="s">
        <v>77</v>
      </c>
      <c r="AL3442" s="1">
        <v>172</v>
      </c>
    </row>
    <row r="3443" spans="1:38" x14ac:dyDescent="0.2">
      <c r="A3443" s="2" t="str">
        <f>HYPERLINK("https://www.compass.com/listing/15-west-61st-street-unit-28c-manhattan-ny-10023/477526625884468593/","15 W 61st St, Unit 28C")</f>
        <v>15 W 61st St, Unit 28C</v>
      </c>
      <c r="B3443" s="2" t="str">
        <f t="shared" si="429"/>
        <v>The Park Loggia</v>
      </c>
      <c r="C3443" s="1" t="s">
        <v>50</v>
      </c>
      <c r="D3443" s="1" t="s">
        <v>41</v>
      </c>
      <c r="E3443" s="3">
        <v>2060000</v>
      </c>
      <c r="F3443" s="1">
        <v>2464.1148325358799</v>
      </c>
      <c r="G3443" s="1">
        <v>3</v>
      </c>
      <c r="H3443" s="1">
        <v>1</v>
      </c>
      <c r="I3443" s="1">
        <v>1</v>
      </c>
      <c r="J3443" s="1">
        <v>1</v>
      </c>
      <c r="K3443" s="1">
        <v>1</v>
      </c>
      <c r="M3443" s="1">
        <v>836</v>
      </c>
      <c r="N3443" s="1">
        <v>860</v>
      </c>
      <c r="O3443" s="1">
        <v>1687</v>
      </c>
      <c r="P3443" s="1">
        <v>827</v>
      </c>
      <c r="Q3443" s="1" t="s">
        <v>42</v>
      </c>
      <c r="S3443" s="1" t="s">
        <v>42</v>
      </c>
      <c r="T3443" s="1" t="s">
        <v>170</v>
      </c>
      <c r="U3443" s="1">
        <v>189</v>
      </c>
      <c r="V3443" s="5">
        <v>43911</v>
      </c>
      <c r="W3443" s="5">
        <v>43690</v>
      </c>
      <c r="X3443" s="1">
        <v>2060000</v>
      </c>
      <c r="Y3443" s="1">
        <v>2060000</v>
      </c>
      <c r="AA3443" s="1">
        <v>2060000</v>
      </c>
      <c r="AB3443" s="1" t="s">
        <v>181</v>
      </c>
      <c r="AC3443" s="5">
        <v>43879</v>
      </c>
      <c r="AF3443" s="1">
        <v>10023</v>
      </c>
      <c r="AI3443" s="1" t="s">
        <v>76</v>
      </c>
      <c r="AJ3443" s="1">
        <v>2019</v>
      </c>
      <c r="AK3443" s="1" t="s">
        <v>77</v>
      </c>
      <c r="AL3443" s="1">
        <v>172</v>
      </c>
    </row>
    <row r="3444" spans="1:38" x14ac:dyDescent="0.2">
      <c r="A3444" s="2" t="str">
        <f>HYPERLINK("https://www.compass.com/listing/49-51-chambers-street-unit-11e-manhattan-ny-10007/477961283661338281/","49-51 Chambers St, Unit 11E")</f>
        <v>49-51 Chambers St, Unit 11E</v>
      </c>
      <c r="B3444" s="2" t="str">
        <f>HYPERLINK("https://www.compass.com/building/49-51-chambers-st-manhattan-ny-10007/441163040348878029/","49-51 Chambers St")</f>
        <v>49-51 Chambers St</v>
      </c>
      <c r="C3444" s="1" t="s">
        <v>956</v>
      </c>
      <c r="D3444" s="1" t="s">
        <v>41</v>
      </c>
      <c r="E3444" s="3">
        <v>4990000</v>
      </c>
      <c r="F3444" s="1">
        <v>1677.31092436974</v>
      </c>
      <c r="M3444" s="4">
        <v>2975</v>
      </c>
      <c r="Q3444" s="1" t="s">
        <v>42</v>
      </c>
      <c r="S3444" s="1" t="s">
        <v>42</v>
      </c>
      <c r="T3444" s="1" t="s">
        <v>170</v>
      </c>
      <c r="AA3444" s="1">
        <v>4990000</v>
      </c>
      <c r="AB3444" s="1" t="s">
        <v>2634</v>
      </c>
      <c r="AC3444" s="5">
        <v>43895</v>
      </c>
      <c r="AF3444" s="1">
        <v>10007</v>
      </c>
    </row>
    <row r="3445" spans="1:38" x14ac:dyDescent="0.2">
      <c r="A3445" s="2" t="str">
        <f>HYPERLINK("https://www.compass.com/listing/200-east-95th-street-unit-4e-manhattan-ny-10128/480153448525097881/","200 E 95th St, Unit 4E")</f>
        <v>200 E 95th St, Unit 4E</v>
      </c>
      <c r="B3445" s="2" t="str">
        <f>HYPERLINK("https://www.compass.com/building/the-kent-manhattan-ny/282049801384650021/","The Kent")</f>
        <v>The Kent</v>
      </c>
      <c r="C3445" s="1" t="s">
        <v>115</v>
      </c>
      <c r="D3445" s="1" t="s">
        <v>41</v>
      </c>
      <c r="E3445" s="3">
        <v>424800</v>
      </c>
      <c r="F3445" s="1">
        <v>535.68726355611602</v>
      </c>
      <c r="M3445" s="1">
        <v>793</v>
      </c>
      <c r="Q3445" s="1" t="s">
        <v>42</v>
      </c>
      <c r="S3445" s="1" t="s">
        <v>42</v>
      </c>
      <c r="T3445" s="1" t="s">
        <v>170</v>
      </c>
      <c r="AA3445" s="1">
        <v>424800</v>
      </c>
      <c r="AB3445" s="1" t="s">
        <v>2635</v>
      </c>
      <c r="AC3445" s="5">
        <v>43908</v>
      </c>
      <c r="AF3445" s="1">
        <v>10128</v>
      </c>
      <c r="AJ3445" s="1">
        <v>2017</v>
      </c>
      <c r="AK3445" s="1" t="s">
        <v>46</v>
      </c>
      <c r="AL3445" s="1">
        <v>83</v>
      </c>
    </row>
    <row r="3446" spans="1:38" x14ac:dyDescent="0.2">
      <c r="A3446" s="2" t="str">
        <f>HYPERLINK("https://www.compass.com/listing/15-west-61st-street-unit-ph32a-manhattan-ny-10023/490556866871879121/","15 W 61st St, Unit PH32A")</f>
        <v>15 W 61st St, Unit PH32A</v>
      </c>
      <c r="B3446" s="2" t="str">
        <f>HYPERLINK("https://www.compass.com/building/the-park-loggia-manhattan-ny/292861833130357557/","The Park Loggia")</f>
        <v>The Park Loggia</v>
      </c>
      <c r="C3446" s="1" t="s">
        <v>50</v>
      </c>
      <c r="D3446" s="1" t="s">
        <v>41</v>
      </c>
      <c r="E3446" s="3">
        <v>9400000</v>
      </c>
      <c r="F3446" s="1">
        <v>3931.4094521120801</v>
      </c>
      <c r="G3446" s="1">
        <v>6</v>
      </c>
      <c r="H3446" s="1">
        <v>4</v>
      </c>
      <c r="I3446" s="1">
        <v>5</v>
      </c>
      <c r="J3446" s="1">
        <v>4.5</v>
      </c>
      <c r="K3446" s="1">
        <v>4</v>
      </c>
      <c r="L3446" s="1">
        <v>1</v>
      </c>
      <c r="M3446" s="4">
        <v>2391</v>
      </c>
      <c r="N3446" s="1">
        <v>2589</v>
      </c>
      <c r="O3446" s="1">
        <v>5079</v>
      </c>
      <c r="P3446" s="1">
        <v>2490</v>
      </c>
      <c r="Q3446" s="1" t="s">
        <v>42</v>
      </c>
      <c r="S3446" s="1" t="s">
        <v>42</v>
      </c>
      <c r="T3446" s="1" t="s">
        <v>170</v>
      </c>
      <c r="U3446" s="1">
        <v>13</v>
      </c>
      <c r="V3446" s="5">
        <v>43929</v>
      </c>
      <c r="W3446" s="5">
        <v>43896</v>
      </c>
      <c r="X3446" s="1">
        <v>9400000</v>
      </c>
      <c r="Y3446" s="1">
        <v>9400000</v>
      </c>
      <c r="AA3446" s="1">
        <v>9400000</v>
      </c>
      <c r="AB3446" s="1" t="s">
        <v>181</v>
      </c>
      <c r="AC3446" s="5">
        <v>43928</v>
      </c>
      <c r="AF3446" s="1">
        <v>10023</v>
      </c>
      <c r="AI3446" s="1" t="s">
        <v>103</v>
      </c>
      <c r="AJ3446" s="1">
        <v>2019</v>
      </c>
      <c r="AK3446" s="1" t="s">
        <v>77</v>
      </c>
      <c r="AL3446" s="1">
        <v>172</v>
      </c>
    </row>
    <row r="3447" spans="1:38" x14ac:dyDescent="0.2">
      <c r="A3447" s="2" t="str">
        <f>HYPERLINK("https://www.compass.com/listing/49-51-chambers-street-unit-11b-manhattan-ny-10007/490912249295295769/","49-51 Chambers St, Unit 11B")</f>
        <v>49-51 Chambers St, Unit 11B</v>
      </c>
      <c r="B3447" s="2" t="str">
        <f>HYPERLINK("https://www.compass.com/building/49-51-chambers-st-manhattan-ny-10007/441163040348878029/","49-51 Chambers St")</f>
        <v>49-51 Chambers St</v>
      </c>
      <c r="C3447" s="1" t="s">
        <v>956</v>
      </c>
      <c r="D3447" s="1" t="s">
        <v>41</v>
      </c>
      <c r="E3447" s="3">
        <v>2890000</v>
      </c>
      <c r="F3447" s="1">
        <v>1651.42857142857</v>
      </c>
      <c r="M3447" s="4">
        <v>1750</v>
      </c>
      <c r="Q3447" s="1" t="s">
        <v>42</v>
      </c>
      <c r="S3447" s="1" t="s">
        <v>42</v>
      </c>
      <c r="T3447" s="1" t="s">
        <v>170</v>
      </c>
      <c r="AA3447" s="1">
        <v>2890000</v>
      </c>
      <c r="AB3447" s="1" t="s">
        <v>2636</v>
      </c>
      <c r="AC3447" s="5">
        <v>43889</v>
      </c>
      <c r="AF3447" s="1">
        <v>10007</v>
      </c>
    </row>
    <row r="3448" spans="1:38" x14ac:dyDescent="0.2">
      <c r="A3448" s="2" t="str">
        <f>HYPERLINK("https://www.compass.com/listing/2351-adam-clayton-powell-jr-boulevard-unit-708-p-manhattan-ny-10030/495372557915307353/","2351 Adam Clayton Powell Jr Blvd, Unit 708/P")</f>
        <v>2351 Adam Clayton Powell Jr Blvd, Unit 708/P</v>
      </c>
      <c r="B3448" s="2" t="str">
        <f>HYPERLINK("https://www.compass.com/building/the-rennie-manhattan-ny/307439143554395509/","THE RENNIE")</f>
        <v>THE RENNIE</v>
      </c>
      <c r="C3448" s="1" t="s">
        <v>61</v>
      </c>
      <c r="D3448" s="1" t="s">
        <v>41</v>
      </c>
      <c r="E3448" s="3">
        <v>774584</v>
      </c>
      <c r="F3448" s="1">
        <v>1263.5946166394699</v>
      </c>
      <c r="M3448" s="1">
        <v>613</v>
      </c>
      <c r="Q3448" s="1" t="s">
        <v>42</v>
      </c>
      <c r="S3448" s="1" t="s">
        <v>42</v>
      </c>
      <c r="T3448" s="1" t="s">
        <v>170</v>
      </c>
      <c r="AA3448" s="1">
        <v>774583.5</v>
      </c>
      <c r="AB3448" s="1" t="s">
        <v>2637</v>
      </c>
      <c r="AC3448" s="5">
        <v>43924</v>
      </c>
      <c r="AF3448" s="1">
        <v>10030</v>
      </c>
      <c r="AI3448" s="1" t="s">
        <v>45</v>
      </c>
      <c r="AJ3448" s="1">
        <v>2018</v>
      </c>
      <c r="AK3448" s="1" t="s">
        <v>49</v>
      </c>
      <c r="AL3448" s="1">
        <v>106</v>
      </c>
    </row>
    <row r="3449" spans="1:38" x14ac:dyDescent="0.2">
      <c r="A3449" s="2" t="str">
        <f>HYPERLINK("https://www.compass.com/listing/15-west-61st-street-unit-23a-manhattan-ny-10023/496198176651418921/","15 W 61st St, Unit 23A")</f>
        <v>15 W 61st St, Unit 23A</v>
      </c>
      <c r="B3449" s="2" t="str">
        <f>HYPERLINK("https://www.compass.com/building/the-park-loggia-manhattan-ny/292861833130357557/","The Park Loggia")</f>
        <v>The Park Loggia</v>
      </c>
      <c r="C3449" s="1" t="s">
        <v>50</v>
      </c>
      <c r="D3449" s="1" t="s">
        <v>41</v>
      </c>
      <c r="E3449" s="3">
        <v>6405206</v>
      </c>
      <c r="F3449" s="1">
        <v>3343.0095250521899</v>
      </c>
      <c r="G3449" s="1">
        <v>5</v>
      </c>
      <c r="H3449" s="1">
        <v>3</v>
      </c>
      <c r="I3449" s="1">
        <v>3</v>
      </c>
      <c r="J3449" s="1">
        <v>2.5</v>
      </c>
      <c r="K3449" s="1">
        <v>2</v>
      </c>
      <c r="L3449" s="1">
        <v>1</v>
      </c>
      <c r="M3449" s="4">
        <v>1916</v>
      </c>
      <c r="N3449" s="1">
        <v>2061</v>
      </c>
      <c r="O3449" s="1">
        <v>4044</v>
      </c>
      <c r="P3449" s="1">
        <v>1983</v>
      </c>
      <c r="Q3449" s="1" t="s">
        <v>42</v>
      </c>
      <c r="S3449" s="1" t="s">
        <v>42</v>
      </c>
      <c r="T3449" s="1" t="s">
        <v>170</v>
      </c>
      <c r="U3449" s="1">
        <v>80</v>
      </c>
      <c r="V3449" s="5">
        <v>43937</v>
      </c>
      <c r="W3449" s="5">
        <v>43829</v>
      </c>
      <c r="X3449" s="1">
        <v>6275000</v>
      </c>
      <c r="Y3449" s="1">
        <v>6275000</v>
      </c>
      <c r="AA3449" s="1">
        <v>6405206.25</v>
      </c>
      <c r="AB3449" s="1" t="s">
        <v>2638</v>
      </c>
      <c r="AC3449" s="5">
        <v>43935</v>
      </c>
      <c r="AF3449" s="1">
        <v>10023</v>
      </c>
      <c r="AI3449" s="1" t="s">
        <v>103</v>
      </c>
      <c r="AJ3449" s="1">
        <v>2019</v>
      </c>
      <c r="AK3449" s="1" t="s">
        <v>77</v>
      </c>
      <c r="AL3449" s="1">
        <v>172</v>
      </c>
    </row>
    <row r="3450" spans="1:38" x14ac:dyDescent="0.2">
      <c r="A3450" s="2" t="str">
        <f>HYPERLINK("https://www.compass.com/listing/225-east-19th-street-unit-406-manhattan-ny-10003/49675616978553681/","225 E 19th St, Unit 406")</f>
        <v>225 E 19th St, Unit 406</v>
      </c>
      <c r="B3450" s="2" t="str">
        <f>HYPERLINK("https://www.compass.com/building/the-prewar-at-gramercy-square-manhattan-ny/282059248584654437/","The Prewar at Gramercy Square")</f>
        <v>The Prewar at Gramercy Square</v>
      </c>
      <c r="C3450" s="1" t="s">
        <v>54</v>
      </c>
      <c r="D3450" s="1" t="s">
        <v>41</v>
      </c>
      <c r="E3450" s="3">
        <v>2598497</v>
      </c>
      <c r="F3450" s="1">
        <v>2077.1357873700999</v>
      </c>
      <c r="M3450" s="4">
        <v>1251</v>
      </c>
      <c r="Q3450" s="1" t="s">
        <v>42</v>
      </c>
      <c r="S3450" s="1" t="s">
        <v>42</v>
      </c>
      <c r="T3450" s="1" t="s">
        <v>170</v>
      </c>
      <c r="AA3450" s="1">
        <v>2598496.87</v>
      </c>
      <c r="AB3450" s="1" t="s">
        <v>2639</v>
      </c>
      <c r="AC3450" s="5">
        <v>43311</v>
      </c>
      <c r="AF3450" s="1">
        <v>10003</v>
      </c>
      <c r="AI3450" s="1" t="s">
        <v>76</v>
      </c>
      <c r="AJ3450" s="1">
        <v>1920</v>
      </c>
      <c r="AK3450" s="1" t="s">
        <v>46</v>
      </c>
      <c r="AL3450" s="1">
        <v>48</v>
      </c>
    </row>
    <row r="3451" spans="1:38" x14ac:dyDescent="0.2">
      <c r="A3451" s="2" t="str">
        <f>HYPERLINK("https://www.compass.com/listing/15-west-61st-street-unit-ph2a-manhattan-ny-10023/500423604056658945/","15 W 61st St, Unit PH2A")</f>
        <v>15 W 61st St, Unit PH2A</v>
      </c>
      <c r="B3451" s="2" t="str">
        <f>HYPERLINK("https://www.compass.com/building/the-park-loggia-manhattan-ny/292861833130357557/","The Park Loggia")</f>
        <v>The Park Loggia</v>
      </c>
      <c r="C3451" s="1" t="s">
        <v>50</v>
      </c>
      <c r="D3451" s="1" t="s">
        <v>41</v>
      </c>
      <c r="E3451" s="3">
        <v>9400000</v>
      </c>
      <c r="F3451" s="1">
        <v>3931.4094521120801</v>
      </c>
      <c r="M3451" s="4">
        <v>2391</v>
      </c>
      <c r="Q3451" s="1" t="s">
        <v>42</v>
      </c>
      <c r="S3451" s="1" t="s">
        <v>42</v>
      </c>
      <c r="T3451" s="1" t="s">
        <v>170</v>
      </c>
      <c r="AA3451" s="1">
        <v>9400000</v>
      </c>
      <c r="AB3451" s="1" t="s">
        <v>2640</v>
      </c>
      <c r="AC3451" s="5">
        <v>43927</v>
      </c>
      <c r="AF3451" s="1">
        <v>10023</v>
      </c>
      <c r="AI3451" s="1" t="s">
        <v>76</v>
      </c>
      <c r="AJ3451" s="1">
        <v>2019</v>
      </c>
      <c r="AK3451" s="1" t="s">
        <v>49</v>
      </c>
      <c r="AL3451" s="1">
        <v>172</v>
      </c>
    </row>
    <row r="3452" spans="1:38" x14ac:dyDescent="0.2">
      <c r="A3452" s="2" t="str">
        <f>HYPERLINK("https://www.compass.com/listing/200-east-95th-street-unit-4j-manhattan-ny-10128/506951024846848001/","200 E 95th St, Unit 4J")</f>
        <v>200 E 95th St, Unit 4J</v>
      </c>
      <c r="B3452" s="2" t="str">
        <f>HYPERLINK("https://www.compass.com/building/the-kent-manhattan-ny/282049801384650021/","The Kent")</f>
        <v>The Kent</v>
      </c>
      <c r="C3452" s="1" t="s">
        <v>115</v>
      </c>
      <c r="D3452" s="1" t="s">
        <v>41</v>
      </c>
      <c r="E3452" s="3">
        <v>371300</v>
      </c>
      <c r="F3452" s="1">
        <v>645.73913043478206</v>
      </c>
      <c r="M3452" s="1">
        <v>575</v>
      </c>
      <c r="Q3452" s="1" t="s">
        <v>42</v>
      </c>
      <c r="S3452" s="1" t="s">
        <v>42</v>
      </c>
      <c r="T3452" s="1" t="s">
        <v>170</v>
      </c>
      <c r="AA3452" s="1">
        <v>371300</v>
      </c>
      <c r="AB3452" s="1" t="s">
        <v>2641</v>
      </c>
      <c r="AC3452" s="5">
        <v>43942</v>
      </c>
      <c r="AF3452" s="1">
        <v>10128</v>
      </c>
      <c r="AJ3452" s="1">
        <v>2017</v>
      </c>
      <c r="AK3452" s="1" t="s">
        <v>46</v>
      </c>
      <c r="AL3452" s="1">
        <v>83</v>
      </c>
    </row>
    <row r="3453" spans="1:38" x14ac:dyDescent="0.2">
      <c r="A3453" s="2" t="str">
        <f>HYPERLINK("https://www.compass.com/listing/2351-adam-clayton-powell-jr-boulevard-unit-703-p-manhattan-ny-10030/515102961083749257/","2351 Adam Clayton Powell Jr Blvd, Unit 703/P")</f>
        <v>2351 Adam Clayton Powell Jr Blvd, Unit 703/P</v>
      </c>
      <c r="B3453" s="2" t="str">
        <f>HYPERLINK("https://www.compass.com/building/the-rennie-manhattan-ny/307439143554395509/","THE RENNIE")</f>
        <v>THE RENNIE</v>
      </c>
      <c r="C3453" s="1" t="s">
        <v>61</v>
      </c>
      <c r="D3453" s="1" t="s">
        <v>41</v>
      </c>
      <c r="E3453" s="3">
        <v>985000</v>
      </c>
      <c r="F3453" s="1">
        <v>1371.86629526462</v>
      </c>
      <c r="M3453" s="1">
        <v>718</v>
      </c>
      <c r="Q3453" s="1" t="s">
        <v>42</v>
      </c>
      <c r="S3453" s="1" t="s">
        <v>42</v>
      </c>
      <c r="T3453" s="1" t="s">
        <v>170</v>
      </c>
      <c r="AA3453" s="1">
        <v>985000</v>
      </c>
      <c r="AB3453" s="1" t="s">
        <v>2642</v>
      </c>
      <c r="AC3453" s="5">
        <v>43920</v>
      </c>
      <c r="AF3453" s="1">
        <v>10030</v>
      </c>
      <c r="AI3453" s="1" t="s">
        <v>45</v>
      </c>
      <c r="AJ3453" s="1">
        <v>2018</v>
      </c>
      <c r="AK3453" s="1" t="s">
        <v>49</v>
      </c>
      <c r="AL3453" s="1">
        <v>106</v>
      </c>
    </row>
    <row r="3454" spans="1:38" x14ac:dyDescent="0.2">
      <c r="A3454" s="2" t="str">
        <f>HYPERLINK("https://www.compass.com/listing/551-main-street-unit-res-manhattan-ny-10044/519261906379707137/","551 Main St, Unit RES")</f>
        <v>551 Main St, Unit RES</v>
      </c>
      <c r="B3454" s="2" t="str">
        <f t="shared" ref="B3454:B3568" si="430">HYPERLINK("https://www.compass.com/building/island-house-manhattan-ny/282059863998105557/","Island House")</f>
        <v>Island House</v>
      </c>
      <c r="C3454" s="1" t="s">
        <v>128</v>
      </c>
      <c r="D3454" s="1" t="s">
        <v>41</v>
      </c>
      <c r="E3454" s="3">
        <v>230993</v>
      </c>
      <c r="Q3454" s="1" t="s">
        <v>129</v>
      </c>
      <c r="S3454" s="1" t="s">
        <v>129</v>
      </c>
      <c r="T3454" s="1" t="s">
        <v>170</v>
      </c>
      <c r="AA3454" s="1">
        <v>230993.3</v>
      </c>
      <c r="AB3454" s="1" t="s">
        <v>2643</v>
      </c>
      <c r="AC3454" s="5">
        <v>42233</v>
      </c>
      <c r="AF3454" s="1">
        <v>10044</v>
      </c>
      <c r="AJ3454" s="1">
        <v>1975</v>
      </c>
      <c r="AL3454" s="1">
        <v>400</v>
      </c>
    </row>
    <row r="3455" spans="1:38" x14ac:dyDescent="0.2">
      <c r="A3455" s="2" t="str">
        <f>HYPERLINK("https://www.compass.com/listing/551-main-street-unit-res-manhattan-ny-10044/519261906379707169/","551 Main St, Unit RES")</f>
        <v>551 Main St, Unit RES</v>
      </c>
      <c r="B3455" s="2" t="str">
        <f t="shared" si="430"/>
        <v>Island House</v>
      </c>
      <c r="C3455" s="1" t="s">
        <v>128</v>
      </c>
      <c r="D3455" s="1" t="s">
        <v>41</v>
      </c>
      <c r="E3455" s="3">
        <v>216793</v>
      </c>
      <c r="Q3455" s="1" t="s">
        <v>129</v>
      </c>
      <c r="S3455" s="1" t="s">
        <v>129</v>
      </c>
      <c r="T3455" s="1" t="s">
        <v>170</v>
      </c>
      <c r="AA3455" s="1">
        <v>216792.8</v>
      </c>
      <c r="AB3455" s="1" t="s">
        <v>2644</v>
      </c>
      <c r="AC3455" s="5">
        <v>42257</v>
      </c>
      <c r="AF3455" s="1">
        <v>10044</v>
      </c>
      <c r="AJ3455" s="1">
        <v>1975</v>
      </c>
      <c r="AL3455" s="1">
        <v>400</v>
      </c>
    </row>
    <row r="3456" spans="1:38" x14ac:dyDescent="0.2">
      <c r="A3456" s="2" t="str">
        <f>HYPERLINK("https://www.compass.com/listing/551-main-street-unit-res-manhattan-ny-10044/519261906379707185/","551 Main St, Unit RES")</f>
        <v>551 Main St, Unit RES</v>
      </c>
      <c r="B3456" s="2" t="str">
        <f t="shared" si="430"/>
        <v>Island House</v>
      </c>
      <c r="C3456" s="1" t="s">
        <v>128</v>
      </c>
      <c r="D3456" s="1" t="s">
        <v>41</v>
      </c>
      <c r="E3456" s="3">
        <v>420580</v>
      </c>
      <c r="Q3456" s="1" t="s">
        <v>129</v>
      </c>
      <c r="S3456" s="1" t="s">
        <v>129</v>
      </c>
      <c r="T3456" s="1" t="s">
        <v>170</v>
      </c>
      <c r="AA3456" s="1">
        <v>420579.7</v>
      </c>
      <c r="AB3456" s="1" t="s">
        <v>2645</v>
      </c>
      <c r="AC3456" s="5">
        <v>42249</v>
      </c>
      <c r="AF3456" s="1">
        <v>10044</v>
      </c>
      <c r="AJ3456" s="1">
        <v>1975</v>
      </c>
      <c r="AL3456" s="1">
        <v>400</v>
      </c>
    </row>
    <row r="3457" spans="1:38" x14ac:dyDescent="0.2">
      <c r="A3457" s="2" t="str">
        <f>HYPERLINK("https://www.compass.com/listing/551-main-street-unit-res-manhattan-ny-10044/519261906379707201/","551 Main St, Unit RES")</f>
        <v>551 Main St, Unit RES</v>
      </c>
      <c r="B3457" s="2" t="str">
        <f t="shared" si="430"/>
        <v>Island House</v>
      </c>
      <c r="C3457" s="1" t="s">
        <v>128</v>
      </c>
      <c r="D3457" s="1" t="s">
        <v>41</v>
      </c>
      <c r="E3457" s="3">
        <v>305452</v>
      </c>
      <c r="Q3457" s="1" t="s">
        <v>129</v>
      </c>
      <c r="S3457" s="1" t="s">
        <v>129</v>
      </c>
      <c r="T3457" s="1" t="s">
        <v>170</v>
      </c>
      <c r="AA3457" s="1">
        <v>305452.2</v>
      </c>
      <c r="AB3457" s="1" t="s">
        <v>2646</v>
      </c>
      <c r="AC3457" s="5">
        <v>42223</v>
      </c>
      <c r="AF3457" s="1">
        <v>10044</v>
      </c>
      <c r="AJ3457" s="1">
        <v>1975</v>
      </c>
      <c r="AL3457" s="1">
        <v>400</v>
      </c>
    </row>
    <row r="3458" spans="1:38" x14ac:dyDescent="0.2">
      <c r="A3458" s="2" t="str">
        <f>HYPERLINK("https://www.compass.com/listing/551-main-street-unit-res-manhattan-ny-10044/519261906379707217/","551 Main St, Unit RES")</f>
        <v>551 Main St, Unit RES</v>
      </c>
      <c r="B3458" s="2" t="str">
        <f t="shared" si="430"/>
        <v>Island House</v>
      </c>
      <c r="C3458" s="1" t="s">
        <v>128</v>
      </c>
      <c r="D3458" s="1" t="s">
        <v>41</v>
      </c>
      <c r="E3458" s="3">
        <v>466858</v>
      </c>
      <c r="Q3458" s="1" t="s">
        <v>129</v>
      </c>
      <c r="S3458" s="1" t="s">
        <v>129</v>
      </c>
      <c r="T3458" s="1" t="s">
        <v>170</v>
      </c>
      <c r="AA3458" s="1">
        <v>466857.8</v>
      </c>
      <c r="AB3458" s="1" t="s">
        <v>2647</v>
      </c>
      <c r="AC3458" s="5">
        <v>42248</v>
      </c>
      <c r="AF3458" s="1">
        <v>10044</v>
      </c>
      <c r="AJ3458" s="1">
        <v>1975</v>
      </c>
      <c r="AL3458" s="1">
        <v>400</v>
      </c>
    </row>
    <row r="3459" spans="1:38" x14ac:dyDescent="0.2">
      <c r="A3459" s="2" t="str">
        <f>HYPERLINK("https://www.compass.com/listing/551-main-street-unit-res-manhattan-ny-10044/519261906379707225/","551 Main St, Unit RES")</f>
        <v>551 Main St, Unit RES</v>
      </c>
      <c r="B3459" s="2" t="str">
        <f t="shared" si="430"/>
        <v>Island House</v>
      </c>
      <c r="C3459" s="1" t="s">
        <v>128</v>
      </c>
      <c r="D3459" s="1" t="s">
        <v>41</v>
      </c>
      <c r="E3459" s="3">
        <v>176186</v>
      </c>
      <c r="Q3459" s="1" t="s">
        <v>129</v>
      </c>
      <c r="S3459" s="1" t="s">
        <v>129</v>
      </c>
      <c r="T3459" s="1" t="s">
        <v>170</v>
      </c>
      <c r="AA3459" s="1">
        <v>176186.3</v>
      </c>
      <c r="AB3459" s="1" t="s">
        <v>2648</v>
      </c>
      <c r="AC3459" s="5">
        <v>42249</v>
      </c>
      <c r="AF3459" s="1">
        <v>10044</v>
      </c>
      <c r="AJ3459" s="1">
        <v>1975</v>
      </c>
      <c r="AL3459" s="1">
        <v>400</v>
      </c>
    </row>
    <row r="3460" spans="1:38" x14ac:dyDescent="0.2">
      <c r="A3460" s="2" t="str">
        <f>HYPERLINK("https://www.compass.com/listing/551-main-street-unit-res-manhattan-ny-10044/519261906379707233/","551 Main St, Unit RES")</f>
        <v>551 Main St, Unit RES</v>
      </c>
      <c r="B3460" s="2" t="str">
        <f t="shared" si="430"/>
        <v>Island House</v>
      </c>
      <c r="C3460" s="1" t="s">
        <v>128</v>
      </c>
      <c r="D3460" s="1" t="s">
        <v>41</v>
      </c>
      <c r="E3460" s="3">
        <v>450729</v>
      </c>
      <c r="Q3460" s="1" t="s">
        <v>129</v>
      </c>
      <c r="S3460" s="1" t="s">
        <v>129</v>
      </c>
      <c r="T3460" s="1" t="s">
        <v>170</v>
      </c>
      <c r="AA3460" s="1">
        <v>450729.4</v>
      </c>
      <c r="AB3460" s="1" t="s">
        <v>2649</v>
      </c>
      <c r="AC3460" s="5">
        <v>42255</v>
      </c>
      <c r="AF3460" s="1">
        <v>10044</v>
      </c>
      <c r="AJ3460" s="1">
        <v>1975</v>
      </c>
      <c r="AL3460" s="1">
        <v>400</v>
      </c>
    </row>
    <row r="3461" spans="1:38" x14ac:dyDescent="0.2">
      <c r="A3461" s="2" t="str">
        <f>HYPERLINK("https://www.compass.com/listing/551-main-street-unit-res-manhattan-ny-10044/519261906379707241/","551 Main St, Unit RES")</f>
        <v>551 Main St, Unit RES</v>
      </c>
      <c r="B3461" s="2" t="str">
        <f t="shared" si="430"/>
        <v>Island House</v>
      </c>
      <c r="C3461" s="1" t="s">
        <v>128</v>
      </c>
      <c r="D3461" s="1" t="s">
        <v>41</v>
      </c>
      <c r="E3461" s="3">
        <v>314229</v>
      </c>
      <c r="Q3461" s="1" t="s">
        <v>129</v>
      </c>
      <c r="S3461" s="1" t="s">
        <v>129</v>
      </c>
      <c r="T3461" s="1" t="s">
        <v>170</v>
      </c>
      <c r="AA3461" s="1">
        <v>314229.2</v>
      </c>
      <c r="AB3461" s="1" t="s">
        <v>2650</v>
      </c>
      <c r="AC3461" s="5">
        <v>42256</v>
      </c>
      <c r="AF3461" s="1">
        <v>10044</v>
      </c>
      <c r="AJ3461" s="1">
        <v>1975</v>
      </c>
      <c r="AL3461" s="1">
        <v>400</v>
      </c>
    </row>
    <row r="3462" spans="1:38" x14ac:dyDescent="0.2">
      <c r="A3462" s="2" t="str">
        <f>HYPERLINK("https://www.compass.com/listing/551-main-street-unit-res-manhattan-ny-10044/519261906379707249/","551 Main St, Unit RES")</f>
        <v>551 Main St, Unit RES</v>
      </c>
      <c r="B3462" s="2" t="str">
        <f t="shared" si="430"/>
        <v>Island House</v>
      </c>
      <c r="C3462" s="1" t="s">
        <v>128</v>
      </c>
      <c r="D3462" s="1" t="s">
        <v>41</v>
      </c>
      <c r="E3462" s="3">
        <v>469099</v>
      </c>
      <c r="Q3462" s="1" t="s">
        <v>129</v>
      </c>
      <c r="S3462" s="1" t="s">
        <v>129</v>
      </c>
      <c r="T3462" s="1" t="s">
        <v>170</v>
      </c>
      <c r="AA3462" s="1">
        <v>469098.8</v>
      </c>
      <c r="AB3462" s="1" t="s">
        <v>2651</v>
      </c>
      <c r="AC3462" s="5">
        <v>42257</v>
      </c>
      <c r="AF3462" s="1">
        <v>10044</v>
      </c>
      <c r="AJ3462" s="1">
        <v>1975</v>
      </c>
      <c r="AL3462" s="1">
        <v>400</v>
      </c>
    </row>
    <row r="3463" spans="1:38" x14ac:dyDescent="0.2">
      <c r="A3463" s="2" t="str">
        <f>HYPERLINK("https://www.compass.com/listing/551-main-street-unit-res-manhattan-ny-10044/519261906379707273/","551 Main St, Unit RES")</f>
        <v>551 Main St, Unit RES</v>
      </c>
      <c r="B3463" s="2" t="str">
        <f t="shared" si="430"/>
        <v>Island House</v>
      </c>
      <c r="C3463" s="1" t="s">
        <v>128</v>
      </c>
      <c r="D3463" s="1" t="s">
        <v>41</v>
      </c>
      <c r="E3463" s="3">
        <v>533028</v>
      </c>
      <c r="Q3463" s="1" t="s">
        <v>129</v>
      </c>
      <c r="S3463" s="1" t="s">
        <v>129</v>
      </c>
      <c r="T3463" s="1" t="s">
        <v>170</v>
      </c>
      <c r="AA3463" s="1">
        <v>533028.19999999995</v>
      </c>
      <c r="AB3463" s="1" t="s">
        <v>2652</v>
      </c>
      <c r="AC3463" s="5">
        <v>42228</v>
      </c>
      <c r="AF3463" s="1">
        <v>10044</v>
      </c>
      <c r="AJ3463" s="1">
        <v>1975</v>
      </c>
      <c r="AL3463" s="1">
        <v>400</v>
      </c>
    </row>
    <row r="3464" spans="1:38" x14ac:dyDescent="0.2">
      <c r="A3464" s="2" t="str">
        <f>HYPERLINK("https://www.compass.com/listing/551-main-street-unit-res-manhattan-ny-10044/519261906379707281/","551 Main St, Unit RES")</f>
        <v>551 Main St, Unit RES</v>
      </c>
      <c r="B3464" s="2" t="str">
        <f t="shared" si="430"/>
        <v>Island House</v>
      </c>
      <c r="C3464" s="1" t="s">
        <v>128</v>
      </c>
      <c r="D3464" s="1" t="s">
        <v>41</v>
      </c>
      <c r="E3464" s="3">
        <v>436769</v>
      </c>
      <c r="Q3464" s="1" t="s">
        <v>129</v>
      </c>
      <c r="S3464" s="1" t="s">
        <v>129</v>
      </c>
      <c r="T3464" s="1" t="s">
        <v>170</v>
      </c>
      <c r="AA3464" s="1">
        <v>436769.1</v>
      </c>
      <c r="AB3464" s="1" t="s">
        <v>2653</v>
      </c>
      <c r="AC3464" s="5">
        <v>42248</v>
      </c>
      <c r="AF3464" s="1">
        <v>10044</v>
      </c>
      <c r="AJ3464" s="1">
        <v>1975</v>
      </c>
      <c r="AL3464" s="1">
        <v>400</v>
      </c>
    </row>
    <row r="3465" spans="1:38" x14ac:dyDescent="0.2">
      <c r="A3465" s="2" t="str">
        <f>HYPERLINK("https://www.compass.com/listing/551-main-street-unit-res-manhattan-ny-10044/519261906379707305/","551 Main St, Unit RES")</f>
        <v>551 Main St, Unit RES</v>
      </c>
      <c r="B3465" s="2" t="str">
        <f t="shared" si="430"/>
        <v>Island House</v>
      </c>
      <c r="C3465" s="1" t="s">
        <v>128</v>
      </c>
      <c r="D3465" s="1" t="s">
        <v>41</v>
      </c>
      <c r="E3465" s="3">
        <v>181918</v>
      </c>
      <c r="Q3465" s="1" t="s">
        <v>129</v>
      </c>
      <c r="S3465" s="1" t="s">
        <v>129</v>
      </c>
      <c r="T3465" s="1" t="s">
        <v>170</v>
      </c>
      <c r="AA3465" s="1">
        <v>181917.9</v>
      </c>
      <c r="AB3465" s="1" t="s">
        <v>2654</v>
      </c>
      <c r="AC3465" s="5">
        <v>42233</v>
      </c>
      <c r="AF3465" s="1">
        <v>10044</v>
      </c>
      <c r="AJ3465" s="1">
        <v>1975</v>
      </c>
      <c r="AL3465" s="1">
        <v>400</v>
      </c>
    </row>
    <row r="3466" spans="1:38" x14ac:dyDescent="0.2">
      <c r="A3466" s="2" t="str">
        <f>HYPERLINK("https://www.compass.com/listing/551-main-street-unit-res-manhattan-ny-10044/519261906379707321/","551 Main St, Unit RES")</f>
        <v>551 Main St, Unit RES</v>
      </c>
      <c r="B3466" s="2" t="str">
        <f t="shared" si="430"/>
        <v>Island House</v>
      </c>
      <c r="C3466" s="1" t="s">
        <v>128</v>
      </c>
      <c r="D3466" s="1" t="s">
        <v>41</v>
      </c>
      <c r="E3466" s="3">
        <v>364484</v>
      </c>
      <c r="Q3466" s="1" t="s">
        <v>129</v>
      </c>
      <c r="S3466" s="1" t="s">
        <v>129</v>
      </c>
      <c r="T3466" s="1" t="s">
        <v>170</v>
      </c>
      <c r="AA3466" s="1">
        <v>364483.9</v>
      </c>
      <c r="AB3466" s="1" t="s">
        <v>2655</v>
      </c>
      <c r="AC3466" s="5">
        <v>42240</v>
      </c>
      <c r="AF3466" s="1">
        <v>10044</v>
      </c>
      <c r="AJ3466" s="1">
        <v>1975</v>
      </c>
      <c r="AL3466" s="1">
        <v>400</v>
      </c>
    </row>
    <row r="3467" spans="1:38" x14ac:dyDescent="0.2">
      <c r="A3467" s="2" t="str">
        <f>HYPERLINK("https://www.compass.com/listing/551-main-street-unit-res-manhattan-ny-10044/519261906379707337/","551 Main St, Unit RES")</f>
        <v>551 Main St, Unit RES</v>
      </c>
      <c r="B3467" s="2" t="str">
        <f t="shared" si="430"/>
        <v>Island House</v>
      </c>
      <c r="C3467" s="1" t="s">
        <v>128</v>
      </c>
      <c r="D3467" s="1" t="s">
        <v>41</v>
      </c>
      <c r="E3467" s="3">
        <v>203824</v>
      </c>
      <c r="Q3467" s="1" t="s">
        <v>129</v>
      </c>
      <c r="S3467" s="1" t="s">
        <v>129</v>
      </c>
      <c r="T3467" s="1" t="s">
        <v>170</v>
      </c>
      <c r="AA3467" s="1">
        <v>203823.61</v>
      </c>
      <c r="AB3467" s="1" t="s">
        <v>2656</v>
      </c>
      <c r="AC3467" s="5">
        <v>42241</v>
      </c>
      <c r="AF3467" s="1">
        <v>10044</v>
      </c>
      <c r="AJ3467" s="1">
        <v>1975</v>
      </c>
      <c r="AL3467" s="1">
        <v>400</v>
      </c>
    </row>
    <row r="3468" spans="1:38" x14ac:dyDescent="0.2">
      <c r="A3468" s="2" t="str">
        <f>HYPERLINK("https://www.compass.com/listing/551-main-street-unit-res-manhattan-ny-10044/519261906379707345/","551 Main St, Unit RES")</f>
        <v>551 Main St, Unit RES</v>
      </c>
      <c r="B3468" s="2" t="str">
        <f t="shared" si="430"/>
        <v>Island House</v>
      </c>
      <c r="C3468" s="1" t="s">
        <v>128</v>
      </c>
      <c r="D3468" s="1" t="s">
        <v>41</v>
      </c>
      <c r="E3468" s="3">
        <v>513379</v>
      </c>
      <c r="Q3468" s="1" t="s">
        <v>129</v>
      </c>
      <c r="S3468" s="1" t="s">
        <v>129</v>
      </c>
      <c r="T3468" s="1" t="s">
        <v>170</v>
      </c>
      <c r="AA3468" s="1">
        <v>513379</v>
      </c>
      <c r="AB3468" s="1" t="s">
        <v>2657</v>
      </c>
      <c r="AC3468" s="5">
        <v>42230</v>
      </c>
      <c r="AF3468" s="1">
        <v>10044</v>
      </c>
      <c r="AJ3468" s="1">
        <v>1975</v>
      </c>
      <c r="AL3468" s="1">
        <v>400</v>
      </c>
    </row>
    <row r="3469" spans="1:38" x14ac:dyDescent="0.2">
      <c r="A3469" s="2" t="str">
        <f>HYPERLINK("https://www.compass.com/listing/551-main-street-unit-res-manhattan-ny-10044/519261906379707353/","551 Main St, Unit RES")</f>
        <v>551 Main St, Unit RES</v>
      </c>
      <c r="B3469" s="2" t="str">
        <f t="shared" si="430"/>
        <v>Island House</v>
      </c>
      <c r="C3469" s="1" t="s">
        <v>128</v>
      </c>
      <c r="D3469" s="1" t="s">
        <v>41</v>
      </c>
      <c r="E3469" s="3">
        <v>426585</v>
      </c>
      <c r="Q3469" s="1" t="s">
        <v>129</v>
      </c>
      <c r="S3469" s="1" t="s">
        <v>129</v>
      </c>
      <c r="T3469" s="1" t="s">
        <v>170</v>
      </c>
      <c r="AA3469" s="1">
        <v>426585.4</v>
      </c>
      <c r="AB3469" s="1" t="s">
        <v>2658</v>
      </c>
      <c r="AC3469" s="5">
        <v>42241</v>
      </c>
      <c r="AF3469" s="1">
        <v>10044</v>
      </c>
      <c r="AJ3469" s="1">
        <v>1975</v>
      </c>
      <c r="AL3469" s="1">
        <v>400</v>
      </c>
    </row>
    <row r="3470" spans="1:38" x14ac:dyDescent="0.2">
      <c r="A3470" s="2" t="str">
        <f>HYPERLINK("https://www.compass.com/listing/551-main-street-unit-res-manhattan-ny-10044/519261906379707377/","551 Main St, Unit RES")</f>
        <v>551 Main St, Unit RES</v>
      </c>
      <c r="B3470" s="2" t="str">
        <f t="shared" si="430"/>
        <v>Island House</v>
      </c>
      <c r="C3470" s="1" t="s">
        <v>128</v>
      </c>
      <c r="D3470" s="1" t="s">
        <v>41</v>
      </c>
      <c r="E3470" s="3">
        <v>383993</v>
      </c>
      <c r="Q3470" s="1" t="s">
        <v>129</v>
      </c>
      <c r="S3470" s="1" t="s">
        <v>129</v>
      </c>
      <c r="T3470" s="1" t="s">
        <v>170</v>
      </c>
      <c r="AA3470" s="1">
        <v>383993</v>
      </c>
      <c r="AB3470" s="1" t="s">
        <v>2659</v>
      </c>
      <c r="AC3470" s="5">
        <v>42249</v>
      </c>
      <c r="AF3470" s="1">
        <v>10044</v>
      </c>
      <c r="AJ3470" s="1">
        <v>1975</v>
      </c>
      <c r="AL3470" s="1">
        <v>400</v>
      </c>
    </row>
    <row r="3471" spans="1:38" x14ac:dyDescent="0.2">
      <c r="A3471" s="2" t="str">
        <f>HYPERLINK("https://www.compass.com/listing/551-main-street-unit-res-manhattan-ny-10044/519261906379707385/","551 Main St, Unit RES")</f>
        <v>551 Main St, Unit RES</v>
      </c>
      <c r="B3471" s="2" t="str">
        <f t="shared" si="430"/>
        <v>Island House</v>
      </c>
      <c r="C3471" s="1" t="s">
        <v>128</v>
      </c>
      <c r="D3471" s="1" t="s">
        <v>41</v>
      </c>
      <c r="E3471" s="3">
        <v>323408</v>
      </c>
      <c r="Q3471" s="1" t="s">
        <v>129</v>
      </c>
      <c r="S3471" s="1" t="s">
        <v>129</v>
      </c>
      <c r="T3471" s="1" t="s">
        <v>170</v>
      </c>
      <c r="AA3471" s="1">
        <v>323408.40000000002</v>
      </c>
      <c r="AB3471" s="1" t="s">
        <v>2660</v>
      </c>
      <c r="AC3471" s="5">
        <v>42230</v>
      </c>
      <c r="AF3471" s="1">
        <v>10044</v>
      </c>
      <c r="AJ3471" s="1">
        <v>1975</v>
      </c>
      <c r="AL3471" s="1">
        <v>400</v>
      </c>
    </row>
    <row r="3472" spans="1:38" x14ac:dyDescent="0.2">
      <c r="A3472" s="2" t="str">
        <f>HYPERLINK("https://www.compass.com/listing/551-main-street-unit-res-manhattan-ny-10044/519261906379707393/","551 Main St, Unit RES")</f>
        <v>551 Main St, Unit RES</v>
      </c>
      <c r="B3472" s="2" t="str">
        <f t="shared" si="430"/>
        <v>Island House</v>
      </c>
      <c r="C3472" s="1" t="s">
        <v>128</v>
      </c>
      <c r="D3472" s="1" t="s">
        <v>41</v>
      </c>
      <c r="E3472" s="3">
        <v>492566</v>
      </c>
      <c r="Q3472" s="1" t="s">
        <v>129</v>
      </c>
      <c r="S3472" s="1" t="s">
        <v>129</v>
      </c>
      <c r="T3472" s="1" t="s">
        <v>170</v>
      </c>
      <c r="AA3472" s="1">
        <v>492565.7</v>
      </c>
      <c r="AB3472" s="1" t="s">
        <v>2661</v>
      </c>
      <c r="AC3472" s="5">
        <v>42223</v>
      </c>
      <c r="AF3472" s="1">
        <v>10044</v>
      </c>
      <c r="AJ3472" s="1">
        <v>1975</v>
      </c>
      <c r="AL3472" s="1">
        <v>400</v>
      </c>
    </row>
    <row r="3473" spans="1:38" x14ac:dyDescent="0.2">
      <c r="A3473" s="2" t="str">
        <f>HYPERLINK("https://www.compass.com/listing/551-main-street-unit-res-manhattan-ny-10044/519261906379707401/","551 Main St, Unit RES")</f>
        <v>551 Main St, Unit RES</v>
      </c>
      <c r="B3473" s="2" t="str">
        <f t="shared" si="430"/>
        <v>Island House</v>
      </c>
      <c r="C3473" s="1" t="s">
        <v>128</v>
      </c>
      <c r="D3473" s="1" t="s">
        <v>41</v>
      </c>
      <c r="E3473" s="3">
        <v>257089</v>
      </c>
      <c r="Q3473" s="1" t="s">
        <v>129</v>
      </c>
      <c r="S3473" s="1" t="s">
        <v>129</v>
      </c>
      <c r="T3473" s="1" t="s">
        <v>170</v>
      </c>
      <c r="AA3473" s="1">
        <v>257089.2</v>
      </c>
      <c r="AB3473" s="1" t="s">
        <v>2662</v>
      </c>
      <c r="AC3473" s="5">
        <v>42223</v>
      </c>
      <c r="AF3473" s="1">
        <v>10044</v>
      </c>
      <c r="AJ3473" s="1">
        <v>1975</v>
      </c>
      <c r="AL3473" s="1">
        <v>400</v>
      </c>
    </row>
    <row r="3474" spans="1:38" x14ac:dyDescent="0.2">
      <c r="A3474" s="2" t="str">
        <f>HYPERLINK("https://www.compass.com/listing/551-main-street-unit-res-manhattan-ny-10044/519261906379707409/","551 Main St, Unit RES")</f>
        <v>551 Main St, Unit RES</v>
      </c>
      <c r="B3474" s="2" t="str">
        <f t="shared" si="430"/>
        <v>Island House</v>
      </c>
      <c r="C3474" s="1" t="s">
        <v>128</v>
      </c>
      <c r="D3474" s="1" t="s">
        <v>41</v>
      </c>
      <c r="E3474" s="3">
        <v>196107</v>
      </c>
      <c r="Q3474" s="1" t="s">
        <v>129</v>
      </c>
      <c r="S3474" s="1" t="s">
        <v>129</v>
      </c>
      <c r="T3474" s="1" t="s">
        <v>170</v>
      </c>
      <c r="AA3474" s="1">
        <v>196107.4</v>
      </c>
      <c r="AB3474" s="1" t="s">
        <v>2663</v>
      </c>
      <c r="AC3474" s="5">
        <v>42226</v>
      </c>
      <c r="AF3474" s="1">
        <v>10044</v>
      </c>
      <c r="AJ3474" s="1">
        <v>1975</v>
      </c>
      <c r="AL3474" s="1">
        <v>400</v>
      </c>
    </row>
    <row r="3475" spans="1:38" x14ac:dyDescent="0.2">
      <c r="A3475" s="2" t="str">
        <f>HYPERLINK("https://www.compass.com/listing/551-main-street-unit-res-manhattan-ny-10044/519261906379707441/","551 Main St, Unit RES")</f>
        <v>551 Main St, Unit RES</v>
      </c>
      <c r="B3475" s="2" t="str">
        <f t="shared" si="430"/>
        <v>Island House</v>
      </c>
      <c r="C3475" s="1" t="s">
        <v>128</v>
      </c>
      <c r="D3475" s="1" t="s">
        <v>41</v>
      </c>
      <c r="E3475" s="3">
        <v>455197</v>
      </c>
      <c r="Q3475" s="1" t="s">
        <v>129</v>
      </c>
      <c r="S3475" s="1" t="s">
        <v>129</v>
      </c>
      <c r="T3475" s="1" t="s">
        <v>170</v>
      </c>
      <c r="AA3475" s="1">
        <v>455196.5</v>
      </c>
      <c r="AB3475" s="1" t="s">
        <v>2664</v>
      </c>
      <c r="AC3475" s="5">
        <v>42226</v>
      </c>
      <c r="AF3475" s="1">
        <v>10044</v>
      </c>
      <c r="AJ3475" s="1">
        <v>1975</v>
      </c>
      <c r="AL3475" s="1">
        <v>400</v>
      </c>
    </row>
    <row r="3476" spans="1:38" x14ac:dyDescent="0.2">
      <c r="A3476" s="2" t="str">
        <f>HYPERLINK("https://www.compass.com/listing/551-main-street-unit-res-manhattan-ny-10044/519261906379707457/","551 Main St, Unit RES")</f>
        <v>551 Main St, Unit RES</v>
      </c>
      <c r="B3476" s="2" t="str">
        <f t="shared" si="430"/>
        <v>Island House</v>
      </c>
      <c r="C3476" s="1" t="s">
        <v>128</v>
      </c>
      <c r="D3476" s="1" t="s">
        <v>41</v>
      </c>
      <c r="E3476" s="3">
        <v>123598</v>
      </c>
      <c r="Q3476" s="1" t="s">
        <v>129</v>
      </c>
      <c r="S3476" s="1" t="s">
        <v>129</v>
      </c>
      <c r="T3476" s="1" t="s">
        <v>170</v>
      </c>
      <c r="AA3476" s="1">
        <v>123598.3</v>
      </c>
      <c r="AB3476" s="1" t="s">
        <v>2665</v>
      </c>
      <c r="AC3476" s="5">
        <v>42227</v>
      </c>
      <c r="AF3476" s="1">
        <v>10044</v>
      </c>
      <c r="AJ3476" s="1">
        <v>1975</v>
      </c>
      <c r="AL3476" s="1">
        <v>400</v>
      </c>
    </row>
    <row r="3477" spans="1:38" x14ac:dyDescent="0.2">
      <c r="A3477" s="2" t="str">
        <f>HYPERLINK("https://www.compass.com/listing/551-main-street-unit-res-manhattan-ny-10044/519261906379707473/","551 Main St, Unit RES")</f>
        <v>551 Main St, Unit RES</v>
      </c>
      <c r="B3477" s="2" t="str">
        <f t="shared" si="430"/>
        <v>Island House</v>
      </c>
      <c r="C3477" s="1" t="s">
        <v>128</v>
      </c>
      <c r="D3477" s="1" t="s">
        <v>41</v>
      </c>
      <c r="E3477" s="3">
        <v>321498</v>
      </c>
      <c r="Q3477" s="1" t="s">
        <v>129</v>
      </c>
      <c r="S3477" s="1" t="s">
        <v>129</v>
      </c>
      <c r="T3477" s="1" t="s">
        <v>170</v>
      </c>
      <c r="AA3477" s="1">
        <v>321497.5</v>
      </c>
      <c r="AB3477" s="1" t="s">
        <v>2666</v>
      </c>
      <c r="AC3477" s="5">
        <v>42233</v>
      </c>
      <c r="AF3477" s="1">
        <v>10044</v>
      </c>
      <c r="AJ3477" s="1">
        <v>1975</v>
      </c>
      <c r="AL3477" s="1">
        <v>400</v>
      </c>
    </row>
    <row r="3478" spans="1:38" x14ac:dyDescent="0.2">
      <c r="A3478" s="2" t="str">
        <f>HYPERLINK("https://www.compass.com/listing/551-main-street-unit-res-manhattan-ny-10044/519261906379707481/","551 Main St, Unit RES")</f>
        <v>551 Main St, Unit RES</v>
      </c>
      <c r="B3478" s="2" t="str">
        <f t="shared" si="430"/>
        <v>Island House</v>
      </c>
      <c r="C3478" s="1" t="s">
        <v>128</v>
      </c>
      <c r="D3478" s="1" t="s">
        <v>41</v>
      </c>
      <c r="E3478" s="3">
        <v>123598</v>
      </c>
      <c r="Q3478" s="1" t="s">
        <v>129</v>
      </c>
      <c r="S3478" s="1" t="s">
        <v>129</v>
      </c>
      <c r="T3478" s="1" t="s">
        <v>170</v>
      </c>
      <c r="AA3478" s="1">
        <v>123598.3</v>
      </c>
      <c r="AB3478" s="1" t="s">
        <v>2667</v>
      </c>
      <c r="AC3478" s="5">
        <v>42249</v>
      </c>
      <c r="AF3478" s="1">
        <v>10044</v>
      </c>
      <c r="AJ3478" s="1">
        <v>1975</v>
      </c>
      <c r="AL3478" s="1">
        <v>400</v>
      </c>
    </row>
    <row r="3479" spans="1:38" x14ac:dyDescent="0.2">
      <c r="A3479" s="2" t="str">
        <f>HYPERLINK("https://www.compass.com/listing/551-main-street-unit-res-manhattan-ny-10044/519261906379707505/","551 Main St, Unit RES")</f>
        <v>551 Main St, Unit RES</v>
      </c>
      <c r="B3479" s="2" t="str">
        <f t="shared" si="430"/>
        <v>Island House</v>
      </c>
      <c r="C3479" s="1" t="s">
        <v>128</v>
      </c>
      <c r="D3479" s="1" t="s">
        <v>41</v>
      </c>
      <c r="E3479" s="3">
        <v>335614</v>
      </c>
      <c r="Q3479" s="1" t="s">
        <v>129</v>
      </c>
      <c r="S3479" s="1" t="s">
        <v>129</v>
      </c>
      <c r="T3479" s="1" t="s">
        <v>170</v>
      </c>
      <c r="AA3479" s="1">
        <v>335614</v>
      </c>
      <c r="AB3479" s="1" t="s">
        <v>2668</v>
      </c>
      <c r="AC3479" s="5">
        <v>42226</v>
      </c>
      <c r="AF3479" s="1">
        <v>10044</v>
      </c>
      <c r="AJ3479" s="1">
        <v>1975</v>
      </c>
      <c r="AL3479" s="1">
        <v>400</v>
      </c>
    </row>
    <row r="3480" spans="1:38" x14ac:dyDescent="0.2">
      <c r="A3480" s="2" t="str">
        <f>HYPERLINK("https://www.compass.com/listing/551-main-street-unit-res-manhattan-ny-10044/519261906379707513/","551 Main St, Unit RES")</f>
        <v>551 Main St, Unit RES</v>
      </c>
      <c r="B3480" s="2" t="str">
        <f t="shared" si="430"/>
        <v>Island House</v>
      </c>
      <c r="C3480" s="1" t="s">
        <v>128</v>
      </c>
      <c r="D3480" s="1" t="s">
        <v>41</v>
      </c>
      <c r="E3480" s="3">
        <v>505598</v>
      </c>
      <c r="Q3480" s="1" t="s">
        <v>129</v>
      </c>
      <c r="S3480" s="1" t="s">
        <v>129</v>
      </c>
      <c r="T3480" s="1" t="s">
        <v>170</v>
      </c>
      <c r="AA3480" s="1">
        <v>505598.4</v>
      </c>
      <c r="AB3480" s="1" t="s">
        <v>2669</v>
      </c>
      <c r="AC3480" s="5">
        <v>42240</v>
      </c>
      <c r="AF3480" s="1">
        <v>10044</v>
      </c>
      <c r="AJ3480" s="1">
        <v>1975</v>
      </c>
      <c r="AL3480" s="1">
        <v>400</v>
      </c>
    </row>
    <row r="3481" spans="1:38" x14ac:dyDescent="0.2">
      <c r="A3481" s="2" t="str">
        <f>HYPERLINK("https://www.compass.com/listing/551-main-street-unit-res-manhattan-ny-10044/519261906379707521/","551 Main St, Unit RES")</f>
        <v>551 Main St, Unit RES</v>
      </c>
      <c r="B3481" s="2" t="str">
        <f t="shared" si="430"/>
        <v>Island House</v>
      </c>
      <c r="C3481" s="1" t="s">
        <v>128</v>
      </c>
      <c r="D3481" s="1" t="s">
        <v>41</v>
      </c>
      <c r="E3481" s="3">
        <v>208685</v>
      </c>
      <c r="Q3481" s="1" t="s">
        <v>129</v>
      </c>
      <c r="S3481" s="1" t="s">
        <v>129</v>
      </c>
      <c r="T3481" s="1" t="s">
        <v>170</v>
      </c>
      <c r="AA3481" s="1">
        <v>208685.1</v>
      </c>
      <c r="AB3481" s="1" t="s">
        <v>2670</v>
      </c>
      <c r="AC3481" s="5">
        <v>42241</v>
      </c>
      <c r="AF3481" s="1">
        <v>10044</v>
      </c>
      <c r="AJ3481" s="1">
        <v>1975</v>
      </c>
      <c r="AL3481" s="1">
        <v>400</v>
      </c>
    </row>
    <row r="3482" spans="1:38" x14ac:dyDescent="0.2">
      <c r="A3482" s="2" t="str">
        <f>HYPERLINK("https://www.compass.com/listing/551-main-street-unit-res-manhattan-ny-10044/519261906379707529/","551 Main St, Unit RES")</f>
        <v>551 Main St, Unit RES</v>
      </c>
      <c r="B3482" s="2" t="str">
        <f t="shared" si="430"/>
        <v>Island House</v>
      </c>
      <c r="C3482" s="1" t="s">
        <v>128</v>
      </c>
      <c r="D3482" s="1" t="s">
        <v>41</v>
      </c>
      <c r="E3482" s="3">
        <v>440748</v>
      </c>
      <c r="Q3482" s="1" t="s">
        <v>129</v>
      </c>
      <c r="S3482" s="1" t="s">
        <v>129</v>
      </c>
      <c r="T3482" s="1" t="s">
        <v>170</v>
      </c>
      <c r="AA3482" s="1">
        <v>440747.8</v>
      </c>
      <c r="AB3482" s="1" t="s">
        <v>2671</v>
      </c>
      <c r="AC3482" s="5">
        <v>42240</v>
      </c>
      <c r="AF3482" s="1">
        <v>10044</v>
      </c>
      <c r="AJ3482" s="1">
        <v>1975</v>
      </c>
      <c r="AL3482" s="1">
        <v>400</v>
      </c>
    </row>
    <row r="3483" spans="1:38" x14ac:dyDescent="0.2">
      <c r="A3483" s="2" t="str">
        <f>HYPERLINK("https://www.compass.com/listing/551-main-street-unit-res-manhattan-ny-10044/519261906379707537/","551 Main St, Unit RES")</f>
        <v>551 Main St, Unit RES</v>
      </c>
      <c r="B3483" s="2" t="str">
        <f t="shared" si="430"/>
        <v>Island House</v>
      </c>
      <c r="C3483" s="1" t="s">
        <v>128</v>
      </c>
      <c r="D3483" s="1" t="s">
        <v>41</v>
      </c>
      <c r="E3483" s="3">
        <v>249774</v>
      </c>
      <c r="Q3483" s="1" t="s">
        <v>129</v>
      </c>
      <c r="S3483" s="1" t="s">
        <v>129</v>
      </c>
      <c r="T3483" s="1" t="s">
        <v>170</v>
      </c>
      <c r="AA3483" s="1">
        <v>249773.8</v>
      </c>
      <c r="AB3483" s="1" t="s">
        <v>2672</v>
      </c>
      <c r="AC3483" s="5">
        <v>42243</v>
      </c>
      <c r="AF3483" s="1">
        <v>10044</v>
      </c>
      <c r="AJ3483" s="1">
        <v>1975</v>
      </c>
      <c r="AL3483" s="1">
        <v>400</v>
      </c>
    </row>
    <row r="3484" spans="1:38" x14ac:dyDescent="0.2">
      <c r="A3484" s="2" t="str">
        <f>HYPERLINK("https://www.compass.com/listing/551-main-street-unit-res-manhattan-ny-10044/519261906379707561/","551 Main St, Unit RES")</f>
        <v>551 Main St, Unit RES</v>
      </c>
      <c r="B3484" s="2" t="str">
        <f t="shared" si="430"/>
        <v>Island House</v>
      </c>
      <c r="C3484" s="1" t="s">
        <v>128</v>
      </c>
      <c r="D3484" s="1" t="s">
        <v>41</v>
      </c>
      <c r="E3484" s="3">
        <v>397129</v>
      </c>
      <c r="Q3484" s="1" t="s">
        <v>129</v>
      </c>
      <c r="S3484" s="1" t="s">
        <v>129</v>
      </c>
      <c r="T3484" s="1" t="s">
        <v>170</v>
      </c>
      <c r="AA3484" s="1">
        <v>397128.7</v>
      </c>
      <c r="AB3484" s="1" t="s">
        <v>2673</v>
      </c>
      <c r="AC3484" s="5">
        <v>42227</v>
      </c>
      <c r="AF3484" s="1">
        <v>10044</v>
      </c>
      <c r="AJ3484" s="1">
        <v>1975</v>
      </c>
      <c r="AL3484" s="1">
        <v>400</v>
      </c>
    </row>
    <row r="3485" spans="1:38" x14ac:dyDescent="0.2">
      <c r="A3485" s="2" t="str">
        <f>HYPERLINK("https://www.compass.com/listing/551-main-street-unit-res-manhattan-ny-10044/519261906379707577/","551 Main St, Unit RES")</f>
        <v>551 Main St, Unit RES</v>
      </c>
      <c r="B3485" s="2" t="str">
        <f t="shared" si="430"/>
        <v>Island House</v>
      </c>
      <c r="C3485" s="1" t="s">
        <v>128</v>
      </c>
      <c r="D3485" s="1" t="s">
        <v>41</v>
      </c>
      <c r="E3485" s="3">
        <v>231100</v>
      </c>
      <c r="Q3485" s="1" t="s">
        <v>129</v>
      </c>
      <c r="S3485" s="1" t="s">
        <v>129</v>
      </c>
      <c r="T3485" s="1" t="s">
        <v>170</v>
      </c>
      <c r="AA3485" s="1">
        <v>231100.3</v>
      </c>
      <c r="AB3485" s="1" t="s">
        <v>2674</v>
      </c>
      <c r="AC3485" s="5">
        <v>42230</v>
      </c>
      <c r="AF3485" s="1">
        <v>10044</v>
      </c>
      <c r="AJ3485" s="1">
        <v>1975</v>
      </c>
      <c r="AL3485" s="1">
        <v>400</v>
      </c>
    </row>
    <row r="3486" spans="1:38" x14ac:dyDescent="0.2">
      <c r="A3486" s="2" t="str">
        <f>HYPERLINK("https://www.compass.com/listing/551-main-street-unit-res-manhattan-ny-10044/519261906379707585/","551 Main St, Unit RES")</f>
        <v>551 Main St, Unit RES</v>
      </c>
      <c r="B3486" s="2" t="str">
        <f t="shared" si="430"/>
        <v>Island House</v>
      </c>
      <c r="C3486" s="1" t="s">
        <v>128</v>
      </c>
      <c r="D3486" s="1" t="s">
        <v>41</v>
      </c>
      <c r="E3486" s="3">
        <v>235023</v>
      </c>
      <c r="Q3486" s="1" t="s">
        <v>129</v>
      </c>
      <c r="S3486" s="1" t="s">
        <v>129</v>
      </c>
      <c r="T3486" s="1" t="s">
        <v>170</v>
      </c>
      <c r="AA3486" s="1">
        <v>235023.1</v>
      </c>
      <c r="AB3486" s="1" t="s">
        <v>2675</v>
      </c>
      <c r="AC3486" s="5">
        <v>42233</v>
      </c>
      <c r="AF3486" s="1">
        <v>10044</v>
      </c>
      <c r="AJ3486" s="1">
        <v>1975</v>
      </c>
      <c r="AL3486" s="1">
        <v>400</v>
      </c>
    </row>
    <row r="3487" spans="1:38" x14ac:dyDescent="0.2">
      <c r="A3487" s="2" t="str">
        <f>HYPERLINK("https://www.compass.com/listing/551-main-street-unit-res-manhattan-ny-10044/519261906379707593/","551 Main St, Unit RES")</f>
        <v>551 Main St, Unit RES</v>
      </c>
      <c r="B3487" s="2" t="str">
        <f t="shared" si="430"/>
        <v>Island House</v>
      </c>
      <c r="C3487" s="1" t="s">
        <v>128</v>
      </c>
      <c r="D3487" s="1" t="s">
        <v>41</v>
      </c>
      <c r="E3487" s="3">
        <v>233434</v>
      </c>
      <c r="Q3487" s="1" t="s">
        <v>129</v>
      </c>
      <c r="S3487" s="1" t="s">
        <v>129</v>
      </c>
      <c r="T3487" s="1" t="s">
        <v>170</v>
      </c>
      <c r="AA3487" s="1">
        <v>233434.4</v>
      </c>
      <c r="AB3487" s="1" t="s">
        <v>2676</v>
      </c>
      <c r="AC3487" s="5">
        <v>42247</v>
      </c>
      <c r="AF3487" s="1">
        <v>10044</v>
      </c>
      <c r="AJ3487" s="1">
        <v>1975</v>
      </c>
      <c r="AL3487" s="1">
        <v>400</v>
      </c>
    </row>
    <row r="3488" spans="1:38" x14ac:dyDescent="0.2">
      <c r="A3488" s="2" t="str">
        <f>HYPERLINK("https://www.compass.com/listing/551-main-street-unit-res-manhattan-ny-10044/519261906379707609/","551 Main St, Unit RES")</f>
        <v>551 Main St, Unit RES</v>
      </c>
      <c r="B3488" s="2" t="str">
        <f t="shared" si="430"/>
        <v>Island House</v>
      </c>
      <c r="C3488" s="1" t="s">
        <v>128</v>
      </c>
      <c r="D3488" s="1" t="s">
        <v>41</v>
      </c>
      <c r="E3488" s="3">
        <v>179707</v>
      </c>
      <c r="Q3488" s="1" t="s">
        <v>129</v>
      </c>
      <c r="S3488" s="1" t="s">
        <v>129</v>
      </c>
      <c r="T3488" s="1" t="s">
        <v>170</v>
      </c>
      <c r="AA3488" s="1">
        <v>179706.9</v>
      </c>
      <c r="AB3488" s="1" t="s">
        <v>2677</v>
      </c>
      <c r="AC3488" s="5">
        <v>42233</v>
      </c>
      <c r="AF3488" s="1">
        <v>10044</v>
      </c>
      <c r="AJ3488" s="1">
        <v>1975</v>
      </c>
      <c r="AL3488" s="1">
        <v>400</v>
      </c>
    </row>
    <row r="3489" spans="1:38" x14ac:dyDescent="0.2">
      <c r="A3489" s="2" t="str">
        <f>HYPERLINK("https://www.compass.com/listing/551-main-street-unit-res-manhattan-ny-10044/519261906379707617/","551 Main St, Unit RES")</f>
        <v>551 Main St, Unit RES</v>
      </c>
      <c r="B3489" s="2" t="str">
        <f t="shared" si="430"/>
        <v>Island House</v>
      </c>
      <c r="C3489" s="1" t="s">
        <v>128</v>
      </c>
      <c r="D3489" s="1" t="s">
        <v>41</v>
      </c>
      <c r="E3489" s="3">
        <v>442714</v>
      </c>
      <c r="Q3489" s="1" t="s">
        <v>129</v>
      </c>
      <c r="S3489" s="1" t="s">
        <v>129</v>
      </c>
      <c r="T3489" s="1" t="s">
        <v>170</v>
      </c>
      <c r="AA3489" s="1">
        <v>442713.8</v>
      </c>
      <c r="AB3489" s="1" t="s">
        <v>2678</v>
      </c>
      <c r="AC3489" s="5">
        <v>42227</v>
      </c>
      <c r="AF3489" s="1">
        <v>10044</v>
      </c>
      <c r="AJ3489" s="1">
        <v>1975</v>
      </c>
      <c r="AL3489" s="1">
        <v>400</v>
      </c>
    </row>
    <row r="3490" spans="1:38" x14ac:dyDescent="0.2">
      <c r="A3490" s="2" t="str">
        <f>HYPERLINK("https://www.compass.com/listing/551-main-street-unit-res-manhattan-ny-10044/519261906379707625/","551 Main St, Unit RES")</f>
        <v>551 Main St, Unit RES</v>
      </c>
      <c r="B3490" s="2" t="str">
        <f t="shared" si="430"/>
        <v>Island House</v>
      </c>
      <c r="C3490" s="1" t="s">
        <v>128</v>
      </c>
      <c r="D3490" s="1" t="s">
        <v>41</v>
      </c>
      <c r="E3490" s="3">
        <v>259512</v>
      </c>
      <c r="Q3490" s="1" t="s">
        <v>129</v>
      </c>
      <c r="S3490" s="1" t="s">
        <v>129</v>
      </c>
      <c r="T3490" s="1" t="s">
        <v>170</v>
      </c>
      <c r="AA3490" s="1">
        <v>259512.3</v>
      </c>
      <c r="AB3490" s="1" t="s">
        <v>2679</v>
      </c>
      <c r="AC3490" s="5">
        <v>42220</v>
      </c>
      <c r="AF3490" s="1">
        <v>10044</v>
      </c>
      <c r="AJ3490" s="1">
        <v>1975</v>
      </c>
      <c r="AL3490" s="1">
        <v>400</v>
      </c>
    </row>
    <row r="3491" spans="1:38" x14ac:dyDescent="0.2">
      <c r="A3491" s="2" t="str">
        <f>HYPERLINK("https://www.compass.com/listing/551-main-street-unit-res-manhattan-ny-10044/519261906379707641/","551 Main St, Unit RES")</f>
        <v>551 Main St, Unit RES</v>
      </c>
      <c r="B3491" s="2" t="str">
        <f t="shared" si="430"/>
        <v>Island House</v>
      </c>
      <c r="C3491" s="1" t="s">
        <v>128</v>
      </c>
      <c r="D3491" s="1" t="s">
        <v>41</v>
      </c>
      <c r="E3491" s="3">
        <v>492931</v>
      </c>
      <c r="Q3491" s="1" t="s">
        <v>129</v>
      </c>
      <c r="S3491" s="1" t="s">
        <v>129</v>
      </c>
      <c r="T3491" s="1" t="s">
        <v>170</v>
      </c>
      <c r="AA3491" s="1">
        <v>492930.7</v>
      </c>
      <c r="AB3491" s="1" t="s">
        <v>2680</v>
      </c>
      <c r="AC3491" s="5">
        <v>42242</v>
      </c>
      <c r="AF3491" s="1">
        <v>10044</v>
      </c>
      <c r="AJ3491" s="1">
        <v>1975</v>
      </c>
      <c r="AL3491" s="1">
        <v>400</v>
      </c>
    </row>
    <row r="3492" spans="1:38" x14ac:dyDescent="0.2">
      <c r="A3492" s="2" t="str">
        <f>HYPERLINK("https://www.compass.com/listing/551-main-street-unit-res-manhattan-ny-10044/519261906379707657/","551 Main St, Unit RES")</f>
        <v>551 Main St, Unit RES</v>
      </c>
      <c r="B3492" s="2" t="str">
        <f t="shared" si="430"/>
        <v>Island House</v>
      </c>
      <c r="C3492" s="1" t="s">
        <v>128</v>
      </c>
      <c r="D3492" s="1" t="s">
        <v>41</v>
      </c>
      <c r="E3492" s="3">
        <v>428303</v>
      </c>
      <c r="Q3492" s="1" t="s">
        <v>129</v>
      </c>
      <c r="S3492" s="1" t="s">
        <v>129</v>
      </c>
      <c r="T3492" s="1" t="s">
        <v>170</v>
      </c>
      <c r="AA3492" s="1">
        <v>428303.2</v>
      </c>
      <c r="AB3492" s="1" t="s">
        <v>2681</v>
      </c>
      <c r="AC3492" s="5">
        <v>42221</v>
      </c>
      <c r="AF3492" s="1">
        <v>10044</v>
      </c>
      <c r="AJ3492" s="1">
        <v>1975</v>
      </c>
      <c r="AL3492" s="1">
        <v>400</v>
      </c>
    </row>
    <row r="3493" spans="1:38" x14ac:dyDescent="0.2">
      <c r="A3493" s="2" t="str">
        <f>HYPERLINK("https://www.compass.com/listing/551-main-street-unit-res-manhattan-ny-10044/519261906379707681/","551 Main St, Unit RES")</f>
        <v>551 Main St, Unit RES</v>
      </c>
      <c r="B3493" s="2" t="str">
        <f t="shared" si="430"/>
        <v>Island House</v>
      </c>
      <c r="C3493" s="1" t="s">
        <v>128</v>
      </c>
      <c r="D3493" s="1" t="s">
        <v>41</v>
      </c>
      <c r="E3493" s="3">
        <v>214778</v>
      </c>
      <c r="Q3493" s="1" t="s">
        <v>129</v>
      </c>
      <c r="S3493" s="1" t="s">
        <v>129</v>
      </c>
      <c r="T3493" s="1" t="s">
        <v>170</v>
      </c>
      <c r="AA3493" s="1">
        <v>214777.9</v>
      </c>
      <c r="AB3493" s="1" t="s">
        <v>2682</v>
      </c>
      <c r="AC3493" s="5">
        <v>42233</v>
      </c>
      <c r="AF3493" s="1">
        <v>10044</v>
      </c>
      <c r="AJ3493" s="1">
        <v>1975</v>
      </c>
      <c r="AL3493" s="1">
        <v>400</v>
      </c>
    </row>
    <row r="3494" spans="1:38" x14ac:dyDescent="0.2">
      <c r="A3494" s="2" t="str">
        <f>HYPERLINK("https://www.compass.com/listing/551-main-street-unit-res-manhattan-ny-10044/519261906379707697/","551 Main St, Unit RES")</f>
        <v>551 Main St, Unit RES</v>
      </c>
      <c r="B3494" s="2" t="str">
        <f t="shared" si="430"/>
        <v>Island House</v>
      </c>
      <c r="C3494" s="1" t="s">
        <v>128</v>
      </c>
      <c r="D3494" s="1" t="s">
        <v>41</v>
      </c>
      <c r="E3494" s="3">
        <v>239101</v>
      </c>
      <c r="Q3494" s="1" t="s">
        <v>129</v>
      </c>
      <c r="S3494" s="1" t="s">
        <v>129</v>
      </c>
      <c r="T3494" s="1" t="s">
        <v>170</v>
      </c>
      <c r="AA3494" s="1">
        <v>239101</v>
      </c>
      <c r="AB3494" s="1" t="s">
        <v>2683</v>
      </c>
      <c r="AC3494" s="5">
        <v>42241</v>
      </c>
      <c r="AF3494" s="1">
        <v>10044</v>
      </c>
      <c r="AJ3494" s="1">
        <v>1975</v>
      </c>
      <c r="AL3494" s="1">
        <v>400</v>
      </c>
    </row>
    <row r="3495" spans="1:38" x14ac:dyDescent="0.2">
      <c r="A3495" s="2" t="str">
        <f>HYPERLINK("https://www.compass.com/listing/551-main-street-unit-res-manhattan-ny-10044/519261906379707705/","551 Main St, Unit RES")</f>
        <v>551 Main St, Unit RES</v>
      </c>
      <c r="B3495" s="2" t="str">
        <f t="shared" si="430"/>
        <v>Island House</v>
      </c>
      <c r="C3495" s="1" t="s">
        <v>128</v>
      </c>
      <c r="D3495" s="1" t="s">
        <v>41</v>
      </c>
      <c r="E3495" s="3">
        <v>292197</v>
      </c>
      <c r="Q3495" s="1" t="s">
        <v>129</v>
      </c>
      <c r="S3495" s="1" t="s">
        <v>129</v>
      </c>
      <c r="T3495" s="1" t="s">
        <v>170</v>
      </c>
      <c r="AA3495" s="1">
        <v>292197.2</v>
      </c>
      <c r="AB3495" s="1" t="s">
        <v>2684</v>
      </c>
      <c r="AC3495" s="5">
        <v>42228</v>
      </c>
      <c r="AF3495" s="1">
        <v>10044</v>
      </c>
      <c r="AJ3495" s="1">
        <v>1975</v>
      </c>
      <c r="AL3495" s="1">
        <v>400</v>
      </c>
    </row>
    <row r="3496" spans="1:38" x14ac:dyDescent="0.2">
      <c r="A3496" s="2" t="str">
        <f>HYPERLINK("https://www.compass.com/listing/551-main-street-unit-res-manhattan-ny-10044/519261906379707713/","551 Main St, Unit RES")</f>
        <v>551 Main St, Unit RES</v>
      </c>
      <c r="B3496" s="2" t="str">
        <f t="shared" si="430"/>
        <v>Island House</v>
      </c>
      <c r="C3496" s="1" t="s">
        <v>128</v>
      </c>
      <c r="D3496" s="1" t="s">
        <v>41</v>
      </c>
      <c r="E3496" s="3">
        <v>433590</v>
      </c>
      <c r="Q3496" s="1" t="s">
        <v>129</v>
      </c>
      <c r="S3496" s="1" t="s">
        <v>129</v>
      </c>
      <c r="T3496" s="1" t="s">
        <v>170</v>
      </c>
      <c r="AA3496" s="1">
        <v>433589.6</v>
      </c>
      <c r="AB3496" s="1" t="s">
        <v>2685</v>
      </c>
      <c r="AC3496" s="5">
        <v>42241</v>
      </c>
      <c r="AF3496" s="1">
        <v>10044</v>
      </c>
      <c r="AJ3496" s="1">
        <v>1975</v>
      </c>
      <c r="AL3496" s="1">
        <v>400</v>
      </c>
    </row>
    <row r="3497" spans="1:38" x14ac:dyDescent="0.2">
      <c r="A3497" s="2" t="str">
        <f>HYPERLINK("https://www.compass.com/listing/551-main-street-unit-res-manhattan-ny-10044/519261906379707721/","551 Main St, Unit RES")</f>
        <v>551 Main St, Unit RES</v>
      </c>
      <c r="B3497" s="2" t="str">
        <f t="shared" si="430"/>
        <v>Island House</v>
      </c>
      <c r="C3497" s="1" t="s">
        <v>128</v>
      </c>
      <c r="D3497" s="1" t="s">
        <v>41</v>
      </c>
      <c r="E3497" s="3">
        <v>208685</v>
      </c>
      <c r="Q3497" s="1" t="s">
        <v>129</v>
      </c>
      <c r="S3497" s="1" t="s">
        <v>129</v>
      </c>
      <c r="T3497" s="1" t="s">
        <v>170</v>
      </c>
      <c r="AA3497" s="1">
        <v>208685.1</v>
      </c>
      <c r="AB3497" s="1" t="s">
        <v>2686</v>
      </c>
      <c r="AC3497" s="5">
        <v>42221</v>
      </c>
      <c r="AF3497" s="1">
        <v>10044</v>
      </c>
      <c r="AJ3497" s="1">
        <v>1975</v>
      </c>
      <c r="AL3497" s="1">
        <v>400</v>
      </c>
    </row>
    <row r="3498" spans="1:38" x14ac:dyDescent="0.2">
      <c r="A3498" s="2" t="str">
        <f>HYPERLINK("https://www.compass.com/listing/551-main-street-unit-res-manhattan-ny-10044/519261906379707729/","551 Main St, Unit RES")</f>
        <v>551 Main St, Unit RES</v>
      </c>
      <c r="B3498" s="2" t="str">
        <f t="shared" si="430"/>
        <v>Island House</v>
      </c>
      <c r="C3498" s="1" t="s">
        <v>128</v>
      </c>
      <c r="D3498" s="1" t="s">
        <v>41</v>
      </c>
      <c r="E3498" s="3">
        <v>453312</v>
      </c>
      <c r="Q3498" s="1" t="s">
        <v>129</v>
      </c>
      <c r="S3498" s="1" t="s">
        <v>129</v>
      </c>
      <c r="T3498" s="1" t="s">
        <v>170</v>
      </c>
      <c r="AA3498" s="1">
        <v>453311.6</v>
      </c>
      <c r="AB3498" s="1" t="s">
        <v>2687</v>
      </c>
      <c r="AC3498" s="5">
        <v>42255</v>
      </c>
      <c r="AF3498" s="1">
        <v>10044</v>
      </c>
      <c r="AJ3498" s="1">
        <v>1975</v>
      </c>
      <c r="AL3498" s="1">
        <v>400</v>
      </c>
    </row>
    <row r="3499" spans="1:38" x14ac:dyDescent="0.2">
      <c r="A3499" s="2" t="str">
        <f>HYPERLINK("https://www.compass.com/listing/551-main-street-unit-res-manhattan-ny-10044/519261906379707737/","551 Main St, Unit RES")</f>
        <v>551 Main St, Unit RES</v>
      </c>
      <c r="B3499" s="2" t="str">
        <f t="shared" si="430"/>
        <v>Island House</v>
      </c>
      <c r="C3499" s="1" t="s">
        <v>128</v>
      </c>
      <c r="D3499" s="1" t="s">
        <v>41</v>
      </c>
      <c r="E3499" s="3">
        <v>205500</v>
      </c>
      <c r="Q3499" s="1" t="s">
        <v>129</v>
      </c>
      <c r="S3499" s="1" t="s">
        <v>129</v>
      </c>
      <c r="T3499" s="1" t="s">
        <v>170</v>
      </c>
      <c r="AA3499" s="1">
        <v>205500.48</v>
      </c>
      <c r="AB3499" s="1" t="s">
        <v>2688</v>
      </c>
      <c r="AC3499" s="5">
        <v>42240</v>
      </c>
      <c r="AF3499" s="1">
        <v>10044</v>
      </c>
      <c r="AJ3499" s="1">
        <v>1975</v>
      </c>
      <c r="AL3499" s="1">
        <v>400</v>
      </c>
    </row>
    <row r="3500" spans="1:38" x14ac:dyDescent="0.2">
      <c r="A3500" s="2" t="str">
        <f>HYPERLINK("https://www.compass.com/listing/551-main-street-unit-res-manhattan-ny-10044/519261906379707745/","551 Main St, Unit RES")</f>
        <v>551 Main St, Unit RES</v>
      </c>
      <c r="B3500" s="2" t="str">
        <f t="shared" si="430"/>
        <v>Island House</v>
      </c>
      <c r="C3500" s="1" t="s">
        <v>128</v>
      </c>
      <c r="D3500" s="1" t="s">
        <v>41</v>
      </c>
      <c r="E3500" s="3">
        <v>124806</v>
      </c>
      <c r="Q3500" s="1" t="s">
        <v>129</v>
      </c>
      <c r="S3500" s="1" t="s">
        <v>129</v>
      </c>
      <c r="T3500" s="1" t="s">
        <v>170</v>
      </c>
      <c r="AA3500" s="1">
        <v>124805.9</v>
      </c>
      <c r="AB3500" s="1" t="s">
        <v>2689</v>
      </c>
      <c r="AC3500" s="5">
        <v>42250</v>
      </c>
      <c r="AF3500" s="1">
        <v>10044</v>
      </c>
      <c r="AJ3500" s="1">
        <v>1975</v>
      </c>
      <c r="AL3500" s="1">
        <v>400</v>
      </c>
    </row>
    <row r="3501" spans="1:38" x14ac:dyDescent="0.2">
      <c r="A3501" s="2" t="str">
        <f>HYPERLINK("https://www.compass.com/listing/551-main-street-unit-res-manhattan-ny-10044/519261906379707777/","551 Main St, Unit RES")</f>
        <v>551 Main St, Unit RES</v>
      </c>
      <c r="B3501" s="2" t="str">
        <f t="shared" si="430"/>
        <v>Island House</v>
      </c>
      <c r="C3501" s="1" t="s">
        <v>128</v>
      </c>
      <c r="D3501" s="1" t="s">
        <v>41</v>
      </c>
      <c r="E3501" s="3">
        <v>406148</v>
      </c>
      <c r="Q3501" s="1" t="s">
        <v>129</v>
      </c>
      <c r="S3501" s="1" t="s">
        <v>129</v>
      </c>
      <c r="T3501" s="1" t="s">
        <v>170</v>
      </c>
      <c r="AA3501" s="1">
        <v>406148.1</v>
      </c>
      <c r="AB3501" s="1" t="s">
        <v>2690</v>
      </c>
      <c r="AC3501" s="5">
        <v>42229</v>
      </c>
      <c r="AF3501" s="1">
        <v>10044</v>
      </c>
      <c r="AJ3501" s="1">
        <v>1975</v>
      </c>
      <c r="AL3501" s="1">
        <v>400</v>
      </c>
    </row>
    <row r="3502" spans="1:38" x14ac:dyDescent="0.2">
      <c r="A3502" s="2" t="str">
        <f>HYPERLINK("https://www.compass.com/listing/551-main-street-unit-res-manhattan-ny-10044/519261906379707785/","551 Main St, Unit RES")</f>
        <v>551 Main St, Unit RES</v>
      </c>
      <c r="B3502" s="2" t="str">
        <f t="shared" si="430"/>
        <v>Island House</v>
      </c>
      <c r="C3502" s="1" t="s">
        <v>128</v>
      </c>
      <c r="D3502" s="1" t="s">
        <v>41</v>
      </c>
      <c r="E3502" s="3">
        <v>305449</v>
      </c>
      <c r="Q3502" s="1" t="s">
        <v>129</v>
      </c>
      <c r="S3502" s="1" t="s">
        <v>129</v>
      </c>
      <c r="T3502" s="1" t="s">
        <v>170</v>
      </c>
      <c r="AA3502" s="1">
        <v>305449.2</v>
      </c>
      <c r="AB3502" s="1" t="s">
        <v>2691</v>
      </c>
      <c r="AC3502" s="5">
        <v>42240</v>
      </c>
      <c r="AF3502" s="1">
        <v>10044</v>
      </c>
      <c r="AJ3502" s="1">
        <v>1975</v>
      </c>
      <c r="AL3502" s="1">
        <v>400</v>
      </c>
    </row>
    <row r="3503" spans="1:38" x14ac:dyDescent="0.2">
      <c r="A3503" s="2" t="str">
        <f>HYPERLINK("https://www.compass.com/listing/551-main-street-unit-res-manhattan-ny-10044/519261906379707793/","551 Main St, Unit RES")</f>
        <v>551 Main St, Unit RES</v>
      </c>
      <c r="B3503" s="2" t="str">
        <f t="shared" si="430"/>
        <v>Island House</v>
      </c>
      <c r="C3503" s="1" t="s">
        <v>128</v>
      </c>
      <c r="D3503" s="1" t="s">
        <v>41</v>
      </c>
      <c r="E3503" s="3">
        <v>451130</v>
      </c>
      <c r="Q3503" s="1" t="s">
        <v>129</v>
      </c>
      <c r="S3503" s="1" t="s">
        <v>129</v>
      </c>
      <c r="T3503" s="1" t="s">
        <v>170</v>
      </c>
      <c r="AA3503" s="1">
        <v>451129.59999999998</v>
      </c>
      <c r="AB3503" s="1" t="s">
        <v>2692</v>
      </c>
      <c r="AC3503" s="5">
        <v>42257</v>
      </c>
      <c r="AF3503" s="1">
        <v>10044</v>
      </c>
      <c r="AJ3503" s="1">
        <v>1975</v>
      </c>
      <c r="AL3503" s="1">
        <v>400</v>
      </c>
    </row>
    <row r="3504" spans="1:38" x14ac:dyDescent="0.2">
      <c r="A3504" s="2" t="str">
        <f>HYPERLINK("https://www.compass.com/listing/551-main-street-unit-res-manhattan-ny-10044/519261906379707817/","551 Main St, Unit RES")</f>
        <v>551 Main St, Unit RES</v>
      </c>
      <c r="B3504" s="2" t="str">
        <f t="shared" si="430"/>
        <v>Island House</v>
      </c>
      <c r="C3504" s="1" t="s">
        <v>128</v>
      </c>
      <c r="D3504" s="1" t="s">
        <v>41</v>
      </c>
      <c r="E3504" s="3">
        <v>201644</v>
      </c>
      <c r="Q3504" s="1" t="s">
        <v>129</v>
      </c>
      <c r="S3504" s="1" t="s">
        <v>129</v>
      </c>
      <c r="T3504" s="1" t="s">
        <v>170</v>
      </c>
      <c r="AA3504" s="1">
        <v>201643.9</v>
      </c>
      <c r="AB3504" s="1" t="s">
        <v>2693</v>
      </c>
      <c r="AC3504" s="5">
        <v>42240</v>
      </c>
      <c r="AF3504" s="1">
        <v>10044</v>
      </c>
      <c r="AJ3504" s="1">
        <v>1975</v>
      </c>
      <c r="AL3504" s="1">
        <v>400</v>
      </c>
    </row>
    <row r="3505" spans="1:38" x14ac:dyDescent="0.2">
      <c r="A3505" s="2" t="str">
        <f>HYPERLINK("https://www.compass.com/listing/551-main-street-unit-res-manhattan-ny-10044/519261906379707825/","551 Main St, Unit RES")</f>
        <v>551 Main St, Unit RES</v>
      </c>
      <c r="B3505" s="2" t="str">
        <f t="shared" si="430"/>
        <v>Island House</v>
      </c>
      <c r="C3505" s="1" t="s">
        <v>128</v>
      </c>
      <c r="D3505" s="1" t="s">
        <v>41</v>
      </c>
      <c r="E3505" s="3">
        <v>249774</v>
      </c>
      <c r="Q3505" s="1" t="s">
        <v>129</v>
      </c>
      <c r="S3505" s="1" t="s">
        <v>129</v>
      </c>
      <c r="T3505" s="1" t="s">
        <v>170</v>
      </c>
      <c r="AA3505" s="1">
        <v>249773.8</v>
      </c>
      <c r="AB3505" s="1" t="s">
        <v>2694</v>
      </c>
      <c r="AC3505" s="5">
        <v>42257</v>
      </c>
      <c r="AF3505" s="1">
        <v>10044</v>
      </c>
      <c r="AJ3505" s="1">
        <v>1975</v>
      </c>
      <c r="AL3505" s="1">
        <v>400</v>
      </c>
    </row>
    <row r="3506" spans="1:38" x14ac:dyDescent="0.2">
      <c r="A3506" s="2" t="str">
        <f>HYPERLINK("https://www.compass.com/listing/551-main-street-unit-res-manhattan-ny-10044/519261906379707833/","551 Main St, Unit RES")</f>
        <v>551 Main St, Unit RES</v>
      </c>
      <c r="B3506" s="2" t="str">
        <f t="shared" si="430"/>
        <v>Island House</v>
      </c>
      <c r="C3506" s="1" t="s">
        <v>128</v>
      </c>
      <c r="D3506" s="1" t="s">
        <v>41</v>
      </c>
      <c r="E3506" s="3">
        <v>155190</v>
      </c>
      <c r="Q3506" s="1" t="s">
        <v>129</v>
      </c>
      <c r="S3506" s="1" t="s">
        <v>129</v>
      </c>
      <c r="T3506" s="1" t="s">
        <v>170</v>
      </c>
      <c r="AA3506" s="1">
        <v>155189.70000000001</v>
      </c>
      <c r="AB3506" s="1" t="s">
        <v>2695</v>
      </c>
      <c r="AC3506" s="5">
        <v>42222</v>
      </c>
      <c r="AF3506" s="1">
        <v>10044</v>
      </c>
      <c r="AJ3506" s="1">
        <v>1975</v>
      </c>
      <c r="AL3506" s="1">
        <v>400</v>
      </c>
    </row>
    <row r="3507" spans="1:38" x14ac:dyDescent="0.2">
      <c r="A3507" s="2" t="str">
        <f>HYPERLINK("https://www.compass.com/listing/551-main-street-unit-res-manhattan-ny-10044/519261906379707841/","551 Main St, Unit RES")</f>
        <v>551 Main St, Unit RES</v>
      </c>
      <c r="B3507" s="2" t="str">
        <f t="shared" si="430"/>
        <v>Island House</v>
      </c>
      <c r="C3507" s="1" t="s">
        <v>128</v>
      </c>
      <c r="D3507" s="1" t="s">
        <v>41</v>
      </c>
      <c r="E3507" s="3">
        <v>324287</v>
      </c>
      <c r="Q3507" s="1" t="s">
        <v>129</v>
      </c>
      <c r="S3507" s="1" t="s">
        <v>129</v>
      </c>
      <c r="T3507" s="1" t="s">
        <v>170</v>
      </c>
      <c r="AA3507" s="1">
        <v>324286.8</v>
      </c>
      <c r="AB3507" s="1" t="s">
        <v>2696</v>
      </c>
      <c r="AC3507" s="5">
        <v>42223</v>
      </c>
      <c r="AF3507" s="1">
        <v>10044</v>
      </c>
      <c r="AJ3507" s="1">
        <v>1975</v>
      </c>
      <c r="AL3507" s="1">
        <v>400</v>
      </c>
    </row>
    <row r="3508" spans="1:38" x14ac:dyDescent="0.2">
      <c r="A3508" s="2" t="str">
        <f>HYPERLINK("https://www.compass.com/listing/551-main-street-unit-res-manhattan-ny-10044/519261906379707849/","551 Main St, Unit RES")</f>
        <v>551 Main St, Unit RES</v>
      </c>
      <c r="B3508" s="2" t="str">
        <f t="shared" si="430"/>
        <v>Island House</v>
      </c>
      <c r="C3508" s="1" t="s">
        <v>128</v>
      </c>
      <c r="D3508" s="1" t="s">
        <v>41</v>
      </c>
      <c r="E3508" s="3">
        <v>181918</v>
      </c>
      <c r="Q3508" s="1" t="s">
        <v>129</v>
      </c>
      <c r="S3508" s="1" t="s">
        <v>129</v>
      </c>
      <c r="T3508" s="1" t="s">
        <v>170</v>
      </c>
      <c r="AA3508" s="1">
        <v>181917.9</v>
      </c>
      <c r="AB3508" s="1" t="s">
        <v>2697</v>
      </c>
      <c r="AC3508" s="5">
        <v>42242</v>
      </c>
      <c r="AF3508" s="1">
        <v>10044</v>
      </c>
      <c r="AJ3508" s="1">
        <v>1975</v>
      </c>
      <c r="AL3508" s="1">
        <v>400</v>
      </c>
    </row>
    <row r="3509" spans="1:38" x14ac:dyDescent="0.2">
      <c r="A3509" s="2" t="str">
        <f>HYPERLINK("https://www.compass.com/listing/551-main-street-unit-res-manhattan-ny-10044/519261906379707857/","551 Main St, Unit RES")</f>
        <v>551 Main St, Unit RES</v>
      </c>
      <c r="B3509" s="2" t="str">
        <f t="shared" si="430"/>
        <v>Island House</v>
      </c>
      <c r="C3509" s="1" t="s">
        <v>128</v>
      </c>
      <c r="D3509" s="1" t="s">
        <v>41</v>
      </c>
      <c r="E3509" s="3">
        <v>237038</v>
      </c>
      <c r="Q3509" s="1" t="s">
        <v>129</v>
      </c>
      <c r="S3509" s="1" t="s">
        <v>129</v>
      </c>
      <c r="T3509" s="1" t="s">
        <v>170</v>
      </c>
      <c r="AA3509" s="1">
        <v>237038</v>
      </c>
      <c r="AB3509" s="1" t="s">
        <v>2698</v>
      </c>
      <c r="AC3509" s="5">
        <v>42248</v>
      </c>
      <c r="AF3509" s="1">
        <v>10044</v>
      </c>
      <c r="AJ3509" s="1">
        <v>1975</v>
      </c>
      <c r="AL3509" s="1">
        <v>400</v>
      </c>
    </row>
    <row r="3510" spans="1:38" x14ac:dyDescent="0.2">
      <c r="A3510" s="2" t="str">
        <f>HYPERLINK("https://www.compass.com/listing/551-main-street-unit-res-manhattan-ny-10044/519261906379707865/","551 Main St, Unit RES")</f>
        <v>551 Main St, Unit RES</v>
      </c>
      <c r="B3510" s="2" t="str">
        <f t="shared" si="430"/>
        <v>Island House</v>
      </c>
      <c r="C3510" s="1" t="s">
        <v>128</v>
      </c>
      <c r="D3510" s="1" t="s">
        <v>41</v>
      </c>
      <c r="E3510" s="3">
        <v>435705</v>
      </c>
      <c r="Q3510" s="1" t="s">
        <v>129</v>
      </c>
      <c r="S3510" s="1" t="s">
        <v>129</v>
      </c>
      <c r="T3510" s="1" t="s">
        <v>170</v>
      </c>
      <c r="AA3510" s="1">
        <v>435704.6</v>
      </c>
      <c r="AB3510" s="1" t="s">
        <v>2699</v>
      </c>
      <c r="AC3510" s="5">
        <v>42257</v>
      </c>
      <c r="AF3510" s="1">
        <v>10044</v>
      </c>
      <c r="AJ3510" s="1">
        <v>1975</v>
      </c>
      <c r="AL3510" s="1">
        <v>400</v>
      </c>
    </row>
    <row r="3511" spans="1:38" x14ac:dyDescent="0.2">
      <c r="A3511" s="2" t="str">
        <f>HYPERLINK("https://www.compass.com/listing/551-main-street-unit-res-manhattan-ny-10044/519261906379707873/","551 Main St, Unit RES")</f>
        <v>551 Main St, Unit RES</v>
      </c>
      <c r="B3511" s="2" t="str">
        <f t="shared" si="430"/>
        <v>Island House</v>
      </c>
      <c r="C3511" s="1" t="s">
        <v>128</v>
      </c>
      <c r="D3511" s="1" t="s">
        <v>41</v>
      </c>
      <c r="E3511" s="3">
        <v>458794</v>
      </c>
      <c r="Q3511" s="1" t="s">
        <v>129</v>
      </c>
      <c r="S3511" s="1" t="s">
        <v>129</v>
      </c>
      <c r="T3511" s="1" t="s">
        <v>170</v>
      </c>
      <c r="AA3511" s="1">
        <v>458794.1</v>
      </c>
      <c r="AB3511" s="1" t="s">
        <v>2700</v>
      </c>
      <c r="AC3511" s="5">
        <v>42242</v>
      </c>
      <c r="AF3511" s="1">
        <v>10044</v>
      </c>
      <c r="AJ3511" s="1">
        <v>1975</v>
      </c>
      <c r="AL3511" s="1">
        <v>400</v>
      </c>
    </row>
    <row r="3512" spans="1:38" x14ac:dyDescent="0.2">
      <c r="A3512" s="2" t="str">
        <f>HYPERLINK("https://www.compass.com/listing/551-main-street-unit-res-manhattan-ny-10044/519261906379707881/","551 Main St, Unit RES")</f>
        <v>551 Main St, Unit RES</v>
      </c>
      <c r="B3512" s="2" t="str">
        <f t="shared" si="430"/>
        <v>Island House</v>
      </c>
      <c r="C3512" s="1" t="s">
        <v>128</v>
      </c>
      <c r="D3512" s="1" t="s">
        <v>41</v>
      </c>
      <c r="E3512" s="3">
        <v>305911</v>
      </c>
      <c r="Q3512" s="1" t="s">
        <v>129</v>
      </c>
      <c r="S3512" s="1" t="s">
        <v>129</v>
      </c>
      <c r="T3512" s="1" t="s">
        <v>170</v>
      </c>
      <c r="AA3512" s="1">
        <v>305911.40000000002</v>
      </c>
      <c r="AB3512" s="1" t="s">
        <v>2701</v>
      </c>
      <c r="AC3512" s="5">
        <v>42222</v>
      </c>
      <c r="AF3512" s="1">
        <v>10044</v>
      </c>
      <c r="AJ3512" s="1">
        <v>1975</v>
      </c>
      <c r="AL3512" s="1">
        <v>400</v>
      </c>
    </row>
    <row r="3513" spans="1:38" x14ac:dyDescent="0.2">
      <c r="A3513" s="2" t="str">
        <f>HYPERLINK("https://www.compass.com/listing/551-main-street-unit-res-manhattan-ny-10044/519261906379707889/","551 Main St, Unit RES")</f>
        <v>551 Main St, Unit RES</v>
      </c>
      <c r="B3513" s="2" t="str">
        <f t="shared" si="430"/>
        <v>Island House</v>
      </c>
      <c r="C3513" s="1" t="s">
        <v>128</v>
      </c>
      <c r="D3513" s="1" t="s">
        <v>41</v>
      </c>
      <c r="E3513" s="3">
        <v>207269</v>
      </c>
      <c r="Q3513" s="1" t="s">
        <v>129</v>
      </c>
      <c r="S3513" s="1" t="s">
        <v>129</v>
      </c>
      <c r="T3513" s="1" t="s">
        <v>170</v>
      </c>
      <c r="AA3513" s="1">
        <v>207269.4</v>
      </c>
      <c r="AB3513" s="1" t="s">
        <v>2702</v>
      </c>
      <c r="AC3513" s="5">
        <v>42233</v>
      </c>
      <c r="AF3513" s="1">
        <v>10044</v>
      </c>
      <c r="AJ3513" s="1">
        <v>1975</v>
      </c>
      <c r="AL3513" s="1">
        <v>400</v>
      </c>
    </row>
    <row r="3514" spans="1:38" x14ac:dyDescent="0.2">
      <c r="A3514" s="2" t="str">
        <f>HYPERLINK("https://www.compass.com/listing/551-main-street-unit-res-manhattan-ny-10044/519261906379707905/","551 Main St, Unit RES")</f>
        <v>551 Main St, Unit RES</v>
      </c>
      <c r="B3514" s="2" t="str">
        <f t="shared" si="430"/>
        <v>Island House</v>
      </c>
      <c r="C3514" s="1" t="s">
        <v>128</v>
      </c>
      <c r="D3514" s="1" t="s">
        <v>41</v>
      </c>
      <c r="E3514" s="3">
        <v>474874</v>
      </c>
      <c r="Q3514" s="1" t="s">
        <v>129</v>
      </c>
      <c r="S3514" s="1" t="s">
        <v>129</v>
      </c>
      <c r="T3514" s="1" t="s">
        <v>170</v>
      </c>
      <c r="AA3514" s="1">
        <v>474874.4</v>
      </c>
      <c r="AB3514" s="1" t="s">
        <v>2703</v>
      </c>
      <c r="AC3514" s="5">
        <v>42241</v>
      </c>
      <c r="AF3514" s="1">
        <v>10044</v>
      </c>
      <c r="AJ3514" s="1">
        <v>1975</v>
      </c>
      <c r="AL3514" s="1">
        <v>400</v>
      </c>
    </row>
    <row r="3515" spans="1:38" x14ac:dyDescent="0.2">
      <c r="A3515" s="2" t="str">
        <f>HYPERLINK("https://www.compass.com/listing/551-main-street-unit-res-manhattan-ny-10044/519261906379707913/","551 Main St, Unit RES")</f>
        <v>551 Main St, Unit RES</v>
      </c>
      <c r="B3515" s="2" t="str">
        <f t="shared" si="430"/>
        <v>Island House</v>
      </c>
      <c r="C3515" s="1" t="s">
        <v>128</v>
      </c>
      <c r="D3515" s="1" t="s">
        <v>41</v>
      </c>
      <c r="E3515" s="3">
        <v>260030</v>
      </c>
      <c r="Q3515" s="1" t="s">
        <v>129</v>
      </c>
      <c r="S3515" s="1" t="s">
        <v>129</v>
      </c>
      <c r="T3515" s="1" t="s">
        <v>170</v>
      </c>
      <c r="AA3515" s="1">
        <v>260029.5</v>
      </c>
      <c r="AB3515" s="1" t="s">
        <v>2704</v>
      </c>
      <c r="AC3515" s="5">
        <v>42241</v>
      </c>
      <c r="AF3515" s="1">
        <v>10044</v>
      </c>
      <c r="AJ3515" s="1">
        <v>1975</v>
      </c>
      <c r="AL3515" s="1">
        <v>400</v>
      </c>
    </row>
    <row r="3516" spans="1:38" x14ac:dyDescent="0.2">
      <c r="A3516" s="2" t="str">
        <f>HYPERLINK("https://www.compass.com/listing/551-main-street-unit-res-manhattan-ny-10044/519261906379707921/","551 Main St, Unit RES")</f>
        <v>551 Main St, Unit RES</v>
      </c>
      <c r="B3516" s="2" t="str">
        <f t="shared" si="430"/>
        <v>Island House</v>
      </c>
      <c r="C3516" s="1" t="s">
        <v>128</v>
      </c>
      <c r="D3516" s="1" t="s">
        <v>41</v>
      </c>
      <c r="E3516" s="3">
        <v>477194</v>
      </c>
      <c r="Q3516" s="1" t="s">
        <v>129</v>
      </c>
      <c r="S3516" s="1" t="s">
        <v>129</v>
      </c>
      <c r="T3516" s="1" t="s">
        <v>170</v>
      </c>
      <c r="AA3516" s="1">
        <v>477193.5</v>
      </c>
      <c r="AB3516" s="1" t="s">
        <v>2705</v>
      </c>
      <c r="AC3516" s="5">
        <v>42248</v>
      </c>
      <c r="AF3516" s="1">
        <v>10044</v>
      </c>
      <c r="AJ3516" s="1">
        <v>1975</v>
      </c>
      <c r="AL3516" s="1">
        <v>400</v>
      </c>
    </row>
    <row r="3517" spans="1:38" x14ac:dyDescent="0.2">
      <c r="A3517" s="2" t="str">
        <f>HYPERLINK("https://www.compass.com/listing/551-main-street-unit-res-manhattan-ny-10044/519261906379707929/","551 Main St, Unit RES")</f>
        <v>551 Main St, Unit RES</v>
      </c>
      <c r="B3517" s="2" t="str">
        <f t="shared" si="430"/>
        <v>Island House</v>
      </c>
      <c r="C3517" s="1" t="s">
        <v>128</v>
      </c>
      <c r="D3517" s="1" t="s">
        <v>41</v>
      </c>
      <c r="E3517" s="3">
        <v>194231</v>
      </c>
      <c r="Q3517" s="1" t="s">
        <v>129</v>
      </c>
      <c r="S3517" s="1" t="s">
        <v>129</v>
      </c>
      <c r="T3517" s="1" t="s">
        <v>170</v>
      </c>
      <c r="AA3517" s="1">
        <v>194230.5</v>
      </c>
      <c r="AB3517" s="1" t="s">
        <v>2706</v>
      </c>
      <c r="AC3517" s="5">
        <v>42229</v>
      </c>
      <c r="AF3517" s="1">
        <v>10044</v>
      </c>
      <c r="AJ3517" s="1">
        <v>1975</v>
      </c>
      <c r="AL3517" s="1">
        <v>400</v>
      </c>
    </row>
    <row r="3518" spans="1:38" x14ac:dyDescent="0.2">
      <c r="A3518" s="2" t="str">
        <f>HYPERLINK("https://www.compass.com/listing/551-main-street-unit-res-manhattan-ny-10044/519261906379707937/","551 Main St, Unit RES")</f>
        <v>551 Main St, Unit RES</v>
      </c>
      <c r="B3518" s="2" t="str">
        <f t="shared" si="430"/>
        <v>Island House</v>
      </c>
      <c r="C3518" s="1" t="s">
        <v>128</v>
      </c>
      <c r="D3518" s="1" t="s">
        <v>41</v>
      </c>
      <c r="E3518" s="3">
        <v>254667</v>
      </c>
      <c r="Q3518" s="1" t="s">
        <v>129</v>
      </c>
      <c r="S3518" s="1" t="s">
        <v>129</v>
      </c>
      <c r="T3518" s="1" t="s">
        <v>170</v>
      </c>
      <c r="AA3518" s="1">
        <v>254667.1</v>
      </c>
      <c r="AB3518" s="1" t="s">
        <v>2707</v>
      </c>
      <c r="AC3518" s="5">
        <v>42240</v>
      </c>
      <c r="AF3518" s="1">
        <v>10044</v>
      </c>
      <c r="AJ3518" s="1">
        <v>1975</v>
      </c>
      <c r="AL3518" s="1">
        <v>400</v>
      </c>
    </row>
    <row r="3519" spans="1:38" x14ac:dyDescent="0.2">
      <c r="A3519" s="2" t="str">
        <f>HYPERLINK("https://www.compass.com/listing/551-main-street-unit-res-manhattan-ny-10044/519261906379707961/","551 Main St, Unit RES")</f>
        <v>551 Main St, Unit RES</v>
      </c>
      <c r="B3519" s="2" t="str">
        <f t="shared" si="430"/>
        <v>Island House</v>
      </c>
      <c r="C3519" s="1" t="s">
        <v>128</v>
      </c>
      <c r="D3519" s="1" t="s">
        <v>41</v>
      </c>
      <c r="E3519" s="3">
        <v>477194</v>
      </c>
      <c r="Q3519" s="1" t="s">
        <v>129</v>
      </c>
      <c r="S3519" s="1" t="s">
        <v>129</v>
      </c>
      <c r="T3519" s="1" t="s">
        <v>170</v>
      </c>
      <c r="AA3519" s="1">
        <v>477193.5</v>
      </c>
      <c r="AB3519" s="1" t="s">
        <v>2708</v>
      </c>
      <c r="AC3519" s="5">
        <v>42247</v>
      </c>
      <c r="AF3519" s="1">
        <v>10044</v>
      </c>
      <c r="AJ3519" s="1">
        <v>1975</v>
      </c>
      <c r="AL3519" s="1">
        <v>400</v>
      </c>
    </row>
    <row r="3520" spans="1:38" x14ac:dyDescent="0.2">
      <c r="A3520" s="2" t="str">
        <f>HYPERLINK("https://www.compass.com/listing/551-main-street-unit-res-manhattan-ny-10044/519261906379707969/","551 Main St, Unit RES")</f>
        <v>551 Main St, Unit RES</v>
      </c>
      <c r="B3520" s="2" t="str">
        <f t="shared" si="430"/>
        <v>Island House</v>
      </c>
      <c r="C3520" s="1" t="s">
        <v>128</v>
      </c>
      <c r="D3520" s="1" t="s">
        <v>41</v>
      </c>
      <c r="E3520" s="3">
        <v>252244</v>
      </c>
      <c r="Q3520" s="1" t="s">
        <v>129</v>
      </c>
      <c r="S3520" s="1" t="s">
        <v>129</v>
      </c>
      <c r="T3520" s="1" t="s">
        <v>170</v>
      </c>
      <c r="AA3520" s="1">
        <v>252244</v>
      </c>
      <c r="AB3520" s="1" t="s">
        <v>2709</v>
      </c>
      <c r="AC3520" s="5">
        <v>42227</v>
      </c>
      <c r="AF3520" s="1">
        <v>10044</v>
      </c>
      <c r="AJ3520" s="1">
        <v>1975</v>
      </c>
      <c r="AL3520" s="1">
        <v>400</v>
      </c>
    </row>
    <row r="3521" spans="1:38" x14ac:dyDescent="0.2">
      <c r="A3521" s="2" t="str">
        <f>HYPERLINK("https://www.compass.com/listing/551-main-street-unit-res-manhattan-ny-10044/519261906379707977/","551 Main St, Unit RES")</f>
        <v>551 Main St, Unit RES</v>
      </c>
      <c r="B3521" s="2" t="str">
        <f t="shared" si="430"/>
        <v>Island House</v>
      </c>
      <c r="C3521" s="1" t="s">
        <v>128</v>
      </c>
      <c r="D3521" s="1" t="s">
        <v>41</v>
      </c>
      <c r="E3521" s="3">
        <v>233008</v>
      </c>
      <c r="Q3521" s="1" t="s">
        <v>129</v>
      </c>
      <c r="S3521" s="1" t="s">
        <v>129</v>
      </c>
      <c r="T3521" s="1" t="s">
        <v>170</v>
      </c>
      <c r="AA3521" s="1">
        <v>233008.2</v>
      </c>
      <c r="AB3521" s="1" t="s">
        <v>2710</v>
      </c>
      <c r="AC3521" s="5">
        <v>42226</v>
      </c>
      <c r="AF3521" s="1">
        <v>10044</v>
      </c>
      <c r="AJ3521" s="1">
        <v>1975</v>
      </c>
      <c r="AL3521" s="1">
        <v>400</v>
      </c>
    </row>
    <row r="3522" spans="1:38" x14ac:dyDescent="0.2">
      <c r="A3522" s="2" t="str">
        <f>HYPERLINK("https://www.compass.com/listing/551-main-street-unit-res-manhattan-ny-10044/519261906379707985/","551 Main St, Unit RES")</f>
        <v>551 Main St, Unit RES</v>
      </c>
      <c r="B3522" s="2" t="str">
        <f t="shared" si="430"/>
        <v>Island House</v>
      </c>
      <c r="C3522" s="1" t="s">
        <v>128</v>
      </c>
      <c r="D3522" s="1" t="s">
        <v>41</v>
      </c>
      <c r="E3522" s="3">
        <v>497545</v>
      </c>
      <c r="Q3522" s="1" t="s">
        <v>129</v>
      </c>
      <c r="S3522" s="1" t="s">
        <v>129</v>
      </c>
      <c r="T3522" s="1" t="s">
        <v>170</v>
      </c>
      <c r="AA3522" s="1">
        <v>497544.8</v>
      </c>
      <c r="AB3522" s="1" t="s">
        <v>2711</v>
      </c>
      <c r="AC3522" s="5">
        <v>42240</v>
      </c>
      <c r="AF3522" s="1">
        <v>10044</v>
      </c>
      <c r="AJ3522" s="1">
        <v>1975</v>
      </c>
      <c r="AL3522" s="1">
        <v>400</v>
      </c>
    </row>
    <row r="3523" spans="1:38" x14ac:dyDescent="0.2">
      <c r="A3523" s="2" t="str">
        <f>HYPERLINK("https://www.compass.com/listing/551-main-street-unit-res-manhattan-ny-10044/519261906379707993/","551 Main St, Unit RES")</f>
        <v>551 Main St, Unit RES</v>
      </c>
      <c r="B3523" s="2" t="str">
        <f t="shared" si="430"/>
        <v>Island House</v>
      </c>
      <c r="C3523" s="1" t="s">
        <v>128</v>
      </c>
      <c r="D3523" s="1" t="s">
        <v>41</v>
      </c>
      <c r="E3523" s="3">
        <v>317561</v>
      </c>
      <c r="Q3523" s="1" t="s">
        <v>129</v>
      </c>
      <c r="S3523" s="1" t="s">
        <v>129</v>
      </c>
      <c r="T3523" s="1" t="s">
        <v>170</v>
      </c>
      <c r="AA3523" s="1">
        <v>317560.7</v>
      </c>
      <c r="AB3523" s="1" t="s">
        <v>2712</v>
      </c>
      <c r="AC3523" s="5">
        <v>42230</v>
      </c>
      <c r="AF3523" s="1">
        <v>10044</v>
      </c>
      <c r="AJ3523" s="1">
        <v>1975</v>
      </c>
      <c r="AL3523" s="1">
        <v>400</v>
      </c>
    </row>
    <row r="3524" spans="1:38" x14ac:dyDescent="0.2">
      <c r="A3524" s="2" t="str">
        <f>HYPERLINK("https://www.compass.com/listing/551-main-street-unit-res-manhattan-ny-10044/519261906379708025/","551 Main St, Unit RES")</f>
        <v>551 Main St, Unit RES</v>
      </c>
      <c r="B3524" s="2" t="str">
        <f t="shared" si="430"/>
        <v>Island House</v>
      </c>
      <c r="C3524" s="1" t="s">
        <v>128</v>
      </c>
      <c r="D3524" s="1" t="s">
        <v>41</v>
      </c>
      <c r="E3524" s="3">
        <v>442779</v>
      </c>
      <c r="Q3524" s="1" t="s">
        <v>129</v>
      </c>
      <c r="S3524" s="1" t="s">
        <v>129</v>
      </c>
      <c r="T3524" s="1" t="s">
        <v>170</v>
      </c>
      <c r="AA3524" s="1">
        <v>442778.8</v>
      </c>
      <c r="AB3524" s="1" t="s">
        <v>2713</v>
      </c>
      <c r="AC3524" s="5">
        <v>42250</v>
      </c>
      <c r="AF3524" s="1">
        <v>10044</v>
      </c>
      <c r="AJ3524" s="1">
        <v>1975</v>
      </c>
      <c r="AL3524" s="1">
        <v>400</v>
      </c>
    </row>
    <row r="3525" spans="1:38" x14ac:dyDescent="0.2">
      <c r="A3525" s="2" t="str">
        <f>HYPERLINK("https://www.compass.com/listing/551-main-street-unit-res-manhattan-ny-10044/519261906379708033/","551 Main St, Unit RES")</f>
        <v>551 Main St, Unit RES</v>
      </c>
      <c r="B3525" s="2" t="str">
        <f t="shared" si="430"/>
        <v>Island House</v>
      </c>
      <c r="C3525" s="1" t="s">
        <v>128</v>
      </c>
      <c r="D3525" s="1" t="s">
        <v>41</v>
      </c>
      <c r="E3525" s="3">
        <v>181468</v>
      </c>
      <c r="Q3525" s="1" t="s">
        <v>129</v>
      </c>
      <c r="S3525" s="1" t="s">
        <v>129</v>
      </c>
      <c r="T3525" s="1" t="s">
        <v>170</v>
      </c>
      <c r="AA3525" s="1">
        <v>181467.7</v>
      </c>
      <c r="AB3525" s="1" t="s">
        <v>2714</v>
      </c>
      <c r="AC3525" s="5">
        <v>42233</v>
      </c>
      <c r="AF3525" s="1">
        <v>10044</v>
      </c>
      <c r="AJ3525" s="1">
        <v>1975</v>
      </c>
      <c r="AL3525" s="1">
        <v>400</v>
      </c>
    </row>
    <row r="3526" spans="1:38" x14ac:dyDescent="0.2">
      <c r="A3526" s="2" t="str">
        <f>HYPERLINK("https://www.compass.com/listing/551-main-street-unit-res-manhattan-ny-10044/519261906379708057/","551 Main St, Unit RES")</f>
        <v>551 Main St, Unit RES</v>
      </c>
      <c r="B3526" s="2" t="str">
        <f t="shared" si="430"/>
        <v>Island House</v>
      </c>
      <c r="C3526" s="1" t="s">
        <v>128</v>
      </c>
      <c r="D3526" s="1" t="s">
        <v>41</v>
      </c>
      <c r="E3526" s="3">
        <v>302116</v>
      </c>
      <c r="Q3526" s="1" t="s">
        <v>129</v>
      </c>
      <c r="S3526" s="1" t="s">
        <v>129</v>
      </c>
      <c r="T3526" s="1" t="s">
        <v>170</v>
      </c>
      <c r="AA3526" s="1">
        <v>302115.7</v>
      </c>
      <c r="AB3526" s="1" t="s">
        <v>2715</v>
      </c>
      <c r="AC3526" s="5">
        <v>42257</v>
      </c>
      <c r="AF3526" s="1">
        <v>10044</v>
      </c>
      <c r="AJ3526" s="1">
        <v>1975</v>
      </c>
      <c r="AL3526" s="1">
        <v>400</v>
      </c>
    </row>
    <row r="3527" spans="1:38" x14ac:dyDescent="0.2">
      <c r="A3527" s="2" t="str">
        <f>HYPERLINK("https://www.compass.com/listing/551-main-street-unit-res-manhattan-ny-10044/519261906379708065/","551 Main St, Unit RES")</f>
        <v>551 Main St, Unit RES</v>
      </c>
      <c r="B3527" s="2" t="str">
        <f t="shared" si="430"/>
        <v>Island House</v>
      </c>
      <c r="C3527" s="1" t="s">
        <v>128</v>
      </c>
      <c r="D3527" s="1" t="s">
        <v>41</v>
      </c>
      <c r="E3527" s="3">
        <v>314660</v>
      </c>
      <c r="Q3527" s="1" t="s">
        <v>129</v>
      </c>
      <c r="S3527" s="1" t="s">
        <v>129</v>
      </c>
      <c r="T3527" s="1" t="s">
        <v>170</v>
      </c>
      <c r="AA3527" s="1">
        <v>314660.40000000002</v>
      </c>
      <c r="AB3527" s="1" t="s">
        <v>2716</v>
      </c>
      <c r="AC3527" s="5">
        <v>42220</v>
      </c>
      <c r="AF3527" s="1">
        <v>10044</v>
      </c>
      <c r="AJ3527" s="1">
        <v>1975</v>
      </c>
      <c r="AL3527" s="1">
        <v>400</v>
      </c>
    </row>
    <row r="3528" spans="1:38" x14ac:dyDescent="0.2">
      <c r="A3528" s="2" t="str">
        <f>HYPERLINK("https://www.compass.com/listing/551-main-street-unit-res-manhattan-ny-10044/519261906379708097/","551 Main St, Unit RES")</f>
        <v>551 Main St, Unit RES</v>
      </c>
      <c r="B3528" s="2" t="str">
        <f t="shared" si="430"/>
        <v>Island House</v>
      </c>
      <c r="C3528" s="1" t="s">
        <v>128</v>
      </c>
      <c r="D3528" s="1" t="s">
        <v>41</v>
      </c>
      <c r="E3528" s="3">
        <v>239101</v>
      </c>
      <c r="Q3528" s="1" t="s">
        <v>129</v>
      </c>
      <c r="S3528" s="1" t="s">
        <v>129</v>
      </c>
      <c r="T3528" s="1" t="s">
        <v>170</v>
      </c>
      <c r="AA3528" s="1">
        <v>239101</v>
      </c>
      <c r="AB3528" s="1" t="s">
        <v>2717</v>
      </c>
      <c r="AC3528" s="5">
        <v>42233</v>
      </c>
      <c r="AF3528" s="1">
        <v>10044</v>
      </c>
      <c r="AJ3528" s="1">
        <v>1975</v>
      </c>
      <c r="AL3528" s="1">
        <v>400</v>
      </c>
    </row>
    <row r="3529" spans="1:38" x14ac:dyDescent="0.2">
      <c r="A3529" s="2" t="str">
        <f>HYPERLINK("https://www.compass.com/listing/551-main-street-unit-res-manhattan-ny-10044/519261906379708105/","551 Main St, Unit RES")</f>
        <v>551 Main St, Unit RES</v>
      </c>
      <c r="B3529" s="2" t="str">
        <f t="shared" si="430"/>
        <v>Island House</v>
      </c>
      <c r="C3529" s="1" t="s">
        <v>128</v>
      </c>
      <c r="D3529" s="1" t="s">
        <v>41</v>
      </c>
      <c r="E3529" s="3">
        <v>214592</v>
      </c>
      <c r="Q3529" s="1" t="s">
        <v>129</v>
      </c>
      <c r="S3529" s="1" t="s">
        <v>129</v>
      </c>
      <c r="T3529" s="1" t="s">
        <v>170</v>
      </c>
      <c r="AA3529" s="1">
        <v>214591.8</v>
      </c>
      <c r="AB3529" s="1" t="s">
        <v>2718</v>
      </c>
      <c r="AC3529" s="5">
        <v>42255</v>
      </c>
      <c r="AF3529" s="1">
        <v>10044</v>
      </c>
      <c r="AJ3529" s="1">
        <v>1975</v>
      </c>
      <c r="AL3529" s="1">
        <v>400</v>
      </c>
    </row>
    <row r="3530" spans="1:38" x14ac:dyDescent="0.2">
      <c r="A3530" s="2" t="str">
        <f>HYPERLINK("https://www.compass.com/listing/551-main-street-unit-res-manhattan-ny-10044/519261906379708129/","551 Main St, Unit RES")</f>
        <v>551 Main St, Unit RES</v>
      </c>
      <c r="B3530" s="2" t="str">
        <f t="shared" si="430"/>
        <v>Island House</v>
      </c>
      <c r="C3530" s="1" t="s">
        <v>128</v>
      </c>
      <c r="D3530" s="1" t="s">
        <v>41</v>
      </c>
      <c r="E3530" s="3">
        <v>292197</v>
      </c>
      <c r="Q3530" s="1" t="s">
        <v>129</v>
      </c>
      <c r="S3530" s="1" t="s">
        <v>129</v>
      </c>
      <c r="T3530" s="1" t="s">
        <v>170</v>
      </c>
      <c r="AA3530" s="1">
        <v>292197.2</v>
      </c>
      <c r="AB3530" s="1" t="s">
        <v>2719</v>
      </c>
      <c r="AC3530" s="5">
        <v>42227</v>
      </c>
      <c r="AF3530" s="1">
        <v>10044</v>
      </c>
      <c r="AJ3530" s="1">
        <v>1975</v>
      </c>
      <c r="AL3530" s="1">
        <v>400</v>
      </c>
    </row>
    <row r="3531" spans="1:38" x14ac:dyDescent="0.2">
      <c r="A3531" s="2" t="str">
        <f>HYPERLINK("https://www.compass.com/listing/551-main-street-unit-res-manhattan-ny-10044/519261906379708137/","551 Main St, Unit RES")</f>
        <v>551 Main St, Unit RES</v>
      </c>
      <c r="B3531" s="2" t="str">
        <f t="shared" si="430"/>
        <v>Island House</v>
      </c>
      <c r="C3531" s="1" t="s">
        <v>128</v>
      </c>
      <c r="D3531" s="1" t="s">
        <v>41</v>
      </c>
      <c r="E3531" s="3">
        <v>317448</v>
      </c>
      <c r="Q3531" s="1" t="s">
        <v>129</v>
      </c>
      <c r="S3531" s="1" t="s">
        <v>129</v>
      </c>
      <c r="T3531" s="1" t="s">
        <v>170</v>
      </c>
      <c r="AA3531" s="1">
        <v>317447.7</v>
      </c>
      <c r="AB3531" s="1" t="s">
        <v>2720</v>
      </c>
      <c r="AC3531" s="5">
        <v>42249</v>
      </c>
      <c r="AF3531" s="1">
        <v>10044</v>
      </c>
      <c r="AJ3531" s="1">
        <v>1975</v>
      </c>
      <c r="AL3531" s="1">
        <v>400</v>
      </c>
    </row>
    <row r="3532" spans="1:38" x14ac:dyDescent="0.2">
      <c r="A3532" s="2" t="str">
        <f>HYPERLINK("https://www.compass.com/listing/551-main-street-unit-res-manhattan-ny-10044/519261906379708145/","551 Main St, Unit RES")</f>
        <v>551 Main St, Unit RES</v>
      </c>
      <c r="B3532" s="2" t="str">
        <f t="shared" si="430"/>
        <v>Island House</v>
      </c>
      <c r="C3532" s="1" t="s">
        <v>128</v>
      </c>
      <c r="D3532" s="1" t="s">
        <v>41</v>
      </c>
      <c r="E3532" s="3">
        <v>302801</v>
      </c>
      <c r="Q3532" s="1" t="s">
        <v>129</v>
      </c>
      <c r="S3532" s="1" t="s">
        <v>129</v>
      </c>
      <c r="T3532" s="1" t="s">
        <v>170</v>
      </c>
      <c r="AA3532" s="1">
        <v>302801</v>
      </c>
      <c r="AB3532" s="1" t="s">
        <v>2721</v>
      </c>
      <c r="AC3532" s="5">
        <v>42250</v>
      </c>
      <c r="AF3532" s="1">
        <v>10044</v>
      </c>
      <c r="AJ3532" s="1">
        <v>1975</v>
      </c>
      <c r="AL3532" s="1">
        <v>400</v>
      </c>
    </row>
    <row r="3533" spans="1:38" x14ac:dyDescent="0.2">
      <c r="A3533" s="2" t="str">
        <f>HYPERLINK("https://www.compass.com/listing/551-main-street-unit-res-manhattan-ny-10044/519261906379708169/","551 Main St, Unit RES")</f>
        <v>551 Main St, Unit RES</v>
      </c>
      <c r="B3533" s="2" t="str">
        <f t="shared" si="430"/>
        <v>Island House</v>
      </c>
      <c r="C3533" s="1" t="s">
        <v>128</v>
      </c>
      <c r="D3533" s="1" t="s">
        <v>41</v>
      </c>
      <c r="E3533" s="3">
        <v>444816</v>
      </c>
      <c r="Q3533" s="1" t="s">
        <v>129</v>
      </c>
      <c r="S3533" s="1" t="s">
        <v>129</v>
      </c>
      <c r="T3533" s="1" t="s">
        <v>170</v>
      </c>
      <c r="AA3533" s="1">
        <v>444815.7</v>
      </c>
      <c r="AB3533" s="1" t="s">
        <v>2722</v>
      </c>
      <c r="AC3533" s="5">
        <v>42233</v>
      </c>
      <c r="AF3533" s="1">
        <v>10044</v>
      </c>
      <c r="AJ3533" s="1">
        <v>1975</v>
      </c>
      <c r="AL3533" s="1">
        <v>400</v>
      </c>
    </row>
    <row r="3534" spans="1:38" x14ac:dyDescent="0.2">
      <c r="A3534" s="2" t="str">
        <f>HYPERLINK("https://www.compass.com/listing/551-main-street-unit-res-manhattan-ny-10044/519261906379708193/","551 Main St, Unit RES")</f>
        <v>551 Main St, Unit RES</v>
      </c>
      <c r="B3534" s="2" t="str">
        <f t="shared" si="430"/>
        <v>Island House</v>
      </c>
      <c r="C3534" s="1" t="s">
        <v>128</v>
      </c>
      <c r="D3534" s="1" t="s">
        <v>41</v>
      </c>
      <c r="E3534" s="3">
        <v>303011</v>
      </c>
      <c r="Q3534" s="1" t="s">
        <v>129</v>
      </c>
      <c r="S3534" s="1" t="s">
        <v>129</v>
      </c>
      <c r="T3534" s="1" t="s">
        <v>170</v>
      </c>
      <c r="AA3534" s="1">
        <v>303011.09999999998</v>
      </c>
      <c r="AB3534" s="1" t="s">
        <v>2723</v>
      </c>
      <c r="AC3534" s="5">
        <v>42240</v>
      </c>
      <c r="AF3534" s="1">
        <v>10044</v>
      </c>
      <c r="AJ3534" s="1">
        <v>1975</v>
      </c>
      <c r="AL3534" s="1">
        <v>400</v>
      </c>
    </row>
    <row r="3535" spans="1:38" x14ac:dyDescent="0.2">
      <c r="A3535" s="2" t="str">
        <f>HYPERLINK("https://www.compass.com/listing/551-main-street-unit-res-manhattan-ny-10044/519261906379708201/","551 Main St, Unit RES")</f>
        <v>551 Main St, Unit RES</v>
      </c>
      <c r="B3535" s="2" t="str">
        <f t="shared" si="430"/>
        <v>Island House</v>
      </c>
      <c r="C3535" s="1" t="s">
        <v>128</v>
      </c>
      <c r="D3535" s="1" t="s">
        <v>41</v>
      </c>
      <c r="E3535" s="3">
        <v>264358</v>
      </c>
      <c r="Q3535" s="1" t="s">
        <v>129</v>
      </c>
      <c r="S3535" s="1" t="s">
        <v>129</v>
      </c>
      <c r="T3535" s="1" t="s">
        <v>170</v>
      </c>
      <c r="AA3535" s="1">
        <v>264357.5</v>
      </c>
      <c r="AB3535" s="1" t="s">
        <v>2724</v>
      </c>
      <c r="AC3535" s="5">
        <v>42240</v>
      </c>
      <c r="AF3535" s="1">
        <v>10044</v>
      </c>
      <c r="AJ3535" s="1">
        <v>1975</v>
      </c>
      <c r="AL3535" s="1">
        <v>400</v>
      </c>
    </row>
    <row r="3536" spans="1:38" x14ac:dyDescent="0.2">
      <c r="A3536" s="2" t="str">
        <f>HYPERLINK("https://www.compass.com/listing/551-main-street-unit-res-manhattan-ny-10044/519261906379708209/","551 Main St, Unit RES")</f>
        <v>551 Main St, Unit RES</v>
      </c>
      <c r="B3536" s="2" t="str">
        <f t="shared" si="430"/>
        <v>Island House</v>
      </c>
      <c r="C3536" s="1" t="s">
        <v>128</v>
      </c>
      <c r="D3536" s="1" t="s">
        <v>41</v>
      </c>
      <c r="E3536" s="3">
        <v>326434</v>
      </c>
      <c r="Q3536" s="1" t="s">
        <v>129</v>
      </c>
      <c r="S3536" s="1" t="s">
        <v>129</v>
      </c>
      <c r="T3536" s="1" t="s">
        <v>170</v>
      </c>
      <c r="AA3536" s="1">
        <v>326433.8</v>
      </c>
      <c r="AB3536" s="1" t="s">
        <v>2725</v>
      </c>
      <c r="AC3536" s="5">
        <v>42226</v>
      </c>
      <c r="AF3536" s="1">
        <v>10044</v>
      </c>
      <c r="AJ3536" s="1">
        <v>1975</v>
      </c>
      <c r="AL3536" s="1">
        <v>400</v>
      </c>
    </row>
    <row r="3537" spans="1:38" x14ac:dyDescent="0.2">
      <c r="A3537" s="2" t="str">
        <f>HYPERLINK("https://www.compass.com/listing/551-main-street-unit-res-manhattan-ny-10044/519261906379708217/","551 Main St, Unit RES")</f>
        <v>551 Main St, Unit RES</v>
      </c>
      <c r="B3537" s="2" t="str">
        <f t="shared" si="430"/>
        <v>Island House</v>
      </c>
      <c r="C3537" s="1" t="s">
        <v>128</v>
      </c>
      <c r="D3537" s="1" t="s">
        <v>41</v>
      </c>
      <c r="E3537" s="3">
        <v>310436</v>
      </c>
      <c r="Q3537" s="1" t="s">
        <v>129</v>
      </c>
      <c r="S3537" s="1" t="s">
        <v>129</v>
      </c>
      <c r="T3537" s="1" t="s">
        <v>170</v>
      </c>
      <c r="AA3537" s="1">
        <v>310435.5</v>
      </c>
      <c r="AB3537" s="1" t="s">
        <v>2726</v>
      </c>
      <c r="AC3537" s="5">
        <v>42249</v>
      </c>
      <c r="AF3537" s="1">
        <v>10044</v>
      </c>
      <c r="AJ3537" s="1">
        <v>1975</v>
      </c>
      <c r="AL3537" s="1">
        <v>400</v>
      </c>
    </row>
    <row r="3538" spans="1:38" x14ac:dyDescent="0.2">
      <c r="A3538" s="2" t="str">
        <f>HYPERLINK("https://www.compass.com/listing/551-main-street-unit-res-manhattan-ny-10044/519261906379708225/","551 Main St, Unit RES")</f>
        <v>551 Main St, Unit RES</v>
      </c>
      <c r="B3538" s="2" t="str">
        <f t="shared" si="430"/>
        <v>Island House</v>
      </c>
      <c r="C3538" s="1" t="s">
        <v>128</v>
      </c>
      <c r="D3538" s="1" t="s">
        <v>41</v>
      </c>
      <c r="E3538" s="3">
        <v>270941</v>
      </c>
      <c r="Q3538" s="1" t="s">
        <v>129</v>
      </c>
      <c r="S3538" s="1" t="s">
        <v>129</v>
      </c>
      <c r="T3538" s="1" t="s">
        <v>170</v>
      </c>
      <c r="AA3538" s="1">
        <v>270940.5</v>
      </c>
      <c r="AB3538" s="1" t="s">
        <v>2727</v>
      </c>
      <c r="AC3538" s="5">
        <v>42240</v>
      </c>
      <c r="AF3538" s="1">
        <v>10044</v>
      </c>
      <c r="AJ3538" s="1">
        <v>1975</v>
      </c>
      <c r="AL3538" s="1">
        <v>400</v>
      </c>
    </row>
    <row r="3539" spans="1:38" x14ac:dyDescent="0.2">
      <c r="A3539" s="2" t="str">
        <f>HYPERLINK("https://www.compass.com/listing/551-main-street-unit-res-manhattan-ny-10044/519261906379708233/","551 Main St, Unit RES")</f>
        <v>551 Main St, Unit RES</v>
      </c>
      <c r="B3539" s="2" t="str">
        <f t="shared" si="430"/>
        <v>Island House</v>
      </c>
      <c r="C3539" s="1" t="s">
        <v>128</v>
      </c>
      <c r="D3539" s="1" t="s">
        <v>41</v>
      </c>
      <c r="E3539" s="3">
        <v>317561</v>
      </c>
      <c r="Q3539" s="1" t="s">
        <v>129</v>
      </c>
      <c r="S3539" s="1" t="s">
        <v>129</v>
      </c>
      <c r="T3539" s="1" t="s">
        <v>170</v>
      </c>
      <c r="AA3539" s="1">
        <v>317560.7</v>
      </c>
      <c r="AB3539" s="1" t="s">
        <v>2728</v>
      </c>
      <c r="AC3539" s="5">
        <v>42242</v>
      </c>
      <c r="AF3539" s="1">
        <v>10044</v>
      </c>
      <c r="AJ3539" s="1">
        <v>1975</v>
      </c>
      <c r="AL3539" s="1">
        <v>400</v>
      </c>
    </row>
    <row r="3540" spans="1:38" x14ac:dyDescent="0.2">
      <c r="A3540" s="2" t="str">
        <f>HYPERLINK("https://www.compass.com/listing/551-main-street-unit-res-manhattan-ny-10044/519261906379708241/","551 Main St, Unit RES")</f>
        <v>551 Main St, Unit RES</v>
      </c>
      <c r="B3540" s="2" t="str">
        <f t="shared" si="430"/>
        <v>Island House</v>
      </c>
      <c r="C3540" s="1" t="s">
        <v>128</v>
      </c>
      <c r="D3540" s="1" t="s">
        <v>41</v>
      </c>
      <c r="E3540" s="3">
        <v>228930</v>
      </c>
      <c r="Q3540" s="1" t="s">
        <v>129</v>
      </c>
      <c r="S3540" s="1" t="s">
        <v>129</v>
      </c>
      <c r="T3540" s="1" t="s">
        <v>170</v>
      </c>
      <c r="AA3540" s="1">
        <v>228930.3</v>
      </c>
      <c r="AB3540" s="1" t="s">
        <v>2729</v>
      </c>
      <c r="AC3540" s="5">
        <v>42249</v>
      </c>
      <c r="AF3540" s="1">
        <v>10044</v>
      </c>
      <c r="AJ3540" s="1">
        <v>1975</v>
      </c>
      <c r="AL3540" s="1">
        <v>400</v>
      </c>
    </row>
    <row r="3541" spans="1:38" x14ac:dyDescent="0.2">
      <c r="A3541" s="2" t="str">
        <f>HYPERLINK("https://www.compass.com/listing/551-main-street-unit-res-manhattan-ny-10044/519261906379708257/","551 Main St, Unit RES")</f>
        <v>551 Main St, Unit RES</v>
      </c>
      <c r="B3541" s="2" t="str">
        <f t="shared" si="430"/>
        <v>Island House</v>
      </c>
      <c r="C3541" s="1" t="s">
        <v>128</v>
      </c>
      <c r="D3541" s="1" t="s">
        <v>41</v>
      </c>
      <c r="E3541" s="3">
        <v>428303</v>
      </c>
      <c r="Q3541" s="1" t="s">
        <v>129</v>
      </c>
      <c r="S3541" s="1" t="s">
        <v>129</v>
      </c>
      <c r="T3541" s="1" t="s">
        <v>170</v>
      </c>
      <c r="AA3541" s="1">
        <v>428303.2</v>
      </c>
      <c r="AB3541" s="1" t="s">
        <v>2730</v>
      </c>
      <c r="AC3541" s="5">
        <v>42241</v>
      </c>
      <c r="AF3541" s="1">
        <v>10044</v>
      </c>
      <c r="AJ3541" s="1">
        <v>1975</v>
      </c>
      <c r="AL3541" s="1">
        <v>400</v>
      </c>
    </row>
    <row r="3542" spans="1:38" x14ac:dyDescent="0.2">
      <c r="A3542" s="2" t="str">
        <f>HYPERLINK("https://www.compass.com/listing/551-main-street-unit-res-manhattan-ny-10044/519261906379708265/","551 Main St, Unit RES")</f>
        <v>551 Main St, Unit RES</v>
      </c>
      <c r="B3542" s="2" t="str">
        <f t="shared" si="430"/>
        <v>Island House</v>
      </c>
      <c r="C3542" s="1" t="s">
        <v>128</v>
      </c>
      <c r="D3542" s="1" t="s">
        <v>41</v>
      </c>
      <c r="E3542" s="3">
        <v>459480</v>
      </c>
      <c r="Q3542" s="1" t="s">
        <v>129</v>
      </c>
      <c r="S3542" s="1" t="s">
        <v>129</v>
      </c>
      <c r="T3542" s="1" t="s">
        <v>170</v>
      </c>
      <c r="AA3542" s="1">
        <v>459480.4</v>
      </c>
      <c r="AB3542" s="1" t="s">
        <v>2731</v>
      </c>
      <c r="AC3542" s="5">
        <v>42248</v>
      </c>
      <c r="AF3542" s="1">
        <v>10044</v>
      </c>
      <c r="AJ3542" s="1">
        <v>1975</v>
      </c>
      <c r="AL3542" s="1">
        <v>400</v>
      </c>
    </row>
    <row r="3543" spans="1:38" x14ac:dyDescent="0.2">
      <c r="A3543" s="2" t="str">
        <f>HYPERLINK("https://www.compass.com/listing/551-main-street-unit-res-manhattan-ny-10044/519261906379708281/","551 Main St, Unit RES")</f>
        <v>551 Main St, Unit RES</v>
      </c>
      <c r="B3543" s="2" t="str">
        <f t="shared" si="430"/>
        <v>Island House</v>
      </c>
      <c r="C3543" s="1" t="s">
        <v>128</v>
      </c>
      <c r="D3543" s="1" t="s">
        <v>41</v>
      </c>
      <c r="E3543" s="3">
        <v>216793</v>
      </c>
      <c r="Q3543" s="1" t="s">
        <v>129</v>
      </c>
      <c r="S3543" s="1" t="s">
        <v>129</v>
      </c>
      <c r="T3543" s="1" t="s">
        <v>170</v>
      </c>
      <c r="AA3543" s="1">
        <v>216792.8</v>
      </c>
      <c r="AB3543" s="1" t="s">
        <v>2732</v>
      </c>
      <c r="AC3543" s="5">
        <v>42220</v>
      </c>
      <c r="AF3543" s="1">
        <v>10044</v>
      </c>
      <c r="AJ3543" s="1">
        <v>1975</v>
      </c>
      <c r="AL3543" s="1">
        <v>400</v>
      </c>
    </row>
    <row r="3544" spans="1:38" x14ac:dyDescent="0.2">
      <c r="A3544" s="2" t="str">
        <f>HYPERLINK("https://www.compass.com/listing/551-main-street-unit-res-manhattan-ny-10044/519261906379708289/","551 Main St, Unit RES")</f>
        <v>551 Main St, Unit RES</v>
      </c>
      <c r="B3544" s="2" t="str">
        <f t="shared" si="430"/>
        <v>Island House</v>
      </c>
      <c r="C3544" s="1" t="s">
        <v>128</v>
      </c>
      <c r="D3544" s="1" t="s">
        <v>41</v>
      </c>
      <c r="E3544" s="3">
        <v>220871</v>
      </c>
      <c r="Q3544" s="1" t="s">
        <v>129</v>
      </c>
      <c r="S3544" s="1" t="s">
        <v>129</v>
      </c>
      <c r="T3544" s="1" t="s">
        <v>170</v>
      </c>
      <c r="AA3544" s="1">
        <v>220870.7</v>
      </c>
      <c r="AB3544" s="1" t="s">
        <v>2733</v>
      </c>
      <c r="AC3544" s="5">
        <v>42230</v>
      </c>
      <c r="AF3544" s="1">
        <v>10044</v>
      </c>
      <c r="AJ3544" s="1">
        <v>1975</v>
      </c>
      <c r="AL3544" s="1">
        <v>400</v>
      </c>
    </row>
    <row r="3545" spans="1:38" x14ac:dyDescent="0.2">
      <c r="A3545" s="2" t="str">
        <f>HYPERLINK("https://www.compass.com/listing/551-main-street-unit-res-manhattan-ny-10044/519261906379708305/","551 Main St, Unit RES")</f>
        <v>551 Main St, Unit RES</v>
      </c>
      <c r="B3545" s="2" t="str">
        <f t="shared" si="430"/>
        <v>Island House</v>
      </c>
      <c r="C3545" s="1" t="s">
        <v>128</v>
      </c>
      <c r="D3545" s="1" t="s">
        <v>41</v>
      </c>
      <c r="E3545" s="3">
        <v>247351</v>
      </c>
      <c r="Q3545" s="1" t="s">
        <v>129</v>
      </c>
      <c r="S3545" s="1" t="s">
        <v>129</v>
      </c>
      <c r="T3545" s="1" t="s">
        <v>170</v>
      </c>
      <c r="AA3545" s="1">
        <v>247350.7</v>
      </c>
      <c r="AB3545" s="1" t="s">
        <v>2734</v>
      </c>
      <c r="AC3545" s="5">
        <v>42240</v>
      </c>
      <c r="AF3545" s="1">
        <v>10044</v>
      </c>
      <c r="AJ3545" s="1">
        <v>1975</v>
      </c>
      <c r="AL3545" s="1">
        <v>400</v>
      </c>
    </row>
    <row r="3546" spans="1:38" x14ac:dyDescent="0.2">
      <c r="A3546" s="2" t="str">
        <f>HYPERLINK("https://www.compass.com/listing/551-main-street-unit-res-manhattan-ny-10044/519261906379708313/","551 Main St, Unit RES")</f>
        <v>551 Main St, Unit RES</v>
      </c>
      <c r="B3546" s="2" t="str">
        <f t="shared" si="430"/>
        <v>Island House</v>
      </c>
      <c r="C3546" s="1" t="s">
        <v>128</v>
      </c>
      <c r="D3546" s="1" t="s">
        <v>41</v>
      </c>
      <c r="E3546" s="3">
        <v>190524</v>
      </c>
      <c r="Q3546" s="1" t="s">
        <v>129</v>
      </c>
      <c r="S3546" s="1" t="s">
        <v>129</v>
      </c>
      <c r="T3546" s="1" t="s">
        <v>170</v>
      </c>
      <c r="AA3546" s="1">
        <v>190523.8</v>
      </c>
      <c r="AB3546" s="1" t="s">
        <v>2735</v>
      </c>
      <c r="AC3546" s="5">
        <v>42241</v>
      </c>
      <c r="AF3546" s="1">
        <v>10044</v>
      </c>
      <c r="AJ3546" s="1">
        <v>1975</v>
      </c>
      <c r="AL3546" s="1">
        <v>400</v>
      </c>
    </row>
    <row r="3547" spans="1:38" x14ac:dyDescent="0.2">
      <c r="A3547" s="2" t="str">
        <f>HYPERLINK("https://www.compass.com/listing/551-main-street-unit-res-manhattan-ny-10044/519261906379708321/","551 Main St, Unit RES")</f>
        <v>551 Main St, Unit RES</v>
      </c>
      <c r="B3547" s="2" t="str">
        <f t="shared" si="430"/>
        <v>Island House</v>
      </c>
      <c r="C3547" s="1" t="s">
        <v>128</v>
      </c>
      <c r="D3547" s="1" t="s">
        <v>41</v>
      </c>
      <c r="E3547" s="3">
        <v>313454</v>
      </c>
      <c r="Q3547" s="1" t="s">
        <v>129</v>
      </c>
      <c r="S3547" s="1" t="s">
        <v>129</v>
      </c>
      <c r="T3547" s="1" t="s">
        <v>170</v>
      </c>
      <c r="AA3547" s="1">
        <v>313453.90000000002</v>
      </c>
      <c r="AB3547" s="1" t="s">
        <v>2736</v>
      </c>
      <c r="AC3547" s="5">
        <v>42248</v>
      </c>
      <c r="AF3547" s="1">
        <v>10044</v>
      </c>
      <c r="AJ3547" s="1">
        <v>1975</v>
      </c>
      <c r="AL3547" s="1">
        <v>400</v>
      </c>
    </row>
    <row r="3548" spans="1:38" x14ac:dyDescent="0.2">
      <c r="A3548" s="2" t="str">
        <f>HYPERLINK("https://www.compass.com/listing/551-main-street-unit-res-manhattan-ny-10044/519261906379708337/","551 Main St, Unit RES")</f>
        <v>551 Main St, Unit RES</v>
      </c>
      <c r="B3548" s="2" t="str">
        <f t="shared" si="430"/>
        <v>Island House</v>
      </c>
      <c r="C3548" s="1" t="s">
        <v>128</v>
      </c>
      <c r="D3548" s="1" t="s">
        <v>41</v>
      </c>
      <c r="E3548" s="3">
        <v>327076</v>
      </c>
      <c r="Q3548" s="1" t="s">
        <v>129</v>
      </c>
      <c r="S3548" s="1" t="s">
        <v>129</v>
      </c>
      <c r="T3548" s="1" t="s">
        <v>170</v>
      </c>
      <c r="AA3548" s="1">
        <v>327076.09999999998</v>
      </c>
      <c r="AB3548" s="1" t="s">
        <v>2737</v>
      </c>
      <c r="AC3548" s="5">
        <v>42248</v>
      </c>
      <c r="AF3548" s="1">
        <v>10044</v>
      </c>
      <c r="AJ3548" s="1">
        <v>1975</v>
      </c>
      <c r="AL3548" s="1">
        <v>400</v>
      </c>
    </row>
    <row r="3549" spans="1:38" x14ac:dyDescent="0.2">
      <c r="A3549" s="2" t="str">
        <f>HYPERLINK("https://www.compass.com/listing/551-main-street-unit-res-manhattan-ny-10044/519261906379708369/","551 Main St, Unit RES")</f>
        <v>551 Main St, Unit RES</v>
      </c>
      <c r="B3549" s="2" t="str">
        <f t="shared" si="430"/>
        <v>Island House</v>
      </c>
      <c r="C3549" s="1" t="s">
        <v>128</v>
      </c>
      <c r="D3549" s="1" t="s">
        <v>41</v>
      </c>
      <c r="E3549" s="3">
        <v>305452</v>
      </c>
      <c r="Q3549" s="1" t="s">
        <v>129</v>
      </c>
      <c r="S3549" s="1" t="s">
        <v>129</v>
      </c>
      <c r="T3549" s="1" t="s">
        <v>170</v>
      </c>
      <c r="AA3549" s="1">
        <v>305452.2</v>
      </c>
      <c r="AB3549" s="1" t="s">
        <v>2738</v>
      </c>
      <c r="AC3549" s="5">
        <v>42226</v>
      </c>
      <c r="AF3549" s="1">
        <v>10044</v>
      </c>
      <c r="AJ3549" s="1">
        <v>1975</v>
      </c>
      <c r="AL3549" s="1">
        <v>400</v>
      </c>
    </row>
    <row r="3550" spans="1:38" x14ac:dyDescent="0.2">
      <c r="A3550" s="2" t="str">
        <f>HYPERLINK("https://www.compass.com/listing/551-main-street-unit-res-manhattan-ny-10044/519261906379708425/","551 Main St, Unit RES")</f>
        <v>551 Main St, Unit RES</v>
      </c>
      <c r="B3550" s="2" t="str">
        <f t="shared" si="430"/>
        <v>Island House</v>
      </c>
      <c r="C3550" s="1" t="s">
        <v>128</v>
      </c>
      <c r="D3550" s="1" t="s">
        <v>41</v>
      </c>
      <c r="E3550" s="3">
        <v>418891</v>
      </c>
      <c r="Q3550" s="1" t="s">
        <v>129</v>
      </c>
      <c r="S3550" s="1" t="s">
        <v>129</v>
      </c>
      <c r="T3550" s="1" t="s">
        <v>170</v>
      </c>
      <c r="AA3550" s="1">
        <v>418890.9</v>
      </c>
      <c r="AB3550" s="1" t="s">
        <v>2739</v>
      </c>
      <c r="AC3550" s="5">
        <v>42222</v>
      </c>
      <c r="AF3550" s="1">
        <v>10044</v>
      </c>
      <c r="AJ3550" s="1">
        <v>1975</v>
      </c>
      <c r="AL3550" s="1">
        <v>400</v>
      </c>
    </row>
    <row r="3551" spans="1:38" x14ac:dyDescent="0.2">
      <c r="A3551" s="2" t="str">
        <f>HYPERLINK("https://www.compass.com/listing/551-main-street-unit-res-manhattan-ny-10044/519261906379708441/","551 Main St, Unit RES")</f>
        <v>551 Main St, Unit RES</v>
      </c>
      <c r="B3551" s="2" t="str">
        <f t="shared" si="430"/>
        <v>Island House</v>
      </c>
      <c r="C3551" s="1" t="s">
        <v>128</v>
      </c>
      <c r="D3551" s="1" t="s">
        <v>41</v>
      </c>
      <c r="E3551" s="3">
        <v>434649</v>
      </c>
      <c r="Q3551" s="1" t="s">
        <v>129</v>
      </c>
      <c r="S3551" s="1" t="s">
        <v>129</v>
      </c>
      <c r="T3551" s="1" t="s">
        <v>170</v>
      </c>
      <c r="AA3551" s="1">
        <v>434649.1</v>
      </c>
      <c r="AB3551" s="1" t="s">
        <v>2740</v>
      </c>
      <c r="AC3551" s="5">
        <v>42242</v>
      </c>
      <c r="AF3551" s="1">
        <v>10044</v>
      </c>
      <c r="AJ3551" s="1">
        <v>1975</v>
      </c>
      <c r="AL3551" s="1">
        <v>400</v>
      </c>
    </row>
    <row r="3552" spans="1:38" x14ac:dyDescent="0.2">
      <c r="A3552" s="2" t="str">
        <f>HYPERLINK("https://www.compass.com/listing/551-main-street-unit-res-manhattan-ny-10044/519261906379708449/","551 Main St, Unit RES")</f>
        <v>551 Main St, Unit RES</v>
      </c>
      <c r="B3552" s="2" t="str">
        <f t="shared" si="430"/>
        <v>Island House</v>
      </c>
      <c r="C3552" s="1" t="s">
        <v>128</v>
      </c>
      <c r="D3552" s="1" t="s">
        <v>41</v>
      </c>
      <c r="E3552" s="3">
        <v>218808</v>
      </c>
      <c r="Q3552" s="1" t="s">
        <v>129</v>
      </c>
      <c r="S3552" s="1" t="s">
        <v>129</v>
      </c>
      <c r="T3552" s="1" t="s">
        <v>170</v>
      </c>
      <c r="AA3552" s="1">
        <v>218807.7</v>
      </c>
      <c r="AB3552" s="1" t="s">
        <v>2741</v>
      </c>
      <c r="AC3552" s="5">
        <v>42230</v>
      </c>
      <c r="AF3552" s="1">
        <v>10044</v>
      </c>
      <c r="AJ3552" s="1">
        <v>1975</v>
      </c>
      <c r="AL3552" s="1">
        <v>400</v>
      </c>
    </row>
    <row r="3553" spans="1:38" x14ac:dyDescent="0.2">
      <c r="A3553" s="2" t="str">
        <f>HYPERLINK("https://www.compass.com/listing/551-main-street-unit-res-manhattan-ny-10044/519261906379708457/","551 Main St, Unit RES")</f>
        <v>551 Main St, Unit RES</v>
      </c>
      <c r="B3553" s="2" t="str">
        <f t="shared" si="430"/>
        <v>Island House</v>
      </c>
      <c r="C3553" s="1" t="s">
        <v>128</v>
      </c>
      <c r="D3553" s="1" t="s">
        <v>41</v>
      </c>
      <c r="E3553" s="3">
        <v>308860</v>
      </c>
      <c r="Q3553" s="1" t="s">
        <v>129</v>
      </c>
      <c r="S3553" s="1" t="s">
        <v>129</v>
      </c>
      <c r="T3553" s="1" t="s">
        <v>170</v>
      </c>
      <c r="AA3553" s="1">
        <v>308859.8</v>
      </c>
      <c r="AB3553" s="1" t="s">
        <v>2742</v>
      </c>
      <c r="AC3553" s="5">
        <v>42241</v>
      </c>
      <c r="AF3553" s="1">
        <v>10044</v>
      </c>
      <c r="AJ3553" s="1">
        <v>1975</v>
      </c>
      <c r="AL3553" s="1">
        <v>400</v>
      </c>
    </row>
    <row r="3554" spans="1:38" x14ac:dyDescent="0.2">
      <c r="A3554" s="2" t="str">
        <f>HYPERLINK("https://www.compass.com/listing/551-main-street-unit-res-manhattan-ny-10044/519261906379708465/","551 Main St, Unit RES")</f>
        <v>551 Main St, Unit RES</v>
      </c>
      <c r="B3554" s="2" t="str">
        <f t="shared" si="430"/>
        <v>Island House</v>
      </c>
      <c r="C3554" s="1" t="s">
        <v>128</v>
      </c>
      <c r="D3554" s="1" t="s">
        <v>41</v>
      </c>
      <c r="E3554" s="3">
        <v>192402</v>
      </c>
      <c r="Q3554" s="1" t="s">
        <v>129</v>
      </c>
      <c r="S3554" s="1" t="s">
        <v>129</v>
      </c>
      <c r="T3554" s="1" t="s">
        <v>170</v>
      </c>
      <c r="AA3554" s="1">
        <v>192401.7</v>
      </c>
      <c r="AB3554" s="1" t="s">
        <v>2743</v>
      </c>
      <c r="AC3554" s="5">
        <v>42249</v>
      </c>
      <c r="AF3554" s="1">
        <v>10044</v>
      </c>
      <c r="AJ3554" s="1">
        <v>1975</v>
      </c>
      <c r="AL3554" s="1">
        <v>400</v>
      </c>
    </row>
    <row r="3555" spans="1:38" x14ac:dyDescent="0.2">
      <c r="A3555" s="2" t="str">
        <f>HYPERLINK("https://www.compass.com/listing/551-main-street-unit-res-manhattan-ny-10044/519261906379708473/","551 Main St, Unit RES")</f>
        <v>551 Main St, Unit RES</v>
      </c>
      <c r="B3555" s="2" t="str">
        <f t="shared" si="430"/>
        <v>Island House</v>
      </c>
      <c r="C3555" s="1" t="s">
        <v>128</v>
      </c>
      <c r="D3555" s="1" t="s">
        <v>41</v>
      </c>
      <c r="E3555" s="3">
        <v>124806</v>
      </c>
      <c r="Q3555" s="1" t="s">
        <v>129</v>
      </c>
      <c r="S3555" s="1" t="s">
        <v>129</v>
      </c>
      <c r="T3555" s="1" t="s">
        <v>170</v>
      </c>
      <c r="AA3555" s="1">
        <v>124805.9</v>
      </c>
      <c r="AB3555" s="1" t="s">
        <v>2744</v>
      </c>
      <c r="AC3555" s="5">
        <v>42221</v>
      </c>
      <c r="AF3555" s="1">
        <v>10044</v>
      </c>
      <c r="AJ3555" s="1">
        <v>1975</v>
      </c>
      <c r="AL3555" s="1">
        <v>400</v>
      </c>
    </row>
    <row r="3556" spans="1:38" x14ac:dyDescent="0.2">
      <c r="A3556" s="2" t="str">
        <f>HYPERLINK("https://www.compass.com/listing/551-main-street-unit-res-manhattan-ny-10044/519261906379708481/","551 Main St, Unit RES")</f>
        <v>551 Main St, Unit RES</v>
      </c>
      <c r="B3556" s="2" t="str">
        <f t="shared" si="430"/>
        <v>Island House</v>
      </c>
      <c r="C3556" s="1" t="s">
        <v>128</v>
      </c>
      <c r="D3556" s="1" t="s">
        <v>41</v>
      </c>
      <c r="E3556" s="3">
        <v>308461</v>
      </c>
      <c r="Q3556" s="1" t="s">
        <v>129</v>
      </c>
      <c r="S3556" s="1" t="s">
        <v>129</v>
      </c>
      <c r="T3556" s="1" t="s">
        <v>170</v>
      </c>
      <c r="AA3556" s="1">
        <v>308460.59999999998</v>
      </c>
      <c r="AB3556" s="1" t="s">
        <v>2745</v>
      </c>
      <c r="AC3556" s="5">
        <v>42257</v>
      </c>
      <c r="AF3556" s="1">
        <v>10044</v>
      </c>
      <c r="AJ3556" s="1">
        <v>1975</v>
      </c>
      <c r="AL3556" s="1">
        <v>400</v>
      </c>
    </row>
    <row r="3557" spans="1:38" x14ac:dyDescent="0.2">
      <c r="A3557" s="2" t="str">
        <f>HYPERLINK("https://www.compass.com/listing/551-main-street-unit-res-manhattan-ny-10044/519261906379708489/","551 Main St, Unit RES")</f>
        <v>551 Main St, Unit RES</v>
      </c>
      <c r="B3557" s="2" t="str">
        <f t="shared" si="430"/>
        <v>Island House</v>
      </c>
      <c r="C3557" s="1" t="s">
        <v>128</v>
      </c>
      <c r="D3557" s="1" t="s">
        <v>41</v>
      </c>
      <c r="E3557" s="3">
        <v>318755</v>
      </c>
      <c r="Q3557" s="1" t="s">
        <v>129</v>
      </c>
      <c r="S3557" s="1" t="s">
        <v>129</v>
      </c>
      <c r="T3557" s="1" t="s">
        <v>170</v>
      </c>
      <c r="AA3557" s="1">
        <v>318755.3</v>
      </c>
      <c r="AB3557" s="1" t="s">
        <v>2746</v>
      </c>
      <c r="AC3557" s="5">
        <v>42223</v>
      </c>
      <c r="AF3557" s="1">
        <v>10044</v>
      </c>
      <c r="AJ3557" s="1">
        <v>1975</v>
      </c>
      <c r="AL3557" s="1">
        <v>400</v>
      </c>
    </row>
    <row r="3558" spans="1:38" x14ac:dyDescent="0.2">
      <c r="A3558" s="2" t="str">
        <f>HYPERLINK("https://www.compass.com/listing/551-main-street-unit-res-manhattan-ny-10044/519261906379708497/","551 Main St, Unit RES")</f>
        <v>551 Main St, Unit RES</v>
      </c>
      <c r="B3558" s="2" t="str">
        <f t="shared" si="430"/>
        <v>Island House</v>
      </c>
      <c r="C3558" s="1" t="s">
        <v>128</v>
      </c>
      <c r="D3558" s="1" t="s">
        <v>41</v>
      </c>
      <c r="E3558" s="3">
        <v>192402</v>
      </c>
      <c r="Q3558" s="1" t="s">
        <v>129</v>
      </c>
      <c r="S3558" s="1" t="s">
        <v>129</v>
      </c>
      <c r="T3558" s="1" t="s">
        <v>170</v>
      </c>
      <c r="AA3558" s="1">
        <v>192401.7</v>
      </c>
      <c r="AB3558" s="1" t="s">
        <v>2747</v>
      </c>
      <c r="AC3558" s="5">
        <v>42229</v>
      </c>
      <c r="AF3558" s="1">
        <v>10044</v>
      </c>
      <c r="AJ3558" s="1">
        <v>1975</v>
      </c>
      <c r="AL3558" s="1">
        <v>400</v>
      </c>
    </row>
    <row r="3559" spans="1:38" x14ac:dyDescent="0.2">
      <c r="A3559" s="2" t="str">
        <f>HYPERLINK("https://www.compass.com/listing/551-main-street-unit-res-manhattan-ny-10044/519261906379708505/","551 Main St, Unit RES")</f>
        <v>551 Main St, Unit RES</v>
      </c>
      <c r="B3559" s="2" t="str">
        <f t="shared" si="430"/>
        <v>Island House</v>
      </c>
      <c r="C3559" s="1" t="s">
        <v>128</v>
      </c>
      <c r="D3559" s="1" t="s">
        <v>41</v>
      </c>
      <c r="E3559" s="3">
        <v>398747</v>
      </c>
      <c r="Q3559" s="1" t="s">
        <v>129</v>
      </c>
      <c r="S3559" s="1" t="s">
        <v>129</v>
      </c>
      <c r="T3559" s="1" t="s">
        <v>170</v>
      </c>
      <c r="AA3559" s="1">
        <v>398746.7</v>
      </c>
      <c r="AB3559" s="1" t="s">
        <v>2748</v>
      </c>
      <c r="AC3559" s="5">
        <v>42241</v>
      </c>
      <c r="AF3559" s="1">
        <v>10044</v>
      </c>
      <c r="AJ3559" s="1">
        <v>1975</v>
      </c>
      <c r="AL3559" s="1">
        <v>400</v>
      </c>
    </row>
    <row r="3560" spans="1:38" x14ac:dyDescent="0.2">
      <c r="A3560" s="2" t="str">
        <f>HYPERLINK("https://www.compass.com/listing/551-main-street-unit-res-manhattan-ny-10044/519261906379708513/","551 Main St, Unit RES")</f>
        <v>551 Main St, Unit RES</v>
      </c>
      <c r="B3560" s="2" t="str">
        <f t="shared" si="430"/>
        <v>Island House</v>
      </c>
      <c r="C3560" s="1" t="s">
        <v>128</v>
      </c>
      <c r="D3560" s="1" t="s">
        <v>41</v>
      </c>
      <c r="E3560" s="3">
        <v>420903</v>
      </c>
      <c r="Q3560" s="1" t="s">
        <v>129</v>
      </c>
      <c r="S3560" s="1" t="s">
        <v>129</v>
      </c>
      <c r="T3560" s="1" t="s">
        <v>170</v>
      </c>
      <c r="AA3560" s="1">
        <v>420902.8</v>
      </c>
      <c r="AB3560" s="1" t="s">
        <v>2749</v>
      </c>
      <c r="AC3560" s="5">
        <v>42242</v>
      </c>
      <c r="AF3560" s="1">
        <v>10044</v>
      </c>
      <c r="AJ3560" s="1">
        <v>1975</v>
      </c>
      <c r="AL3560" s="1">
        <v>400</v>
      </c>
    </row>
    <row r="3561" spans="1:38" x14ac:dyDescent="0.2">
      <c r="A3561" s="2" t="str">
        <f>HYPERLINK("https://www.compass.com/listing/551-main-street-unit-res-manhattan-ny-10044/519261906379708529/","551 Main St, Unit RES")</f>
        <v>551 Main St, Unit RES</v>
      </c>
      <c r="B3561" s="2" t="str">
        <f t="shared" si="430"/>
        <v>Island House</v>
      </c>
      <c r="C3561" s="1" t="s">
        <v>128</v>
      </c>
      <c r="D3561" s="1" t="s">
        <v>41</v>
      </c>
      <c r="E3561" s="3">
        <v>434428</v>
      </c>
      <c r="Q3561" s="1" t="s">
        <v>129</v>
      </c>
      <c r="S3561" s="1" t="s">
        <v>129</v>
      </c>
      <c r="T3561" s="1" t="s">
        <v>170</v>
      </c>
      <c r="AA3561" s="1">
        <v>434428</v>
      </c>
      <c r="AB3561" s="1" t="s">
        <v>2750</v>
      </c>
      <c r="AC3561" s="5">
        <v>42228</v>
      </c>
      <c r="AF3561" s="1">
        <v>10044</v>
      </c>
      <c r="AJ3561" s="1">
        <v>1975</v>
      </c>
      <c r="AL3561" s="1">
        <v>400</v>
      </c>
    </row>
    <row r="3562" spans="1:38" x14ac:dyDescent="0.2">
      <c r="A3562" s="2" t="str">
        <f>HYPERLINK("https://www.compass.com/listing/551-main-street-unit-res-manhattan-ny-10044/519261906379708537/","551 Main St, Unit RES")</f>
        <v>551 Main St, Unit RES</v>
      </c>
      <c r="B3562" s="2" t="str">
        <f t="shared" si="430"/>
        <v>Island House</v>
      </c>
      <c r="C3562" s="1" t="s">
        <v>128</v>
      </c>
      <c r="D3562" s="1" t="s">
        <v>41</v>
      </c>
      <c r="E3562" s="3">
        <v>154599</v>
      </c>
      <c r="Q3562" s="1" t="s">
        <v>129</v>
      </c>
      <c r="S3562" s="1" t="s">
        <v>129</v>
      </c>
      <c r="T3562" s="1" t="s">
        <v>170</v>
      </c>
      <c r="AA3562" s="1">
        <v>154599.4</v>
      </c>
      <c r="AB3562" s="1" t="s">
        <v>2751</v>
      </c>
      <c r="AC3562" s="5">
        <v>42240</v>
      </c>
      <c r="AF3562" s="1">
        <v>10044</v>
      </c>
      <c r="AJ3562" s="1">
        <v>1975</v>
      </c>
      <c r="AL3562" s="1">
        <v>400</v>
      </c>
    </row>
    <row r="3563" spans="1:38" x14ac:dyDescent="0.2">
      <c r="A3563" s="2" t="str">
        <f>HYPERLINK("https://www.compass.com/listing/551-main-street-unit-res-manhattan-ny-10044/519261906379708545/","551 Main St, Unit RES")</f>
        <v>551 Main St, Unit RES</v>
      </c>
      <c r="B3563" s="2" t="str">
        <f t="shared" si="430"/>
        <v>Island House</v>
      </c>
      <c r="C3563" s="1" t="s">
        <v>128</v>
      </c>
      <c r="D3563" s="1" t="s">
        <v>41</v>
      </c>
      <c r="E3563" s="3">
        <v>434428</v>
      </c>
      <c r="Q3563" s="1" t="s">
        <v>129</v>
      </c>
      <c r="S3563" s="1" t="s">
        <v>129</v>
      </c>
      <c r="T3563" s="1" t="s">
        <v>170</v>
      </c>
      <c r="AA3563" s="1">
        <v>434428</v>
      </c>
      <c r="AB3563" s="1" t="s">
        <v>2752</v>
      </c>
      <c r="AC3563" s="5">
        <v>42226</v>
      </c>
      <c r="AF3563" s="1">
        <v>10044</v>
      </c>
      <c r="AJ3563" s="1">
        <v>1975</v>
      </c>
      <c r="AL3563" s="1">
        <v>400</v>
      </c>
    </row>
    <row r="3564" spans="1:38" x14ac:dyDescent="0.2">
      <c r="A3564" s="2" t="str">
        <f>HYPERLINK("https://www.compass.com/listing/551-main-street-unit-res-manhattan-ny-10044/519261906379708553/","551 Main St, Unit RES")</f>
        <v>551 Main St, Unit RES</v>
      </c>
      <c r="B3564" s="2" t="str">
        <f t="shared" si="430"/>
        <v>Island House</v>
      </c>
      <c r="C3564" s="1" t="s">
        <v>128</v>
      </c>
      <c r="D3564" s="1" t="s">
        <v>41</v>
      </c>
      <c r="E3564" s="3">
        <v>201644</v>
      </c>
      <c r="Q3564" s="1" t="s">
        <v>129</v>
      </c>
      <c r="S3564" s="1" t="s">
        <v>129</v>
      </c>
      <c r="T3564" s="1" t="s">
        <v>170</v>
      </c>
      <c r="AA3564" s="1">
        <v>201643.9</v>
      </c>
      <c r="AB3564" s="1" t="s">
        <v>2753</v>
      </c>
      <c r="AC3564" s="5">
        <v>42241</v>
      </c>
      <c r="AF3564" s="1">
        <v>10044</v>
      </c>
      <c r="AJ3564" s="1">
        <v>1975</v>
      </c>
      <c r="AL3564" s="1">
        <v>400</v>
      </c>
    </row>
    <row r="3565" spans="1:38" x14ac:dyDescent="0.2">
      <c r="A3565" s="2" t="str">
        <f>HYPERLINK("https://www.compass.com/listing/551-main-street-unit-res-manhattan-ny-10044/519261906379708561/","551 Main St, Unit RES")</f>
        <v>551 Main St, Unit RES</v>
      </c>
      <c r="B3565" s="2" t="str">
        <f t="shared" si="430"/>
        <v>Island House</v>
      </c>
      <c r="C3565" s="1" t="s">
        <v>128</v>
      </c>
      <c r="D3565" s="1" t="s">
        <v>41</v>
      </c>
      <c r="E3565" s="3">
        <v>484532</v>
      </c>
      <c r="Q3565" s="1" t="s">
        <v>129</v>
      </c>
      <c r="S3565" s="1" t="s">
        <v>129</v>
      </c>
      <c r="T3565" s="1" t="s">
        <v>170</v>
      </c>
      <c r="AA3565" s="1">
        <v>484531.8</v>
      </c>
      <c r="AB3565" s="1" t="s">
        <v>2754</v>
      </c>
      <c r="AC3565" s="5">
        <v>42257</v>
      </c>
      <c r="AF3565" s="1">
        <v>10044</v>
      </c>
      <c r="AJ3565" s="1">
        <v>1975</v>
      </c>
      <c r="AL3565" s="1">
        <v>400</v>
      </c>
    </row>
    <row r="3566" spans="1:38" x14ac:dyDescent="0.2">
      <c r="A3566" s="2" t="str">
        <f>HYPERLINK("https://www.compass.com/listing/551-main-street-unit-res-manhattan-ny-10044/519261906388097185/","551 Main St, Unit RES")</f>
        <v>551 Main St, Unit RES</v>
      </c>
      <c r="B3566" s="2" t="str">
        <f t="shared" si="430"/>
        <v>Island House</v>
      </c>
      <c r="C3566" s="1" t="s">
        <v>128</v>
      </c>
      <c r="D3566" s="1" t="s">
        <v>41</v>
      </c>
      <c r="E3566" s="3">
        <v>233271</v>
      </c>
      <c r="Q3566" s="1" t="s">
        <v>129</v>
      </c>
      <c r="S3566" s="1" t="s">
        <v>129</v>
      </c>
      <c r="T3566" s="1" t="s">
        <v>170</v>
      </c>
      <c r="AA3566" s="1">
        <v>233271.3</v>
      </c>
      <c r="AB3566" s="1" t="s">
        <v>2755</v>
      </c>
      <c r="AC3566" s="5">
        <v>42230</v>
      </c>
      <c r="AF3566" s="1">
        <v>10044</v>
      </c>
      <c r="AJ3566" s="1">
        <v>1975</v>
      </c>
      <c r="AL3566" s="1">
        <v>400</v>
      </c>
    </row>
    <row r="3567" spans="1:38" x14ac:dyDescent="0.2">
      <c r="A3567" s="2" t="str">
        <f>HYPERLINK("https://www.compass.com/listing/551-main-street-unit-res-manhattan-ny-10044/519261906388097193/","551 Main St, Unit RES")</f>
        <v>551 Main St, Unit RES</v>
      </c>
      <c r="B3567" s="2" t="str">
        <f t="shared" si="430"/>
        <v>Island House</v>
      </c>
      <c r="C3567" s="1" t="s">
        <v>128</v>
      </c>
      <c r="D3567" s="1" t="s">
        <v>41</v>
      </c>
      <c r="E3567" s="3">
        <v>418891</v>
      </c>
      <c r="Q3567" s="1" t="s">
        <v>129</v>
      </c>
      <c r="S3567" s="1" t="s">
        <v>129</v>
      </c>
      <c r="T3567" s="1" t="s">
        <v>170</v>
      </c>
      <c r="AA3567" s="1">
        <v>418890.9</v>
      </c>
      <c r="AB3567" s="1" t="s">
        <v>2756</v>
      </c>
      <c r="AC3567" s="5">
        <v>42247</v>
      </c>
      <c r="AF3567" s="1">
        <v>10044</v>
      </c>
      <c r="AJ3567" s="1">
        <v>1975</v>
      </c>
      <c r="AL3567" s="1">
        <v>400</v>
      </c>
    </row>
    <row r="3568" spans="1:38" x14ac:dyDescent="0.2">
      <c r="A3568" s="2" t="str">
        <f>HYPERLINK("https://www.compass.com/listing/551-main-street-unit-res-manhattan-ny-10044/519261906388097201/","551 Main St, Unit RES")</f>
        <v>551 Main St, Unit RES</v>
      </c>
      <c r="B3568" s="2" t="str">
        <f t="shared" si="430"/>
        <v>Island House</v>
      </c>
      <c r="C3568" s="1" t="s">
        <v>128</v>
      </c>
      <c r="D3568" s="1" t="s">
        <v>41</v>
      </c>
      <c r="E3568" s="3">
        <v>420903</v>
      </c>
      <c r="Q3568" s="1" t="s">
        <v>129</v>
      </c>
      <c r="S3568" s="1" t="s">
        <v>129</v>
      </c>
      <c r="T3568" s="1" t="s">
        <v>170</v>
      </c>
      <c r="AA3568" s="1">
        <v>420902.8</v>
      </c>
      <c r="AB3568" s="1" t="s">
        <v>2757</v>
      </c>
      <c r="AC3568" s="5">
        <v>42242</v>
      </c>
      <c r="AF3568" s="1">
        <v>10044</v>
      </c>
      <c r="AJ3568" s="1">
        <v>1975</v>
      </c>
      <c r="AL3568" s="1">
        <v>400</v>
      </c>
    </row>
    <row r="3569" spans="1:38" x14ac:dyDescent="0.2">
      <c r="A3569" s="2" t="str">
        <f>HYPERLINK("https://www.compass.com/listing/15-west-61st-street-unit-25a-manhattan-ny-10023/531180749989457617/","15 W 61st St, Unit 25A")</f>
        <v>15 W 61st St, Unit 25A</v>
      </c>
      <c r="B3569" s="2" t="str">
        <f t="shared" ref="B3569:B3570" si="431">HYPERLINK("https://www.compass.com/building/the-park-loggia-manhattan-ny/292861833130357557/","The Park Loggia")</f>
        <v>The Park Loggia</v>
      </c>
      <c r="C3569" s="1" t="s">
        <v>50</v>
      </c>
      <c r="D3569" s="1" t="s">
        <v>41</v>
      </c>
      <c r="E3569" s="3">
        <v>6870541</v>
      </c>
      <c r="F3569" s="1">
        <v>3582.1379874869599</v>
      </c>
      <c r="G3569" s="1">
        <v>5</v>
      </c>
      <c r="H3569" s="1">
        <v>3</v>
      </c>
      <c r="I3569" s="1">
        <v>3</v>
      </c>
      <c r="J3569" s="1">
        <v>2.5</v>
      </c>
      <c r="K3569" s="1">
        <v>2</v>
      </c>
      <c r="L3569" s="1">
        <v>1</v>
      </c>
      <c r="M3569" s="4">
        <v>1918</v>
      </c>
      <c r="N3569" s="1">
        <v>2061</v>
      </c>
      <c r="O3569" s="1">
        <v>4044</v>
      </c>
      <c r="P3569" s="1">
        <v>1983</v>
      </c>
      <c r="Q3569" s="1" t="s">
        <v>42</v>
      </c>
      <c r="S3569" s="1" t="s">
        <v>42</v>
      </c>
      <c r="T3569" s="1" t="s">
        <v>170</v>
      </c>
      <c r="U3569" s="1">
        <v>155</v>
      </c>
      <c r="V3569" s="5">
        <v>43985</v>
      </c>
      <c r="W3569" s="5">
        <v>43754</v>
      </c>
      <c r="X3569" s="1">
        <v>6730875</v>
      </c>
      <c r="Y3569" s="1">
        <v>6730875</v>
      </c>
      <c r="AA3569" s="1">
        <v>6870540.6600000001</v>
      </c>
      <c r="AB3569" s="1" t="s">
        <v>2758</v>
      </c>
      <c r="AC3569" s="5">
        <v>43983</v>
      </c>
      <c r="AF3569" s="1">
        <v>10023</v>
      </c>
      <c r="AI3569" s="1" t="s">
        <v>103</v>
      </c>
      <c r="AJ3569" s="1">
        <v>2019</v>
      </c>
      <c r="AK3569" s="1" t="s">
        <v>77</v>
      </c>
      <c r="AL3569" s="1">
        <v>172</v>
      </c>
    </row>
    <row r="3570" spans="1:38" x14ac:dyDescent="0.2">
      <c r="A3570" s="2" t="str">
        <f>HYPERLINK("https://www.compass.com/listing/15-west-61st-street-unit-18d-manhattan-ny-10023/531328616754379017/","15 W 61st St, Unit 18D")</f>
        <v>15 W 61st St, Unit 18D</v>
      </c>
      <c r="B3570" s="2" t="str">
        <f t="shared" si="431"/>
        <v>The Park Loggia</v>
      </c>
      <c r="C3570" s="1" t="s">
        <v>50</v>
      </c>
      <c r="D3570" s="1" t="s">
        <v>41</v>
      </c>
      <c r="E3570" s="3">
        <v>3572625</v>
      </c>
      <c r="F3570" s="1">
        <v>2666.13805970149</v>
      </c>
      <c r="G3570" s="1">
        <v>4</v>
      </c>
      <c r="H3570" s="1">
        <v>2</v>
      </c>
      <c r="I3570" s="1">
        <v>2</v>
      </c>
      <c r="J3570" s="1">
        <v>2</v>
      </c>
      <c r="K3570" s="1">
        <v>2</v>
      </c>
      <c r="M3570" s="4">
        <v>1340</v>
      </c>
      <c r="N3570" s="1">
        <v>1415</v>
      </c>
      <c r="O3570" s="1">
        <v>2776</v>
      </c>
      <c r="P3570" s="1">
        <v>1361</v>
      </c>
      <c r="Q3570" s="1" t="s">
        <v>42</v>
      </c>
      <c r="S3570" s="1" t="s">
        <v>42</v>
      </c>
      <c r="T3570" s="1" t="s">
        <v>170</v>
      </c>
      <c r="U3570" s="1">
        <v>276</v>
      </c>
      <c r="V3570" s="5">
        <v>43988</v>
      </c>
      <c r="W3570" s="5">
        <v>43633</v>
      </c>
      <c r="X3570" s="1">
        <v>3500000</v>
      </c>
      <c r="Y3570" s="1">
        <v>3500000</v>
      </c>
      <c r="AA3570" s="1">
        <v>3572625</v>
      </c>
      <c r="AB3570" s="1" t="s">
        <v>2759</v>
      </c>
      <c r="AC3570" s="5">
        <v>43984</v>
      </c>
      <c r="AF3570" s="1">
        <v>10023</v>
      </c>
      <c r="AI3570" s="1" t="s">
        <v>103</v>
      </c>
      <c r="AJ3570" s="1">
        <v>2019</v>
      </c>
      <c r="AK3570" s="1" t="s">
        <v>77</v>
      </c>
      <c r="AL3570" s="1">
        <v>172</v>
      </c>
    </row>
    <row r="3571" spans="1:38" x14ac:dyDescent="0.2">
      <c r="A3571" s="2" t="str">
        <f>HYPERLINK("https://www.compass.com/listing/49-51-chambers-street-unit-7h-manhattan-ny-10007/532311028640616273/","49-51 Chambers St, Unit 7H")</f>
        <v>49-51 Chambers St, Unit 7H</v>
      </c>
      <c r="B3571" s="2" t="str">
        <f>HYPERLINK("https://www.compass.com/building/49-51-chambers-st-manhattan-ny-10007/441163040348878029/","49-51 Chambers St")</f>
        <v>49-51 Chambers St</v>
      </c>
      <c r="C3571" s="1" t="s">
        <v>956</v>
      </c>
      <c r="D3571" s="1" t="s">
        <v>41</v>
      </c>
      <c r="E3571" s="3">
        <v>2270000</v>
      </c>
      <c r="F3571" s="1">
        <v>1555.8601782042399</v>
      </c>
      <c r="M3571" s="4">
        <v>1459</v>
      </c>
      <c r="Q3571" s="1" t="s">
        <v>42</v>
      </c>
      <c r="S3571" s="1" t="s">
        <v>42</v>
      </c>
      <c r="T3571" s="1" t="s">
        <v>170</v>
      </c>
      <c r="AA3571" s="1">
        <v>2270000</v>
      </c>
      <c r="AB3571" s="1" t="s">
        <v>2760</v>
      </c>
      <c r="AC3571" s="5">
        <v>43966</v>
      </c>
      <c r="AF3571" s="1">
        <v>10007</v>
      </c>
    </row>
    <row r="3572" spans="1:38" x14ac:dyDescent="0.2">
      <c r="A3572" s="2" t="str">
        <f>HYPERLINK("https://www.compass.com/listing/15-west-61st-street-unit-15a-manhattan-ny-10023/532783816358971777/","15 W 61st St, Unit 15A")</f>
        <v>15 W 61st St, Unit 15A</v>
      </c>
      <c r="B3572" s="2" t="str">
        <f t="shared" ref="B3572:B3573" si="432">HYPERLINK("https://www.compass.com/building/the-park-loggia-manhattan-ny/292861833130357557/","The Park Loggia")</f>
        <v>The Park Loggia</v>
      </c>
      <c r="C3572" s="1" t="s">
        <v>50</v>
      </c>
      <c r="D3572" s="1" t="s">
        <v>41</v>
      </c>
      <c r="E3572" s="3">
        <v>3900000</v>
      </c>
      <c r="F3572" s="1">
        <v>2805.7553956834499</v>
      </c>
      <c r="G3572" s="1">
        <v>4</v>
      </c>
      <c r="H3572" s="1">
        <v>2</v>
      </c>
      <c r="I3572" s="1">
        <v>2</v>
      </c>
      <c r="J3572" s="1">
        <v>2</v>
      </c>
      <c r="K3572" s="1">
        <v>2</v>
      </c>
      <c r="M3572" s="4">
        <v>1390</v>
      </c>
      <c r="N3572" s="1">
        <v>1520</v>
      </c>
      <c r="O3572" s="1">
        <v>2982</v>
      </c>
      <c r="P3572" s="1">
        <v>1462</v>
      </c>
      <c r="Q3572" s="1" t="s">
        <v>42</v>
      </c>
      <c r="S3572" s="1" t="s">
        <v>42</v>
      </c>
      <c r="T3572" s="1" t="s">
        <v>170</v>
      </c>
      <c r="U3572" s="1">
        <v>50</v>
      </c>
      <c r="V3572" s="5">
        <v>43988</v>
      </c>
      <c r="W3572" s="5">
        <v>43859</v>
      </c>
      <c r="X3572" s="1">
        <v>3900000</v>
      </c>
      <c r="Y3572" s="1">
        <v>3900000</v>
      </c>
      <c r="AA3572" s="1">
        <v>3900000</v>
      </c>
      <c r="AB3572" s="1" t="s">
        <v>2761</v>
      </c>
      <c r="AC3572" s="5">
        <v>43986</v>
      </c>
      <c r="AF3572" s="1">
        <v>10023</v>
      </c>
      <c r="AI3572" s="1" t="s">
        <v>103</v>
      </c>
      <c r="AJ3572" s="1">
        <v>2019</v>
      </c>
      <c r="AK3572" s="1" t="s">
        <v>77</v>
      </c>
      <c r="AL3572" s="1">
        <v>172</v>
      </c>
    </row>
    <row r="3573" spans="1:38" x14ac:dyDescent="0.2">
      <c r="A3573" s="2" t="str">
        <f>HYPERLINK("https://www.compass.com/listing/15-west-61st-street-unit-14g-manhattan-ny-10023/533485196723531233/","15 W 61st St, Unit 14G")</f>
        <v>15 W 61st St, Unit 14G</v>
      </c>
      <c r="B3573" s="2" t="str">
        <f t="shared" si="432"/>
        <v>The Park Loggia</v>
      </c>
      <c r="C3573" s="1" t="s">
        <v>50</v>
      </c>
      <c r="D3573" s="1" t="s">
        <v>41</v>
      </c>
      <c r="E3573" s="3">
        <v>1700478</v>
      </c>
      <c r="F3573" s="1">
        <v>2604.1003062787099</v>
      </c>
      <c r="G3573" s="1">
        <v>3</v>
      </c>
      <c r="H3573" s="1">
        <v>1</v>
      </c>
      <c r="I3573" s="1">
        <v>1</v>
      </c>
      <c r="J3573" s="1">
        <v>1</v>
      </c>
      <c r="K3573" s="1">
        <v>1</v>
      </c>
      <c r="M3573" s="1">
        <v>653</v>
      </c>
      <c r="N3573" s="1">
        <v>672</v>
      </c>
      <c r="O3573" s="1">
        <v>1318</v>
      </c>
      <c r="P3573" s="1">
        <v>646</v>
      </c>
      <c r="Q3573" s="1" t="s">
        <v>42</v>
      </c>
      <c r="S3573" s="1" t="s">
        <v>42</v>
      </c>
      <c r="T3573" s="1" t="s">
        <v>170</v>
      </c>
      <c r="U3573" s="1">
        <v>14</v>
      </c>
      <c r="V3573" s="5">
        <v>43988</v>
      </c>
      <c r="W3573" s="5">
        <v>43895</v>
      </c>
      <c r="X3573" s="1">
        <v>1670000</v>
      </c>
      <c r="Y3573" s="1">
        <v>1670000</v>
      </c>
      <c r="AA3573" s="1">
        <v>1700477.5</v>
      </c>
      <c r="AB3573" s="1" t="s">
        <v>2762</v>
      </c>
      <c r="AC3573" s="5">
        <v>43987</v>
      </c>
      <c r="AF3573" s="1">
        <v>10023</v>
      </c>
      <c r="AI3573" s="1" t="s">
        <v>76</v>
      </c>
      <c r="AJ3573" s="1">
        <v>2019</v>
      </c>
      <c r="AK3573" s="1" t="s">
        <v>77</v>
      </c>
      <c r="AL3573" s="1">
        <v>172</v>
      </c>
    </row>
    <row r="3574" spans="1:38" x14ac:dyDescent="0.2">
      <c r="A3574" s="2" t="str">
        <f>HYPERLINK("https://www.compass.com/listing/49-51-chambers-street-unit-10g-manhattan-ny-10007/543186670982560089/","49-51 Chambers St, Unit 10G")</f>
        <v>49-51 Chambers St, Unit 10G</v>
      </c>
      <c r="B3574" s="2" t="str">
        <f t="shared" ref="B3574:B3575" si="433">HYPERLINK("https://www.compass.com/building/49-51-chambers-st-manhattan-ny-10007/441163040348878029/","49-51 Chambers St")</f>
        <v>49-51 Chambers St</v>
      </c>
      <c r="C3574" s="1" t="s">
        <v>956</v>
      </c>
      <c r="D3574" s="1" t="s">
        <v>41</v>
      </c>
      <c r="E3574" s="3">
        <v>1790000</v>
      </c>
      <c r="F3574" s="1">
        <v>1557.87641427328</v>
      </c>
      <c r="M3574" s="4">
        <v>1149</v>
      </c>
      <c r="Q3574" s="1" t="s">
        <v>42</v>
      </c>
      <c r="S3574" s="1" t="s">
        <v>42</v>
      </c>
      <c r="T3574" s="1" t="s">
        <v>170</v>
      </c>
      <c r="AA3574" s="1">
        <v>1790000</v>
      </c>
      <c r="AB3574" s="1" t="s">
        <v>2763</v>
      </c>
      <c r="AC3574" s="5">
        <v>43987</v>
      </c>
      <c r="AF3574" s="1">
        <v>10007</v>
      </c>
    </row>
    <row r="3575" spans="1:38" x14ac:dyDescent="0.2">
      <c r="A3575" s="2" t="str">
        <f>HYPERLINK("https://www.compass.com/listing/49-51-chambers-street-unit-11a-manhattan-ny-10007/543909101384864265/","49-51 Chambers St, Unit 11A")</f>
        <v>49-51 Chambers St, Unit 11A</v>
      </c>
      <c r="B3575" s="2" t="str">
        <f t="shared" si="433"/>
        <v>49-51 Chambers St</v>
      </c>
      <c r="C3575" s="1" t="s">
        <v>956</v>
      </c>
      <c r="D3575" s="1" t="s">
        <v>41</v>
      </c>
      <c r="E3575" s="3">
        <v>3500000</v>
      </c>
      <c r="F3575" s="1">
        <v>1918.8596491228</v>
      </c>
      <c r="M3575" s="4">
        <v>1824</v>
      </c>
      <c r="Q3575" s="1" t="s">
        <v>42</v>
      </c>
      <c r="S3575" s="1" t="s">
        <v>42</v>
      </c>
      <c r="T3575" s="1" t="s">
        <v>170</v>
      </c>
      <c r="AA3575" s="1">
        <v>3500000</v>
      </c>
      <c r="AB3575" s="1" t="s">
        <v>2764</v>
      </c>
      <c r="AC3575" s="5">
        <v>43994</v>
      </c>
      <c r="AF3575" s="1">
        <v>10007</v>
      </c>
    </row>
    <row r="3576" spans="1:38" x14ac:dyDescent="0.2">
      <c r="A3576" s="2" t="str">
        <f>HYPERLINK("https://www.compass.com/listing/200-east-95th-street-unit-4f-manhattan-ny-10128/548997423019057337/","200 E 95th St, Unit 4F")</f>
        <v>200 E 95th St, Unit 4F</v>
      </c>
      <c r="B3576" s="2" t="str">
        <f>HYPERLINK("https://www.compass.com/building/the-kent-manhattan-ny/282049801384650021/","The Kent")</f>
        <v>The Kent</v>
      </c>
      <c r="C3576" s="1" t="s">
        <v>115</v>
      </c>
      <c r="D3576" s="1" t="s">
        <v>41</v>
      </c>
      <c r="E3576" s="3">
        <v>380300</v>
      </c>
      <c r="F3576" s="1">
        <v>725.76335877862596</v>
      </c>
      <c r="M3576" s="1">
        <v>524</v>
      </c>
      <c r="Q3576" s="1" t="s">
        <v>42</v>
      </c>
      <c r="S3576" s="1" t="s">
        <v>42</v>
      </c>
      <c r="T3576" s="1" t="s">
        <v>170</v>
      </c>
      <c r="AA3576" s="1">
        <v>380300</v>
      </c>
      <c r="AB3576" s="1" t="s">
        <v>2765</v>
      </c>
      <c r="AC3576" s="5">
        <v>43993</v>
      </c>
      <c r="AF3576" s="1">
        <v>10128</v>
      </c>
      <c r="AJ3576" s="1">
        <v>2017</v>
      </c>
      <c r="AK3576" s="1" t="s">
        <v>46</v>
      </c>
      <c r="AL3576" s="1">
        <v>83</v>
      </c>
    </row>
    <row r="3577" spans="1:38" x14ac:dyDescent="0.2">
      <c r="A3577" s="2" t="str">
        <f>HYPERLINK("https://www.compass.com/listing/15-west-61st-street-unit-17c-manhattan-ny-10023/558675468432793505/","15 W 61st St, Unit 17C")</f>
        <v>15 W 61st St, Unit 17C</v>
      </c>
      <c r="B3577" s="2" t="str">
        <f t="shared" ref="B3577:B3578" si="434">HYPERLINK("https://www.compass.com/building/the-park-loggia-manhattan-ny/292861833130357557/","The Park Loggia")</f>
        <v>The Park Loggia</v>
      </c>
      <c r="C3577" s="1" t="s">
        <v>50</v>
      </c>
      <c r="D3577" s="1" t="s">
        <v>41</v>
      </c>
      <c r="E3577" s="3">
        <v>1669930</v>
      </c>
      <c r="F3577" s="1">
        <v>2016.8236714975801</v>
      </c>
      <c r="G3577" s="1">
        <v>3</v>
      </c>
      <c r="H3577" s="1">
        <v>1</v>
      </c>
      <c r="I3577" s="1">
        <v>1</v>
      </c>
      <c r="J3577" s="1">
        <v>1</v>
      </c>
      <c r="K3577" s="1">
        <v>1</v>
      </c>
      <c r="M3577" s="1">
        <v>828</v>
      </c>
      <c r="N3577" s="1">
        <v>851</v>
      </c>
      <c r="O3577" s="1">
        <v>1670</v>
      </c>
      <c r="P3577" s="1">
        <v>819</v>
      </c>
      <c r="Q3577" s="1" t="s">
        <v>42</v>
      </c>
      <c r="S3577" s="1" t="s">
        <v>42</v>
      </c>
      <c r="T3577" s="1" t="s">
        <v>170</v>
      </c>
      <c r="U3577" s="1">
        <v>109</v>
      </c>
      <c r="V3577" s="5">
        <v>44023</v>
      </c>
      <c r="W3577" s="5">
        <v>43818</v>
      </c>
      <c r="X3577" s="1">
        <v>1640000</v>
      </c>
      <c r="Y3577" s="1">
        <v>1640000</v>
      </c>
      <c r="AA3577" s="1">
        <v>1669930</v>
      </c>
      <c r="AB3577" s="1" t="s">
        <v>2766</v>
      </c>
      <c r="AC3577" s="5">
        <v>44022</v>
      </c>
      <c r="AF3577" s="1">
        <v>10023</v>
      </c>
      <c r="AI3577" s="1" t="s">
        <v>76</v>
      </c>
      <c r="AJ3577" s="1">
        <v>2019</v>
      </c>
      <c r="AK3577" s="1" t="s">
        <v>77</v>
      </c>
      <c r="AL3577" s="1">
        <v>172</v>
      </c>
    </row>
    <row r="3578" spans="1:38" x14ac:dyDescent="0.2">
      <c r="A3578" s="2" t="str">
        <f>HYPERLINK("https://www.compass.com/listing/15-west-61st-street-unit-ph1a-manhattan-ny-10023/562201725543687377/","15 W 61st St, Unit PH1A")</f>
        <v>15 W 61st St, Unit PH1A</v>
      </c>
      <c r="B3578" s="2" t="str">
        <f t="shared" si="434"/>
        <v>The Park Loggia</v>
      </c>
      <c r="C3578" s="1" t="s">
        <v>50</v>
      </c>
      <c r="D3578" s="1" t="s">
        <v>41</v>
      </c>
      <c r="E3578" s="3">
        <v>9207000</v>
      </c>
      <c r="F3578" s="1">
        <v>3850.69008782936</v>
      </c>
      <c r="M3578" s="4">
        <v>2391</v>
      </c>
      <c r="Q3578" s="1" t="s">
        <v>42</v>
      </c>
      <c r="S3578" s="1" t="s">
        <v>42</v>
      </c>
      <c r="T3578" s="1" t="s">
        <v>170</v>
      </c>
      <c r="AA3578" s="1">
        <v>9207000</v>
      </c>
      <c r="AB3578" s="1" t="s">
        <v>2767</v>
      </c>
      <c r="AC3578" s="5">
        <v>43990</v>
      </c>
      <c r="AF3578" s="1">
        <v>10023</v>
      </c>
      <c r="AI3578" s="1" t="s">
        <v>76</v>
      </c>
      <c r="AJ3578" s="1">
        <v>2019</v>
      </c>
      <c r="AK3578" s="1" t="s">
        <v>49</v>
      </c>
      <c r="AL3578" s="1">
        <v>172</v>
      </c>
    </row>
    <row r="3579" spans="1:38" x14ac:dyDescent="0.2">
      <c r="A3579" s="2" t="str">
        <f>HYPERLINK("https://www.compass.com/listing/200-east-95th-street-unit-3f-manhattan-ny-10128/562205903985132265/","200 E 95th St, Unit 3F")</f>
        <v>200 E 95th St, Unit 3F</v>
      </c>
      <c r="B3579" s="2" t="str">
        <f>HYPERLINK("https://www.compass.com/building/the-kent-manhattan-ny/282049801384650021/","The Kent")</f>
        <v>The Kent</v>
      </c>
      <c r="C3579" s="1" t="s">
        <v>115</v>
      </c>
      <c r="D3579" s="1" t="s">
        <v>41</v>
      </c>
      <c r="E3579" s="3">
        <v>382600</v>
      </c>
      <c r="F3579" s="1">
        <v>730.15267175572501</v>
      </c>
      <c r="M3579" s="1">
        <v>524</v>
      </c>
      <c r="Q3579" s="1" t="s">
        <v>42</v>
      </c>
      <c r="S3579" s="1" t="s">
        <v>42</v>
      </c>
      <c r="T3579" s="1" t="s">
        <v>170</v>
      </c>
      <c r="AA3579" s="1">
        <v>382600</v>
      </c>
      <c r="AB3579" s="1" t="s">
        <v>2768</v>
      </c>
      <c r="AC3579" s="5">
        <v>44008</v>
      </c>
      <c r="AF3579" s="1">
        <v>10128</v>
      </c>
      <c r="AJ3579" s="1">
        <v>2017</v>
      </c>
      <c r="AK3579" s="1" t="s">
        <v>46</v>
      </c>
      <c r="AL3579" s="1">
        <v>83</v>
      </c>
    </row>
    <row r="3580" spans="1:38" x14ac:dyDescent="0.2">
      <c r="A3580" s="2" t="str">
        <f>HYPERLINK("https://www.compass.com/listing/25-park-row-unit-10d-manhattan-ny-10038/562927755262601833/","25 Park Row, Unit 10D")</f>
        <v>25 Park Row, Unit 10D</v>
      </c>
      <c r="B3580" s="2" t="str">
        <f t="shared" ref="B3580:B3581" si="435">HYPERLINK("https://www.compass.com/building/25-park-row-manhattan-ny-10038/292920743539264837/","25 Park Row")</f>
        <v>25 Park Row</v>
      </c>
      <c r="C3580" s="1" t="s">
        <v>117</v>
      </c>
      <c r="D3580" s="1" t="s">
        <v>41</v>
      </c>
      <c r="E3580" s="3">
        <v>1755000</v>
      </c>
      <c r="F3580" s="1">
        <v>1918.0327868852401</v>
      </c>
      <c r="G3580" s="1">
        <v>3</v>
      </c>
      <c r="H3580" s="1">
        <v>1</v>
      </c>
      <c r="I3580" s="1">
        <v>2</v>
      </c>
      <c r="J3580" s="1">
        <v>1.5</v>
      </c>
      <c r="K3580" s="1">
        <v>1</v>
      </c>
      <c r="L3580" s="1">
        <v>1</v>
      </c>
      <c r="M3580" s="1">
        <v>915</v>
      </c>
      <c r="N3580" s="1">
        <v>1121.6500000000001</v>
      </c>
      <c r="O3580" s="1">
        <v>2243.4499999999998</v>
      </c>
      <c r="P3580" s="1">
        <v>1121.8333333333301</v>
      </c>
      <c r="Q3580" s="1" t="s">
        <v>42</v>
      </c>
      <c r="S3580" s="1" t="s">
        <v>42</v>
      </c>
      <c r="T3580" s="1" t="s">
        <v>170</v>
      </c>
      <c r="U3580" s="1">
        <v>436</v>
      </c>
      <c r="V3580" s="5">
        <v>44029</v>
      </c>
      <c r="W3580" s="5">
        <v>43494</v>
      </c>
      <c r="X3580" s="1">
        <v>1755000</v>
      </c>
      <c r="Y3580" s="1">
        <v>1755000</v>
      </c>
      <c r="AA3580" s="1">
        <v>1755000</v>
      </c>
      <c r="AB3580" s="1" t="s">
        <v>2769</v>
      </c>
      <c r="AC3580" s="5">
        <v>44025</v>
      </c>
      <c r="AF3580" s="1">
        <v>10038</v>
      </c>
      <c r="AI3580" s="1" t="s">
        <v>144</v>
      </c>
      <c r="AJ3580" s="1">
        <v>2019</v>
      </c>
      <c r="AK3580" s="1" t="s">
        <v>77</v>
      </c>
      <c r="AL3580" s="1">
        <v>110</v>
      </c>
    </row>
    <row r="3581" spans="1:38" x14ac:dyDescent="0.2">
      <c r="A3581" s="2" t="str">
        <f>HYPERLINK("https://www.compass.com/listing/25-park-row-unit-10e-manhattan-ny-10038/563706052988993153/","25 Park Row, Unit 10E")</f>
        <v>25 Park Row, Unit 10E</v>
      </c>
      <c r="B3581" s="2" t="str">
        <f t="shared" si="435"/>
        <v>25 Park Row</v>
      </c>
      <c r="C3581" s="1" t="s">
        <v>117</v>
      </c>
      <c r="D3581" s="1" t="s">
        <v>41</v>
      </c>
      <c r="E3581" s="3">
        <v>3640000</v>
      </c>
      <c r="F3581" s="1">
        <v>1953.83789586688</v>
      </c>
      <c r="G3581" s="1">
        <v>5</v>
      </c>
      <c r="H3581" s="1">
        <v>3</v>
      </c>
      <c r="I3581" s="1">
        <v>3</v>
      </c>
      <c r="J3581" s="1">
        <v>3</v>
      </c>
      <c r="K3581" s="1">
        <v>3</v>
      </c>
      <c r="M3581" s="4">
        <v>1863</v>
      </c>
      <c r="N3581" s="1">
        <v>2283.75</v>
      </c>
      <c r="O3581" s="1">
        <v>4567.8</v>
      </c>
      <c r="P3581" s="1">
        <v>2284.0833333333298</v>
      </c>
      <c r="Q3581" s="1" t="s">
        <v>42</v>
      </c>
      <c r="S3581" s="1" t="s">
        <v>42</v>
      </c>
      <c r="T3581" s="1" t="s">
        <v>170</v>
      </c>
      <c r="U3581" s="1">
        <v>416</v>
      </c>
      <c r="V3581" s="5">
        <v>44030</v>
      </c>
      <c r="W3581" s="5">
        <v>43518</v>
      </c>
      <c r="X3581" s="1">
        <v>3640000</v>
      </c>
      <c r="Y3581" s="1">
        <v>3640000</v>
      </c>
      <c r="AA3581" s="1">
        <v>3640000</v>
      </c>
      <c r="AB3581" s="1" t="s">
        <v>2770</v>
      </c>
      <c r="AC3581" s="5">
        <v>44029</v>
      </c>
      <c r="AF3581" s="1">
        <v>10038</v>
      </c>
      <c r="AI3581" s="1" t="s">
        <v>144</v>
      </c>
      <c r="AJ3581" s="1">
        <v>2019</v>
      </c>
      <c r="AK3581" s="1" t="s">
        <v>77</v>
      </c>
      <c r="AL3581" s="1">
        <v>110</v>
      </c>
    </row>
    <row r="3582" spans="1:38" x14ac:dyDescent="0.2">
      <c r="A3582" s="2" t="str">
        <f>HYPERLINK("https://www.compass.com/listing/49-51-chambers-street-unit-6g-manhattan-ny-10007/569285551050597569/","49-51 Chambers St, Unit 6G")</f>
        <v>49-51 Chambers St, Unit 6G</v>
      </c>
      <c r="B3582" s="2" t="str">
        <f>HYPERLINK("https://www.compass.com/building/49-51-chambers-st-manhattan-ny-10007/441163040348878029/","49-51 Chambers St")</f>
        <v>49-51 Chambers St</v>
      </c>
      <c r="C3582" s="1" t="s">
        <v>956</v>
      </c>
      <c r="D3582" s="1" t="s">
        <v>41</v>
      </c>
      <c r="E3582" s="3">
        <v>1650000</v>
      </c>
      <c r="F3582" s="1">
        <v>1436.0313315926801</v>
      </c>
      <c r="M3582" s="4">
        <v>1149</v>
      </c>
      <c r="Q3582" s="1" t="s">
        <v>42</v>
      </c>
      <c r="S3582" s="1" t="s">
        <v>42</v>
      </c>
      <c r="T3582" s="1" t="s">
        <v>170</v>
      </c>
      <c r="AA3582" s="1">
        <v>1650000</v>
      </c>
      <c r="AB3582" s="1" t="s">
        <v>2771</v>
      </c>
      <c r="AC3582" s="5">
        <v>44026</v>
      </c>
      <c r="AF3582" s="1">
        <v>10007</v>
      </c>
    </row>
    <row r="3583" spans="1:38" x14ac:dyDescent="0.2">
      <c r="A3583" s="2" t="str">
        <f>HYPERLINK("https://www.compass.com/listing/15-west-61st-street-unit-17d-manhattan-ny-10023/573643516205799745/","15 W 61st St, Unit 17D")</f>
        <v>15 W 61st St, Unit 17D</v>
      </c>
      <c r="B3583" s="2" t="str">
        <f>HYPERLINK("https://www.compass.com/building/the-park-loggia-manhattan-ny/292861833130357557/","The Park Loggia")</f>
        <v>The Park Loggia</v>
      </c>
      <c r="C3583" s="1" t="s">
        <v>50</v>
      </c>
      <c r="D3583" s="1" t="s">
        <v>41</v>
      </c>
      <c r="E3583" s="3">
        <v>3317438</v>
      </c>
      <c r="F3583" s="1">
        <v>2475.6996268656699</v>
      </c>
      <c r="M3583" s="4">
        <v>1340</v>
      </c>
      <c r="Q3583" s="1" t="s">
        <v>42</v>
      </c>
      <c r="S3583" s="1" t="s">
        <v>42</v>
      </c>
      <c r="T3583" s="1" t="s">
        <v>170</v>
      </c>
      <c r="AA3583" s="1">
        <v>3317437.5</v>
      </c>
      <c r="AB3583" s="1" t="s">
        <v>2772</v>
      </c>
      <c r="AC3583" s="5">
        <v>44034</v>
      </c>
      <c r="AF3583" s="1">
        <v>10023</v>
      </c>
      <c r="AI3583" s="1" t="s">
        <v>76</v>
      </c>
      <c r="AJ3583" s="1">
        <v>2019</v>
      </c>
      <c r="AK3583" s="1" t="s">
        <v>49</v>
      </c>
      <c r="AL3583" s="1">
        <v>172</v>
      </c>
    </row>
    <row r="3584" spans="1:38" x14ac:dyDescent="0.2">
      <c r="A3584" s="2" t="str">
        <f>HYPERLINK("https://www.compass.com/listing/2040-frederick-douglass-boulevard-unit-3b-manhattan-ny-10026/573649529486986785/","2040 Frederick Douglass Blvd, Unit 3B")</f>
        <v>2040 Frederick Douglass Blvd, Unit 3B</v>
      </c>
      <c r="B3584" s="2" t="str">
        <f>HYPERLINK("https://www.compass.com/building/2040-frederick-douglass-blvd-manhattan-ny-10026/389266835817241253/","2040 Frederick Douglass Blvd")</f>
        <v>2040 Frederick Douglass Blvd</v>
      </c>
      <c r="C3584" s="1" t="s">
        <v>106</v>
      </c>
      <c r="D3584" s="1" t="s">
        <v>41</v>
      </c>
      <c r="E3584" s="3">
        <v>1895000</v>
      </c>
      <c r="F3584" s="1">
        <v>1621.04362703165</v>
      </c>
      <c r="M3584" s="4">
        <v>1169</v>
      </c>
      <c r="Q3584" s="1" t="s">
        <v>42</v>
      </c>
      <c r="S3584" s="1" t="s">
        <v>42</v>
      </c>
      <c r="T3584" s="1" t="s">
        <v>170</v>
      </c>
      <c r="AA3584" s="1">
        <v>1895000</v>
      </c>
      <c r="AB3584" s="1" t="s">
        <v>2773</v>
      </c>
      <c r="AC3584" s="5">
        <v>44034</v>
      </c>
      <c r="AF3584" s="1">
        <v>10026</v>
      </c>
    </row>
    <row r="3585" spans="1:38" x14ac:dyDescent="0.2">
      <c r="A3585" s="2" t="str">
        <f>HYPERLINK("https://www.compass.com/listing/25-park-row-unit-19b-manhattan-ny-10038/577259692525664777/","25 Park Row, Unit 19B")</f>
        <v>25 Park Row, Unit 19B</v>
      </c>
      <c r="B3585" s="2" t="str">
        <f>HYPERLINK("https://www.compass.com/building/25-park-row-manhattan-ny-10038/292920743539264837/","25 Park Row")</f>
        <v>25 Park Row</v>
      </c>
      <c r="C3585" s="1" t="s">
        <v>117</v>
      </c>
      <c r="D3585" s="1" t="s">
        <v>41</v>
      </c>
      <c r="E3585" s="3">
        <v>2280000</v>
      </c>
      <c r="F3585" s="1">
        <v>2055.9062218214599</v>
      </c>
      <c r="M3585" s="4">
        <v>1109</v>
      </c>
      <c r="Q3585" s="1" t="s">
        <v>42</v>
      </c>
      <c r="S3585" s="1" t="s">
        <v>42</v>
      </c>
      <c r="T3585" s="1" t="s">
        <v>170</v>
      </c>
      <c r="AA3585" s="1">
        <v>2280000</v>
      </c>
      <c r="AB3585" s="1" t="s">
        <v>2774</v>
      </c>
      <c r="AC3585" s="5">
        <v>44042</v>
      </c>
      <c r="AF3585" s="1">
        <v>10038</v>
      </c>
      <c r="AI3585" s="1" t="s">
        <v>84</v>
      </c>
      <c r="AJ3585" s="1">
        <v>2019</v>
      </c>
      <c r="AK3585" s="1" t="s">
        <v>49</v>
      </c>
      <c r="AL3585" s="1">
        <v>110</v>
      </c>
    </row>
    <row r="3586" spans="1:38" x14ac:dyDescent="0.2">
      <c r="A3586" s="2" t="str">
        <f>HYPERLINK("https://www.compass.com/listing/2351-adam-clayton-powell-jr-boulevard-unit-803-p-manhattan-ny-10030/583069295456705945/","2351 Adam Clayton Powell Jr Blvd, Unit 803/P")</f>
        <v>2351 Adam Clayton Powell Jr Blvd, Unit 803/P</v>
      </c>
      <c r="B3586" s="2" t="str">
        <f>HYPERLINK("https://www.compass.com/building/the-rennie-manhattan-ny/307439143554395509/","THE RENNIE")</f>
        <v>THE RENNIE</v>
      </c>
      <c r="C3586" s="1" t="s">
        <v>61</v>
      </c>
      <c r="D3586" s="1" t="s">
        <v>41</v>
      </c>
      <c r="E3586" s="3">
        <v>775000</v>
      </c>
      <c r="F3586" s="1">
        <v>1280.9917355371899</v>
      </c>
      <c r="M3586" s="1">
        <v>605</v>
      </c>
      <c r="Q3586" s="1" t="s">
        <v>42</v>
      </c>
      <c r="S3586" s="1" t="s">
        <v>42</v>
      </c>
      <c r="T3586" s="1" t="s">
        <v>170</v>
      </c>
      <c r="AA3586" s="1">
        <v>775000</v>
      </c>
      <c r="AB3586" s="1" t="s">
        <v>2775</v>
      </c>
      <c r="AC3586" s="5">
        <v>44041</v>
      </c>
      <c r="AF3586" s="1">
        <v>10030</v>
      </c>
      <c r="AI3586" s="1" t="s">
        <v>45</v>
      </c>
      <c r="AJ3586" s="1">
        <v>2018</v>
      </c>
      <c r="AK3586" s="1" t="s">
        <v>49</v>
      </c>
      <c r="AL3586" s="1">
        <v>106</v>
      </c>
    </row>
    <row r="3587" spans="1:38" x14ac:dyDescent="0.2">
      <c r="A3587" s="2" t="str">
        <f>HYPERLINK("https://www.compass.com/listing/49-51-chambers-street-unit-14c-manhattan-ny-10007/583781360500641233/","49-51 Chambers St, Unit 14C")</f>
        <v>49-51 Chambers St, Unit 14C</v>
      </c>
      <c r="B3587" s="2" t="str">
        <f>HYPERLINK("https://www.compass.com/building/49-51-chambers-st-manhattan-ny-10007/441163040348878029/","49-51 Chambers St")</f>
        <v>49-51 Chambers St</v>
      </c>
      <c r="C3587" s="1" t="s">
        <v>956</v>
      </c>
      <c r="D3587" s="1" t="s">
        <v>41</v>
      </c>
      <c r="E3587" s="3">
        <v>2025000</v>
      </c>
      <c r="F3587" s="1">
        <v>1569.7674418604599</v>
      </c>
      <c r="M3587" s="4">
        <v>1290</v>
      </c>
      <c r="Q3587" s="1" t="s">
        <v>42</v>
      </c>
      <c r="S3587" s="1" t="s">
        <v>42</v>
      </c>
      <c r="T3587" s="1" t="s">
        <v>170</v>
      </c>
      <c r="AA3587" s="1">
        <v>2025000</v>
      </c>
      <c r="AB3587" s="1" t="s">
        <v>2776</v>
      </c>
      <c r="AC3587" s="5">
        <v>44020</v>
      </c>
      <c r="AF3587" s="1">
        <v>10007</v>
      </c>
    </row>
    <row r="3588" spans="1:38" x14ac:dyDescent="0.2">
      <c r="A3588" s="2" t="str">
        <f>HYPERLINK("https://www.compass.com/listing/25-park-row-unit-6d-manhattan-ny-10038/587404586900556097/","25 Park Row, Unit 6D")</f>
        <v>25 Park Row, Unit 6D</v>
      </c>
      <c r="B3588" s="2" t="str">
        <f>HYPERLINK("https://www.compass.com/building/25-park-row-manhattan-ny-10038/292920743539264837/","25 Park Row")</f>
        <v>25 Park Row</v>
      </c>
      <c r="C3588" s="1" t="s">
        <v>117</v>
      </c>
      <c r="D3588" s="1" t="s">
        <v>41</v>
      </c>
      <c r="E3588" s="3">
        <v>1630000</v>
      </c>
      <c r="F3588" s="1">
        <v>1781.4207650273199</v>
      </c>
      <c r="M3588" s="1">
        <v>915</v>
      </c>
      <c r="Q3588" s="1" t="s">
        <v>42</v>
      </c>
      <c r="S3588" s="1" t="s">
        <v>42</v>
      </c>
      <c r="T3588" s="1" t="s">
        <v>170</v>
      </c>
      <c r="AA3588" s="1">
        <v>1630000</v>
      </c>
      <c r="AB3588" s="1" t="s">
        <v>2777</v>
      </c>
      <c r="AC3588" s="5">
        <v>44046</v>
      </c>
      <c r="AF3588" s="1">
        <v>10038</v>
      </c>
      <c r="AI3588" s="1" t="s">
        <v>84</v>
      </c>
      <c r="AJ3588" s="1">
        <v>2019</v>
      </c>
      <c r="AK3588" s="1" t="s">
        <v>49</v>
      </c>
      <c r="AL3588" s="1">
        <v>110</v>
      </c>
    </row>
    <row r="3589" spans="1:38" x14ac:dyDescent="0.2">
      <c r="A3589" s="2" t="str">
        <f>HYPERLINK("https://www.compass.com/listing/30-park-place-unit-39h-manhattan-ny-10007/587404699165174857/","30 Park Pl, Unit 39H")</f>
        <v>30 Park Pl, Unit 39H</v>
      </c>
      <c r="B3589" s="2" t="str">
        <f>HYPERLINK("https://www.compass.com/building/30-park-pl-manhattan-ny-10007/281896912905317605/","30 Park Pl")</f>
        <v>30 Park Pl</v>
      </c>
      <c r="C3589" s="1" t="s">
        <v>40</v>
      </c>
      <c r="D3589" s="1" t="s">
        <v>41</v>
      </c>
      <c r="E3589" s="3">
        <v>1525000</v>
      </c>
      <c r="F3589" s="1">
        <v>2163.12056737588</v>
      </c>
      <c r="M3589" s="1">
        <v>705</v>
      </c>
      <c r="Q3589" s="1" t="s">
        <v>42</v>
      </c>
      <c r="S3589" s="1" t="s">
        <v>42</v>
      </c>
      <c r="T3589" s="1" t="s">
        <v>170</v>
      </c>
      <c r="AA3589" s="1">
        <v>1525000</v>
      </c>
      <c r="AB3589" s="1" t="s">
        <v>2778</v>
      </c>
      <c r="AC3589" s="5">
        <v>44034</v>
      </c>
      <c r="AF3589" s="1">
        <v>10007</v>
      </c>
      <c r="AJ3589" s="1">
        <v>2016</v>
      </c>
      <c r="AK3589" s="1" t="s">
        <v>46</v>
      </c>
      <c r="AL3589" s="1">
        <v>157</v>
      </c>
    </row>
    <row r="3590" spans="1:38" x14ac:dyDescent="0.2">
      <c r="A3590" s="2" t="str">
        <f>HYPERLINK("https://www.compass.com/listing/25-park-row-unit-22b-manhattan-ny-10038/588855596060077969/","25 Park Row, Unit 22B")</f>
        <v>25 Park Row, Unit 22B</v>
      </c>
      <c r="B3590" s="2" t="str">
        <f>HYPERLINK("https://www.compass.com/building/25-park-row-manhattan-ny-10038/292920743539264837/","25 Park Row")</f>
        <v>25 Park Row</v>
      </c>
      <c r="C3590" s="1" t="s">
        <v>117</v>
      </c>
      <c r="D3590" s="1" t="s">
        <v>41</v>
      </c>
      <c r="E3590" s="3">
        <v>2230000</v>
      </c>
      <c r="F3590" s="1">
        <v>2010.8205590622099</v>
      </c>
      <c r="M3590" s="4">
        <v>1109</v>
      </c>
      <c r="Q3590" s="1" t="s">
        <v>42</v>
      </c>
      <c r="S3590" s="1" t="s">
        <v>42</v>
      </c>
      <c r="T3590" s="1" t="s">
        <v>170</v>
      </c>
      <c r="AA3590" s="1">
        <v>2230000</v>
      </c>
      <c r="AB3590" s="1" t="s">
        <v>2779</v>
      </c>
      <c r="AC3590" s="5">
        <v>44047</v>
      </c>
      <c r="AF3590" s="1">
        <v>10038</v>
      </c>
      <c r="AI3590" s="1" t="s">
        <v>84</v>
      </c>
      <c r="AJ3590" s="1">
        <v>2019</v>
      </c>
      <c r="AK3590" s="1" t="s">
        <v>49</v>
      </c>
      <c r="AL3590" s="1">
        <v>110</v>
      </c>
    </row>
    <row r="3591" spans="1:38" x14ac:dyDescent="0.2">
      <c r="A3591" s="2" t="str">
        <f>HYPERLINK("https://www.compass.com/listing/15-west-61st-street-unit-30d-manhattan-ny-10023/589591281897266241/","15 W 61st St, Unit 30D")</f>
        <v>15 W 61st St, Unit 30D</v>
      </c>
      <c r="B3591" s="2" t="str">
        <f>HYPERLINK("https://www.compass.com/building/the-park-loggia-manhattan-ny/292861833130357557/","The Park Loggia")</f>
        <v>The Park Loggia</v>
      </c>
      <c r="C3591" s="1" t="s">
        <v>50</v>
      </c>
      <c r="D3591" s="1" t="s">
        <v>41</v>
      </c>
      <c r="E3591" s="3">
        <v>3802850</v>
      </c>
      <c r="F3591" s="1">
        <v>2792.1071953010201</v>
      </c>
      <c r="M3591" s="4">
        <v>1362</v>
      </c>
      <c r="Q3591" s="1" t="s">
        <v>42</v>
      </c>
      <c r="S3591" s="1" t="s">
        <v>42</v>
      </c>
      <c r="T3591" s="1" t="s">
        <v>170</v>
      </c>
      <c r="AA3591" s="1">
        <v>3802850</v>
      </c>
      <c r="AB3591" s="1" t="s">
        <v>2780</v>
      </c>
      <c r="AC3591" s="5">
        <v>44057</v>
      </c>
      <c r="AF3591" s="1">
        <v>10023</v>
      </c>
      <c r="AI3591" s="1" t="s">
        <v>76</v>
      </c>
      <c r="AJ3591" s="1">
        <v>2019</v>
      </c>
      <c r="AK3591" s="1" t="s">
        <v>49</v>
      </c>
      <c r="AL3591" s="1">
        <v>172</v>
      </c>
    </row>
    <row r="3592" spans="1:38" x14ac:dyDescent="0.2">
      <c r="A3592" s="2" t="str">
        <f>HYPERLINK("https://www.compass.com/listing/25-park-row-unit-21b-manhattan-ny-10038/591755013851166569/","25 Park Row, Unit 21B")</f>
        <v>25 Park Row, Unit 21B</v>
      </c>
      <c r="B3592" s="2" t="str">
        <f>HYPERLINK("https://www.compass.com/building/25-park-row-manhattan-ny-10038/292920743539264837/","25 Park Row")</f>
        <v>25 Park Row</v>
      </c>
      <c r="C3592" s="1" t="s">
        <v>117</v>
      </c>
      <c r="D3592" s="1" t="s">
        <v>41</v>
      </c>
      <c r="E3592" s="3">
        <v>2255000</v>
      </c>
      <c r="F3592" s="1">
        <v>2033.36339044183</v>
      </c>
      <c r="M3592" s="4">
        <v>1109</v>
      </c>
      <c r="Q3592" s="1" t="s">
        <v>42</v>
      </c>
      <c r="S3592" s="1" t="s">
        <v>42</v>
      </c>
      <c r="T3592" s="1" t="s">
        <v>170</v>
      </c>
      <c r="AA3592" s="1">
        <v>2255000</v>
      </c>
      <c r="AB3592" s="1" t="s">
        <v>2781</v>
      </c>
      <c r="AC3592" s="5">
        <v>44041</v>
      </c>
      <c r="AF3592" s="1">
        <v>10038</v>
      </c>
      <c r="AI3592" s="1" t="s">
        <v>84</v>
      </c>
      <c r="AJ3592" s="1">
        <v>2019</v>
      </c>
      <c r="AK3592" s="1" t="s">
        <v>49</v>
      </c>
      <c r="AL3592" s="1">
        <v>110</v>
      </c>
    </row>
    <row r="3593" spans="1:38" x14ac:dyDescent="0.2">
      <c r="A3593" s="2" t="str">
        <f>HYPERLINK("https://www.compass.com/listing/100-barrow-street-unit-2c-manhattan-ny-10014/59809372296999633/","100 Barrow St, Unit 2C")</f>
        <v>100 Barrow St, Unit 2C</v>
      </c>
      <c r="B3593" s="2" t="str">
        <f>HYPERLINK("https://www.compass.com/building/100-barrow-manhattan-ny/292834978184618837/","100 Barrow")</f>
        <v>100 Barrow</v>
      </c>
      <c r="C3593" s="1" t="s">
        <v>71</v>
      </c>
      <c r="D3593" s="1" t="s">
        <v>41</v>
      </c>
      <c r="E3593" s="3">
        <v>170000</v>
      </c>
      <c r="Q3593" s="1" t="s">
        <v>129</v>
      </c>
      <c r="S3593" s="1" t="s">
        <v>129</v>
      </c>
      <c r="T3593" s="1" t="s">
        <v>170</v>
      </c>
      <c r="AA3593" s="1">
        <v>170000</v>
      </c>
      <c r="AB3593" s="1" t="s">
        <v>2782</v>
      </c>
      <c r="AC3593" s="5">
        <v>43328</v>
      </c>
      <c r="AF3593" s="1">
        <v>10014</v>
      </c>
      <c r="AJ3593" s="1">
        <v>2015</v>
      </c>
      <c r="AK3593" s="1" t="s">
        <v>172</v>
      </c>
      <c r="AL3593" s="1">
        <v>33</v>
      </c>
    </row>
    <row r="3594" spans="1:38" x14ac:dyDescent="0.2">
      <c r="A3594" s="2" t="str">
        <f>HYPERLINK("https://www.compass.com/listing/25-park-row-unit-9d-manhattan-ny-10038/604075934372793553/","25 Park Row, Unit 9D")</f>
        <v>25 Park Row, Unit 9D</v>
      </c>
      <c r="B3594" s="2" t="str">
        <f t="shared" ref="B3594:B3595" si="436">HYPERLINK("https://www.compass.com/building/25-park-row-manhattan-ny-10038/292920743539264837/","25 Park Row")</f>
        <v>25 Park Row</v>
      </c>
      <c r="C3594" s="1" t="s">
        <v>117</v>
      </c>
      <c r="D3594" s="1" t="s">
        <v>41</v>
      </c>
      <c r="E3594" s="3">
        <v>1651720</v>
      </c>
      <c r="F3594" s="1">
        <v>1805.1584699453499</v>
      </c>
      <c r="M3594" s="1">
        <v>915</v>
      </c>
      <c r="Q3594" s="1" t="s">
        <v>42</v>
      </c>
      <c r="S3594" s="1" t="s">
        <v>42</v>
      </c>
      <c r="T3594" s="1" t="s">
        <v>170</v>
      </c>
      <c r="AA3594" s="1">
        <v>1651720</v>
      </c>
      <c r="AB3594" s="1" t="s">
        <v>2783</v>
      </c>
      <c r="AC3594" s="5">
        <v>44068</v>
      </c>
      <c r="AF3594" s="1">
        <v>10038</v>
      </c>
      <c r="AI3594" s="1" t="s">
        <v>84</v>
      </c>
      <c r="AJ3594" s="1">
        <v>2019</v>
      </c>
      <c r="AK3594" s="1" t="s">
        <v>49</v>
      </c>
      <c r="AL3594" s="1">
        <v>110</v>
      </c>
    </row>
    <row r="3595" spans="1:38" x14ac:dyDescent="0.2">
      <c r="A3595" s="2" t="str">
        <f>HYPERLINK("https://www.compass.com/listing/25-park-row-unit-32b-manhattan-ny-10038/604803101326723033/","25 Park Row, Unit 32B")</f>
        <v>25 Park Row, Unit 32B</v>
      </c>
      <c r="B3595" s="2" t="str">
        <f t="shared" si="436"/>
        <v>25 Park Row</v>
      </c>
      <c r="C3595" s="1" t="s">
        <v>117</v>
      </c>
      <c r="D3595" s="1" t="s">
        <v>41</v>
      </c>
      <c r="E3595" s="3">
        <v>2260000</v>
      </c>
      <c r="F3595" s="1">
        <v>2023.27663384064</v>
      </c>
      <c r="M3595" s="4">
        <v>1117</v>
      </c>
      <c r="Q3595" s="1" t="s">
        <v>42</v>
      </c>
      <c r="S3595" s="1" t="s">
        <v>42</v>
      </c>
      <c r="T3595" s="1" t="s">
        <v>170</v>
      </c>
      <c r="AA3595" s="1">
        <v>2260000</v>
      </c>
      <c r="AB3595" s="1" t="s">
        <v>2784</v>
      </c>
      <c r="AC3595" s="5">
        <v>44071</v>
      </c>
      <c r="AF3595" s="1">
        <v>10038</v>
      </c>
      <c r="AI3595" s="1" t="s">
        <v>84</v>
      </c>
      <c r="AJ3595" s="1">
        <v>2019</v>
      </c>
      <c r="AK3595" s="1" t="s">
        <v>49</v>
      </c>
      <c r="AL3595" s="1">
        <v>110</v>
      </c>
    </row>
    <row r="3596" spans="1:38" x14ac:dyDescent="0.2">
      <c r="A3596" s="2" t="str">
        <f>HYPERLINK("https://www.compass.com/listing/252-south-street-unit-54j-manhattan-ny-10002/604803732452480049/","252 South St, Unit 54J")</f>
        <v>252 South St, Unit 54J</v>
      </c>
      <c r="B3596" s="2" t="str">
        <f>HYPERLINK("https://www.compass.com/building/one-manhattan-square-manhattan-ny/294844950218926165/","One Manhattan Square")</f>
        <v>One Manhattan Square</v>
      </c>
      <c r="C3596" s="1" t="s">
        <v>66</v>
      </c>
      <c r="D3596" s="1" t="s">
        <v>41</v>
      </c>
      <c r="E3596" s="3">
        <v>1661502</v>
      </c>
      <c r="F3596" s="1">
        <v>2390.6504460431602</v>
      </c>
      <c r="M3596" s="1">
        <v>695</v>
      </c>
      <c r="Q3596" s="1" t="s">
        <v>42</v>
      </c>
      <c r="S3596" s="1" t="s">
        <v>42</v>
      </c>
      <c r="T3596" s="1" t="s">
        <v>170</v>
      </c>
      <c r="AA3596" s="1">
        <v>1661502.06</v>
      </c>
      <c r="AB3596" s="1" t="s">
        <v>2785</v>
      </c>
      <c r="AC3596" s="5">
        <v>44077</v>
      </c>
      <c r="AF3596" s="1">
        <v>10002</v>
      </c>
      <c r="AI3596" s="1" t="s">
        <v>55</v>
      </c>
      <c r="AJ3596" s="1">
        <v>2019</v>
      </c>
      <c r="AK3596" s="1" t="s">
        <v>46</v>
      </c>
      <c r="AL3596" s="1">
        <v>787</v>
      </c>
    </row>
    <row r="3597" spans="1:38" x14ac:dyDescent="0.2">
      <c r="A3597" s="2" t="str">
        <f>HYPERLINK("https://www.compass.com/listing/25-park-row-unit-8d-manhattan-ny-10038/607166288366005073/","25 Park Row, Unit 8D")</f>
        <v>25 Park Row, Unit 8D</v>
      </c>
      <c r="B3597" s="2" t="str">
        <f t="shared" ref="B3597:B3598" si="437">HYPERLINK("https://www.compass.com/building/25-park-row-manhattan-ny-10038/292920743539264837/","25 Park Row")</f>
        <v>25 Park Row</v>
      </c>
      <c r="C3597" s="1" t="s">
        <v>117</v>
      </c>
      <c r="D3597" s="1" t="s">
        <v>41</v>
      </c>
      <c r="E3597" s="3">
        <v>1644250</v>
      </c>
      <c r="F3597" s="1">
        <v>1796.9945355191201</v>
      </c>
      <c r="M3597" s="1">
        <v>915</v>
      </c>
      <c r="Q3597" s="1" t="s">
        <v>42</v>
      </c>
      <c r="S3597" s="1" t="s">
        <v>42</v>
      </c>
      <c r="T3597" s="1" t="s">
        <v>170</v>
      </c>
      <c r="AA3597" s="1">
        <v>1644250</v>
      </c>
      <c r="AB3597" s="1" t="s">
        <v>2786</v>
      </c>
      <c r="AC3597" s="5">
        <v>44071</v>
      </c>
      <c r="AF3597" s="1">
        <v>10038</v>
      </c>
      <c r="AI3597" s="1" t="s">
        <v>84</v>
      </c>
      <c r="AJ3597" s="1">
        <v>2019</v>
      </c>
      <c r="AK3597" s="1" t="s">
        <v>49</v>
      </c>
      <c r="AL3597" s="1">
        <v>110</v>
      </c>
    </row>
    <row r="3598" spans="1:38" x14ac:dyDescent="0.2">
      <c r="A3598" s="2" t="str">
        <f>HYPERLINK("https://www.compass.com/listing/25-park-row-unit-25b-manhattan-ny-10038/608424739603980201/","25 Park Row, Unit 25B")</f>
        <v>25 Park Row, Unit 25B</v>
      </c>
      <c r="B3598" s="2" t="str">
        <f t="shared" si="437"/>
        <v>25 Park Row</v>
      </c>
      <c r="C3598" s="1" t="s">
        <v>117</v>
      </c>
      <c r="D3598" s="1" t="s">
        <v>41</v>
      </c>
      <c r="E3598" s="3">
        <v>2085000</v>
      </c>
      <c r="F3598" s="1">
        <v>1866.6069829901501</v>
      </c>
      <c r="M3598" s="4">
        <v>1117</v>
      </c>
      <c r="Q3598" s="1" t="s">
        <v>42</v>
      </c>
      <c r="S3598" s="1" t="s">
        <v>42</v>
      </c>
      <c r="T3598" s="1" t="s">
        <v>170</v>
      </c>
      <c r="AA3598" s="1">
        <v>2085000</v>
      </c>
      <c r="AB3598" s="1" t="s">
        <v>2787</v>
      </c>
      <c r="AC3598" s="5">
        <v>44070</v>
      </c>
      <c r="AF3598" s="1">
        <v>10038</v>
      </c>
      <c r="AI3598" s="1" t="s">
        <v>84</v>
      </c>
      <c r="AJ3598" s="1">
        <v>2019</v>
      </c>
      <c r="AK3598" s="1" t="s">
        <v>49</v>
      </c>
      <c r="AL3598" s="1">
        <v>110</v>
      </c>
    </row>
    <row r="3599" spans="1:38" x14ac:dyDescent="0.2">
      <c r="A3599" s="2" t="str">
        <f>HYPERLINK("https://www.compass.com/listing/520-park-avenue-unit-5b-manhattan-ny-10065/608432971946623401/","520 Park Ave, Unit 5B")</f>
        <v>520 Park Ave, Unit 5B</v>
      </c>
      <c r="B3599" s="2" t="str">
        <f>HYPERLINK("https://www.compass.com/building/520-park-ave-manhattan-ny-10065/344158009579879061/","520 Park Ave")</f>
        <v>520 Park Ave</v>
      </c>
      <c r="C3599" s="1" t="s">
        <v>115</v>
      </c>
      <c r="D3599" s="1" t="s">
        <v>41</v>
      </c>
      <c r="E3599" s="3">
        <v>4447346</v>
      </c>
      <c r="F3599" s="1">
        <v>3575.0365755626999</v>
      </c>
      <c r="M3599" s="4">
        <v>1244</v>
      </c>
      <c r="Q3599" s="1" t="s">
        <v>42</v>
      </c>
      <c r="S3599" s="1" t="s">
        <v>42</v>
      </c>
      <c r="T3599" s="1" t="s">
        <v>170</v>
      </c>
      <c r="AA3599" s="1">
        <v>4447345.5</v>
      </c>
      <c r="AB3599" s="1" t="s">
        <v>2788</v>
      </c>
      <c r="AC3599" s="5">
        <v>43952</v>
      </c>
      <c r="AF3599" s="1">
        <v>10065</v>
      </c>
      <c r="AI3599" s="1" t="s">
        <v>48</v>
      </c>
      <c r="AJ3599" s="1">
        <v>2018</v>
      </c>
      <c r="AK3599" s="1" t="s">
        <v>46</v>
      </c>
      <c r="AL3599" s="1">
        <v>35</v>
      </c>
    </row>
    <row r="3600" spans="1:38" x14ac:dyDescent="0.2">
      <c r="A3600" s="2" t="str">
        <f>HYPERLINK("https://www.compass.com/listing/25-park-row-unit-14d-manhattan-ny-10038/623650011013913201/","25 Park Row, Unit 14D")</f>
        <v>25 Park Row, Unit 14D</v>
      </c>
      <c r="B3600" s="2" t="str">
        <f t="shared" ref="B3600:B3601" si="438">HYPERLINK("https://www.compass.com/building/25-park-row-manhattan-ny-10038/292920743539264837/","25 Park Row")</f>
        <v>25 Park Row</v>
      </c>
      <c r="C3600" s="1" t="s">
        <v>117</v>
      </c>
      <c r="D3600" s="1" t="s">
        <v>41</v>
      </c>
      <c r="E3600" s="3">
        <v>4250000</v>
      </c>
      <c r="F3600" s="1">
        <v>2009.4562647754101</v>
      </c>
      <c r="M3600" s="4">
        <v>2115</v>
      </c>
      <c r="Q3600" s="1" t="s">
        <v>42</v>
      </c>
      <c r="S3600" s="1" t="s">
        <v>42</v>
      </c>
      <c r="T3600" s="1" t="s">
        <v>170</v>
      </c>
      <c r="AA3600" s="1">
        <v>4250000</v>
      </c>
      <c r="AB3600" s="1" t="s">
        <v>2789</v>
      </c>
      <c r="AC3600" s="5">
        <v>44092</v>
      </c>
      <c r="AF3600" s="1">
        <v>10038</v>
      </c>
      <c r="AI3600" s="1" t="s">
        <v>84</v>
      </c>
      <c r="AJ3600" s="1">
        <v>2019</v>
      </c>
      <c r="AK3600" s="1" t="s">
        <v>49</v>
      </c>
      <c r="AL3600" s="1">
        <v>110</v>
      </c>
    </row>
    <row r="3601" spans="1:38" x14ac:dyDescent="0.2">
      <c r="A3601" s="2" t="str">
        <f>HYPERLINK("https://www.compass.com/listing/25-park-row-unit-30c-manhattan-ny-10038/627461461719144577/","25 Park Row, Unit 30C")</f>
        <v>25 Park Row, Unit 30C</v>
      </c>
      <c r="B3601" s="2" t="str">
        <f t="shared" si="438"/>
        <v>25 Park Row</v>
      </c>
      <c r="C3601" s="1" t="s">
        <v>117</v>
      </c>
      <c r="D3601" s="1" t="s">
        <v>41</v>
      </c>
      <c r="E3601" s="3">
        <v>3650000</v>
      </c>
      <c r="F3601" s="1">
        <v>2115.9420289855002</v>
      </c>
      <c r="M3601" s="4">
        <v>1725</v>
      </c>
      <c r="Q3601" s="1" t="s">
        <v>42</v>
      </c>
      <c r="S3601" s="1" t="s">
        <v>42</v>
      </c>
      <c r="T3601" s="1" t="s">
        <v>170</v>
      </c>
      <c r="AA3601" s="1">
        <v>3650000</v>
      </c>
      <c r="AB3601" s="1" t="s">
        <v>2790</v>
      </c>
      <c r="AC3601" s="5">
        <v>44098</v>
      </c>
      <c r="AF3601" s="1">
        <v>10038</v>
      </c>
      <c r="AI3601" s="1" t="s">
        <v>84</v>
      </c>
      <c r="AJ3601" s="1">
        <v>2019</v>
      </c>
      <c r="AK3601" s="1" t="s">
        <v>49</v>
      </c>
      <c r="AL3601" s="1">
        <v>110</v>
      </c>
    </row>
    <row r="3602" spans="1:38" x14ac:dyDescent="0.2">
      <c r="A3602" s="2" t="str">
        <f>HYPERLINK("https://www.compass.com/listing/86-canal-street-unit-5a-manhattan-ny-10002/64875494755073393/","86 Canal St, Unit 5A")</f>
        <v>86 Canal St, Unit 5A</v>
      </c>
      <c r="B3602" s="2" t="str">
        <f>HYPERLINK("https://www.compass.com/building/86-canal-st-manhattan-ny-10002/281888255618581733/","86 Canal St")</f>
        <v>86 Canal St</v>
      </c>
      <c r="C3602" s="1" t="s">
        <v>1340</v>
      </c>
      <c r="D3602" s="1" t="s">
        <v>41</v>
      </c>
      <c r="E3602" s="3">
        <v>465426</v>
      </c>
      <c r="F3602" s="1">
        <v>861.9</v>
      </c>
      <c r="M3602" s="1">
        <v>540</v>
      </c>
      <c r="Q3602" s="1" t="s">
        <v>42</v>
      </c>
      <c r="S3602" s="1" t="s">
        <v>42</v>
      </c>
      <c r="T3602" s="1" t="s">
        <v>170</v>
      </c>
      <c r="AA3602" s="1">
        <v>465426</v>
      </c>
      <c r="AB3602" s="1" t="s">
        <v>2791</v>
      </c>
      <c r="AC3602" s="5">
        <v>43273</v>
      </c>
      <c r="AF3602" s="1">
        <v>10002</v>
      </c>
      <c r="AJ3602" s="1">
        <v>2012</v>
      </c>
      <c r="AL3602" s="1">
        <v>89</v>
      </c>
    </row>
    <row r="3603" spans="1:38" x14ac:dyDescent="0.2">
      <c r="A3603" s="2" t="str">
        <f>HYPERLINK("https://www.compass.com/listing/49-51-chambers-street-unit-6a-manhattan-ny-10007/650202051364917585/","49-51 Chambers St, Unit 6A")</f>
        <v>49-51 Chambers St, Unit 6A</v>
      </c>
      <c r="B3603" s="2" t="str">
        <f>HYPERLINK("https://www.compass.com/building/49-51-chambers-st-manhattan-ny-10007/441163040348878029/","49-51 Chambers St")</f>
        <v>49-51 Chambers St</v>
      </c>
      <c r="C3603" s="1" t="s">
        <v>956</v>
      </c>
      <c r="D3603" s="1" t="s">
        <v>41</v>
      </c>
      <c r="E3603" s="3">
        <v>2900000</v>
      </c>
      <c r="F3603" s="1">
        <v>1589.91228070175</v>
      </c>
      <c r="M3603" s="4">
        <v>1824</v>
      </c>
      <c r="Q3603" s="1" t="s">
        <v>42</v>
      </c>
      <c r="S3603" s="1" t="s">
        <v>42</v>
      </c>
      <c r="T3603" s="1" t="s">
        <v>170</v>
      </c>
      <c r="AA3603" s="1">
        <v>2900000</v>
      </c>
      <c r="AB3603" s="1" t="s">
        <v>2792</v>
      </c>
      <c r="AC3603" s="5">
        <v>44126</v>
      </c>
      <c r="AF3603" s="1">
        <v>10007</v>
      </c>
    </row>
    <row r="3604" spans="1:38" x14ac:dyDescent="0.2">
      <c r="A3604" s="2" t="str">
        <f>HYPERLINK("https://www.compass.com/listing/252-south-street-unit-65k-manhattan-ny-10002/650202263563097329/","252 South St, Unit 65K")</f>
        <v>252 South St, Unit 65K</v>
      </c>
      <c r="B3604" s="2" t="str">
        <f>HYPERLINK("https://www.compass.com/building/one-manhattan-square-manhattan-ny/294844950218926165/","One Manhattan Square")</f>
        <v>One Manhattan Square</v>
      </c>
      <c r="C3604" s="1" t="s">
        <v>66</v>
      </c>
      <c r="D3604" s="1" t="s">
        <v>41</v>
      </c>
      <c r="E3604" s="3">
        <v>1539521</v>
      </c>
      <c r="F3604" s="1">
        <v>2237.6758720930202</v>
      </c>
      <c r="H3604" s="1">
        <v>1</v>
      </c>
      <c r="J3604" s="1">
        <v>1</v>
      </c>
      <c r="K3604" s="1">
        <v>1</v>
      </c>
      <c r="M3604" s="1">
        <v>688</v>
      </c>
      <c r="N3604" s="1">
        <v>943.07</v>
      </c>
      <c r="O3604" s="1">
        <v>958.07</v>
      </c>
      <c r="P3604" s="1">
        <v>15</v>
      </c>
      <c r="Q3604" s="1" t="s">
        <v>42</v>
      </c>
      <c r="S3604" s="1" t="s">
        <v>42</v>
      </c>
      <c r="T3604" s="1" t="s">
        <v>170</v>
      </c>
      <c r="AA3604" s="1">
        <v>1539521</v>
      </c>
      <c r="AB3604" s="1" t="s">
        <v>2793</v>
      </c>
      <c r="AC3604" s="5">
        <v>44133</v>
      </c>
      <c r="AF3604" s="1">
        <v>10002</v>
      </c>
      <c r="AI3604" s="1" t="s">
        <v>55</v>
      </c>
      <c r="AJ3604" s="1">
        <v>2019</v>
      </c>
      <c r="AK3604" s="1" t="s">
        <v>46</v>
      </c>
      <c r="AL3604" s="1">
        <v>787</v>
      </c>
    </row>
    <row r="3605" spans="1:38" x14ac:dyDescent="0.2">
      <c r="A3605" s="2" t="str">
        <f>HYPERLINK("https://www.compass.com/listing/15-west-61st-street-unit-5m-manhattan-ny-10023/650204978242227481/","15 W 61st St, Unit 5M")</f>
        <v>15 W 61st St, Unit 5M</v>
      </c>
      <c r="B3605" s="2" t="str">
        <f t="shared" ref="B3605:B3607" si="439">HYPERLINK("https://www.compass.com/building/the-park-loggia-manhattan-ny/292861833130357557/","The Park Loggia")</f>
        <v>The Park Loggia</v>
      </c>
      <c r="C3605" s="1" t="s">
        <v>50</v>
      </c>
      <c r="D3605" s="1" t="s">
        <v>41</v>
      </c>
      <c r="E3605" s="3">
        <v>2240150</v>
      </c>
      <c r="F3605" s="1">
        <v>2226.78926441351</v>
      </c>
      <c r="M3605" s="4">
        <v>1006</v>
      </c>
      <c r="Q3605" s="1" t="s">
        <v>42</v>
      </c>
      <c r="S3605" s="1" t="s">
        <v>42</v>
      </c>
      <c r="T3605" s="1" t="s">
        <v>170</v>
      </c>
      <c r="AA3605" s="1">
        <v>2240150</v>
      </c>
      <c r="AB3605" s="1" t="s">
        <v>2794</v>
      </c>
      <c r="AC3605" s="5">
        <v>44120</v>
      </c>
      <c r="AF3605" s="1">
        <v>10023</v>
      </c>
      <c r="AI3605" s="1" t="s">
        <v>76</v>
      </c>
      <c r="AJ3605" s="1">
        <v>2019</v>
      </c>
      <c r="AK3605" s="1" t="s">
        <v>49</v>
      </c>
      <c r="AL3605" s="1">
        <v>172</v>
      </c>
    </row>
    <row r="3606" spans="1:38" x14ac:dyDescent="0.2">
      <c r="A3606" s="2" t="str">
        <f>HYPERLINK("https://www.compass.com/listing/15-west-61st-street-unit-28b-manhattan-ny-10023/650205019681982881/","15 W 61st St, Unit 28B")</f>
        <v>15 W 61st St, Unit 28B</v>
      </c>
      <c r="B3606" s="2" t="str">
        <f t="shared" si="439"/>
        <v>The Park Loggia</v>
      </c>
      <c r="C3606" s="1" t="s">
        <v>50</v>
      </c>
      <c r="D3606" s="1" t="s">
        <v>41</v>
      </c>
      <c r="E3606" s="3">
        <v>3300000</v>
      </c>
      <c r="F3606" s="1">
        <v>2857.1428571428501</v>
      </c>
      <c r="M3606" s="4">
        <v>1155</v>
      </c>
      <c r="Q3606" s="1" t="s">
        <v>42</v>
      </c>
      <c r="S3606" s="1" t="s">
        <v>42</v>
      </c>
      <c r="T3606" s="1" t="s">
        <v>170</v>
      </c>
      <c r="AA3606" s="1">
        <v>3300000</v>
      </c>
      <c r="AB3606" s="1" t="s">
        <v>2795</v>
      </c>
      <c r="AC3606" s="5">
        <v>44124</v>
      </c>
      <c r="AF3606" s="1">
        <v>10023</v>
      </c>
      <c r="AI3606" s="1" t="s">
        <v>76</v>
      </c>
      <c r="AJ3606" s="1">
        <v>2019</v>
      </c>
      <c r="AK3606" s="1" t="s">
        <v>49</v>
      </c>
      <c r="AL3606" s="1">
        <v>172</v>
      </c>
    </row>
    <row r="3607" spans="1:38" x14ac:dyDescent="0.2">
      <c r="A3607" s="2" t="str">
        <f>HYPERLINK("https://www.compass.com/listing/15-west-61st-street-unit-ph2c-manhattan-ny-10023/650205026141342577/","15 W 61st St, Unit PH2C")</f>
        <v>15 W 61st St, Unit PH2C</v>
      </c>
      <c r="B3607" s="2" t="str">
        <f t="shared" si="439"/>
        <v>The Park Loggia</v>
      </c>
      <c r="C3607" s="1" t="s">
        <v>50</v>
      </c>
      <c r="D3607" s="1" t="s">
        <v>41</v>
      </c>
      <c r="E3607" s="3">
        <v>8200000</v>
      </c>
      <c r="F3607" s="1">
        <v>3700.3610108303201</v>
      </c>
      <c r="M3607" s="4">
        <v>2216</v>
      </c>
      <c r="Q3607" s="1" t="s">
        <v>42</v>
      </c>
      <c r="S3607" s="1" t="s">
        <v>42</v>
      </c>
      <c r="T3607" s="1" t="s">
        <v>170</v>
      </c>
      <c r="AA3607" s="1">
        <v>8200000</v>
      </c>
      <c r="AB3607" s="1" t="s">
        <v>2796</v>
      </c>
      <c r="AC3607" s="5">
        <v>44125</v>
      </c>
      <c r="AF3607" s="1">
        <v>10023</v>
      </c>
      <c r="AI3607" s="1" t="s">
        <v>76</v>
      </c>
      <c r="AJ3607" s="1">
        <v>2019</v>
      </c>
      <c r="AK3607" s="1" t="s">
        <v>49</v>
      </c>
      <c r="AL3607" s="1">
        <v>172</v>
      </c>
    </row>
    <row r="3608" spans="1:38" x14ac:dyDescent="0.2">
      <c r="A3608" s="2" t="str">
        <f>HYPERLINK("https://www.compass.com/listing/25-park-row-unit-6c-manhattan-ny-10038/651684516839458153/","25 Park Row, Unit 6C")</f>
        <v>25 Park Row, Unit 6C</v>
      </c>
      <c r="B3608" s="2" t="str">
        <f>HYPERLINK("https://www.compass.com/building/25-park-row-manhattan-ny-10038/292920743539264837/","25 Park Row")</f>
        <v>25 Park Row</v>
      </c>
      <c r="C3608" s="1" t="s">
        <v>117</v>
      </c>
      <c r="D3608" s="1" t="s">
        <v>41</v>
      </c>
      <c r="E3608" s="3">
        <v>2280000</v>
      </c>
      <c r="F3608" s="1">
        <v>1693.9078751857301</v>
      </c>
      <c r="H3608" s="1">
        <v>1</v>
      </c>
      <c r="J3608" s="1">
        <v>1.5</v>
      </c>
      <c r="K3608" s="1">
        <v>1</v>
      </c>
      <c r="L3608" s="1">
        <v>1</v>
      </c>
      <c r="M3608" s="4">
        <v>1346</v>
      </c>
      <c r="N3608" s="1">
        <v>1617.79</v>
      </c>
      <c r="O3608" s="1">
        <v>3235.8</v>
      </c>
      <c r="P3608" s="1">
        <v>1618</v>
      </c>
      <c r="Q3608" s="1" t="s">
        <v>42</v>
      </c>
      <c r="S3608" s="1" t="s">
        <v>42</v>
      </c>
      <c r="T3608" s="1" t="s">
        <v>170</v>
      </c>
      <c r="AA3608" s="1">
        <v>2280000</v>
      </c>
      <c r="AB3608" s="1" t="s">
        <v>2797</v>
      </c>
      <c r="AC3608" s="5">
        <v>44071</v>
      </c>
      <c r="AF3608" s="1">
        <v>10038</v>
      </c>
      <c r="AI3608" s="1" t="s">
        <v>84</v>
      </c>
      <c r="AJ3608" s="1">
        <v>2019</v>
      </c>
      <c r="AK3608" s="1" t="s">
        <v>49</v>
      </c>
      <c r="AL3608" s="1">
        <v>110</v>
      </c>
    </row>
    <row r="3609" spans="1:38" x14ac:dyDescent="0.2">
      <c r="A3609" s="2" t="str">
        <f>HYPERLINK("https://www.compass.com/listing/520-park-avenue-unit-20-manhattan-ny-10065/652320874049923681/","520 Park Ave, Unit 20")</f>
        <v>520 Park Ave, Unit 20</v>
      </c>
      <c r="B3609" s="2" t="str">
        <f>HYPERLINK("https://www.compass.com/building/520-park-ave-manhattan-ny-10065/344158009579879061/","520 Park Ave")</f>
        <v>520 Park Ave</v>
      </c>
      <c r="C3609" s="1" t="s">
        <v>115</v>
      </c>
      <c r="D3609" s="1" t="s">
        <v>41</v>
      </c>
      <c r="E3609" s="3">
        <v>18300000</v>
      </c>
      <c r="F3609" s="1">
        <v>3967.0496423151899</v>
      </c>
      <c r="M3609" s="4">
        <v>4613</v>
      </c>
      <c r="Q3609" s="1" t="s">
        <v>42</v>
      </c>
      <c r="S3609" s="1" t="s">
        <v>42</v>
      </c>
      <c r="T3609" s="1" t="s">
        <v>170</v>
      </c>
      <c r="AA3609" s="1">
        <v>18300000</v>
      </c>
      <c r="AB3609" s="1" t="s">
        <v>2798</v>
      </c>
      <c r="AC3609" s="5">
        <v>44111</v>
      </c>
      <c r="AF3609" s="1">
        <v>10065</v>
      </c>
      <c r="AI3609" s="1" t="s">
        <v>48</v>
      </c>
      <c r="AJ3609" s="1">
        <v>2018</v>
      </c>
      <c r="AK3609" s="1" t="s">
        <v>46</v>
      </c>
      <c r="AL3609" s="1">
        <v>35</v>
      </c>
    </row>
    <row r="3610" spans="1:38" x14ac:dyDescent="0.2">
      <c r="A3610" s="2" t="str">
        <f>HYPERLINK("https://www.compass.com/listing/2040-frederick-douglass-boulevard-unit-3c-manhattan-ny-10026/652433148437909409/","2040 Frederick Douglass Blvd, Unit 3C")</f>
        <v>2040 Frederick Douglass Blvd, Unit 3C</v>
      </c>
      <c r="B3610" s="2" t="str">
        <f>HYPERLINK("https://www.compass.com/building/2040-frederick-douglass-blvd-manhattan-ny-10026/389266835817241253/","2040 Frederick Douglass Blvd")</f>
        <v>2040 Frederick Douglass Blvd</v>
      </c>
      <c r="C3610" s="1" t="s">
        <v>106</v>
      </c>
      <c r="D3610" s="1" t="s">
        <v>41</v>
      </c>
      <c r="E3610" s="3">
        <v>1090000</v>
      </c>
      <c r="F3610" s="1">
        <v>1684.6986089644499</v>
      </c>
      <c r="M3610" s="1">
        <v>647</v>
      </c>
      <c r="Q3610" s="1" t="s">
        <v>42</v>
      </c>
      <c r="S3610" s="1" t="s">
        <v>42</v>
      </c>
      <c r="T3610" s="1" t="s">
        <v>170</v>
      </c>
      <c r="AA3610" s="1">
        <v>1090000</v>
      </c>
      <c r="AB3610" s="1" t="s">
        <v>2799</v>
      </c>
      <c r="AC3610" s="5">
        <v>44088</v>
      </c>
      <c r="AF3610" s="1">
        <v>10026</v>
      </c>
    </row>
    <row r="3611" spans="1:38" x14ac:dyDescent="0.2">
      <c r="A3611" s="2" t="str">
        <f>HYPERLINK("https://www.compass.com/listing/15-west-61st-street-unit-9d-manhattan-ny-10023/657720271089736321/","15 W 61st St, Unit 9D")</f>
        <v>15 W 61st St, Unit 9D</v>
      </c>
      <c r="B3611" s="2" t="str">
        <f>HYPERLINK("https://www.compass.com/building/the-park-loggia-manhattan-ny/292861833130357557/","The Park Loggia")</f>
        <v>The Park Loggia</v>
      </c>
      <c r="C3611" s="1" t="s">
        <v>50</v>
      </c>
      <c r="D3611" s="1" t="s">
        <v>41</v>
      </c>
      <c r="E3611" s="3">
        <v>1372836</v>
      </c>
      <c r="F3611" s="1">
        <v>2055.1444011976</v>
      </c>
      <c r="M3611" s="1">
        <v>668</v>
      </c>
      <c r="Q3611" s="1" t="s">
        <v>42</v>
      </c>
      <c r="S3611" s="1" t="s">
        <v>42</v>
      </c>
      <c r="T3611" s="1" t="s">
        <v>170</v>
      </c>
      <c r="AA3611" s="1">
        <v>1372836.46</v>
      </c>
      <c r="AB3611" s="1" t="s">
        <v>2800</v>
      </c>
      <c r="AC3611" s="5">
        <v>44148</v>
      </c>
      <c r="AF3611" s="1">
        <v>10023</v>
      </c>
      <c r="AI3611" s="1" t="s">
        <v>76</v>
      </c>
      <c r="AJ3611" s="1">
        <v>2019</v>
      </c>
      <c r="AK3611" s="1" t="s">
        <v>49</v>
      </c>
      <c r="AL3611" s="1">
        <v>172</v>
      </c>
    </row>
    <row r="3612" spans="1:38" x14ac:dyDescent="0.2">
      <c r="A3612" s="2" t="str">
        <f>HYPERLINK("https://www.compass.com/listing/49-51-chambers-street-unit-16c-manhattan-ny-10007/664248319994735505/","49-51 Chambers St, Unit 16C")</f>
        <v>49-51 Chambers St, Unit 16C</v>
      </c>
      <c r="B3612" s="2" t="str">
        <f t="shared" ref="B3612:B3613" si="440">HYPERLINK("https://www.compass.com/building/49-51-chambers-st-manhattan-ny-10007/441163040348878029/","49-51 Chambers St")</f>
        <v>49-51 Chambers St</v>
      </c>
      <c r="C3612" s="1" t="s">
        <v>956</v>
      </c>
      <c r="D3612" s="1" t="s">
        <v>41</v>
      </c>
      <c r="E3612" s="3">
        <v>2090000</v>
      </c>
      <c r="F3612" s="1">
        <v>1620.1550387596899</v>
      </c>
      <c r="M3612" s="4">
        <v>1290</v>
      </c>
      <c r="Q3612" s="1" t="s">
        <v>42</v>
      </c>
      <c r="S3612" s="1" t="s">
        <v>42</v>
      </c>
      <c r="T3612" s="1" t="s">
        <v>170</v>
      </c>
      <c r="AA3612" s="1">
        <v>2090000</v>
      </c>
      <c r="AB3612" s="1" t="s">
        <v>2801</v>
      </c>
      <c r="AC3612" s="5">
        <v>44154</v>
      </c>
      <c r="AF3612" s="1">
        <v>10007</v>
      </c>
    </row>
    <row r="3613" spans="1:38" x14ac:dyDescent="0.2">
      <c r="A3613" s="2" t="str">
        <f>HYPERLINK("https://www.compass.com/listing/49-51-chambers-street-unit-17e-manhattan-ny-10007/670046667029595313/","49-51 Chambers St, Unit 17E")</f>
        <v>49-51 Chambers St, Unit 17E</v>
      </c>
      <c r="B3613" s="2" t="str">
        <f t="shared" si="440"/>
        <v>49-51 Chambers St</v>
      </c>
      <c r="C3613" s="1" t="s">
        <v>956</v>
      </c>
      <c r="D3613" s="1" t="s">
        <v>41</v>
      </c>
      <c r="E3613" s="3">
        <v>4995000</v>
      </c>
      <c r="F3613" s="1">
        <v>1678.99159663865</v>
      </c>
      <c r="M3613" s="4">
        <v>2975</v>
      </c>
      <c r="Q3613" s="1" t="s">
        <v>42</v>
      </c>
      <c r="S3613" s="1" t="s">
        <v>42</v>
      </c>
      <c r="T3613" s="1" t="s">
        <v>170</v>
      </c>
      <c r="AA3613" s="1">
        <v>4995000</v>
      </c>
      <c r="AB3613" s="1" t="s">
        <v>2802</v>
      </c>
      <c r="AC3613" s="5">
        <v>44155</v>
      </c>
      <c r="AF3613" s="1">
        <v>10007</v>
      </c>
    </row>
    <row r="3614" spans="1:38" x14ac:dyDescent="0.2">
      <c r="A3614" s="2" t="str">
        <f>HYPERLINK("https://www.compass.com/listing/25-park-row-unit-32a-manhattan-ny-10038/674614622933601649/","25 Park Row, Unit 32A")</f>
        <v>25 Park Row, Unit 32A</v>
      </c>
      <c r="B3614" s="2" t="str">
        <f>HYPERLINK("https://www.compass.com/building/25-park-row-manhattan-ny-10038/292920743539264837/","25 Park Row")</f>
        <v>25 Park Row</v>
      </c>
      <c r="C3614" s="1" t="s">
        <v>117</v>
      </c>
      <c r="D3614" s="1" t="s">
        <v>41</v>
      </c>
      <c r="E3614" s="3">
        <v>4234050</v>
      </c>
      <c r="F3614" s="1">
        <v>2341.8418141592902</v>
      </c>
      <c r="M3614" s="4">
        <v>1808</v>
      </c>
      <c r="Q3614" s="1" t="s">
        <v>42</v>
      </c>
      <c r="S3614" s="1" t="s">
        <v>42</v>
      </c>
      <c r="T3614" s="1" t="s">
        <v>170</v>
      </c>
      <c r="AA3614" s="1">
        <v>4234050</v>
      </c>
      <c r="AB3614" s="1" t="s">
        <v>2803</v>
      </c>
      <c r="AC3614" s="5">
        <v>44078</v>
      </c>
      <c r="AF3614" s="1">
        <v>10038</v>
      </c>
      <c r="AI3614" s="1" t="s">
        <v>84</v>
      </c>
      <c r="AJ3614" s="1">
        <v>2019</v>
      </c>
      <c r="AK3614" s="1" t="s">
        <v>49</v>
      </c>
      <c r="AL3614" s="1">
        <v>110</v>
      </c>
    </row>
    <row r="3615" spans="1:38" x14ac:dyDescent="0.2">
      <c r="A3615" s="2" t="str">
        <f>HYPERLINK("https://www.compass.com/listing/221-west-77th-street-manhattan-ny-10024/683096066442281305/","221 W 77th St, Fl 17")</f>
        <v>221 W 77th St, Fl 17</v>
      </c>
      <c r="B3615" s="2" t="str">
        <f>HYPERLINK("https://www.compass.com/building/221-west-77th-street-manhattan-ny/292869344491294229/","221 West 77th Street")</f>
        <v>221 West 77th Street</v>
      </c>
      <c r="C3615" s="1" t="s">
        <v>50</v>
      </c>
      <c r="D3615" s="1" t="s">
        <v>41</v>
      </c>
      <c r="E3615" s="3">
        <v>8050000</v>
      </c>
      <c r="F3615" s="1">
        <v>2730.6648575305198</v>
      </c>
      <c r="M3615" s="4">
        <v>2948</v>
      </c>
      <c r="Q3615" s="1" t="s">
        <v>42</v>
      </c>
      <c r="S3615" s="1" t="s">
        <v>42</v>
      </c>
      <c r="T3615" s="1" t="s">
        <v>170</v>
      </c>
      <c r="AA3615" s="1">
        <v>8050000</v>
      </c>
      <c r="AB3615" s="1" t="s">
        <v>2804</v>
      </c>
      <c r="AC3615" s="5">
        <v>44168</v>
      </c>
      <c r="AF3615" s="1">
        <v>10024</v>
      </c>
      <c r="AI3615" s="1" t="s">
        <v>53</v>
      </c>
      <c r="AJ3615" s="1">
        <v>2017</v>
      </c>
      <c r="AK3615" s="1" t="s">
        <v>49</v>
      </c>
      <c r="AL3615" s="1">
        <v>26</v>
      </c>
    </row>
    <row r="3616" spans="1:38" x14ac:dyDescent="0.2">
      <c r="A3616" s="2" t="str">
        <f>HYPERLINK("https://www.compass.com/listing/200-east-95th-street-unit-4i-manhattan-ny-10128/683101050558925201/","200 E 95th St, Unit 4I")</f>
        <v>200 E 95th St, Unit 4I</v>
      </c>
      <c r="B3616" s="2" t="str">
        <f>HYPERLINK("https://www.compass.com/building/the-kent-manhattan-ny/282049801384650021/","The Kent")</f>
        <v>The Kent</v>
      </c>
      <c r="C3616" s="1" t="s">
        <v>115</v>
      </c>
      <c r="D3616" s="1" t="s">
        <v>41</v>
      </c>
      <c r="E3616" s="3">
        <v>358000</v>
      </c>
      <c r="F3616" s="1">
        <v>550.76923076923003</v>
      </c>
      <c r="M3616" s="1">
        <v>650</v>
      </c>
      <c r="Q3616" s="1" t="s">
        <v>42</v>
      </c>
      <c r="S3616" s="1" t="s">
        <v>42</v>
      </c>
      <c r="T3616" s="1" t="s">
        <v>170</v>
      </c>
      <c r="AA3616" s="1">
        <v>358000</v>
      </c>
      <c r="AB3616" s="1" t="s">
        <v>2805</v>
      </c>
      <c r="AC3616" s="5">
        <v>44175</v>
      </c>
      <c r="AF3616" s="1">
        <v>10128</v>
      </c>
      <c r="AJ3616" s="1">
        <v>2017</v>
      </c>
      <c r="AK3616" s="1" t="s">
        <v>46</v>
      </c>
      <c r="AL3616" s="1">
        <v>83</v>
      </c>
    </row>
    <row r="3617" spans="1:38" x14ac:dyDescent="0.2">
      <c r="A3617" s="2" t="str">
        <f>HYPERLINK("https://www.compass.com/listing/25-park-row-unit-33a-manhattan-ny-10038/688354859942141097/","25 Park Row, Unit 33A")</f>
        <v>25 Park Row, Unit 33A</v>
      </c>
      <c r="B3617" s="2" t="str">
        <f t="shared" ref="B3617:B3618" si="441">HYPERLINK("https://www.compass.com/building/25-park-row-manhattan-ny-10038/292920743539264837/","25 Park Row")</f>
        <v>25 Park Row</v>
      </c>
      <c r="C3617" s="1" t="s">
        <v>117</v>
      </c>
      <c r="D3617" s="1" t="s">
        <v>41</v>
      </c>
      <c r="E3617" s="3">
        <v>4287500</v>
      </c>
      <c r="F3617" s="1">
        <v>2371.40486725663</v>
      </c>
      <c r="M3617" s="4">
        <v>1808</v>
      </c>
      <c r="Q3617" s="1" t="s">
        <v>42</v>
      </c>
      <c r="S3617" s="1" t="s">
        <v>42</v>
      </c>
      <c r="T3617" s="1" t="s">
        <v>170</v>
      </c>
      <c r="AA3617" s="1">
        <v>4287500</v>
      </c>
      <c r="AB3617" s="1" t="s">
        <v>2806</v>
      </c>
      <c r="AC3617" s="5">
        <v>44183</v>
      </c>
      <c r="AF3617" s="1">
        <v>10038</v>
      </c>
      <c r="AI3617" s="1" t="s">
        <v>84</v>
      </c>
      <c r="AJ3617" s="1">
        <v>2019</v>
      </c>
      <c r="AK3617" s="1" t="s">
        <v>49</v>
      </c>
      <c r="AL3617" s="1">
        <v>110</v>
      </c>
    </row>
    <row r="3618" spans="1:38" x14ac:dyDescent="0.2">
      <c r="A3618" s="2" t="str">
        <f>HYPERLINK("https://www.compass.com/listing/25-park-row-unit-34b-manhattan-ny-10038/693238402988907745/","25 Park Row, Unit 34B")</f>
        <v>25 Park Row, Unit 34B</v>
      </c>
      <c r="B3618" s="2" t="str">
        <f t="shared" si="441"/>
        <v>25 Park Row</v>
      </c>
      <c r="C3618" s="1" t="s">
        <v>117</v>
      </c>
      <c r="D3618" s="1" t="s">
        <v>41</v>
      </c>
      <c r="E3618" s="3">
        <v>5650000</v>
      </c>
      <c r="F3618" s="1">
        <v>2594.1230486684999</v>
      </c>
      <c r="M3618" s="4">
        <v>2178</v>
      </c>
      <c r="Q3618" s="1" t="s">
        <v>42</v>
      </c>
      <c r="S3618" s="1" t="s">
        <v>42</v>
      </c>
      <c r="T3618" s="1" t="s">
        <v>170</v>
      </c>
      <c r="AA3618" s="1">
        <v>5650000</v>
      </c>
      <c r="AB3618" s="1" t="s">
        <v>2807</v>
      </c>
      <c r="AC3618" s="5">
        <v>44172</v>
      </c>
      <c r="AF3618" s="1">
        <v>10038</v>
      </c>
      <c r="AI3618" s="1" t="s">
        <v>84</v>
      </c>
      <c r="AJ3618" s="1">
        <v>2019</v>
      </c>
      <c r="AK3618" s="1" t="s">
        <v>49</v>
      </c>
      <c r="AL3618" s="1">
        <v>110</v>
      </c>
    </row>
    <row r="3619" spans="1:38" x14ac:dyDescent="0.2">
      <c r="A3619" s="2" t="str">
        <f>HYPERLINK("https://www.compass.com/listing/150-west-12th-street-unit-7-manhattan-ny-10011/693240565530239577/","150 W 12th St, Unit 7")</f>
        <v>150 W 12th St, Unit 7</v>
      </c>
      <c r="B3619" s="2" t="str">
        <f>HYPERLINK("https://www.compass.com/building/the-greenwich-lane-manhattan-ny/567553885067785157/","The Greenwich Lane")</f>
        <v>The Greenwich Lane</v>
      </c>
      <c r="C3619" s="1" t="s">
        <v>71</v>
      </c>
      <c r="D3619" s="1" t="s">
        <v>41</v>
      </c>
      <c r="E3619" s="3">
        <v>6100000</v>
      </c>
      <c r="F3619" s="1">
        <v>2934.1029341029298</v>
      </c>
      <c r="M3619" s="4">
        <v>2079</v>
      </c>
      <c r="Q3619" s="1" t="s">
        <v>42</v>
      </c>
      <c r="S3619" s="1" t="s">
        <v>42</v>
      </c>
      <c r="T3619" s="1" t="s">
        <v>170</v>
      </c>
      <c r="AA3619" s="1">
        <v>6100000</v>
      </c>
      <c r="AB3619" s="1" t="s">
        <v>2808</v>
      </c>
      <c r="AC3619" s="5">
        <v>44195</v>
      </c>
      <c r="AF3619" s="1">
        <v>10011</v>
      </c>
      <c r="AI3619" s="1" t="s">
        <v>59</v>
      </c>
      <c r="AK3619" s="1" t="s">
        <v>49</v>
      </c>
      <c r="AL3619" s="1">
        <v>24</v>
      </c>
    </row>
    <row r="3620" spans="1:38" x14ac:dyDescent="0.2">
      <c r="A3620" s="2" t="str">
        <f>HYPERLINK("https://www.compass.com/listing/49-51-chambers-street-unit-15c-manhattan-ny-10007/700219061545681473/","49-51 Chambers St, Unit 15C")</f>
        <v>49-51 Chambers St, Unit 15C</v>
      </c>
      <c r="B3620" s="2" t="str">
        <f>HYPERLINK("https://www.compass.com/building/49-51-chambers-st-manhattan-ny-10007/441163040348878029/","49-51 Chambers St")</f>
        <v>49-51 Chambers St</v>
      </c>
      <c r="C3620" s="1" t="s">
        <v>956</v>
      </c>
      <c r="D3620" s="1" t="s">
        <v>41</v>
      </c>
      <c r="E3620" s="3">
        <v>2020000</v>
      </c>
      <c r="F3620" s="1">
        <v>1565.89147286821</v>
      </c>
      <c r="M3620" s="4">
        <v>1290</v>
      </c>
      <c r="Q3620" s="1" t="s">
        <v>42</v>
      </c>
      <c r="S3620" s="1" t="s">
        <v>42</v>
      </c>
      <c r="T3620" s="1" t="s">
        <v>170</v>
      </c>
      <c r="AA3620" s="1">
        <v>2020000</v>
      </c>
      <c r="AB3620" s="1" t="s">
        <v>2809</v>
      </c>
      <c r="AC3620" s="5">
        <v>44186</v>
      </c>
      <c r="AF3620" s="1">
        <v>10007</v>
      </c>
    </row>
    <row r="3621" spans="1:38" x14ac:dyDescent="0.2">
      <c r="A3621" s="2" t="str">
        <f>HYPERLINK("https://www.compass.com/listing/412-greenwich-street-unit-5e-manhattan-ny-10013/700219467218680145/","412 Greenwich St, Unit 5E")</f>
        <v>412 Greenwich St, Unit 5E</v>
      </c>
      <c r="B3621" s="2" t="str">
        <f>HYPERLINK("https://www.compass.com/building/412-greenwich-st-manhattan-ny-10013/307448573918203765/","412 Greenwich St")</f>
        <v>412 Greenwich St</v>
      </c>
      <c r="C3621" s="1" t="s">
        <v>40</v>
      </c>
      <c r="D3621" s="1" t="s">
        <v>41</v>
      </c>
      <c r="E3621" s="3">
        <v>5175000</v>
      </c>
      <c r="F3621" s="1">
        <v>2262.7896808045398</v>
      </c>
      <c r="M3621" s="4">
        <v>2287</v>
      </c>
      <c r="Q3621" s="1" t="s">
        <v>42</v>
      </c>
      <c r="S3621" s="1" t="s">
        <v>42</v>
      </c>
      <c r="T3621" s="1" t="s">
        <v>170</v>
      </c>
      <c r="AA3621" s="1">
        <v>5175000</v>
      </c>
      <c r="AB3621" s="1" t="s">
        <v>2810</v>
      </c>
      <c r="AC3621" s="5">
        <v>44167</v>
      </c>
      <c r="AF3621" s="1">
        <v>10013</v>
      </c>
    </row>
    <row r="3622" spans="1:38" x14ac:dyDescent="0.2">
      <c r="A3622" s="2" t="str">
        <f>HYPERLINK("https://www.compass.com/listing/21-east-12th-street-unit-3a-manhattan-ny-10003/705976991550441321/","21 E 12th St, Unit 3A")</f>
        <v>21 E 12th St, Unit 3A</v>
      </c>
      <c r="B3622" s="2" t="str">
        <f>HYPERLINK("https://www.compass.com/building/21-east-12th-street-manhattan-ny/292779727154847925/","21 East 12th Street")</f>
        <v>21 East 12th Street</v>
      </c>
      <c r="C3622" s="1" t="s">
        <v>370</v>
      </c>
      <c r="D3622" s="1" t="s">
        <v>41</v>
      </c>
      <c r="E3622" s="3">
        <v>9655656</v>
      </c>
      <c r="F3622" s="1">
        <v>1452.1967213114699</v>
      </c>
      <c r="M3622" s="4">
        <v>6649</v>
      </c>
      <c r="Q3622" s="1" t="s">
        <v>42</v>
      </c>
      <c r="S3622" s="1" t="s">
        <v>42</v>
      </c>
      <c r="T3622" s="1" t="s">
        <v>170</v>
      </c>
      <c r="AA3622" s="1">
        <v>9655656</v>
      </c>
      <c r="AB3622" s="1" t="s">
        <v>2811</v>
      </c>
      <c r="AC3622" s="5">
        <v>44210</v>
      </c>
      <c r="AF3622" s="1">
        <v>10003</v>
      </c>
      <c r="AI3622" s="1" t="s">
        <v>59</v>
      </c>
      <c r="AJ3622" s="1">
        <v>2018</v>
      </c>
      <c r="AK3622" s="1" t="s">
        <v>172</v>
      </c>
      <c r="AL3622" s="1">
        <v>52</v>
      </c>
    </row>
    <row r="3623" spans="1:38" x14ac:dyDescent="0.2">
      <c r="A3623" s="2" t="str">
        <f>HYPERLINK("https://www.compass.com/listing/15-west-61st-street-unit-8g-manhattan-ny-10023/705982426017905569/","15 W 61st St, Unit 8G")</f>
        <v>15 W 61st St, Unit 8G</v>
      </c>
      <c r="B3623" s="2" t="str">
        <f t="shared" ref="B3623:B3624" si="442">HYPERLINK("https://www.compass.com/building/the-park-loggia-manhattan-ny/292861833130357557/","The Park Loggia")</f>
        <v>The Park Loggia</v>
      </c>
      <c r="C3623" s="1" t="s">
        <v>50</v>
      </c>
      <c r="D3623" s="1" t="s">
        <v>41</v>
      </c>
      <c r="E3623" s="3">
        <v>1450000</v>
      </c>
      <c r="F3623" s="1">
        <v>2220.5206738131701</v>
      </c>
      <c r="M3623" s="1">
        <v>653</v>
      </c>
      <c r="Q3623" s="1" t="s">
        <v>42</v>
      </c>
      <c r="S3623" s="1" t="s">
        <v>42</v>
      </c>
      <c r="T3623" s="1" t="s">
        <v>170</v>
      </c>
      <c r="AA3623" s="1">
        <v>1450000</v>
      </c>
      <c r="AB3623" s="1" t="s">
        <v>2812</v>
      </c>
      <c r="AC3623" s="5">
        <v>44204</v>
      </c>
      <c r="AF3623" s="1">
        <v>10023</v>
      </c>
      <c r="AI3623" s="1" t="s">
        <v>76</v>
      </c>
      <c r="AJ3623" s="1">
        <v>2019</v>
      </c>
      <c r="AK3623" s="1" t="s">
        <v>49</v>
      </c>
      <c r="AL3623" s="1">
        <v>172</v>
      </c>
    </row>
    <row r="3624" spans="1:38" x14ac:dyDescent="0.2">
      <c r="A3624" s="2" t="str">
        <f>HYPERLINK("https://www.compass.com/listing/15-west-61st-street-unit-15c-manhattan-ny-10023/705982447308013489/","15 W 61st St, Unit 15C")</f>
        <v>15 W 61st St, Unit 15C</v>
      </c>
      <c r="B3624" s="2" t="str">
        <f t="shared" si="442"/>
        <v>The Park Loggia</v>
      </c>
      <c r="C3624" s="1" t="s">
        <v>50</v>
      </c>
      <c r="D3624" s="1" t="s">
        <v>41</v>
      </c>
      <c r="E3624" s="3">
        <v>1165000</v>
      </c>
      <c r="F3624" s="1">
        <v>2084.07871198568</v>
      </c>
      <c r="H3624" s="1">
        <v>1</v>
      </c>
      <c r="J3624" s="1">
        <v>1</v>
      </c>
      <c r="K3624" s="1">
        <v>1</v>
      </c>
      <c r="M3624" s="1">
        <v>559</v>
      </c>
      <c r="N3624" s="1">
        <v>711</v>
      </c>
      <c r="O3624" s="1">
        <v>1395</v>
      </c>
      <c r="P3624" s="1">
        <v>684</v>
      </c>
      <c r="Q3624" s="1" t="s">
        <v>42</v>
      </c>
      <c r="S3624" s="1" t="s">
        <v>42</v>
      </c>
      <c r="T3624" s="1" t="s">
        <v>170</v>
      </c>
      <c r="AA3624" s="1">
        <v>1165000</v>
      </c>
      <c r="AB3624" s="1" t="s">
        <v>2813</v>
      </c>
      <c r="AC3624" s="5">
        <v>44211</v>
      </c>
      <c r="AF3624" s="1">
        <v>10023</v>
      </c>
      <c r="AI3624" s="1" t="s">
        <v>76</v>
      </c>
      <c r="AJ3624" s="1">
        <v>2019</v>
      </c>
      <c r="AK3624" s="1" t="s">
        <v>49</v>
      </c>
      <c r="AL3624" s="1">
        <v>172</v>
      </c>
    </row>
    <row r="3625" spans="1:38" x14ac:dyDescent="0.2">
      <c r="A3625" s="2" t="str">
        <f>HYPERLINK("https://www.compass.com/listing/520-park-avenue-unit-26-manhattan-ny-10065/708483802363150985/","520 Park Ave, Unit 26")</f>
        <v>520 Park Ave, Unit 26</v>
      </c>
      <c r="B3625" s="2" t="str">
        <f>HYPERLINK("https://www.compass.com/building/520-park-ave-manhattan-ny-10065/344158009579879061/","520 Park Ave")</f>
        <v>520 Park Ave</v>
      </c>
      <c r="C3625" s="1" t="s">
        <v>115</v>
      </c>
      <c r="D3625" s="1" t="s">
        <v>41</v>
      </c>
      <c r="E3625" s="3">
        <v>20000000</v>
      </c>
      <c r="F3625" s="1">
        <v>4321.5211754537504</v>
      </c>
      <c r="M3625" s="4">
        <v>4628</v>
      </c>
      <c r="Q3625" s="1" t="s">
        <v>42</v>
      </c>
      <c r="S3625" s="1" t="s">
        <v>42</v>
      </c>
      <c r="T3625" s="1" t="s">
        <v>170</v>
      </c>
      <c r="AA3625" s="1">
        <v>20000000</v>
      </c>
      <c r="AB3625" s="1" t="s">
        <v>2814</v>
      </c>
      <c r="AC3625" s="5">
        <v>44218</v>
      </c>
      <c r="AF3625" s="1">
        <v>10065</v>
      </c>
      <c r="AI3625" s="1" t="s">
        <v>48</v>
      </c>
      <c r="AJ3625" s="1">
        <v>2018</v>
      </c>
      <c r="AK3625" s="1" t="s">
        <v>46</v>
      </c>
      <c r="AL3625" s="1">
        <v>35</v>
      </c>
    </row>
    <row r="3626" spans="1:38" x14ac:dyDescent="0.2">
      <c r="A3626" s="2" t="str">
        <f>HYPERLINK("https://www.compass.com/listing/49-51-chambers-street-unit-5f-manhattan-ny-10007/710640575962270673/","49-51 Chambers St, Unit 5F")</f>
        <v>49-51 Chambers St, Unit 5F</v>
      </c>
      <c r="B3626" s="2" t="str">
        <f>HYPERLINK("https://www.compass.com/building/49-51-chambers-st-manhattan-ny-10007/441163040348878029/","49-51 Chambers St")</f>
        <v>49-51 Chambers St</v>
      </c>
      <c r="C3626" s="1" t="s">
        <v>956</v>
      </c>
      <c r="D3626" s="1" t="s">
        <v>41</v>
      </c>
      <c r="E3626" s="3">
        <v>1781938</v>
      </c>
      <c r="F3626" s="1">
        <v>1625.85538321167</v>
      </c>
      <c r="M3626" s="4">
        <v>1096</v>
      </c>
      <c r="Q3626" s="1" t="s">
        <v>42</v>
      </c>
      <c r="S3626" s="1" t="s">
        <v>42</v>
      </c>
      <c r="T3626" s="1" t="s">
        <v>170</v>
      </c>
      <c r="AA3626" s="1">
        <v>1781937.5</v>
      </c>
      <c r="AB3626" s="1" t="s">
        <v>2815</v>
      </c>
      <c r="AC3626" s="5">
        <v>44193</v>
      </c>
      <c r="AF3626" s="1">
        <v>10007</v>
      </c>
    </row>
    <row r="3627" spans="1:38" x14ac:dyDescent="0.2">
      <c r="A3627" s="2" t="str">
        <f>HYPERLINK("https://www.compass.com/listing/15-west-61st-street-unit-29b-manhattan-ny-10023/710646238373460321/","15 W 61st St, Unit 29B")</f>
        <v>15 W 61st St, Unit 29B</v>
      </c>
      <c r="B3627" s="2" t="str">
        <f>HYPERLINK("https://www.compass.com/building/the-park-loggia-manhattan-ny/292861833130357557/","The Park Loggia")</f>
        <v>The Park Loggia</v>
      </c>
      <c r="C3627" s="1" t="s">
        <v>50</v>
      </c>
      <c r="D3627" s="1" t="s">
        <v>41</v>
      </c>
      <c r="E3627" s="3">
        <v>3325000</v>
      </c>
      <c r="F3627" s="1">
        <v>2878.7878787878699</v>
      </c>
      <c r="M3627" s="4">
        <v>1155</v>
      </c>
      <c r="Q3627" s="1" t="s">
        <v>42</v>
      </c>
      <c r="S3627" s="1" t="s">
        <v>42</v>
      </c>
      <c r="T3627" s="1" t="s">
        <v>170</v>
      </c>
      <c r="AA3627" s="1">
        <v>3325000</v>
      </c>
      <c r="AB3627" s="1" t="s">
        <v>2816</v>
      </c>
      <c r="AC3627" s="5">
        <v>44224</v>
      </c>
      <c r="AF3627" s="1">
        <v>10023</v>
      </c>
      <c r="AI3627" s="1" t="s">
        <v>76</v>
      </c>
      <c r="AJ3627" s="1">
        <v>2019</v>
      </c>
      <c r="AK3627" s="1" t="s">
        <v>49</v>
      </c>
      <c r="AL3627" s="1">
        <v>172</v>
      </c>
    </row>
    <row r="3628" spans="1:38" x14ac:dyDescent="0.2">
      <c r="A3628" s="2" t="str">
        <f>HYPERLINK("https://www.compass.com/listing/200-east-95th-street-unit-4d-manhattan-ny-10128/710653364797774089/","200 E 95th St, Unit 4D")</f>
        <v>200 E 95th St, Unit 4D</v>
      </c>
      <c r="B3628" s="2" t="str">
        <f>HYPERLINK("https://www.compass.com/building/the-kent-manhattan-ny/282049801384650021/","The Kent")</f>
        <v>The Kent</v>
      </c>
      <c r="C3628" s="1" t="s">
        <v>115</v>
      </c>
      <c r="D3628" s="1" t="s">
        <v>41</v>
      </c>
      <c r="E3628" s="3">
        <v>424800</v>
      </c>
      <c r="F3628" s="1">
        <v>534.33962264150898</v>
      </c>
      <c r="M3628" s="1">
        <v>795</v>
      </c>
      <c r="Q3628" s="1" t="s">
        <v>42</v>
      </c>
      <c r="S3628" s="1" t="s">
        <v>42</v>
      </c>
      <c r="T3628" s="1" t="s">
        <v>170</v>
      </c>
      <c r="AA3628" s="1">
        <v>424800</v>
      </c>
      <c r="AB3628" s="1" t="s">
        <v>2817</v>
      </c>
      <c r="AC3628" s="5">
        <v>44215</v>
      </c>
      <c r="AF3628" s="1">
        <v>10128</v>
      </c>
      <c r="AJ3628" s="1">
        <v>2017</v>
      </c>
      <c r="AK3628" s="1" t="s">
        <v>46</v>
      </c>
      <c r="AL3628" s="1">
        <v>83</v>
      </c>
    </row>
    <row r="3629" spans="1:38" x14ac:dyDescent="0.2">
      <c r="A3629" s="2" t="str">
        <f>HYPERLINK("https://www.compass.com/listing/25-park-row-unit-39b-manhattan-ny-10038/713533720886761137/","25 Park Row, Unit 39B")</f>
        <v>25 Park Row, Unit 39B</v>
      </c>
      <c r="B3629" s="2" t="str">
        <f>HYPERLINK("https://www.compass.com/building/25-park-row-manhattan-ny-10038/292920743539264837/","25 Park Row")</f>
        <v>25 Park Row</v>
      </c>
      <c r="C3629" s="1" t="s">
        <v>117</v>
      </c>
      <c r="D3629" s="1" t="s">
        <v>41</v>
      </c>
      <c r="E3629" s="3">
        <v>5590000</v>
      </c>
      <c r="F3629" s="1">
        <v>2556.0128029263801</v>
      </c>
      <c r="M3629" s="4">
        <v>2187</v>
      </c>
      <c r="Q3629" s="1" t="s">
        <v>42</v>
      </c>
      <c r="S3629" s="1" t="s">
        <v>42</v>
      </c>
      <c r="T3629" s="1" t="s">
        <v>170</v>
      </c>
      <c r="AA3629" s="1">
        <v>5590000</v>
      </c>
      <c r="AB3629" s="1" t="s">
        <v>2818</v>
      </c>
      <c r="AC3629" s="5">
        <v>44216</v>
      </c>
      <c r="AF3629" s="1">
        <v>10038</v>
      </c>
      <c r="AI3629" s="1" t="s">
        <v>84</v>
      </c>
      <c r="AJ3629" s="1">
        <v>2019</v>
      </c>
      <c r="AK3629" s="1" t="s">
        <v>49</v>
      </c>
      <c r="AL3629" s="1">
        <v>110</v>
      </c>
    </row>
    <row r="3630" spans="1:38" x14ac:dyDescent="0.2">
      <c r="A3630" s="2" t="str">
        <f>HYPERLINK("https://www.compass.com/listing/225-east-19th-street-unit-801-manhattan-ny-10003/71420350562317969/","225 E 19th St, Unit 801")</f>
        <v>225 E 19th St, Unit 801</v>
      </c>
      <c r="B3630" s="2" t="str">
        <f t="shared" ref="B3630:B3631" si="443">HYPERLINK("https://www.compass.com/building/the-prewar-at-gramercy-square-manhattan-ny/282059248584654437/","The Prewar at Gramercy Square")</f>
        <v>The Prewar at Gramercy Square</v>
      </c>
      <c r="C3630" s="1" t="s">
        <v>54</v>
      </c>
      <c r="D3630" s="1" t="s">
        <v>41</v>
      </c>
      <c r="E3630" s="3">
        <v>1665000</v>
      </c>
      <c r="F3630" s="1">
        <v>2035.45232273838</v>
      </c>
      <c r="M3630" s="1">
        <v>818</v>
      </c>
      <c r="Q3630" s="1" t="s">
        <v>42</v>
      </c>
      <c r="S3630" s="1" t="s">
        <v>42</v>
      </c>
      <c r="T3630" s="1" t="s">
        <v>170</v>
      </c>
      <c r="AA3630" s="1">
        <v>1665000</v>
      </c>
      <c r="AB3630" s="1" t="s">
        <v>2819</v>
      </c>
      <c r="AC3630" s="5">
        <v>43341</v>
      </c>
      <c r="AF3630" s="1">
        <v>10003</v>
      </c>
      <c r="AI3630" s="1" t="s">
        <v>76</v>
      </c>
      <c r="AJ3630" s="1">
        <v>1920</v>
      </c>
      <c r="AK3630" s="1" t="s">
        <v>46</v>
      </c>
      <c r="AL3630" s="1">
        <v>48</v>
      </c>
    </row>
    <row r="3631" spans="1:38" x14ac:dyDescent="0.2">
      <c r="A3631" s="2" t="str">
        <f>HYPERLINK("https://www.compass.com/listing/225-east-19th-street-unit-803-manhattan-ny-10003/71420350856011553/","225 E 19th St, Unit 803")</f>
        <v>225 E 19th St, Unit 803</v>
      </c>
      <c r="B3631" s="2" t="str">
        <f t="shared" si="443"/>
        <v>The Prewar at Gramercy Square</v>
      </c>
      <c r="C3631" s="1" t="s">
        <v>54</v>
      </c>
      <c r="D3631" s="1" t="s">
        <v>41</v>
      </c>
      <c r="E3631" s="3">
        <v>2713636</v>
      </c>
      <c r="F3631" s="1">
        <v>2183.1345534995899</v>
      </c>
      <c r="M3631" s="4">
        <v>1243</v>
      </c>
      <c r="Q3631" s="1" t="s">
        <v>42</v>
      </c>
      <c r="S3631" s="1" t="s">
        <v>42</v>
      </c>
      <c r="T3631" s="1" t="s">
        <v>170</v>
      </c>
      <c r="AA3631" s="1">
        <v>2713636.25</v>
      </c>
      <c r="AB3631" s="1" t="s">
        <v>2820</v>
      </c>
      <c r="AC3631" s="5">
        <v>43334</v>
      </c>
      <c r="AF3631" s="1">
        <v>10003</v>
      </c>
      <c r="AI3631" s="1" t="s">
        <v>76</v>
      </c>
      <c r="AJ3631" s="1">
        <v>1920</v>
      </c>
      <c r="AK3631" s="1" t="s">
        <v>46</v>
      </c>
      <c r="AL3631" s="1">
        <v>48</v>
      </c>
    </row>
    <row r="3632" spans="1:38" x14ac:dyDescent="0.2">
      <c r="A3632" s="2" t="str">
        <f>HYPERLINK("https://www.compass.com/listing/25-park-row-unit-40b-manhattan-ny-10038/714258366191914337/","25 Park Row, Unit 40B")</f>
        <v>25 Park Row, Unit 40B</v>
      </c>
      <c r="B3632" s="2" t="str">
        <f>HYPERLINK("https://www.compass.com/building/25-park-row-manhattan-ny-10038/292920743539264837/","25 Park Row")</f>
        <v>25 Park Row</v>
      </c>
      <c r="C3632" s="1" t="s">
        <v>117</v>
      </c>
      <c r="D3632" s="1" t="s">
        <v>41</v>
      </c>
      <c r="E3632" s="3">
        <v>5653001</v>
      </c>
      <c r="F3632" s="1">
        <v>2584.81995884773</v>
      </c>
      <c r="M3632" s="4">
        <v>2187</v>
      </c>
      <c r="Q3632" s="1" t="s">
        <v>42</v>
      </c>
      <c r="S3632" s="1" t="s">
        <v>42</v>
      </c>
      <c r="T3632" s="1" t="s">
        <v>170</v>
      </c>
      <c r="AA3632" s="1">
        <v>5653001.25</v>
      </c>
      <c r="AB3632" s="1" t="s">
        <v>2821</v>
      </c>
      <c r="AC3632" s="5">
        <v>44230</v>
      </c>
      <c r="AF3632" s="1">
        <v>10038</v>
      </c>
      <c r="AI3632" s="1" t="s">
        <v>84</v>
      </c>
      <c r="AJ3632" s="1">
        <v>2019</v>
      </c>
      <c r="AK3632" s="1" t="s">
        <v>49</v>
      </c>
      <c r="AL3632" s="1">
        <v>110</v>
      </c>
    </row>
    <row r="3633" spans="1:38" x14ac:dyDescent="0.2">
      <c r="A3633" s="2" t="str">
        <f>HYPERLINK("https://www.compass.com/listing/551-main-street-unit-501-manhattan-ny-10044/714268943681015857/","551 Main St, Unit 501")</f>
        <v>551 Main St, Unit 501</v>
      </c>
      <c r="B3633" s="2" t="str">
        <f>HYPERLINK("https://www.compass.com/building/island-house-manhattan-ny/282059863998105557/","Island House")</f>
        <v>Island House</v>
      </c>
      <c r="C3633" s="1" t="s">
        <v>128</v>
      </c>
      <c r="D3633" s="1" t="s">
        <v>41</v>
      </c>
      <c r="E3633" s="3">
        <v>431379</v>
      </c>
      <c r="Q3633" s="1" t="s">
        <v>129</v>
      </c>
      <c r="S3633" s="1" t="s">
        <v>129</v>
      </c>
      <c r="T3633" s="1" t="s">
        <v>170</v>
      </c>
      <c r="AA3633" s="1">
        <v>431378.76</v>
      </c>
      <c r="AB3633" s="1" t="s">
        <v>2822</v>
      </c>
      <c r="AC3633" s="5">
        <v>44218</v>
      </c>
      <c r="AF3633" s="1">
        <v>10044</v>
      </c>
      <c r="AJ3633" s="1">
        <v>1975</v>
      </c>
      <c r="AL3633" s="1">
        <v>400</v>
      </c>
    </row>
    <row r="3634" spans="1:38" x14ac:dyDescent="0.2">
      <c r="A3634" s="2" t="str">
        <f>HYPERLINK("https://www.compass.com/listing/520-park-avenue-unit-18-manhattan-ny-10065/71450489874565169/","520 Park Ave, Unit 18")</f>
        <v>520 Park Ave, Unit 18</v>
      </c>
      <c r="B3634" s="2" t="str">
        <f>HYPERLINK("https://www.compass.com/building/520-park-ave-manhattan-ny-10065/344158009579879061/","520 Park Ave")</f>
        <v>520 Park Ave</v>
      </c>
      <c r="C3634" s="1" t="s">
        <v>115</v>
      </c>
      <c r="D3634" s="1" t="s">
        <v>41</v>
      </c>
      <c r="E3634" s="3">
        <v>16905950</v>
      </c>
      <c r="F3634" s="1">
        <v>3664.8493388250499</v>
      </c>
      <c r="M3634" s="4">
        <v>4613</v>
      </c>
      <c r="Q3634" s="1" t="s">
        <v>42</v>
      </c>
      <c r="S3634" s="1" t="s">
        <v>42</v>
      </c>
      <c r="T3634" s="1" t="s">
        <v>170</v>
      </c>
      <c r="AA3634" s="1">
        <v>16905950</v>
      </c>
      <c r="AB3634" s="1" t="s">
        <v>2823</v>
      </c>
      <c r="AC3634" s="5">
        <v>43342</v>
      </c>
      <c r="AF3634" s="1">
        <v>10065</v>
      </c>
      <c r="AI3634" s="1" t="s">
        <v>48</v>
      </c>
      <c r="AJ3634" s="1">
        <v>2018</v>
      </c>
      <c r="AK3634" s="1" t="s">
        <v>46</v>
      </c>
      <c r="AL3634" s="1">
        <v>35</v>
      </c>
    </row>
    <row r="3635" spans="1:38" x14ac:dyDescent="0.2">
      <c r="A3635" s="2" t="str">
        <f>HYPERLINK("https://www.compass.com/listing/2351-adam-clayton-powell-jr-boulevard-unit-707-p-manhattan-ny-10030/720804627453025073/","2351 Adam Clayton Powell Jr Blvd, Unit 707/P")</f>
        <v>2351 Adam Clayton Powell Jr Blvd, Unit 707/P</v>
      </c>
      <c r="B3635" s="2" t="str">
        <f>HYPERLINK("https://www.compass.com/building/the-rennie-manhattan-ny/307439143554395509/","THE RENNIE")</f>
        <v>THE RENNIE</v>
      </c>
      <c r="C3635" s="1" t="s">
        <v>61</v>
      </c>
      <c r="D3635" s="1" t="s">
        <v>41</v>
      </c>
      <c r="E3635" s="3">
        <v>847500</v>
      </c>
      <c r="F3635" s="1">
        <v>1233.62445414847</v>
      </c>
      <c r="M3635" s="1">
        <v>687</v>
      </c>
      <c r="Q3635" s="1" t="s">
        <v>42</v>
      </c>
      <c r="S3635" s="1" t="s">
        <v>42</v>
      </c>
      <c r="T3635" s="1" t="s">
        <v>170</v>
      </c>
      <c r="AA3635" s="1">
        <v>847500</v>
      </c>
      <c r="AB3635" s="1" t="s">
        <v>2824</v>
      </c>
      <c r="AC3635" s="5">
        <v>44225</v>
      </c>
      <c r="AF3635" s="1">
        <v>10030</v>
      </c>
      <c r="AI3635" s="1" t="s">
        <v>45</v>
      </c>
      <c r="AJ3635" s="1">
        <v>2018</v>
      </c>
      <c r="AK3635" s="1" t="s">
        <v>49</v>
      </c>
      <c r="AL3635" s="1">
        <v>106</v>
      </c>
    </row>
    <row r="3636" spans="1:38" x14ac:dyDescent="0.2">
      <c r="A3636" s="2" t="str">
        <f>HYPERLINK("https://www.compass.com/listing/25-park-row-unit-28b-manhattan-ny-10038/724642419388454345/","25 Park Row, Unit 28B")</f>
        <v>25 Park Row, Unit 28B</v>
      </c>
      <c r="B3636" s="2" t="str">
        <f>HYPERLINK("https://www.compass.com/building/25-park-row-manhattan-ny-10038/292920743539264837/","25 Park Row")</f>
        <v>25 Park Row</v>
      </c>
      <c r="C3636" s="1" t="s">
        <v>117</v>
      </c>
      <c r="D3636" s="1" t="s">
        <v>41</v>
      </c>
      <c r="E3636" s="3">
        <v>2270000</v>
      </c>
      <c r="F3636" s="1">
        <v>2032.2291853178101</v>
      </c>
      <c r="M3636" s="4">
        <v>1117</v>
      </c>
      <c r="Q3636" s="1" t="s">
        <v>42</v>
      </c>
      <c r="S3636" s="1" t="s">
        <v>42</v>
      </c>
      <c r="T3636" s="1" t="s">
        <v>170</v>
      </c>
      <c r="AA3636" s="1">
        <v>2270000</v>
      </c>
      <c r="AB3636" s="1" t="s">
        <v>2825</v>
      </c>
      <c r="AC3636" s="5">
        <v>44053</v>
      </c>
      <c r="AF3636" s="1">
        <v>10038</v>
      </c>
      <c r="AI3636" s="1" t="s">
        <v>84</v>
      </c>
      <c r="AJ3636" s="1">
        <v>2019</v>
      </c>
      <c r="AK3636" s="1" t="s">
        <v>49</v>
      </c>
      <c r="AL3636" s="1">
        <v>110</v>
      </c>
    </row>
    <row r="3637" spans="1:38" x14ac:dyDescent="0.2">
      <c r="A3637" s="2" t="str">
        <f>HYPERLINK("https://www.compass.com/listing/200-east-95th-street-unit-3i-manhattan-ny-10128/724660340466691177/","200 E 95th St, Unit 3I")</f>
        <v>200 E 95th St, Unit 3I</v>
      </c>
      <c r="B3637" s="2" t="str">
        <f>HYPERLINK("https://www.compass.com/building/the-kent-manhattan-ny/282049801384650021/","The Kent")</f>
        <v>The Kent</v>
      </c>
      <c r="C3637" s="1" t="s">
        <v>115</v>
      </c>
      <c r="D3637" s="1" t="s">
        <v>41</v>
      </c>
      <c r="E3637" s="3">
        <v>339500</v>
      </c>
      <c r="F3637" s="1">
        <v>522.30769230769204</v>
      </c>
      <c r="M3637" s="1">
        <v>650</v>
      </c>
      <c r="Q3637" s="1" t="s">
        <v>42</v>
      </c>
      <c r="S3637" s="1" t="s">
        <v>42</v>
      </c>
      <c r="T3637" s="1" t="s">
        <v>170</v>
      </c>
      <c r="AA3637" s="1">
        <v>339500</v>
      </c>
      <c r="AB3637" s="1" t="s">
        <v>2826</v>
      </c>
      <c r="AC3637" s="5">
        <v>44230</v>
      </c>
      <c r="AF3637" s="1">
        <v>10128</v>
      </c>
      <c r="AJ3637" s="1">
        <v>2017</v>
      </c>
      <c r="AK3637" s="1" t="s">
        <v>46</v>
      </c>
      <c r="AL3637" s="1">
        <v>83</v>
      </c>
    </row>
    <row r="3638" spans="1:38" x14ac:dyDescent="0.2">
      <c r="A3638" s="2" t="str">
        <f>HYPERLINK("https://www.compass.com/listing/49-51-chambers-street-unit-11g-manhattan-ny-10007/731654768286512857/","49-51 Chambers St, Unit 11G")</f>
        <v>49-51 Chambers St, Unit 11G</v>
      </c>
      <c r="B3638" s="2" t="str">
        <f>HYPERLINK("https://www.compass.com/building/49-51-chambers-st-manhattan-ny-10007/441163040348878029/","49-51 Chambers St")</f>
        <v>49-51 Chambers St</v>
      </c>
      <c r="C3638" s="1" t="s">
        <v>956</v>
      </c>
      <c r="D3638" s="1" t="s">
        <v>41</v>
      </c>
      <c r="E3638" s="3">
        <v>1669930</v>
      </c>
      <c r="F3638" s="1">
        <v>1453.3768494342901</v>
      </c>
      <c r="M3638" s="4">
        <v>1149</v>
      </c>
      <c r="Q3638" s="1" t="s">
        <v>42</v>
      </c>
      <c r="S3638" s="1" t="s">
        <v>42</v>
      </c>
      <c r="T3638" s="1" t="s">
        <v>170</v>
      </c>
      <c r="AA3638" s="1">
        <v>1669930</v>
      </c>
      <c r="AB3638" s="1" t="s">
        <v>2827</v>
      </c>
      <c r="AC3638" s="5">
        <v>44246</v>
      </c>
      <c r="AF3638" s="1">
        <v>10007</v>
      </c>
    </row>
    <row r="3639" spans="1:38" x14ac:dyDescent="0.2">
      <c r="A3639" s="2" t="str">
        <f>HYPERLINK("https://www.compass.com/listing/15-west-61st-street-unit-4i-manhattan-ny-10023/731661354149072601/","15 W 61st St, Unit 4I")</f>
        <v>15 W 61st St, Unit 4I</v>
      </c>
      <c r="B3639" s="2" t="str">
        <f>HYPERLINK("https://www.compass.com/building/the-park-loggia-manhattan-ny/292861833130357557/","The Park Loggia")</f>
        <v>The Park Loggia</v>
      </c>
      <c r="C3639" s="1" t="s">
        <v>50</v>
      </c>
      <c r="D3639" s="1" t="s">
        <v>41</v>
      </c>
      <c r="E3639" s="3">
        <v>1662000</v>
      </c>
      <c r="F3639" s="1">
        <v>2207.1713147410301</v>
      </c>
      <c r="M3639" s="1">
        <v>753</v>
      </c>
      <c r="Q3639" s="1" t="s">
        <v>42</v>
      </c>
      <c r="S3639" s="1" t="s">
        <v>42</v>
      </c>
      <c r="T3639" s="1" t="s">
        <v>170</v>
      </c>
      <c r="AA3639" s="1">
        <v>1662000</v>
      </c>
      <c r="AB3639" s="1" t="s">
        <v>2828</v>
      </c>
      <c r="AC3639" s="5">
        <v>44243</v>
      </c>
      <c r="AF3639" s="1">
        <v>10023</v>
      </c>
      <c r="AI3639" s="1" t="s">
        <v>76</v>
      </c>
      <c r="AJ3639" s="1">
        <v>2019</v>
      </c>
      <c r="AK3639" s="1" t="s">
        <v>49</v>
      </c>
      <c r="AL3639" s="1">
        <v>172</v>
      </c>
    </row>
    <row r="3640" spans="1:38" x14ac:dyDescent="0.2">
      <c r="A3640" s="2" t="str">
        <f>HYPERLINK("https://www.compass.com/listing/49-51-chambers-street-unit-5a-manhattan-ny-10007/746815516181966849/","49-51 Chambers St, Unit 5A")</f>
        <v>49-51 Chambers St, Unit 5A</v>
      </c>
      <c r="B3640" s="2" t="str">
        <f t="shared" ref="B3640:B3641" si="444">HYPERLINK("https://www.compass.com/building/49-51-chambers-st-manhattan-ny-10007/441163040348878029/","49-51 Chambers St")</f>
        <v>49-51 Chambers St</v>
      </c>
      <c r="C3640" s="1" t="s">
        <v>956</v>
      </c>
      <c r="D3640" s="1" t="s">
        <v>41</v>
      </c>
      <c r="E3640" s="3">
        <v>2800000</v>
      </c>
      <c r="F3640" s="1">
        <v>1522.5666122892801</v>
      </c>
      <c r="M3640" s="4">
        <v>1839</v>
      </c>
      <c r="Q3640" s="1" t="s">
        <v>42</v>
      </c>
      <c r="S3640" s="1" t="s">
        <v>42</v>
      </c>
      <c r="T3640" s="1" t="s">
        <v>170</v>
      </c>
      <c r="AA3640" s="1">
        <v>2800000</v>
      </c>
      <c r="AB3640" s="1" t="s">
        <v>2829</v>
      </c>
      <c r="AC3640" s="5">
        <v>44253</v>
      </c>
      <c r="AF3640" s="1">
        <v>10007</v>
      </c>
    </row>
    <row r="3641" spans="1:38" x14ac:dyDescent="0.2">
      <c r="A3641" s="2" t="str">
        <f>HYPERLINK("https://www.compass.com/listing/49-51-chambers-street-unit-15d-manhattan-ny-10007/746815596032976001/","49-51 Chambers St, Unit 15D")</f>
        <v>49-51 Chambers St, Unit 15D</v>
      </c>
      <c r="B3641" s="2" t="str">
        <f t="shared" si="444"/>
        <v>49-51 Chambers St</v>
      </c>
      <c r="C3641" s="1" t="s">
        <v>956</v>
      </c>
      <c r="D3641" s="1" t="s">
        <v>41</v>
      </c>
      <c r="E3641" s="3">
        <v>3300000</v>
      </c>
      <c r="F3641" s="1">
        <v>1462.7659574468</v>
      </c>
      <c r="M3641" s="4">
        <v>2256</v>
      </c>
      <c r="Q3641" s="1" t="s">
        <v>42</v>
      </c>
      <c r="S3641" s="1" t="s">
        <v>42</v>
      </c>
      <c r="T3641" s="1" t="s">
        <v>170</v>
      </c>
      <c r="AA3641" s="1">
        <v>3300000</v>
      </c>
      <c r="AB3641" s="1" t="s">
        <v>2830</v>
      </c>
      <c r="AC3641" s="5">
        <v>44229</v>
      </c>
      <c r="AF3641" s="1">
        <v>10007</v>
      </c>
    </row>
    <row r="3642" spans="1:38" x14ac:dyDescent="0.2">
      <c r="A3642" s="2" t="str">
        <f>HYPERLINK("https://www.compass.com/listing/200-east-95th-street-unit-4k-manhattan-ny-10128/746815635367311217/","200 E 95th St, Unit 4K")</f>
        <v>200 E 95th St, Unit 4K</v>
      </c>
      <c r="B3642" s="2" t="str">
        <f>HYPERLINK("https://www.compass.com/building/the-kent-manhattan-ny/282049801384650021/","The Kent")</f>
        <v>The Kent</v>
      </c>
      <c r="C3642" s="1" t="s">
        <v>115</v>
      </c>
      <c r="D3642" s="1" t="s">
        <v>41</v>
      </c>
      <c r="E3642" s="3">
        <v>356700</v>
      </c>
      <c r="F3642" s="1">
        <v>680.72519083969405</v>
      </c>
      <c r="M3642" s="1">
        <v>524</v>
      </c>
      <c r="Q3642" s="1" t="s">
        <v>42</v>
      </c>
      <c r="S3642" s="1" t="s">
        <v>42</v>
      </c>
      <c r="T3642" s="1" t="s">
        <v>170</v>
      </c>
      <c r="AA3642" s="1">
        <v>356700</v>
      </c>
      <c r="AB3642" s="1" t="s">
        <v>2831</v>
      </c>
      <c r="AC3642" s="5">
        <v>44271</v>
      </c>
      <c r="AF3642" s="1">
        <v>10128</v>
      </c>
      <c r="AJ3642" s="1">
        <v>2017</v>
      </c>
      <c r="AK3642" s="1" t="s">
        <v>46</v>
      </c>
      <c r="AL3642" s="1">
        <v>83</v>
      </c>
    </row>
    <row r="3643" spans="1:38" x14ac:dyDescent="0.2">
      <c r="A3643" s="2" t="str">
        <f>HYPERLINK("https://www.compass.com/listing/252-south-street-unit-10c-manhattan-ny-10002/746815788207684217/","252 South St, Unit 10C")</f>
        <v>252 South St, Unit 10C</v>
      </c>
      <c r="B3643" s="2" t="str">
        <f>HYPERLINK("https://www.compass.com/building/one-manhattan-square-manhattan-ny/294844950218926165/","One Manhattan Square")</f>
        <v>One Manhattan Square</v>
      </c>
      <c r="C3643" s="1" t="s">
        <v>66</v>
      </c>
      <c r="D3643" s="1" t="s">
        <v>41</v>
      </c>
      <c r="E3643" s="3">
        <v>1225900</v>
      </c>
      <c r="F3643" s="1">
        <v>1763.88489208633</v>
      </c>
      <c r="H3643" s="1">
        <v>1</v>
      </c>
      <c r="J3643" s="1">
        <v>1</v>
      </c>
      <c r="K3643" s="1">
        <v>1</v>
      </c>
      <c r="M3643" s="1">
        <v>695</v>
      </c>
      <c r="N3643" s="1">
        <v>752.49</v>
      </c>
      <c r="O3643" s="1">
        <v>764.49</v>
      </c>
      <c r="P3643" s="1">
        <v>12</v>
      </c>
      <c r="Q3643" s="1" t="s">
        <v>42</v>
      </c>
      <c r="S3643" s="1" t="s">
        <v>42</v>
      </c>
      <c r="T3643" s="1" t="s">
        <v>170</v>
      </c>
      <c r="AA3643" s="1">
        <v>1225900</v>
      </c>
      <c r="AB3643" s="1" t="s">
        <v>2832</v>
      </c>
      <c r="AC3643" s="5">
        <v>44267</v>
      </c>
      <c r="AF3643" s="1">
        <v>10002</v>
      </c>
      <c r="AI3643" s="1" t="s">
        <v>55</v>
      </c>
      <c r="AJ3643" s="1">
        <v>2019</v>
      </c>
      <c r="AK3643" s="1" t="s">
        <v>46</v>
      </c>
      <c r="AL3643" s="1">
        <v>787</v>
      </c>
    </row>
    <row r="3644" spans="1:38" x14ac:dyDescent="0.2">
      <c r="A3644" s="2" t="str">
        <f>HYPERLINK("https://www.compass.com/listing/15-west-61st-street-unit-4e-manhattan-ny-10023/750022625575173513/","15 W 61st St, Unit 4E")</f>
        <v>15 W 61st St, Unit 4E</v>
      </c>
      <c r="B3644" s="2" t="str">
        <f>HYPERLINK("https://www.compass.com/building/the-park-loggia-manhattan-ny/292861833130357557/","The Park Loggia")</f>
        <v>The Park Loggia</v>
      </c>
      <c r="C3644" s="1" t="s">
        <v>50</v>
      </c>
      <c r="D3644" s="1" t="s">
        <v>41</v>
      </c>
      <c r="E3644" s="3">
        <v>1329251</v>
      </c>
      <c r="F3644" s="1">
        <v>1699.8093350383599</v>
      </c>
      <c r="G3644" s="1">
        <v>3</v>
      </c>
      <c r="H3644" s="1">
        <v>1</v>
      </c>
      <c r="I3644" s="1">
        <v>1</v>
      </c>
      <c r="J3644" s="1">
        <v>1</v>
      </c>
      <c r="K3644" s="1">
        <v>1</v>
      </c>
      <c r="M3644" s="1">
        <v>782</v>
      </c>
      <c r="N3644" s="1">
        <v>795</v>
      </c>
      <c r="O3644" s="1">
        <v>1594</v>
      </c>
      <c r="P3644" s="1">
        <v>799</v>
      </c>
      <c r="Q3644" s="1" t="s">
        <v>42</v>
      </c>
      <c r="S3644" s="1" t="s">
        <v>42</v>
      </c>
      <c r="T3644" s="1" t="s">
        <v>170</v>
      </c>
      <c r="V3644" s="5">
        <v>44287</v>
      </c>
      <c r="AA3644" s="1">
        <v>1329250.8999999999</v>
      </c>
      <c r="AB3644" s="1" t="s">
        <v>2833</v>
      </c>
      <c r="AC3644" s="5">
        <v>44277</v>
      </c>
      <c r="AF3644" s="1">
        <v>10023</v>
      </c>
      <c r="AI3644" s="1" t="s">
        <v>76</v>
      </c>
      <c r="AJ3644" s="1">
        <v>2019</v>
      </c>
      <c r="AK3644" s="1" t="s">
        <v>77</v>
      </c>
      <c r="AL3644" s="1">
        <v>172</v>
      </c>
    </row>
    <row r="3645" spans="1:38" x14ac:dyDescent="0.2">
      <c r="A3645" s="2" t="str">
        <f>HYPERLINK("https://www.compass.com/listing/225-east-19th-street-unit-805-manhattan-ny-10003/75044669771258289/","225 E 19th St, Unit 805")</f>
        <v>225 E 19th St, Unit 805</v>
      </c>
      <c r="B3645" s="2" t="str">
        <f>HYPERLINK("https://www.compass.com/building/the-prewar-at-gramercy-square-manhattan-ny/282059248584654437/","The Prewar at Gramercy Square")</f>
        <v>The Prewar at Gramercy Square</v>
      </c>
      <c r="C3645" s="1" t="s">
        <v>54</v>
      </c>
      <c r="D3645" s="1" t="s">
        <v>41</v>
      </c>
      <c r="E3645" s="3">
        <v>1600000</v>
      </c>
      <c r="F3645" s="1">
        <v>2302.1582733812902</v>
      </c>
      <c r="M3645" s="1">
        <v>695</v>
      </c>
      <c r="Q3645" s="1" t="s">
        <v>42</v>
      </c>
      <c r="S3645" s="1" t="s">
        <v>42</v>
      </c>
      <c r="T3645" s="1" t="s">
        <v>170</v>
      </c>
      <c r="AA3645" s="1">
        <v>1600000</v>
      </c>
      <c r="AB3645" s="1" t="s">
        <v>2834</v>
      </c>
      <c r="AC3645" s="5">
        <v>43342</v>
      </c>
      <c r="AF3645" s="1">
        <v>10003</v>
      </c>
      <c r="AI3645" s="1" t="s">
        <v>76</v>
      </c>
      <c r="AJ3645" s="1">
        <v>1920</v>
      </c>
      <c r="AK3645" s="1" t="s">
        <v>46</v>
      </c>
      <c r="AL3645" s="1">
        <v>48</v>
      </c>
    </row>
    <row r="3646" spans="1:38" x14ac:dyDescent="0.2">
      <c r="A3646" s="2" t="str">
        <f>HYPERLINK("https://www.compass.com/listing/200-east-95th-street-unit-4h-manhattan-ny-10128/751884566307394057/","200 E 95th St, Unit 4H")</f>
        <v>200 E 95th St, Unit 4H</v>
      </c>
      <c r="B3646" s="2" t="str">
        <f>HYPERLINK("https://www.compass.com/building/the-kent-manhattan-ny/282049801384650021/","The Kent")</f>
        <v>The Kent</v>
      </c>
      <c r="C3646" s="1" t="s">
        <v>115</v>
      </c>
      <c r="D3646" s="1" t="s">
        <v>41</v>
      </c>
      <c r="E3646" s="3">
        <v>372600</v>
      </c>
      <c r="F3646" s="1">
        <v>844.89795918367304</v>
      </c>
      <c r="M3646" s="1">
        <v>441</v>
      </c>
      <c r="Q3646" s="1" t="s">
        <v>42</v>
      </c>
      <c r="S3646" s="1" t="s">
        <v>42</v>
      </c>
      <c r="T3646" s="1" t="s">
        <v>170</v>
      </c>
      <c r="AA3646" s="1">
        <v>372600</v>
      </c>
      <c r="AB3646" s="1" t="s">
        <v>2835</v>
      </c>
      <c r="AC3646" s="5">
        <v>44271</v>
      </c>
      <c r="AF3646" s="1">
        <v>10128</v>
      </c>
      <c r="AJ3646" s="1">
        <v>2017</v>
      </c>
      <c r="AK3646" s="1" t="s">
        <v>46</v>
      </c>
      <c r="AL3646" s="1">
        <v>83</v>
      </c>
    </row>
    <row r="3647" spans="1:38" x14ac:dyDescent="0.2">
      <c r="A3647" s="2" t="str">
        <f>HYPERLINK("https://www.compass.com/listing/49-51-chambers-street-unit-10f-manhattan-ny-10007/756229363024019481/","49-51 Chambers St, Unit 10F")</f>
        <v>49-51 Chambers St, Unit 10F</v>
      </c>
      <c r="B3647" s="2" t="str">
        <f>HYPERLINK("https://www.compass.com/building/49-51-chambers-st-manhattan-ny-10007/441163040348878029/","49-51 Chambers St")</f>
        <v>49-51 Chambers St</v>
      </c>
      <c r="C3647" s="1" t="s">
        <v>956</v>
      </c>
      <c r="D3647" s="1" t="s">
        <v>41</v>
      </c>
      <c r="E3647" s="3">
        <v>1500000</v>
      </c>
      <c r="F3647" s="1">
        <v>1549.5867768595001</v>
      </c>
      <c r="M3647" s="1">
        <v>968</v>
      </c>
      <c r="Q3647" s="1" t="s">
        <v>42</v>
      </c>
      <c r="S3647" s="1" t="s">
        <v>42</v>
      </c>
      <c r="T3647" s="1" t="s">
        <v>170</v>
      </c>
      <c r="AA3647" s="1">
        <v>1500000</v>
      </c>
      <c r="AB3647" s="1" t="s">
        <v>2836</v>
      </c>
      <c r="AC3647" s="5">
        <v>44281</v>
      </c>
      <c r="AF3647" s="1">
        <v>10007</v>
      </c>
    </row>
    <row r="3648" spans="1:38" x14ac:dyDescent="0.2">
      <c r="A3648" s="2" t="str">
        <f>HYPERLINK("https://www.compass.com/listing/15-west-61st-street-unit-5e-manhattan-ny-10023/761297089786079865/","15 W 61st St, Unit 5E")</f>
        <v>15 W 61st St, Unit 5E</v>
      </c>
      <c r="B3648" s="2" t="str">
        <f>HYPERLINK("https://www.compass.com/building/the-park-loggia-manhattan-ny/292861833130357557/","The Park Loggia")</f>
        <v>The Park Loggia</v>
      </c>
      <c r="C3648" s="1" t="s">
        <v>50</v>
      </c>
      <c r="D3648" s="1" t="s">
        <v>41</v>
      </c>
      <c r="E3648" s="3">
        <v>930290</v>
      </c>
      <c r="F3648" s="1">
        <v>1879.3735353535301</v>
      </c>
      <c r="M3648" s="1">
        <v>495</v>
      </c>
      <c r="Q3648" s="1" t="s">
        <v>42</v>
      </c>
      <c r="S3648" s="1" t="s">
        <v>42</v>
      </c>
      <c r="T3648" s="1" t="s">
        <v>170</v>
      </c>
      <c r="AA3648" s="1">
        <v>930289.9</v>
      </c>
      <c r="AB3648" s="1" t="s">
        <v>2837</v>
      </c>
      <c r="AC3648" s="5">
        <v>44286</v>
      </c>
      <c r="AF3648" s="1">
        <v>10023</v>
      </c>
      <c r="AI3648" s="1" t="s">
        <v>76</v>
      </c>
      <c r="AJ3648" s="1">
        <v>2019</v>
      </c>
      <c r="AK3648" s="1" t="s">
        <v>49</v>
      </c>
      <c r="AL3648" s="1">
        <v>172</v>
      </c>
    </row>
    <row r="3649" spans="1:38" x14ac:dyDescent="0.2">
      <c r="A3649" s="2" t="str">
        <f>HYPERLINK("https://www.compass.com/listing/277-5th-avenue-unit-26c-manhattan-ny-10016/762046051931227497/","277 5th Ave, Unit 26C")</f>
        <v>277 5th Ave, Unit 26C</v>
      </c>
      <c r="B3649" s="2" t="str">
        <f>HYPERLINK("https://www.compass.com/building/277-fifth-avenue-manhattan-ny/281939285475645317/","277 FIFTH AVENUE")</f>
        <v>277 FIFTH AVENUE</v>
      </c>
      <c r="C3649" s="1" t="s">
        <v>81</v>
      </c>
      <c r="D3649" s="1" t="s">
        <v>41</v>
      </c>
      <c r="E3649" s="3">
        <v>1796300</v>
      </c>
      <c r="F3649" s="1">
        <v>2169.4444444444398</v>
      </c>
      <c r="M3649" s="1">
        <v>828</v>
      </c>
      <c r="Q3649" s="1" t="s">
        <v>42</v>
      </c>
      <c r="S3649" s="1" t="s">
        <v>42</v>
      </c>
      <c r="T3649" s="1" t="s">
        <v>170</v>
      </c>
      <c r="AA3649" s="1">
        <v>1796300</v>
      </c>
      <c r="AB3649" s="1" t="s">
        <v>2838</v>
      </c>
      <c r="AC3649" s="5">
        <v>44286</v>
      </c>
      <c r="AF3649" s="1">
        <v>10016</v>
      </c>
      <c r="AI3649" s="1" t="s">
        <v>82</v>
      </c>
      <c r="AJ3649" s="1">
        <v>2019</v>
      </c>
      <c r="AK3649" s="1" t="s">
        <v>46</v>
      </c>
      <c r="AL3649" s="1">
        <v>130</v>
      </c>
    </row>
    <row r="3650" spans="1:38" x14ac:dyDescent="0.2">
      <c r="A3650" s="2" t="str">
        <f>HYPERLINK("https://www.compass.com/listing/2351-adam-clayton-powell-jr-boulevard-unit-314-manhattan-ny-10030/764935627949382369/","2351 Adam Clayton Powell Jr Blvd, Unit 314")</f>
        <v>2351 Adam Clayton Powell Jr Blvd, Unit 314</v>
      </c>
      <c r="B3650" s="2" t="str">
        <f>HYPERLINK("https://www.compass.com/building/the-rennie-manhattan-ny/307439143554395509/","THE RENNIE")</f>
        <v>THE RENNIE</v>
      </c>
      <c r="C3650" s="1" t="s">
        <v>61</v>
      </c>
      <c r="D3650" s="1" t="s">
        <v>41</v>
      </c>
      <c r="E3650" s="3">
        <v>320000</v>
      </c>
      <c r="F3650" s="1">
        <v>354.37430786267902</v>
      </c>
      <c r="M3650" s="1">
        <v>903</v>
      </c>
      <c r="Q3650" s="1" t="s">
        <v>42</v>
      </c>
      <c r="S3650" s="1" t="s">
        <v>42</v>
      </c>
      <c r="T3650" s="1" t="s">
        <v>170</v>
      </c>
      <c r="AA3650" s="1">
        <v>320000</v>
      </c>
      <c r="AB3650" s="1" t="s">
        <v>2839</v>
      </c>
      <c r="AC3650" s="5">
        <v>44287</v>
      </c>
      <c r="AF3650" s="1">
        <v>10030</v>
      </c>
      <c r="AI3650" s="1" t="s">
        <v>45</v>
      </c>
      <c r="AJ3650" s="1">
        <v>2018</v>
      </c>
      <c r="AK3650" s="1" t="s">
        <v>49</v>
      </c>
      <c r="AL3650" s="1">
        <v>106</v>
      </c>
    </row>
    <row r="3651" spans="1:38" x14ac:dyDescent="0.2">
      <c r="A3651" s="2" t="str">
        <f>HYPERLINK("https://www.compass.com/listing/15-west-61st-street-unit-4f-manhattan-ny-10023/765647688698026585/","15 W 61st St, Unit 4F")</f>
        <v>15 W 61st St, Unit 4F</v>
      </c>
      <c r="B3651" s="2" t="str">
        <f>HYPERLINK("https://www.compass.com/building/the-park-loggia-manhattan-ny/292861833130357557/","The Park Loggia")</f>
        <v>The Park Loggia</v>
      </c>
      <c r="C3651" s="1" t="s">
        <v>50</v>
      </c>
      <c r="D3651" s="1" t="s">
        <v>41</v>
      </c>
      <c r="E3651" s="3">
        <v>921308</v>
      </c>
      <c r="F3651" s="1">
        <v>1861.2290505050501</v>
      </c>
      <c r="M3651" s="1">
        <v>495</v>
      </c>
      <c r="Q3651" s="1" t="s">
        <v>42</v>
      </c>
      <c r="S3651" s="1" t="s">
        <v>42</v>
      </c>
      <c r="T3651" s="1" t="s">
        <v>170</v>
      </c>
      <c r="AA3651" s="1">
        <v>921308.38</v>
      </c>
      <c r="AB3651" s="1" t="s">
        <v>2840</v>
      </c>
      <c r="AC3651" s="5">
        <v>44286</v>
      </c>
      <c r="AF3651" s="1">
        <v>10023</v>
      </c>
      <c r="AI3651" s="1" t="s">
        <v>76</v>
      </c>
      <c r="AJ3651" s="1">
        <v>2019</v>
      </c>
      <c r="AK3651" s="1" t="s">
        <v>49</v>
      </c>
      <c r="AL3651" s="1">
        <v>172</v>
      </c>
    </row>
    <row r="3652" spans="1:38" x14ac:dyDescent="0.2">
      <c r="A3652" s="2" t="str">
        <f>HYPERLINK("https://www.compass.com/listing/49-51-chambers-street-unit-12g-manhattan-ny-10007/769297402662431449/","49-51 Chambers St, Unit 12G")</f>
        <v>49-51 Chambers St, Unit 12G</v>
      </c>
      <c r="B3652" s="2" t="str">
        <f t="shared" ref="B3652:B3653" si="445">HYPERLINK("https://www.compass.com/building/49-51-chambers-st-manhattan-ny-10007/441163040348878029/","49-51 Chambers St")</f>
        <v>49-51 Chambers St</v>
      </c>
      <c r="C3652" s="1" t="s">
        <v>956</v>
      </c>
      <c r="D3652" s="1" t="s">
        <v>41</v>
      </c>
      <c r="E3652" s="3">
        <v>1650000</v>
      </c>
      <c r="F3652" s="1">
        <v>1436.0313315926801</v>
      </c>
      <c r="M3652" s="4">
        <v>1149</v>
      </c>
      <c r="Q3652" s="1" t="s">
        <v>42</v>
      </c>
      <c r="S3652" s="1" t="s">
        <v>42</v>
      </c>
      <c r="T3652" s="1" t="s">
        <v>170</v>
      </c>
      <c r="AA3652" s="1">
        <v>1650000</v>
      </c>
      <c r="AB3652" s="1" t="s">
        <v>2841</v>
      </c>
      <c r="AC3652" s="5">
        <v>44291</v>
      </c>
      <c r="AF3652" s="1">
        <v>10007</v>
      </c>
    </row>
    <row r="3653" spans="1:38" x14ac:dyDescent="0.2">
      <c r="A3653" s="2" t="str">
        <f>HYPERLINK("https://www.compass.com/listing/49-51-chambers-street-unit-14b-manhattan-ny-10007/770015964474523553/","49-51 Chambers St, Unit 14B")</f>
        <v>49-51 Chambers St, Unit 14B</v>
      </c>
      <c r="B3653" s="2" t="str">
        <f t="shared" si="445"/>
        <v>49-51 Chambers St</v>
      </c>
      <c r="C3653" s="1" t="s">
        <v>956</v>
      </c>
      <c r="D3653" s="1" t="s">
        <v>41</v>
      </c>
      <c r="E3653" s="3">
        <v>2800000</v>
      </c>
      <c r="F3653" s="1">
        <v>1600</v>
      </c>
      <c r="M3653" s="4">
        <v>1750</v>
      </c>
      <c r="Q3653" s="1" t="s">
        <v>42</v>
      </c>
      <c r="S3653" s="1" t="s">
        <v>42</v>
      </c>
      <c r="T3653" s="1" t="s">
        <v>170</v>
      </c>
      <c r="AA3653" s="1">
        <v>2800000</v>
      </c>
      <c r="AB3653" s="1" t="s">
        <v>2842</v>
      </c>
      <c r="AC3653" s="5">
        <v>44299</v>
      </c>
      <c r="AF3653" s="1">
        <v>10007</v>
      </c>
    </row>
    <row r="3654" spans="1:38" x14ac:dyDescent="0.2">
      <c r="A3654" s="2" t="str">
        <f>HYPERLINK("https://www.compass.com/listing/2351-adam-clayton-powell-jr-boulevard-unit-414-manhattan-ny-10030/771472529313466393/","2351 Adam Clayton Powell Jr Blvd, Unit 414")</f>
        <v>2351 Adam Clayton Powell Jr Blvd, Unit 414</v>
      </c>
      <c r="B3654" s="2" t="str">
        <f>HYPERLINK("https://www.compass.com/building/the-rennie-manhattan-ny/307439143554395509/","THE RENNIE")</f>
        <v>THE RENNIE</v>
      </c>
      <c r="C3654" s="1" t="s">
        <v>61</v>
      </c>
      <c r="D3654" s="1" t="s">
        <v>41</v>
      </c>
      <c r="E3654" s="3">
        <v>320000</v>
      </c>
      <c r="F3654" s="1">
        <v>354.37430786267902</v>
      </c>
      <c r="M3654" s="1">
        <v>903</v>
      </c>
      <c r="Q3654" s="1" t="s">
        <v>42</v>
      </c>
      <c r="S3654" s="1" t="s">
        <v>42</v>
      </c>
      <c r="T3654" s="1" t="s">
        <v>170</v>
      </c>
      <c r="AA3654" s="1">
        <v>320000</v>
      </c>
      <c r="AB3654" s="1" t="s">
        <v>2843</v>
      </c>
      <c r="AC3654" s="5">
        <v>44292</v>
      </c>
      <c r="AF3654" s="1">
        <v>10030</v>
      </c>
      <c r="AI3654" s="1" t="s">
        <v>45</v>
      </c>
      <c r="AJ3654" s="1">
        <v>2018</v>
      </c>
      <c r="AK3654" s="1" t="s">
        <v>49</v>
      </c>
      <c r="AL3654" s="1">
        <v>106</v>
      </c>
    </row>
    <row r="3655" spans="1:38" x14ac:dyDescent="0.2">
      <c r="A3655" s="2" t="str">
        <f>HYPERLINK("https://www.compass.com/listing/49-51-chambers-street-unit-15g-manhattan-ny-10007/774347650009433401/","49-51 Chambers St, Unit 15G")</f>
        <v>49-51 Chambers St, Unit 15G</v>
      </c>
      <c r="B3655" s="2" t="str">
        <f t="shared" ref="B3655:B3657" si="446">HYPERLINK("https://www.compass.com/building/49-51-chambers-st-manhattan-ny-10007/441163040348878029/","49-51 Chambers St")</f>
        <v>49-51 Chambers St</v>
      </c>
      <c r="C3655" s="1" t="s">
        <v>956</v>
      </c>
      <c r="D3655" s="1" t="s">
        <v>41</v>
      </c>
      <c r="E3655" s="3">
        <v>1750000</v>
      </c>
      <c r="F3655" s="1">
        <v>1523.06353350739</v>
      </c>
      <c r="M3655" s="4">
        <v>1149</v>
      </c>
      <c r="Q3655" s="1" t="s">
        <v>42</v>
      </c>
      <c r="S3655" s="1" t="s">
        <v>42</v>
      </c>
      <c r="T3655" s="1" t="s">
        <v>170</v>
      </c>
      <c r="AA3655" s="1">
        <v>1750000</v>
      </c>
      <c r="AB3655" s="1" t="s">
        <v>2844</v>
      </c>
      <c r="AC3655" s="5">
        <v>44295</v>
      </c>
      <c r="AF3655" s="1">
        <v>10007</v>
      </c>
    </row>
    <row r="3656" spans="1:38" x14ac:dyDescent="0.2">
      <c r="A3656" s="2" t="str">
        <f>HYPERLINK("https://www.compass.com/listing/49-51-chambers-street-unit-6d-manhattan-ny-10007/774347771439004009/","49-51 Chambers St, Unit 6D")</f>
        <v>49-51 Chambers St, Unit 6D</v>
      </c>
      <c r="B3656" s="2" t="str">
        <f t="shared" si="446"/>
        <v>49-51 Chambers St</v>
      </c>
      <c r="C3656" s="1" t="s">
        <v>956</v>
      </c>
      <c r="D3656" s="1" t="s">
        <v>41</v>
      </c>
      <c r="E3656" s="3">
        <v>3200000</v>
      </c>
      <c r="F3656" s="1">
        <v>1418.43971631205</v>
      </c>
      <c r="M3656" s="4">
        <v>2256</v>
      </c>
      <c r="Q3656" s="1" t="s">
        <v>42</v>
      </c>
      <c r="S3656" s="1" t="s">
        <v>42</v>
      </c>
      <c r="T3656" s="1" t="s">
        <v>170</v>
      </c>
      <c r="AA3656" s="1">
        <v>3200000</v>
      </c>
      <c r="AB3656" s="1" t="s">
        <v>2845</v>
      </c>
      <c r="AC3656" s="5">
        <v>44302</v>
      </c>
      <c r="AF3656" s="1">
        <v>10007</v>
      </c>
    </row>
    <row r="3657" spans="1:38" x14ac:dyDescent="0.2">
      <c r="A3657" s="2" t="str">
        <f>HYPERLINK("https://www.compass.com/listing/49-51-chambers-street-unit-phc-manhattan-ny-10007/775804363144915505/","49-51 Chambers St, Unit PHC")</f>
        <v>49-51 Chambers St, Unit PHC</v>
      </c>
      <c r="B3657" s="2" t="str">
        <f t="shared" si="446"/>
        <v>49-51 Chambers St</v>
      </c>
      <c r="C3657" s="1" t="s">
        <v>956</v>
      </c>
      <c r="D3657" s="1" t="s">
        <v>41</v>
      </c>
      <c r="E3657" s="3">
        <v>4750000</v>
      </c>
      <c r="F3657" s="1">
        <v>1589.1602542656401</v>
      </c>
      <c r="M3657" s="4">
        <v>2989</v>
      </c>
      <c r="Q3657" s="1" t="s">
        <v>42</v>
      </c>
      <c r="S3657" s="1" t="s">
        <v>42</v>
      </c>
      <c r="T3657" s="1" t="s">
        <v>170</v>
      </c>
      <c r="AA3657" s="1">
        <v>4750000</v>
      </c>
      <c r="AB3657" s="1" t="s">
        <v>2846</v>
      </c>
      <c r="AC3657" s="5">
        <v>44211</v>
      </c>
      <c r="AF3657" s="1">
        <v>10007</v>
      </c>
    </row>
    <row r="3658" spans="1:38" x14ac:dyDescent="0.2">
      <c r="A3658" s="2" t="str">
        <f>HYPERLINK("https://www.compass.com/listing/121-east-22nd-street-unit-n702-manhattan-ny-10010/779422544095591081/","121 E 22nd St, Unit N702")</f>
        <v>121 E 22nd St, Unit N702</v>
      </c>
      <c r="B3658" s="2" t="str">
        <f>HYPERLINK("https://www.compass.com/building/121-e-22nd-manhattan-ny/292795784653461493/","121 E 22nd")</f>
        <v>121 E 22nd</v>
      </c>
      <c r="C3658" s="1" t="s">
        <v>54</v>
      </c>
      <c r="D3658" s="1" t="s">
        <v>41</v>
      </c>
      <c r="E3658" s="3">
        <v>2990000</v>
      </c>
      <c r="F3658" s="1">
        <v>1786.1409796893599</v>
      </c>
      <c r="M3658" s="4">
        <v>1674</v>
      </c>
      <c r="Q3658" s="1" t="s">
        <v>42</v>
      </c>
      <c r="S3658" s="1" t="s">
        <v>42</v>
      </c>
      <c r="T3658" s="1" t="s">
        <v>170</v>
      </c>
      <c r="AA3658" s="1">
        <v>2990000</v>
      </c>
      <c r="AB3658" s="1" t="s">
        <v>2847</v>
      </c>
      <c r="AC3658" s="5">
        <v>44306</v>
      </c>
      <c r="AF3658" s="1">
        <v>10010</v>
      </c>
      <c r="AI3658" s="1" t="s">
        <v>55</v>
      </c>
      <c r="AJ3658" s="1">
        <v>2016</v>
      </c>
      <c r="AK3658" s="1" t="s">
        <v>49</v>
      </c>
      <c r="AL3658" s="1">
        <v>140</v>
      </c>
    </row>
    <row r="3659" spans="1:38" x14ac:dyDescent="0.2">
      <c r="A3659" s="2" t="str">
        <f>HYPERLINK("https://www.compass.com/listing/551-main-street-unit-908-manhattan-ny-10044/780142536491340233/","551 Main St, Unit 908")</f>
        <v>551 Main St, Unit 908</v>
      </c>
      <c r="B3659" s="2" t="str">
        <f>HYPERLINK("https://www.compass.com/building/island-house-manhattan-ny/282059863998105557/","Island House")</f>
        <v>Island House</v>
      </c>
      <c r="C3659" s="1" t="s">
        <v>128</v>
      </c>
      <c r="D3659" s="1" t="s">
        <v>41</v>
      </c>
      <c r="E3659" s="3">
        <v>448103</v>
      </c>
      <c r="Q3659" s="1" t="s">
        <v>129</v>
      </c>
      <c r="S3659" s="1" t="s">
        <v>129</v>
      </c>
      <c r="T3659" s="1" t="s">
        <v>170</v>
      </c>
      <c r="AA3659" s="1">
        <v>448102.68</v>
      </c>
      <c r="AB3659" s="1" t="s">
        <v>2848</v>
      </c>
      <c r="AC3659" s="5">
        <v>44284</v>
      </c>
      <c r="AF3659" s="1">
        <v>10044</v>
      </c>
      <c r="AJ3659" s="1">
        <v>1975</v>
      </c>
      <c r="AL3659" s="1">
        <v>400</v>
      </c>
    </row>
    <row r="3660" spans="1:38" x14ac:dyDescent="0.2">
      <c r="A3660" s="2" t="str">
        <f>HYPERLINK("https://www.compass.com/listing/15-west-61st-street-unit-6e-manhattan-ny-10023/780885221533079689/","15 W 61st St, Unit 6E")</f>
        <v>15 W 61st St, Unit 6E</v>
      </c>
      <c r="B3660" s="2" t="str">
        <f>HYPERLINK("https://www.compass.com/building/the-park-loggia-manhattan-ny/292861833130357557/","The Park Loggia")</f>
        <v>The Park Loggia</v>
      </c>
      <c r="C3660" s="1" t="s">
        <v>50</v>
      </c>
      <c r="D3660" s="1" t="s">
        <v>41</v>
      </c>
      <c r="E3660" s="3">
        <v>1390000</v>
      </c>
      <c r="F3660" s="1">
        <v>1777.4936061380999</v>
      </c>
      <c r="M3660" s="1">
        <v>782</v>
      </c>
      <c r="Q3660" s="1" t="s">
        <v>42</v>
      </c>
      <c r="S3660" s="1" t="s">
        <v>42</v>
      </c>
      <c r="T3660" s="1" t="s">
        <v>170</v>
      </c>
      <c r="AA3660" s="1">
        <v>1390000</v>
      </c>
      <c r="AB3660" s="1" t="s">
        <v>2849</v>
      </c>
      <c r="AC3660" s="5">
        <v>44308</v>
      </c>
      <c r="AF3660" s="1">
        <v>10023</v>
      </c>
      <c r="AI3660" s="1" t="s">
        <v>76</v>
      </c>
      <c r="AJ3660" s="1">
        <v>2019</v>
      </c>
      <c r="AK3660" s="1" t="s">
        <v>49</v>
      </c>
      <c r="AL3660" s="1">
        <v>172</v>
      </c>
    </row>
    <row r="3661" spans="1:38" x14ac:dyDescent="0.2">
      <c r="A3661" s="2" t="str">
        <f>HYPERLINK("https://www.compass.com/listing/252-south-street-unit-43g-manhattan-ny-10002/791024942903583209/","252 South St, Unit 43G")</f>
        <v>252 South St, Unit 43G</v>
      </c>
      <c r="B3661" s="2" t="str">
        <f>HYPERLINK("https://www.compass.com/building/one-manhattan-square-manhattan-ny/294844950218926165/","One Manhattan Square")</f>
        <v>One Manhattan Square</v>
      </c>
      <c r="C3661" s="1" t="s">
        <v>66</v>
      </c>
      <c r="D3661" s="1" t="s">
        <v>41</v>
      </c>
      <c r="E3661" s="3">
        <v>2335793</v>
      </c>
      <c r="F3661" s="1">
        <v>2020.5817474048399</v>
      </c>
      <c r="M3661" s="4">
        <v>1156</v>
      </c>
      <c r="Q3661" s="1" t="s">
        <v>42</v>
      </c>
      <c r="S3661" s="1" t="s">
        <v>42</v>
      </c>
      <c r="T3661" s="1" t="s">
        <v>170</v>
      </c>
      <c r="AA3661" s="1">
        <v>2335792.5</v>
      </c>
      <c r="AB3661" s="1" t="s">
        <v>2850</v>
      </c>
      <c r="AC3661" s="5">
        <v>44323</v>
      </c>
      <c r="AF3661" s="1">
        <v>10002</v>
      </c>
      <c r="AI3661" s="1" t="s">
        <v>55</v>
      </c>
      <c r="AJ3661" s="1">
        <v>2019</v>
      </c>
      <c r="AK3661" s="1" t="s">
        <v>46</v>
      </c>
      <c r="AL3661" s="1">
        <v>787</v>
      </c>
    </row>
    <row r="3662" spans="1:38" x14ac:dyDescent="0.2">
      <c r="A3662" s="2" t="str">
        <f>HYPERLINK("https://www.compass.com/listing/15-west-61st-street-unit-24b-manhattan-ny-10023/796811682695481281/","15 W 61st St, Unit 24B")</f>
        <v>15 W 61st St, Unit 24B</v>
      </c>
      <c r="B3662" s="2" t="str">
        <f>HYPERLINK("https://www.compass.com/building/the-park-loggia-manhattan-ny/292861833130357557/","The Park Loggia")</f>
        <v>The Park Loggia</v>
      </c>
      <c r="C3662" s="1" t="s">
        <v>50</v>
      </c>
      <c r="D3662" s="1" t="s">
        <v>41</v>
      </c>
      <c r="E3662" s="3">
        <v>3390000</v>
      </c>
      <c r="F3662" s="1">
        <v>2935.0649350649301</v>
      </c>
      <c r="M3662" s="4">
        <v>1155</v>
      </c>
      <c r="Q3662" s="1" t="s">
        <v>42</v>
      </c>
      <c r="S3662" s="1" t="s">
        <v>42</v>
      </c>
      <c r="T3662" s="1" t="s">
        <v>170</v>
      </c>
      <c r="AA3662" s="1">
        <v>3390000</v>
      </c>
      <c r="AB3662" s="1" t="s">
        <v>2851</v>
      </c>
      <c r="AC3662" s="5">
        <v>44334</v>
      </c>
      <c r="AF3662" s="1">
        <v>10023</v>
      </c>
      <c r="AI3662" s="1" t="s">
        <v>76</v>
      </c>
      <c r="AJ3662" s="1">
        <v>2019</v>
      </c>
      <c r="AK3662" s="1" t="s">
        <v>49</v>
      </c>
      <c r="AL3662" s="1">
        <v>172</v>
      </c>
    </row>
    <row r="3663" spans="1:38" x14ac:dyDescent="0.2">
      <c r="A3663" s="2" t="str">
        <f>HYPERLINK("https://www.compass.com/listing/412-greenwich-street-unit-2d-manhattan-ny-10013/797554575949603617/","412 Greenwich St, Unit 2D")</f>
        <v>412 Greenwich St, Unit 2D</v>
      </c>
      <c r="B3663" s="2" t="str">
        <f>HYPERLINK("https://www.compass.com/building/412-greenwich-st-manhattan-ny-10013/307448573918203765/","412 Greenwich St")</f>
        <v>412 Greenwich St</v>
      </c>
      <c r="C3663" s="1" t="s">
        <v>40</v>
      </c>
      <c r="D3663" s="1" t="s">
        <v>41</v>
      </c>
      <c r="E3663" s="3">
        <v>8625000</v>
      </c>
      <c r="F3663" s="1">
        <v>2659.5744680850999</v>
      </c>
      <c r="M3663" s="4">
        <v>3243</v>
      </c>
      <c r="Q3663" s="1" t="s">
        <v>42</v>
      </c>
      <c r="S3663" s="1" t="s">
        <v>42</v>
      </c>
      <c r="T3663" s="1" t="s">
        <v>170</v>
      </c>
      <c r="AA3663" s="1">
        <v>8625000</v>
      </c>
      <c r="AB3663" s="1" t="s">
        <v>2852</v>
      </c>
      <c r="AC3663" s="5">
        <v>44334</v>
      </c>
      <c r="AF3663" s="1">
        <v>10013</v>
      </c>
    </row>
    <row r="3664" spans="1:38" x14ac:dyDescent="0.2">
      <c r="A3664" s="2" t="str">
        <f>HYPERLINK("https://www.compass.com/listing/25-park-row-unit-33c-manhattan-ny-10038/805521565396045633/","25 Park Row, Unit 33C")</f>
        <v>25 Park Row, Unit 33C</v>
      </c>
      <c r="B3664" s="2" t="str">
        <f>HYPERLINK("https://www.compass.com/building/25-park-row-manhattan-ny-10038/292920743539264837/","25 Park Row")</f>
        <v>25 Park Row</v>
      </c>
      <c r="C3664" s="1" t="s">
        <v>117</v>
      </c>
      <c r="D3664" s="1" t="s">
        <v>41</v>
      </c>
      <c r="E3664" s="3">
        <v>3800000</v>
      </c>
      <c r="F3664" s="1">
        <v>2202.8985507246298</v>
      </c>
      <c r="M3664" s="4">
        <v>1725</v>
      </c>
      <c r="Q3664" s="1" t="s">
        <v>42</v>
      </c>
      <c r="S3664" s="1" t="s">
        <v>42</v>
      </c>
      <c r="T3664" s="1" t="s">
        <v>170</v>
      </c>
      <c r="AA3664" s="1">
        <v>3800000</v>
      </c>
      <c r="AB3664" s="1" t="s">
        <v>2853</v>
      </c>
      <c r="AC3664" s="5">
        <v>44343</v>
      </c>
      <c r="AF3664" s="1">
        <v>10038</v>
      </c>
      <c r="AI3664" s="1" t="s">
        <v>84</v>
      </c>
      <c r="AJ3664" s="1">
        <v>2019</v>
      </c>
      <c r="AK3664" s="1" t="s">
        <v>49</v>
      </c>
      <c r="AL3664" s="1">
        <v>110</v>
      </c>
    </row>
    <row r="3665" spans="1:38" x14ac:dyDescent="0.2">
      <c r="A3665" s="2" t="str">
        <f>HYPERLINK("https://www.compass.com/listing/15-west-61st-street-unit-23c-manhattan-ny-10023/805521585025465801/","15 W 61st St, Unit 23C")</f>
        <v>15 W 61st St, Unit 23C</v>
      </c>
      <c r="B3665" s="2" t="str">
        <f>HYPERLINK("https://www.compass.com/building/the-park-loggia-manhattan-ny/292861833130357557/","The Park Loggia")</f>
        <v>The Park Loggia</v>
      </c>
      <c r="C3665" s="1" t="s">
        <v>50</v>
      </c>
      <c r="D3665" s="1" t="s">
        <v>41</v>
      </c>
      <c r="E3665" s="3">
        <v>1930000</v>
      </c>
      <c r="F3665" s="1">
        <v>2330.9178743961302</v>
      </c>
      <c r="M3665" s="1">
        <v>828</v>
      </c>
      <c r="Q3665" s="1" t="s">
        <v>42</v>
      </c>
      <c r="S3665" s="1" t="s">
        <v>42</v>
      </c>
      <c r="T3665" s="1" t="s">
        <v>170</v>
      </c>
      <c r="AA3665" s="1">
        <v>1930000</v>
      </c>
      <c r="AB3665" s="1" t="s">
        <v>2854</v>
      </c>
      <c r="AC3665" s="5">
        <v>44349</v>
      </c>
      <c r="AF3665" s="1">
        <v>10023</v>
      </c>
      <c r="AI3665" s="1" t="s">
        <v>76</v>
      </c>
      <c r="AJ3665" s="1">
        <v>2019</v>
      </c>
      <c r="AK3665" s="1" t="s">
        <v>49</v>
      </c>
      <c r="AL3665" s="1">
        <v>172</v>
      </c>
    </row>
    <row r="3666" spans="1:38" x14ac:dyDescent="0.2">
      <c r="A3666" s="2" t="str">
        <f>HYPERLINK("https://www.compass.com/listing/2351-adam-clayton-powell-jr-boulevard-unit-705-p-manhattan-ny-10030/805521591358638273/","2351 Adam Clayton Powell Jr Blvd, Unit 705/P")</f>
        <v>2351 Adam Clayton Powell Jr Blvd, Unit 705/P</v>
      </c>
      <c r="B3666" s="2" t="str">
        <f>HYPERLINK("https://www.compass.com/building/the-rennie-manhattan-ny/307439143554395509/","THE RENNIE")</f>
        <v>THE RENNIE</v>
      </c>
      <c r="C3666" s="1" t="s">
        <v>61</v>
      </c>
      <c r="D3666" s="1" t="s">
        <v>41</v>
      </c>
      <c r="E3666" s="3">
        <v>1300000</v>
      </c>
      <c r="F3666" s="1">
        <v>1099.8307952622599</v>
      </c>
      <c r="M3666" s="4">
        <v>1182</v>
      </c>
      <c r="Q3666" s="1" t="s">
        <v>42</v>
      </c>
      <c r="S3666" s="1" t="s">
        <v>42</v>
      </c>
      <c r="T3666" s="1" t="s">
        <v>170</v>
      </c>
      <c r="AA3666" s="1">
        <v>1300000</v>
      </c>
      <c r="AB3666" s="1" t="s">
        <v>2855</v>
      </c>
      <c r="AC3666" s="5">
        <v>44350</v>
      </c>
      <c r="AF3666" s="1">
        <v>10030</v>
      </c>
      <c r="AI3666" s="1" t="s">
        <v>45</v>
      </c>
      <c r="AJ3666" s="1">
        <v>2018</v>
      </c>
      <c r="AK3666" s="1" t="s">
        <v>49</v>
      </c>
      <c r="AL3666" s="1">
        <v>106</v>
      </c>
    </row>
    <row r="3667" spans="1:38" x14ac:dyDescent="0.2">
      <c r="A3667" s="2" t="str">
        <f>HYPERLINK("https://www.compass.com/listing/15-west-61st-street-unit-12f-manhattan-ny-10023/806234307039692873/","15 W 61st St, Unit 12F")</f>
        <v>15 W 61st St, Unit 12F</v>
      </c>
      <c r="B3667" s="2" t="str">
        <f>HYPERLINK("https://www.compass.com/building/the-park-loggia-manhattan-ny/292861833130357557/","The Park Loggia")</f>
        <v>The Park Loggia</v>
      </c>
      <c r="C3667" s="1" t="s">
        <v>50</v>
      </c>
      <c r="D3667" s="1" t="s">
        <v>41</v>
      </c>
      <c r="E3667" s="3">
        <v>3225000</v>
      </c>
      <c r="F3667" s="1">
        <v>2691.98664440734</v>
      </c>
      <c r="M3667" s="4">
        <v>1198</v>
      </c>
      <c r="Q3667" s="1" t="s">
        <v>42</v>
      </c>
      <c r="S3667" s="1" t="s">
        <v>42</v>
      </c>
      <c r="T3667" s="1" t="s">
        <v>170</v>
      </c>
      <c r="AA3667" s="1">
        <v>3225000</v>
      </c>
      <c r="AB3667" s="1" t="s">
        <v>2856</v>
      </c>
      <c r="AC3667" s="5">
        <v>44344</v>
      </c>
      <c r="AF3667" s="1">
        <v>10023</v>
      </c>
      <c r="AI3667" s="1" t="s">
        <v>76</v>
      </c>
      <c r="AJ3667" s="1">
        <v>2019</v>
      </c>
      <c r="AK3667" s="1" t="s">
        <v>49</v>
      </c>
      <c r="AL3667" s="1">
        <v>172</v>
      </c>
    </row>
    <row r="3668" spans="1:38" x14ac:dyDescent="0.2">
      <c r="A3668" s="2" t="str">
        <f>HYPERLINK("https://www.compass.com/listing/86-canal-street-unit-6d-manhattan-ny-10002/806234311493955377/","86 Canal St, Unit 6D")</f>
        <v>86 Canal St, Unit 6D</v>
      </c>
      <c r="B3668" s="2" t="str">
        <f>HYPERLINK("https://www.compass.com/building/86-canal-st-manhattan-ny-10002/281888255618581733/","86 Canal St")</f>
        <v>86 Canal St</v>
      </c>
      <c r="C3668" s="1" t="s">
        <v>1340</v>
      </c>
      <c r="D3668" s="1" t="s">
        <v>41</v>
      </c>
      <c r="E3668" s="3">
        <v>565000</v>
      </c>
      <c r="F3668" s="1">
        <v>874.61300309597505</v>
      </c>
      <c r="M3668" s="1">
        <v>646</v>
      </c>
      <c r="Q3668" s="1" t="s">
        <v>42</v>
      </c>
      <c r="S3668" s="1" t="s">
        <v>42</v>
      </c>
      <c r="T3668" s="1" t="s">
        <v>170</v>
      </c>
      <c r="AA3668" s="1">
        <v>565000</v>
      </c>
      <c r="AB3668" s="1" t="s">
        <v>2857</v>
      </c>
      <c r="AC3668" s="5">
        <v>44343</v>
      </c>
      <c r="AF3668" s="1">
        <v>10002</v>
      </c>
      <c r="AJ3668" s="1">
        <v>2012</v>
      </c>
      <c r="AL3668" s="1">
        <v>89</v>
      </c>
    </row>
    <row r="3669" spans="1:38" x14ac:dyDescent="0.2">
      <c r="A3669" s="2" t="str">
        <f>HYPERLINK("https://www.compass.com/listing/2351-adam-clayton-powell-jr-boulevard-unit-211-manhattan-ny-10030/809858908752673969/","2351 Adam Clayton Powell Jr Blvd, Unit 211")</f>
        <v>2351 Adam Clayton Powell Jr Blvd, Unit 211</v>
      </c>
      <c r="B3669" s="2" t="str">
        <f>HYPERLINK("https://www.compass.com/building/the-rennie-manhattan-ny/307439143554395509/","THE RENNIE")</f>
        <v>THE RENNIE</v>
      </c>
      <c r="C3669" s="1" t="s">
        <v>61</v>
      </c>
      <c r="D3669" s="1" t="s">
        <v>41</v>
      </c>
      <c r="E3669" s="3">
        <v>333314</v>
      </c>
      <c r="F3669" s="1">
        <v>378.33598183881901</v>
      </c>
      <c r="M3669" s="1">
        <v>881</v>
      </c>
      <c r="Q3669" s="1" t="s">
        <v>42</v>
      </c>
      <c r="S3669" s="1" t="s">
        <v>42</v>
      </c>
      <c r="T3669" s="1" t="s">
        <v>170</v>
      </c>
      <c r="AA3669" s="1">
        <v>333314</v>
      </c>
      <c r="AB3669" s="1" t="s">
        <v>2858</v>
      </c>
      <c r="AC3669" s="5">
        <v>44355</v>
      </c>
      <c r="AF3669" s="1">
        <v>10030</v>
      </c>
      <c r="AI3669" s="1" t="s">
        <v>45</v>
      </c>
      <c r="AJ3669" s="1">
        <v>2018</v>
      </c>
      <c r="AK3669" s="1" t="s">
        <v>49</v>
      </c>
      <c r="AL3669" s="1">
        <v>106</v>
      </c>
    </row>
    <row r="3670" spans="1:38" x14ac:dyDescent="0.2">
      <c r="A3670" s="2" t="str">
        <f>HYPERLINK("https://www.compass.com/listing/121-east-22nd-street-unit-n402-manhattan-ny-10010/812054311863065849/","121 E 22nd St, Unit N402")</f>
        <v>121 E 22nd St, Unit N402</v>
      </c>
      <c r="B3670" s="2" t="str">
        <f>HYPERLINK("https://www.compass.com/building/121-e-22nd-manhattan-ny/292795784653461493/","121 E 22nd")</f>
        <v>121 E 22nd</v>
      </c>
      <c r="C3670" s="1" t="s">
        <v>54</v>
      </c>
      <c r="D3670" s="1" t="s">
        <v>41</v>
      </c>
      <c r="E3670" s="3">
        <v>2879815</v>
      </c>
      <c r="F3670" s="1">
        <v>1720.3193847072801</v>
      </c>
      <c r="M3670" s="4">
        <v>1674</v>
      </c>
      <c r="Q3670" s="1" t="s">
        <v>42</v>
      </c>
      <c r="S3670" s="1" t="s">
        <v>42</v>
      </c>
      <c r="T3670" s="1" t="s">
        <v>170</v>
      </c>
      <c r="AA3670" s="1">
        <v>2879814.65</v>
      </c>
      <c r="AB3670" s="1" t="s">
        <v>2859</v>
      </c>
      <c r="AC3670" s="5">
        <v>44330</v>
      </c>
      <c r="AF3670" s="1">
        <v>10010</v>
      </c>
      <c r="AI3670" s="1" t="s">
        <v>55</v>
      </c>
      <c r="AJ3670" s="1">
        <v>2016</v>
      </c>
      <c r="AK3670" s="1" t="s">
        <v>49</v>
      </c>
      <c r="AL3670" s="1">
        <v>140</v>
      </c>
    </row>
    <row r="3671" spans="1:38" x14ac:dyDescent="0.2">
      <c r="A3671" s="2" t="str">
        <f>HYPERLINK("https://www.compass.com/listing/252-south-street-unit-80d-manhattan-ny-10002/812767281744296129/","252 South St, Unit 80D")</f>
        <v>252 South St, Unit 80D</v>
      </c>
      <c r="B3671" s="2" t="str">
        <f>HYPERLINK("https://www.compass.com/building/one-manhattan-square-manhattan-ny/294844950218926165/","One Manhattan Square")</f>
        <v>One Manhattan Square</v>
      </c>
      <c r="C3671" s="1" t="s">
        <v>66</v>
      </c>
      <c r="D3671" s="1" t="s">
        <v>41</v>
      </c>
      <c r="E3671" s="3">
        <v>9114341</v>
      </c>
      <c r="F3671" s="1">
        <v>2675.9662419260098</v>
      </c>
      <c r="H3671" s="1">
        <v>4</v>
      </c>
      <c r="J3671" s="1">
        <v>3.5</v>
      </c>
      <c r="K3671" s="1">
        <v>3</v>
      </c>
      <c r="L3671" s="1">
        <v>1</v>
      </c>
      <c r="M3671" s="4">
        <v>3406</v>
      </c>
      <c r="N3671" s="1">
        <v>5095</v>
      </c>
      <c r="O3671" s="1">
        <v>5175</v>
      </c>
      <c r="P3671" s="1">
        <v>80</v>
      </c>
      <c r="Q3671" s="1" t="s">
        <v>42</v>
      </c>
      <c r="S3671" s="1" t="s">
        <v>42</v>
      </c>
      <c r="T3671" s="1" t="s">
        <v>170</v>
      </c>
      <c r="AA3671" s="1">
        <v>9114341.0199999996</v>
      </c>
      <c r="AB3671" s="1" t="s">
        <v>2860</v>
      </c>
      <c r="AC3671" s="5">
        <v>44361</v>
      </c>
      <c r="AF3671" s="1">
        <v>10002</v>
      </c>
      <c r="AI3671" s="1" t="s">
        <v>55</v>
      </c>
      <c r="AJ3671" s="1">
        <v>2019</v>
      </c>
      <c r="AK3671" s="1" t="s">
        <v>46</v>
      </c>
      <c r="AL3671" s="1">
        <v>787</v>
      </c>
    </row>
    <row r="3672" spans="1:38" x14ac:dyDescent="0.2">
      <c r="A3672" s="2" t="str">
        <f>HYPERLINK("https://www.compass.com/listing/86-canal-street-unit-5d-manhattan-ny-10002/81529825147333409/","86 Canal St, Unit 5D")</f>
        <v>86 Canal St, Unit 5D</v>
      </c>
      <c r="B3672" s="2" t="str">
        <f>HYPERLINK("https://www.compass.com/building/86-canal-st-manhattan-ny-10002/281888255618581733/","86 Canal St")</f>
        <v>86 Canal St</v>
      </c>
      <c r="C3672" s="1" t="s">
        <v>1340</v>
      </c>
      <c r="D3672" s="1" t="s">
        <v>41</v>
      </c>
      <c r="E3672" s="3">
        <v>539673</v>
      </c>
      <c r="F3672" s="1">
        <v>974.13808664259898</v>
      </c>
      <c r="M3672" s="1">
        <v>554</v>
      </c>
      <c r="Q3672" s="1" t="s">
        <v>42</v>
      </c>
      <c r="S3672" s="1" t="s">
        <v>42</v>
      </c>
      <c r="T3672" s="1" t="s">
        <v>170</v>
      </c>
      <c r="AA3672" s="1">
        <v>539672.5</v>
      </c>
      <c r="AB3672" s="1" t="s">
        <v>2861</v>
      </c>
      <c r="AC3672" s="5">
        <v>43349</v>
      </c>
      <c r="AF3672" s="1">
        <v>10002</v>
      </c>
      <c r="AJ3672" s="1">
        <v>2012</v>
      </c>
      <c r="AL3672" s="1">
        <v>89</v>
      </c>
    </row>
    <row r="3673" spans="1:38" x14ac:dyDescent="0.2">
      <c r="A3673" s="2" t="str">
        <f>HYPERLINK("https://www.compass.com/listing/2351-adam-clayton-powell-jr-boulevard-unit-605-manhattan-ny-10030/816018194028284297/","2351 Adam Clayton Powell Jr Blvd, Unit 605")</f>
        <v>2351 Adam Clayton Powell Jr Blvd, Unit 605</v>
      </c>
      <c r="B3673" s="2" t="str">
        <f t="shared" ref="B3673:B3674" si="447">HYPERLINK("https://www.compass.com/building/the-rennie-manhattan-ny/307439143554395509/","THE RENNIE")</f>
        <v>THE RENNIE</v>
      </c>
      <c r="C3673" s="1" t="s">
        <v>61</v>
      </c>
      <c r="D3673" s="1" t="s">
        <v>41</v>
      </c>
      <c r="E3673" s="3">
        <v>328200</v>
      </c>
      <c r="F3673" s="1">
        <v>519.30379746835399</v>
      </c>
      <c r="M3673" s="1">
        <v>632</v>
      </c>
      <c r="Q3673" s="1" t="s">
        <v>42</v>
      </c>
      <c r="S3673" s="1" t="s">
        <v>42</v>
      </c>
      <c r="T3673" s="1" t="s">
        <v>170</v>
      </c>
      <c r="AA3673" s="1">
        <v>328200</v>
      </c>
      <c r="AB3673" s="1" t="s">
        <v>2862</v>
      </c>
      <c r="AC3673" s="5">
        <v>44336</v>
      </c>
      <c r="AF3673" s="1">
        <v>10030</v>
      </c>
      <c r="AI3673" s="1" t="s">
        <v>45</v>
      </c>
      <c r="AJ3673" s="1">
        <v>2018</v>
      </c>
      <c r="AK3673" s="1" t="s">
        <v>49</v>
      </c>
      <c r="AL3673" s="1">
        <v>106</v>
      </c>
    </row>
    <row r="3674" spans="1:38" x14ac:dyDescent="0.2">
      <c r="A3674" s="2" t="str">
        <f>HYPERLINK("https://www.compass.com/listing/2351-adam-clayton-powell-jr-boulevard-unit-505-manhattan-ny-10030/816409589968938129/","2351 Adam Clayton Powell Jr Blvd, Unit 505")</f>
        <v>2351 Adam Clayton Powell Jr Blvd, Unit 505</v>
      </c>
      <c r="B3674" s="2" t="str">
        <f t="shared" si="447"/>
        <v>THE RENNIE</v>
      </c>
      <c r="C3674" s="1" t="s">
        <v>61</v>
      </c>
      <c r="D3674" s="1" t="s">
        <v>41</v>
      </c>
      <c r="E3674" s="3">
        <v>328200</v>
      </c>
      <c r="F3674" s="1">
        <v>519.30379746835399</v>
      </c>
      <c r="M3674" s="1">
        <v>632</v>
      </c>
      <c r="Q3674" s="1" t="s">
        <v>42</v>
      </c>
      <c r="S3674" s="1" t="s">
        <v>42</v>
      </c>
      <c r="T3674" s="1" t="s">
        <v>170</v>
      </c>
      <c r="AA3674" s="1">
        <v>328200</v>
      </c>
      <c r="AB3674" s="1" t="s">
        <v>2863</v>
      </c>
      <c r="AC3674" s="5">
        <v>44364</v>
      </c>
      <c r="AF3674" s="1">
        <v>10030</v>
      </c>
      <c r="AI3674" s="1" t="s">
        <v>45</v>
      </c>
      <c r="AJ3674" s="1">
        <v>2018</v>
      </c>
      <c r="AK3674" s="1" t="s">
        <v>49</v>
      </c>
      <c r="AL3674" s="1">
        <v>106</v>
      </c>
    </row>
    <row r="3675" spans="1:38" x14ac:dyDescent="0.2">
      <c r="A3675" s="2" t="str">
        <f>HYPERLINK("https://www.compass.com/listing/215-east-19th-street-unit-ph-manhattan-ny-10003/817122476317351713/","215 E 19th St, Unit PH")</f>
        <v>215 E 19th St, Unit PH</v>
      </c>
      <c r="B3675" s="2" t="str">
        <f t="shared" ref="B3675:B3679" si="448">HYPERLINK("https://www.compass.com/building/the-tower-at-gramercy-square-manhattan-ny/281890815108713781/","The Tower at Gramercy Square")</f>
        <v>The Tower at Gramercy Square</v>
      </c>
      <c r="C3675" s="1" t="s">
        <v>54</v>
      </c>
      <c r="D3675" s="1" t="s">
        <v>41</v>
      </c>
      <c r="E3675" s="3">
        <v>19500000</v>
      </c>
      <c r="F3675" s="1">
        <v>2790.0987265703202</v>
      </c>
      <c r="M3675" s="4">
        <v>6989</v>
      </c>
      <c r="Q3675" s="1" t="s">
        <v>42</v>
      </c>
      <c r="S3675" s="1" t="s">
        <v>42</v>
      </c>
      <c r="T3675" s="1" t="s">
        <v>170</v>
      </c>
      <c r="AA3675" s="1">
        <v>19500000</v>
      </c>
      <c r="AB3675" s="1" t="s">
        <v>2864</v>
      </c>
      <c r="AC3675" s="5">
        <v>44361</v>
      </c>
      <c r="AF3675" s="1">
        <v>10003</v>
      </c>
      <c r="AI3675" s="1" t="s">
        <v>76</v>
      </c>
      <c r="AJ3675" s="1">
        <v>1920</v>
      </c>
      <c r="AK3675" s="1" t="s">
        <v>46</v>
      </c>
      <c r="AL3675" s="1">
        <v>130</v>
      </c>
    </row>
    <row r="3676" spans="1:38" x14ac:dyDescent="0.2">
      <c r="A3676" s="2" t="str">
        <f>HYPERLINK("https://www.compass.com/listing/215-east-19th-street-unit-12g-manhattan-ny-10003/817122491451077825/","215 E 19th St, Unit 12G")</f>
        <v>215 E 19th St, Unit 12G</v>
      </c>
      <c r="B3676" s="2" t="str">
        <f t="shared" si="448"/>
        <v>The Tower at Gramercy Square</v>
      </c>
      <c r="C3676" s="1" t="s">
        <v>54</v>
      </c>
      <c r="D3676" s="1" t="s">
        <v>41</v>
      </c>
      <c r="E3676" s="3">
        <v>3604998</v>
      </c>
      <c r="F3676" s="1">
        <v>1755.11100292112</v>
      </c>
      <c r="H3676" s="1">
        <v>3</v>
      </c>
      <c r="J3676" s="1">
        <v>3.5</v>
      </c>
      <c r="K3676" s="1">
        <v>3</v>
      </c>
      <c r="L3676" s="1">
        <v>1</v>
      </c>
      <c r="M3676" s="4">
        <v>2054</v>
      </c>
      <c r="N3676" s="1">
        <v>2332</v>
      </c>
      <c r="O3676" s="1">
        <v>6345</v>
      </c>
      <c r="P3676" s="1">
        <v>4013</v>
      </c>
      <c r="Q3676" s="1" t="s">
        <v>42</v>
      </c>
      <c r="S3676" s="1" t="s">
        <v>42</v>
      </c>
      <c r="T3676" s="1" t="s">
        <v>170</v>
      </c>
      <c r="AA3676" s="1">
        <v>3604998</v>
      </c>
      <c r="AB3676" s="1" t="s">
        <v>2865</v>
      </c>
      <c r="AC3676" s="5">
        <v>44358</v>
      </c>
      <c r="AF3676" s="1">
        <v>10003</v>
      </c>
      <c r="AI3676" s="1" t="s">
        <v>76</v>
      </c>
      <c r="AJ3676" s="1">
        <v>1920</v>
      </c>
      <c r="AK3676" s="1" t="s">
        <v>46</v>
      </c>
      <c r="AL3676" s="1">
        <v>130</v>
      </c>
    </row>
    <row r="3677" spans="1:38" x14ac:dyDescent="0.2">
      <c r="A3677" s="2" t="str">
        <f>HYPERLINK("https://www.compass.com/listing/215-east-19th-street-unit-12a-manhattan-ny-10003/817122527622238985/","215 E 19th St, Unit 12A")</f>
        <v>215 E 19th St, Unit 12A</v>
      </c>
      <c r="B3677" s="2" t="str">
        <f t="shared" si="448"/>
        <v>The Tower at Gramercy Square</v>
      </c>
      <c r="C3677" s="1" t="s">
        <v>54</v>
      </c>
      <c r="D3677" s="1" t="s">
        <v>41</v>
      </c>
      <c r="E3677" s="3">
        <v>2999000</v>
      </c>
      <c r="F3677" s="1">
        <v>1623.7141310232801</v>
      </c>
      <c r="H3677" s="1">
        <v>2</v>
      </c>
      <c r="J3677" s="1">
        <v>3</v>
      </c>
      <c r="K3677" s="1">
        <v>3</v>
      </c>
      <c r="M3677" s="4">
        <v>1847</v>
      </c>
      <c r="N3677" s="1">
        <v>2097</v>
      </c>
      <c r="O3677" s="1">
        <v>5051</v>
      </c>
      <c r="P3677" s="1">
        <v>2954</v>
      </c>
      <c r="Q3677" s="1" t="s">
        <v>42</v>
      </c>
      <c r="S3677" s="1" t="s">
        <v>42</v>
      </c>
      <c r="T3677" s="1" t="s">
        <v>170</v>
      </c>
      <c r="AA3677" s="1">
        <v>2999000</v>
      </c>
      <c r="AB3677" s="1" t="s">
        <v>2866</v>
      </c>
      <c r="AC3677" s="5">
        <v>44358</v>
      </c>
      <c r="AF3677" s="1">
        <v>10003</v>
      </c>
      <c r="AI3677" s="1" t="s">
        <v>76</v>
      </c>
      <c r="AJ3677" s="1">
        <v>1920</v>
      </c>
      <c r="AK3677" s="1" t="s">
        <v>46</v>
      </c>
      <c r="AL3677" s="1">
        <v>130</v>
      </c>
    </row>
    <row r="3678" spans="1:38" x14ac:dyDescent="0.2">
      <c r="A3678" s="2" t="str">
        <f>HYPERLINK("https://www.compass.com/listing/215-east-19th-street-unit-15g-manhattan-ny-10003/817122531120744785/","215 E 19th St, Unit 15G")</f>
        <v>215 E 19th St, Unit 15G</v>
      </c>
      <c r="B3678" s="2" t="str">
        <f t="shared" si="448"/>
        <v>The Tower at Gramercy Square</v>
      </c>
      <c r="C3678" s="1" t="s">
        <v>54</v>
      </c>
      <c r="D3678" s="1" t="s">
        <v>41</v>
      </c>
      <c r="E3678" s="3">
        <v>3950000</v>
      </c>
      <c r="F3678" s="1">
        <v>1923.0769230769199</v>
      </c>
      <c r="M3678" s="4">
        <v>2054</v>
      </c>
      <c r="Q3678" s="1" t="s">
        <v>42</v>
      </c>
      <c r="S3678" s="1" t="s">
        <v>42</v>
      </c>
      <c r="T3678" s="1" t="s">
        <v>170</v>
      </c>
      <c r="AA3678" s="1">
        <v>3950000</v>
      </c>
      <c r="AB3678" s="1" t="s">
        <v>2867</v>
      </c>
      <c r="AC3678" s="5">
        <v>44358</v>
      </c>
      <c r="AF3678" s="1">
        <v>10003</v>
      </c>
      <c r="AI3678" s="1" t="s">
        <v>76</v>
      </c>
      <c r="AJ3678" s="1">
        <v>1920</v>
      </c>
      <c r="AK3678" s="1" t="s">
        <v>46</v>
      </c>
      <c r="AL3678" s="1">
        <v>130</v>
      </c>
    </row>
    <row r="3679" spans="1:38" x14ac:dyDescent="0.2">
      <c r="A3679" s="2" t="str">
        <f>HYPERLINK("https://www.compass.com/listing/215-east-19th-street-unit-15d-manhattan-ny-10003/817835430328343953/","215 E 19th St, Unit 15D")</f>
        <v>215 E 19th St, Unit 15D</v>
      </c>
      <c r="B3679" s="2" t="str">
        <f t="shared" si="448"/>
        <v>The Tower at Gramercy Square</v>
      </c>
      <c r="C3679" s="1" t="s">
        <v>54</v>
      </c>
      <c r="D3679" s="1" t="s">
        <v>41</v>
      </c>
      <c r="E3679" s="3">
        <v>2999000</v>
      </c>
      <c r="F3679" s="1">
        <v>1635.2235550708799</v>
      </c>
      <c r="M3679" s="4">
        <v>1834</v>
      </c>
      <c r="Q3679" s="1" t="s">
        <v>42</v>
      </c>
      <c r="S3679" s="1" t="s">
        <v>42</v>
      </c>
      <c r="T3679" s="1" t="s">
        <v>170</v>
      </c>
      <c r="AA3679" s="1">
        <v>2999000</v>
      </c>
      <c r="AB3679" s="1" t="s">
        <v>2868</v>
      </c>
      <c r="AC3679" s="5">
        <v>44358</v>
      </c>
      <c r="AF3679" s="1">
        <v>10003</v>
      </c>
      <c r="AI3679" s="1" t="s">
        <v>76</v>
      </c>
      <c r="AJ3679" s="1">
        <v>1920</v>
      </c>
      <c r="AK3679" s="1" t="s">
        <v>46</v>
      </c>
      <c r="AL3679" s="1">
        <v>130</v>
      </c>
    </row>
    <row r="3680" spans="1:38" x14ac:dyDescent="0.2">
      <c r="A3680" s="2" t="str">
        <f>HYPERLINK("https://www.compass.com/listing/15-west-61st-street-unit-16d-manhattan-ny-10023/820739230436554761/","15 W 61st St, Unit 16D")</f>
        <v>15 W 61st St, Unit 16D</v>
      </c>
      <c r="B3680" s="2" t="str">
        <f>HYPERLINK("https://www.compass.com/building/the-park-loggia-manhattan-ny/292861833130357557/","The Park Loggia")</f>
        <v>The Park Loggia</v>
      </c>
      <c r="C3680" s="1" t="s">
        <v>50</v>
      </c>
      <c r="D3680" s="1" t="s">
        <v>41</v>
      </c>
      <c r="E3680" s="3">
        <v>1184694</v>
      </c>
      <c r="F3680" s="1">
        <v>2119.3090339892601</v>
      </c>
      <c r="M3680" s="1">
        <v>559</v>
      </c>
      <c r="Q3680" s="1" t="s">
        <v>42</v>
      </c>
      <c r="S3680" s="1" t="s">
        <v>42</v>
      </c>
      <c r="T3680" s="1" t="s">
        <v>170</v>
      </c>
      <c r="AA3680" s="1">
        <v>1184693.75</v>
      </c>
      <c r="AB3680" s="1" t="s">
        <v>2869</v>
      </c>
      <c r="AC3680" s="5">
        <v>44349</v>
      </c>
      <c r="AF3680" s="1">
        <v>10023</v>
      </c>
      <c r="AI3680" s="1" t="s">
        <v>76</v>
      </c>
      <c r="AJ3680" s="1">
        <v>2019</v>
      </c>
      <c r="AK3680" s="1" t="s">
        <v>49</v>
      </c>
      <c r="AL3680" s="1">
        <v>172</v>
      </c>
    </row>
    <row r="3681" spans="1:38" x14ac:dyDescent="0.2">
      <c r="A3681" s="2" t="str">
        <f>HYPERLINK("https://www.compass.com/listing/2351-adam-clayton-powell-jr-boulevard-unit-311-manhattan-ny-10030/821452493995386761/","2351 Adam Clayton Powell Jr Blvd, Unit 311")</f>
        <v>2351 Adam Clayton Powell Jr Blvd, Unit 311</v>
      </c>
      <c r="B3681" s="2" t="str">
        <f>HYPERLINK("https://www.compass.com/building/the-rennie-manhattan-ny/307439143554395509/","THE RENNIE")</f>
        <v>THE RENNIE</v>
      </c>
      <c r="C3681" s="1" t="s">
        <v>61</v>
      </c>
      <c r="D3681" s="1" t="s">
        <v>41</v>
      </c>
      <c r="E3681" s="3">
        <v>326000</v>
      </c>
      <c r="F3681" s="1">
        <v>370.03405221339301</v>
      </c>
      <c r="M3681" s="1">
        <v>881</v>
      </c>
      <c r="Q3681" s="1" t="s">
        <v>42</v>
      </c>
      <c r="S3681" s="1" t="s">
        <v>42</v>
      </c>
      <c r="T3681" s="1" t="s">
        <v>170</v>
      </c>
      <c r="AA3681" s="1">
        <v>326000</v>
      </c>
      <c r="AB3681" s="1" t="s">
        <v>2870</v>
      </c>
      <c r="AC3681" s="5">
        <v>44370</v>
      </c>
      <c r="AF3681" s="1">
        <v>10030</v>
      </c>
      <c r="AI3681" s="1" t="s">
        <v>45</v>
      </c>
      <c r="AJ3681" s="1">
        <v>2018</v>
      </c>
      <c r="AK3681" s="1" t="s">
        <v>49</v>
      </c>
      <c r="AL3681" s="1">
        <v>106</v>
      </c>
    </row>
    <row r="3682" spans="1:38" x14ac:dyDescent="0.2">
      <c r="A3682" s="2" t="str">
        <f>HYPERLINK("https://www.compass.com/listing/15-west-61st-street-unit-6f-manhattan-ny-10023/822520319880034425/","15 W 61st St, Unit 6F")</f>
        <v>15 W 61st St, Unit 6F</v>
      </c>
      <c r="B3682" s="2" t="str">
        <f>HYPERLINK("https://www.compass.com/building/the-park-loggia-manhattan-ny/292861833130357557/","The Park Loggia")</f>
        <v>The Park Loggia</v>
      </c>
      <c r="C3682" s="1" t="s">
        <v>50</v>
      </c>
      <c r="D3682" s="1" t="s">
        <v>41</v>
      </c>
      <c r="E3682" s="3">
        <v>939643</v>
      </c>
      <c r="F3682" s="1">
        <v>1898.2684444444401</v>
      </c>
      <c r="M3682" s="1">
        <v>495</v>
      </c>
      <c r="Q3682" s="1" t="s">
        <v>42</v>
      </c>
      <c r="S3682" s="1" t="s">
        <v>42</v>
      </c>
      <c r="T3682" s="1" t="s">
        <v>170</v>
      </c>
      <c r="AA3682" s="1">
        <v>939642.88</v>
      </c>
      <c r="AB3682" s="1" t="s">
        <v>2871</v>
      </c>
      <c r="AC3682" s="5">
        <v>44256</v>
      </c>
      <c r="AF3682" s="1">
        <v>10023</v>
      </c>
      <c r="AI3682" s="1" t="s">
        <v>76</v>
      </c>
      <c r="AJ3682" s="1">
        <v>2019</v>
      </c>
      <c r="AK3682" s="1" t="s">
        <v>49</v>
      </c>
      <c r="AL3682" s="1">
        <v>172</v>
      </c>
    </row>
    <row r="3683" spans="1:38" x14ac:dyDescent="0.2">
      <c r="A3683" s="2" t="str">
        <f>HYPERLINK("https://www.compass.com/listing/50-riverside-boulevard-unit-ph1a-manhattan-ny-10069/822521444146261337/","50 Riverside Blvd, Unit PH1A")</f>
        <v>50 Riverside Blvd, Unit PH1A</v>
      </c>
      <c r="B3683" s="2" t="str">
        <f>HYPERLINK("https://www.compass.com/building/one-riverside-park-manhattan-ny/282041440266113253/","One Riverside Park")</f>
        <v>One Riverside Park</v>
      </c>
      <c r="C3683" s="1" t="s">
        <v>50</v>
      </c>
      <c r="D3683" s="1" t="s">
        <v>41</v>
      </c>
      <c r="E3683" s="3">
        <v>16296000</v>
      </c>
      <c r="F3683" s="1">
        <v>2642.0233463035001</v>
      </c>
      <c r="G3683" s="1">
        <v>12</v>
      </c>
      <c r="H3683" s="1">
        <v>6</v>
      </c>
      <c r="I3683" s="1">
        <v>9</v>
      </c>
      <c r="J3683" s="1">
        <v>8.5</v>
      </c>
      <c r="M3683" s="4">
        <v>6168</v>
      </c>
      <c r="N3683" s="1">
        <v>6910</v>
      </c>
      <c r="O3683" s="1">
        <v>7280</v>
      </c>
      <c r="P3683" s="1">
        <v>370</v>
      </c>
      <c r="Q3683" s="1" t="s">
        <v>42</v>
      </c>
      <c r="S3683" s="1" t="s">
        <v>42</v>
      </c>
      <c r="T3683" s="1" t="s">
        <v>170</v>
      </c>
      <c r="U3683" s="1">
        <v>179</v>
      </c>
      <c r="V3683" s="5">
        <v>43153</v>
      </c>
      <c r="W3683" s="5">
        <v>42846</v>
      </c>
      <c r="X3683" s="1">
        <v>17000000</v>
      </c>
      <c r="Y3683" s="1">
        <v>16500000</v>
      </c>
      <c r="Z3683" s="5">
        <v>43041</v>
      </c>
      <c r="AA3683" s="1">
        <v>16296000</v>
      </c>
      <c r="AB3683" s="1" t="s">
        <v>2402</v>
      </c>
      <c r="AC3683" s="5">
        <v>43081</v>
      </c>
      <c r="AF3683" s="1">
        <v>10069</v>
      </c>
      <c r="AI3683" s="1" t="s">
        <v>101</v>
      </c>
      <c r="AJ3683" s="1">
        <v>2016</v>
      </c>
      <c r="AK3683" s="1" t="s">
        <v>73</v>
      </c>
      <c r="AL3683" s="1">
        <v>657</v>
      </c>
    </row>
    <row r="3684" spans="1:38" x14ac:dyDescent="0.2">
      <c r="A3684" s="2" t="str">
        <f>HYPERLINK("https://www.compass.com/listing/200-east-95th-street-unit-3d-manhattan-ny-10128/822524752566627393/","200 E 95th St, Unit 3D")</f>
        <v>200 E 95th St, Unit 3D</v>
      </c>
      <c r="B3684" s="2" t="str">
        <f>HYPERLINK("https://www.compass.com/building/the-kent-manhattan-ny/282049801384650021/","The Kent")</f>
        <v>The Kent</v>
      </c>
      <c r="C3684" s="1" t="s">
        <v>115</v>
      </c>
      <c r="D3684" s="1" t="s">
        <v>41</v>
      </c>
      <c r="E3684" s="3">
        <v>427000</v>
      </c>
      <c r="F3684" s="1">
        <v>537.10691823899299</v>
      </c>
      <c r="M3684" s="1">
        <v>795</v>
      </c>
      <c r="Q3684" s="1" t="s">
        <v>42</v>
      </c>
      <c r="S3684" s="1" t="s">
        <v>42</v>
      </c>
      <c r="T3684" s="1" t="s">
        <v>170</v>
      </c>
      <c r="AA3684" s="1">
        <v>427000</v>
      </c>
      <c r="AB3684" s="1" t="s">
        <v>2872</v>
      </c>
      <c r="AC3684" s="5">
        <v>44257</v>
      </c>
      <c r="AF3684" s="1">
        <v>10128</v>
      </c>
      <c r="AJ3684" s="1">
        <v>2017</v>
      </c>
      <c r="AK3684" s="1" t="s">
        <v>46</v>
      </c>
      <c r="AL3684" s="1">
        <v>83</v>
      </c>
    </row>
    <row r="3685" spans="1:38" x14ac:dyDescent="0.2">
      <c r="A3685" s="2" t="str">
        <f>HYPERLINK("https://www.compass.com/listing/15-west-61st-street-unit-12d-manhattan-ny-10023/825076941914864961/","15 W 61st St, Unit 12D")</f>
        <v>15 W 61st St, Unit 12D</v>
      </c>
      <c r="B3685" s="2" t="str">
        <f>HYPERLINK("https://www.compass.com/building/the-park-loggia-manhattan-ny/292861833130357557/","The Park Loggia")</f>
        <v>The Park Loggia</v>
      </c>
      <c r="C3685" s="1" t="s">
        <v>50</v>
      </c>
      <c r="D3685" s="1" t="s">
        <v>41</v>
      </c>
      <c r="E3685" s="3">
        <v>1545000</v>
      </c>
      <c r="F3685" s="1">
        <v>2312.8742514969999</v>
      </c>
      <c r="M3685" s="1">
        <v>668</v>
      </c>
      <c r="Q3685" s="1" t="s">
        <v>42</v>
      </c>
      <c r="S3685" s="1" t="s">
        <v>42</v>
      </c>
      <c r="T3685" s="1" t="s">
        <v>170</v>
      </c>
      <c r="AA3685" s="1">
        <v>1545000</v>
      </c>
      <c r="AB3685" s="1" t="s">
        <v>2873</v>
      </c>
      <c r="AC3685" s="5">
        <v>44378</v>
      </c>
      <c r="AF3685" s="1">
        <v>10023</v>
      </c>
      <c r="AI3685" s="1" t="s">
        <v>76</v>
      </c>
      <c r="AJ3685" s="1">
        <v>2019</v>
      </c>
      <c r="AK3685" s="1" t="s">
        <v>49</v>
      </c>
      <c r="AL3685" s="1">
        <v>172</v>
      </c>
    </row>
    <row r="3686" spans="1:38" x14ac:dyDescent="0.2">
      <c r="A3686" s="2" t="str">
        <f>HYPERLINK("https://www.compass.com/listing/90-morton-street-unit-2c-manhattan-ny-10014/832343017564754169/","90 Morton St, Unit 2C")</f>
        <v>90 Morton St, Unit 2C</v>
      </c>
      <c r="B3686" s="2" t="str">
        <f>HYPERLINK("https://www.compass.com/building/90-morton-street-manhattan-ny/292834843018978005/","90 Morton Street")</f>
        <v>90 Morton Street</v>
      </c>
      <c r="C3686" s="1" t="s">
        <v>71</v>
      </c>
      <c r="D3686" s="1" t="s">
        <v>41</v>
      </c>
      <c r="E3686" s="3">
        <v>1272813</v>
      </c>
      <c r="F3686" s="1">
        <v>3023.3076009501101</v>
      </c>
      <c r="M3686" s="1">
        <v>421</v>
      </c>
      <c r="Q3686" s="1" t="s">
        <v>42</v>
      </c>
      <c r="S3686" s="1" t="s">
        <v>42</v>
      </c>
      <c r="T3686" s="1" t="s">
        <v>170</v>
      </c>
      <c r="AA3686" s="1">
        <v>1272812.5</v>
      </c>
      <c r="AB3686" s="1" t="s">
        <v>2874</v>
      </c>
      <c r="AC3686" s="5">
        <v>44391</v>
      </c>
      <c r="AF3686" s="1">
        <v>10014</v>
      </c>
      <c r="AI3686" s="1" t="s">
        <v>786</v>
      </c>
      <c r="AJ3686" s="1">
        <v>2018</v>
      </c>
      <c r="AK3686" s="1" t="s">
        <v>46</v>
      </c>
      <c r="AL3686" s="1">
        <v>35</v>
      </c>
    </row>
    <row r="3687" spans="1:38" x14ac:dyDescent="0.2">
      <c r="A3687" s="2" t="str">
        <f>HYPERLINK("https://www.compass.com/listing/15-west-61st-street-unit-11c-manhattan-ny-10023/835223541552526825/","15 W 61st St, Unit 11C")</f>
        <v>15 W 61st St, Unit 11C</v>
      </c>
      <c r="B3687" s="2" t="str">
        <f>HYPERLINK("https://www.compass.com/building/the-park-loggia-manhattan-ny/292861833130357557/","The Park Loggia")</f>
        <v>The Park Loggia</v>
      </c>
      <c r="C3687" s="1" t="s">
        <v>50</v>
      </c>
      <c r="D3687" s="1" t="s">
        <v>41</v>
      </c>
      <c r="E3687" s="3">
        <v>1800000</v>
      </c>
      <c r="F3687" s="1">
        <v>2403.2042723631498</v>
      </c>
      <c r="M3687" s="1">
        <v>749</v>
      </c>
      <c r="Q3687" s="1" t="s">
        <v>42</v>
      </c>
      <c r="S3687" s="1" t="s">
        <v>42</v>
      </c>
      <c r="T3687" s="1" t="s">
        <v>170</v>
      </c>
      <c r="AA3687" s="1">
        <v>1800000</v>
      </c>
      <c r="AB3687" s="1" t="s">
        <v>2875</v>
      </c>
      <c r="AC3687" s="5">
        <v>44371</v>
      </c>
      <c r="AF3687" s="1">
        <v>10023</v>
      </c>
      <c r="AI3687" s="1" t="s">
        <v>76</v>
      </c>
      <c r="AJ3687" s="1">
        <v>2019</v>
      </c>
      <c r="AK3687" s="1" t="s">
        <v>49</v>
      </c>
      <c r="AL3687" s="1">
        <v>172</v>
      </c>
    </row>
    <row r="3688" spans="1:38" x14ac:dyDescent="0.2">
      <c r="A3688" s="2" t="str">
        <f>HYPERLINK("https://www.compass.com/listing/200-east-95th-street-unit-3a-manhattan-ny-10128/836683398339363905/","200 E 95th St, Unit 3A")</f>
        <v>200 E 95th St, Unit 3A</v>
      </c>
      <c r="B3688" s="2" t="str">
        <f>HYPERLINK("https://www.compass.com/building/the-kent-manhattan-ny/282049801384650021/","The Kent")</f>
        <v>The Kent</v>
      </c>
      <c r="C3688" s="1" t="s">
        <v>115</v>
      </c>
      <c r="D3688" s="1" t="s">
        <v>41</v>
      </c>
      <c r="E3688" s="3">
        <v>366300</v>
      </c>
      <c r="F3688" s="1">
        <v>432.97872340425499</v>
      </c>
      <c r="M3688" s="1">
        <v>846</v>
      </c>
      <c r="Q3688" s="1" t="s">
        <v>42</v>
      </c>
      <c r="S3688" s="1" t="s">
        <v>42</v>
      </c>
      <c r="T3688" s="1" t="s">
        <v>170</v>
      </c>
      <c r="AA3688" s="1">
        <v>366300</v>
      </c>
      <c r="AB3688" s="1" t="s">
        <v>2876</v>
      </c>
      <c r="AC3688" s="5">
        <v>44368</v>
      </c>
      <c r="AF3688" s="1">
        <v>10128</v>
      </c>
      <c r="AJ3688" s="1">
        <v>2017</v>
      </c>
      <c r="AK3688" s="1" t="s">
        <v>46</v>
      </c>
      <c r="AL3688" s="1">
        <v>83</v>
      </c>
    </row>
    <row r="3689" spans="1:38" x14ac:dyDescent="0.2">
      <c r="A3689" s="2" t="str">
        <f>HYPERLINK("https://www.compass.com/listing/520-park-avenue-unit-36-manhattan-ny-10065/92451893065913713/","520 Park Ave, Unit 36")</f>
        <v>520 Park Ave, Unit 36</v>
      </c>
      <c r="B3689" s="2" t="str">
        <f>HYPERLINK("https://www.compass.com/building/520-park-ave-manhattan-ny-10065/344158009579879061/","520 Park Ave")</f>
        <v>520 Park Ave</v>
      </c>
      <c r="C3689" s="1" t="s">
        <v>115</v>
      </c>
      <c r="D3689" s="1" t="s">
        <v>41</v>
      </c>
      <c r="E3689" s="3">
        <v>31500000</v>
      </c>
      <c r="F3689" s="1">
        <v>6806.3958513396701</v>
      </c>
      <c r="M3689" s="4">
        <v>4628</v>
      </c>
      <c r="Q3689" s="1" t="s">
        <v>42</v>
      </c>
      <c r="S3689" s="1" t="s">
        <v>42</v>
      </c>
      <c r="T3689" s="1" t="s">
        <v>170</v>
      </c>
      <c r="AA3689" s="1">
        <v>31500000</v>
      </c>
      <c r="AB3689" s="1" t="s">
        <v>2877</v>
      </c>
      <c r="AC3689" s="5">
        <v>43375</v>
      </c>
      <c r="AF3689" s="1">
        <v>10065</v>
      </c>
      <c r="AI3689" s="1" t="s">
        <v>48</v>
      </c>
      <c r="AJ3689" s="1">
        <v>2018</v>
      </c>
      <c r="AK3689" s="1" t="s">
        <v>46</v>
      </c>
      <c r="AL3689" s="1">
        <v>35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report generated at 0730pm on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freddy</cp:lastModifiedBy>
  <dcterms:modified xsi:type="dcterms:W3CDTF">2021-08-19T11:50:32Z</dcterms:modified>
</cp:coreProperties>
</file>