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eaver/Documents/GitHub/2023CompetitionCode/Calculators/"/>
    </mc:Choice>
  </mc:AlternateContent>
  <xr:revisionPtr revIDLastSave="0" documentId="13_ncr:1_{ACA3A1D9-23D0-0B4B-8A36-967C168E8C67}" xr6:coauthVersionLast="47" xr6:coauthVersionMax="47" xr10:uidLastSave="{00000000-0000-0000-0000-000000000000}"/>
  <bookViews>
    <workbookView xWindow="0" yWindow="500" windowWidth="35840" windowHeight="21900" xr2:uid="{DFA375D6-9131-1943-A250-858AF81AA25E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  <c r="B39" i="3"/>
  <c r="B38" i="3"/>
  <c r="B37" i="3"/>
  <c r="B36" i="3"/>
  <c r="C11" i="3"/>
  <c r="C12" i="3" s="1"/>
  <c r="G42" i="3"/>
  <c r="C7" i="7"/>
  <c r="C9" i="6"/>
  <c r="C10" i="6"/>
  <c r="C11" i="6"/>
  <c r="C12" i="6"/>
  <c r="C13" i="6"/>
  <c r="C14" i="6"/>
  <c r="C15" i="6"/>
  <c r="C8" i="6"/>
  <c r="D9" i="6"/>
  <c r="D10" i="6"/>
  <c r="G10" i="6" s="1"/>
  <c r="D11" i="6"/>
  <c r="F11" i="6" s="1"/>
  <c r="D12" i="6"/>
  <c r="F12" i="6" s="1"/>
  <c r="D13" i="6"/>
  <c r="D14" i="6"/>
  <c r="F14" i="6" s="1"/>
  <c r="D15" i="6"/>
  <c r="D8" i="6"/>
  <c r="F8" i="6" s="1"/>
  <c r="H9" i="6"/>
  <c r="H10" i="6"/>
  <c r="H11" i="6"/>
  <c r="H12" i="6"/>
  <c r="H13" i="6"/>
  <c r="H14" i="6"/>
  <c r="H15" i="6"/>
  <c r="H8" i="6"/>
  <c r="F9" i="6"/>
  <c r="G9" i="6"/>
  <c r="F10" i="6"/>
  <c r="G11" i="6"/>
  <c r="F13" i="6"/>
  <c r="G13" i="6"/>
  <c r="G14" i="6"/>
  <c r="F15" i="6"/>
  <c r="G15" i="6"/>
  <c r="G8" i="6"/>
  <c r="I3" i="6"/>
  <c r="I2" i="6"/>
  <c r="I4" i="6" s="1"/>
  <c r="E9" i="6"/>
  <c r="E10" i="6"/>
  <c r="E11" i="6"/>
  <c r="E13" i="6"/>
  <c r="E15" i="6"/>
  <c r="E8" i="6"/>
  <c r="F33" i="3"/>
  <c r="F32" i="3"/>
  <c r="F31" i="3"/>
  <c r="D24" i="3"/>
  <c r="D9" i="5"/>
  <c r="C9" i="5" s="1"/>
  <c r="C8" i="5"/>
  <c r="D8" i="5" s="1"/>
  <c r="E8" i="5" s="1"/>
  <c r="H11" i="3"/>
  <c r="C24" i="3"/>
  <c r="C23" i="3"/>
  <c r="C21" i="3"/>
  <c r="J14" i="6" l="1"/>
  <c r="L14" i="6" s="1"/>
  <c r="J13" i="6"/>
  <c r="L13" i="6" s="1"/>
  <c r="I15" i="6"/>
  <c r="K15" i="6" s="1"/>
  <c r="I13" i="6"/>
  <c r="K13" i="6" s="1"/>
  <c r="J8" i="6"/>
  <c r="L8" i="6" s="1"/>
  <c r="J15" i="6"/>
  <c r="L15" i="6" s="1"/>
  <c r="J11" i="6"/>
  <c r="L11" i="6" s="1"/>
  <c r="M10" i="6"/>
  <c r="M9" i="6"/>
  <c r="M11" i="6"/>
  <c r="M13" i="6"/>
  <c r="M14" i="6"/>
  <c r="N8" i="6"/>
  <c r="I8" i="6"/>
  <c r="K8" i="6" s="1"/>
  <c r="N14" i="6"/>
  <c r="N10" i="6"/>
  <c r="N12" i="6"/>
  <c r="N11" i="6"/>
  <c r="N9" i="6"/>
  <c r="M15" i="6"/>
  <c r="M8" i="6"/>
  <c r="N15" i="6"/>
  <c r="N13" i="6"/>
  <c r="I14" i="6"/>
  <c r="K14" i="6" s="1"/>
  <c r="I12" i="6"/>
  <c r="K12" i="6" s="1"/>
  <c r="I11" i="6"/>
  <c r="K11" i="6" s="1"/>
  <c r="J10" i="6"/>
  <c r="L10" i="6" s="1"/>
  <c r="I10" i="6"/>
  <c r="K10" i="6" s="1"/>
  <c r="E14" i="6"/>
  <c r="J9" i="6"/>
  <c r="L9" i="6" s="1"/>
  <c r="G12" i="6"/>
  <c r="M12" i="6" s="1"/>
  <c r="E12" i="6"/>
  <c r="I9" i="6"/>
  <c r="K9" i="6" s="1"/>
  <c r="E9" i="5"/>
  <c r="D10" i="5"/>
  <c r="B6" i="4"/>
  <c r="B7" i="4"/>
  <c r="B8" i="4"/>
  <c r="B9" i="4"/>
  <c r="B10" i="4"/>
  <c r="B11" i="4"/>
  <c r="B12" i="4"/>
  <c r="B13" i="4"/>
  <c r="B14" i="4"/>
  <c r="C14" i="4" s="1"/>
  <c r="B15" i="4"/>
  <c r="C15" i="4" s="1"/>
  <c r="B5" i="4"/>
  <c r="C10" i="4"/>
  <c r="C11" i="4"/>
  <c r="C12" i="4"/>
  <c r="C5" i="4"/>
  <c r="C13" i="4"/>
  <c r="C7" i="4"/>
  <c r="C8" i="4"/>
  <c r="C9" i="4"/>
  <c r="C6" i="4"/>
  <c r="C15" i="3"/>
  <c r="C9" i="3"/>
  <c r="C8" i="3"/>
  <c r="C8" i="1"/>
  <c r="A1" i="1"/>
  <c r="A3" i="1"/>
  <c r="A2" i="1"/>
  <c r="C6" i="2"/>
  <c r="E6" i="2" s="1"/>
  <c r="F6" i="2" s="1"/>
  <c r="D6" i="2"/>
  <c r="H6" i="2" s="1"/>
  <c r="E2" i="2"/>
  <c r="F2" i="2" s="1"/>
  <c r="C6" i="1"/>
  <c r="J12" i="6" l="1"/>
  <c r="L12" i="6" s="1"/>
  <c r="C10" i="5"/>
  <c r="D11" i="5" s="1"/>
  <c r="E10" i="5"/>
  <c r="C10" i="3"/>
  <c r="C16" i="3"/>
  <c r="F8" i="1"/>
  <c r="G8" i="1" s="1"/>
  <c r="I6" i="2"/>
  <c r="G11" i="2" s="1"/>
  <c r="K6" i="2"/>
  <c r="E15" i="2" s="1"/>
  <c r="G6" i="2"/>
  <c r="L6" i="2" s="1"/>
  <c r="C27" i="3" l="1"/>
  <c r="H6" i="3" s="1"/>
  <c r="H7" i="3" s="1"/>
  <c r="H12" i="3" s="1"/>
  <c r="C28" i="3"/>
  <c r="C11" i="5"/>
  <c r="D12" i="5" s="1"/>
  <c r="E11" i="5"/>
  <c r="J6" i="2"/>
  <c r="E11" i="2"/>
  <c r="G15" i="2"/>
  <c r="H8" i="1"/>
  <c r="I8" i="1" s="1"/>
  <c r="B9" i="1" s="1"/>
  <c r="C9" i="1" s="1"/>
  <c r="H13" i="3" l="1"/>
  <c r="C12" i="5"/>
  <c r="D13" i="5" s="1"/>
  <c r="E12" i="5"/>
  <c r="E9" i="1"/>
  <c r="D9" i="1"/>
  <c r="F9" i="1" l="1"/>
  <c r="G9" i="1" s="1"/>
  <c r="H9" i="1" s="1"/>
  <c r="I9" i="1" s="1"/>
  <c r="B10" i="1" s="1"/>
  <c r="C10" i="1" s="1"/>
  <c r="H14" i="3"/>
  <c r="C13" i="5"/>
  <c r="D14" i="5" s="1"/>
  <c r="E13" i="5"/>
  <c r="H15" i="3" l="1"/>
  <c r="C14" i="5"/>
  <c r="D15" i="5" s="1"/>
  <c r="E14" i="5"/>
  <c r="D10" i="1"/>
  <c r="E10" i="1"/>
  <c r="J10" i="1"/>
  <c r="F10" i="1" l="1"/>
  <c r="G10" i="1" s="1"/>
  <c r="H10" i="1" s="1"/>
  <c r="I10" i="1" s="1"/>
  <c r="B11" i="1" s="1"/>
  <c r="C11" i="1" s="1"/>
  <c r="H16" i="3"/>
  <c r="C15" i="5"/>
  <c r="D16" i="5" s="1"/>
  <c r="E15" i="5"/>
  <c r="H17" i="3" l="1"/>
  <c r="C16" i="5"/>
  <c r="D17" i="5" s="1"/>
  <c r="E16" i="5"/>
  <c r="D11" i="1"/>
  <c r="E11" i="1"/>
  <c r="J11" i="1"/>
  <c r="H18" i="3" l="1"/>
  <c r="C17" i="5"/>
  <c r="D18" i="5" s="1"/>
  <c r="E17" i="5"/>
  <c r="F11" i="1"/>
  <c r="G11" i="1" s="1"/>
  <c r="H11" i="1" s="1"/>
  <c r="I11" i="1" s="1"/>
  <c r="B12" i="1" s="1"/>
  <c r="C12" i="1" s="1"/>
  <c r="H19" i="3" l="1"/>
  <c r="C18" i="5"/>
  <c r="D19" i="5" s="1"/>
  <c r="E18" i="5"/>
  <c r="D12" i="1"/>
  <c r="E12" i="1"/>
  <c r="J12" i="1"/>
  <c r="H20" i="3" l="1"/>
  <c r="C19" i="5"/>
  <c r="D20" i="5" s="1"/>
  <c r="E19" i="5"/>
  <c r="F12" i="1"/>
  <c r="G12" i="1" s="1"/>
  <c r="H12" i="1" s="1"/>
  <c r="H21" i="3" l="1"/>
  <c r="C20" i="5"/>
  <c r="D21" i="5" s="1"/>
  <c r="E20" i="5"/>
  <c r="I12" i="1"/>
  <c r="B13" i="1" s="1"/>
  <c r="C13" i="1" s="1"/>
  <c r="I11" i="3" l="1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C21" i="5"/>
  <c r="D22" i="5" s="1"/>
  <c r="E21" i="5"/>
  <c r="D13" i="1"/>
  <c r="E13" i="1"/>
  <c r="J13" i="1"/>
  <c r="C22" i="5" l="1"/>
  <c r="D23" i="5" s="1"/>
  <c r="E22" i="5"/>
  <c r="F13" i="1"/>
  <c r="G13" i="1" s="1"/>
  <c r="H13" i="1" s="1"/>
  <c r="C23" i="5" l="1"/>
  <c r="D24" i="5" s="1"/>
  <c r="E23" i="5"/>
  <c r="I13" i="1"/>
  <c r="B14" i="1" s="1"/>
  <c r="C14" i="1" s="1"/>
  <c r="C24" i="5" l="1"/>
  <c r="D25" i="5" s="1"/>
  <c r="E24" i="5"/>
  <c r="D14" i="1"/>
  <c r="E14" i="1"/>
  <c r="J14" i="1"/>
  <c r="C25" i="5" l="1"/>
  <c r="D26" i="5" s="1"/>
  <c r="E25" i="5"/>
  <c r="F14" i="1"/>
  <c r="G14" i="1" s="1"/>
  <c r="H14" i="1" s="1"/>
  <c r="I14" i="1" s="1"/>
  <c r="B15" i="1" s="1"/>
  <c r="C15" i="1" s="1"/>
  <c r="C26" i="5" l="1"/>
  <c r="D27" i="5" s="1"/>
  <c r="E26" i="5"/>
  <c r="D15" i="1"/>
  <c r="E15" i="1"/>
  <c r="J15" i="1"/>
  <c r="C27" i="5" l="1"/>
  <c r="D28" i="5" s="1"/>
  <c r="E27" i="5"/>
  <c r="F15" i="1"/>
  <c r="G15" i="1" s="1"/>
  <c r="H15" i="1" s="1"/>
  <c r="I15" i="1" s="1"/>
  <c r="B16" i="1" s="1"/>
  <c r="C16" i="1" s="1"/>
  <c r="C28" i="5" l="1"/>
  <c r="D29" i="5" s="1"/>
  <c r="E28" i="5"/>
  <c r="D16" i="1"/>
  <c r="E16" i="1"/>
  <c r="J16" i="1"/>
  <c r="C29" i="5" l="1"/>
  <c r="D30" i="5" s="1"/>
  <c r="E29" i="5"/>
  <c r="F16" i="1"/>
  <c r="G16" i="1" s="1"/>
  <c r="H16" i="1" s="1"/>
  <c r="I16" i="1" s="1"/>
  <c r="B17" i="1" s="1"/>
  <c r="C17" i="1" s="1"/>
  <c r="C30" i="5" l="1"/>
  <c r="D31" i="5" s="1"/>
  <c r="E30" i="5"/>
  <c r="D17" i="1"/>
  <c r="E17" i="1"/>
  <c r="J17" i="1"/>
  <c r="C31" i="5" l="1"/>
  <c r="D32" i="5" s="1"/>
  <c r="E31" i="5"/>
  <c r="F17" i="1"/>
  <c r="G17" i="1" s="1"/>
  <c r="H17" i="1" s="1"/>
  <c r="I17" i="1" s="1"/>
  <c r="B18" i="1" s="1"/>
  <c r="C18" i="1" s="1"/>
  <c r="C32" i="5" l="1"/>
  <c r="D33" i="5" s="1"/>
  <c r="E32" i="5"/>
  <c r="D18" i="1"/>
  <c r="E18" i="1"/>
  <c r="J18" i="1"/>
  <c r="C33" i="5" l="1"/>
  <c r="E33" i="5"/>
  <c r="F18" i="1"/>
  <c r="G18" i="1" s="1"/>
  <c r="H18" i="1" s="1"/>
  <c r="I18" i="1" s="1"/>
  <c r="B19" i="1" s="1"/>
  <c r="C19" i="1" s="1"/>
  <c r="D19" i="1" l="1"/>
  <c r="E19" i="1"/>
  <c r="J19" i="1"/>
  <c r="F19" i="1" l="1"/>
  <c r="G19" i="1" s="1"/>
  <c r="H19" i="1" s="1"/>
  <c r="I19" i="1" s="1"/>
  <c r="B20" i="1" s="1"/>
  <c r="C20" i="1" s="1"/>
  <c r="D20" i="1" l="1"/>
  <c r="E20" i="1"/>
  <c r="J20" i="1"/>
  <c r="F20" i="1" l="1"/>
  <c r="G20" i="1" s="1"/>
  <c r="H20" i="1" s="1"/>
  <c r="I20" i="1" s="1"/>
  <c r="B21" i="1" s="1"/>
  <c r="C21" i="1" s="1"/>
  <c r="D21" i="1" l="1"/>
  <c r="E21" i="1"/>
  <c r="J21" i="1"/>
  <c r="F21" i="1" l="1"/>
  <c r="G21" i="1" s="1"/>
  <c r="H21" i="1" s="1"/>
  <c r="I21" i="1" s="1"/>
  <c r="B22" i="1" s="1"/>
  <c r="C22" i="1" s="1"/>
  <c r="D22" i="1" l="1"/>
  <c r="E22" i="1"/>
  <c r="J22" i="1"/>
  <c r="F22" i="1" l="1"/>
  <c r="G22" i="1" s="1"/>
  <c r="H22" i="1" s="1"/>
  <c r="I22" i="1" s="1"/>
  <c r="B23" i="1" s="1"/>
  <c r="C23" i="1" s="1"/>
  <c r="D23" i="1" l="1"/>
  <c r="E23" i="1"/>
  <c r="J23" i="1"/>
  <c r="F23" i="1" l="1"/>
  <c r="G23" i="1" s="1"/>
  <c r="H23" i="1" s="1"/>
  <c r="I23" i="1" s="1"/>
  <c r="B24" i="1" s="1"/>
  <c r="C24" i="1" s="1"/>
  <c r="D24" i="1" l="1"/>
  <c r="E24" i="1"/>
  <c r="J24" i="1"/>
  <c r="F24" i="1" l="1"/>
  <c r="G24" i="1" s="1"/>
  <c r="H24" i="1" s="1"/>
  <c r="I24" i="1" s="1"/>
  <c r="B25" i="1" s="1"/>
  <c r="C25" i="1" s="1"/>
  <c r="D25" i="1" l="1"/>
  <c r="E25" i="1"/>
  <c r="J25" i="1"/>
  <c r="F25" i="1" l="1"/>
  <c r="G25" i="1" s="1"/>
  <c r="H25" i="1" s="1"/>
  <c r="I25" i="1" s="1"/>
  <c r="B26" i="1" s="1"/>
  <c r="C26" i="1" s="1"/>
  <c r="D26" i="1" l="1"/>
  <c r="E26" i="1"/>
  <c r="J26" i="1"/>
  <c r="F26" i="1" l="1"/>
  <c r="G26" i="1" s="1"/>
  <c r="H26" i="1" s="1"/>
  <c r="I26" i="1" s="1"/>
  <c r="B27" i="1" s="1"/>
  <c r="C27" i="1" s="1"/>
  <c r="D27" i="1" l="1"/>
  <c r="E27" i="1"/>
  <c r="J27" i="1"/>
  <c r="F27" i="1" l="1"/>
  <c r="G27" i="1" s="1"/>
  <c r="H27" i="1" s="1"/>
  <c r="I27" i="1" s="1"/>
  <c r="B28" i="1" s="1"/>
  <c r="C28" i="1" s="1"/>
  <c r="D28" i="1" l="1"/>
  <c r="E28" i="1"/>
  <c r="J28" i="1"/>
  <c r="F28" i="1" l="1"/>
  <c r="G28" i="1" s="1"/>
  <c r="H28" i="1" s="1"/>
  <c r="I28" i="1" s="1"/>
  <c r="B29" i="1" s="1"/>
  <c r="C29" i="1" s="1"/>
  <c r="D29" i="1" l="1"/>
  <c r="E29" i="1"/>
  <c r="J29" i="1"/>
  <c r="F29" i="1" l="1"/>
  <c r="G29" i="1" s="1"/>
  <c r="H29" i="1" s="1"/>
  <c r="I29" i="1" s="1"/>
  <c r="B30" i="1" s="1"/>
  <c r="C30" i="1" s="1"/>
  <c r="D30" i="1" l="1"/>
  <c r="E30" i="1"/>
  <c r="J30" i="1"/>
  <c r="F30" i="1" l="1"/>
  <c r="G30" i="1" s="1"/>
  <c r="H30" i="1" s="1"/>
  <c r="I30" i="1" s="1"/>
  <c r="B31" i="1" s="1"/>
  <c r="C31" i="1" s="1"/>
  <c r="D31" i="1" l="1"/>
  <c r="E31" i="1"/>
  <c r="J31" i="1"/>
  <c r="F31" i="1" l="1"/>
  <c r="G31" i="1" s="1"/>
  <c r="H31" i="1" s="1"/>
  <c r="I31" i="1" s="1"/>
  <c r="B32" i="1" s="1"/>
  <c r="C32" i="1" l="1"/>
  <c r="J32" i="1"/>
  <c r="D32" i="1" l="1"/>
  <c r="E32" i="1"/>
  <c r="F32" i="1" l="1"/>
  <c r="G32" i="1" s="1"/>
  <c r="H32" i="1" s="1"/>
  <c r="I32" i="1" s="1"/>
  <c r="B33" i="1" s="1"/>
  <c r="C33" i="1" l="1"/>
  <c r="J33" i="1"/>
  <c r="D33" i="1" l="1"/>
  <c r="E33" i="1"/>
  <c r="F33" i="1" l="1"/>
  <c r="G33" i="1" s="1"/>
  <c r="H33" i="1" s="1"/>
  <c r="I33" i="1" s="1"/>
  <c r="B34" i="1" s="1"/>
  <c r="C34" i="1" l="1"/>
  <c r="J34" i="1"/>
  <c r="E34" i="1" l="1"/>
  <c r="D34" i="1"/>
  <c r="F34" i="1" l="1"/>
  <c r="G34" i="1" s="1"/>
  <c r="H34" i="1" s="1"/>
  <c r="I34" i="1" s="1"/>
  <c r="B35" i="1" s="1"/>
  <c r="C35" i="1" s="1"/>
  <c r="J35" i="1" l="1"/>
  <c r="E35" i="1"/>
  <c r="D35" i="1"/>
  <c r="F35" i="1" l="1"/>
  <c r="G35" i="1" s="1"/>
  <c r="H35" i="1" s="1"/>
  <c r="I35" i="1" s="1"/>
  <c r="B36" i="1" s="1"/>
  <c r="C36" i="1" l="1"/>
  <c r="J36" i="1"/>
  <c r="D36" i="1"/>
  <c r="E36" i="1"/>
  <c r="F36" i="1" l="1"/>
  <c r="G36" i="1" s="1"/>
  <c r="H36" i="1" s="1"/>
  <c r="I36" i="1" s="1"/>
  <c r="B37" i="1" s="1"/>
  <c r="B40" i="1" s="1"/>
  <c r="C37" i="1" l="1"/>
  <c r="J37" i="1"/>
  <c r="D37" i="1" l="1"/>
  <c r="E37" i="1"/>
  <c r="F37" i="1" l="1"/>
  <c r="G37" i="1" s="1"/>
  <c r="H37" i="1" s="1"/>
  <c r="I37" i="1" s="1"/>
</calcChain>
</file>

<file path=xl/sharedStrings.xml><?xml version="1.0" encoding="utf-8"?>
<sst xmlns="http://schemas.openxmlformats.org/spreadsheetml/2006/main" count="102" uniqueCount="84">
  <si>
    <t>Position</t>
  </si>
  <si>
    <t>kP</t>
  </si>
  <si>
    <t>kI</t>
  </si>
  <si>
    <t>kD</t>
  </si>
  <si>
    <t>set position</t>
  </si>
  <si>
    <t>time</t>
  </si>
  <si>
    <t>Error</t>
  </si>
  <si>
    <t>integral</t>
  </si>
  <si>
    <t>derivative</t>
  </si>
  <si>
    <t>tick_len</t>
  </si>
  <si>
    <t>ticks/second</t>
  </si>
  <si>
    <t>kU</t>
  </si>
  <si>
    <t>Tu</t>
  </si>
  <si>
    <t>truncated</t>
  </si>
  <si>
    <t>drive angle</t>
  </si>
  <si>
    <t>rotation</t>
  </si>
  <si>
    <t>sine</t>
  </si>
  <si>
    <t>cosine</t>
  </si>
  <si>
    <t>scale</t>
  </si>
  <si>
    <t>power</t>
  </si>
  <si>
    <t>wheel1</t>
  </si>
  <si>
    <t>wheel0</t>
  </si>
  <si>
    <t>wheel2</t>
  </si>
  <si>
    <t>wheel3</t>
  </si>
  <si>
    <t>forward</t>
  </si>
  <si>
    <t>lateral</t>
  </si>
  <si>
    <t>atan2</t>
  </si>
  <si>
    <t>low cut off</t>
  </si>
  <si>
    <t>close enough</t>
  </si>
  <si>
    <t>raw output</t>
  </si>
  <si>
    <t>output if error&lt;20</t>
  </si>
  <si>
    <t>ticks per motor revolution</t>
  </si>
  <si>
    <t>motor gear size</t>
  </si>
  <si>
    <t>wheel gear size</t>
  </si>
  <si>
    <t>wheel diameter</t>
  </si>
  <si>
    <t>gear ratio</t>
  </si>
  <si>
    <t>wheel circumference</t>
  </si>
  <si>
    <t>distance per tick</t>
  </si>
  <si>
    <t>robot diameter</t>
  </si>
  <si>
    <t>robot circumference</t>
  </si>
  <si>
    <t>ticks per 90</t>
  </si>
  <si>
    <t>radians</t>
  </si>
  <si>
    <t>motor speed</t>
  </si>
  <si>
    <t>rpm</t>
  </si>
  <si>
    <t>rps</t>
  </si>
  <si>
    <t>seconds per rotation</t>
  </si>
  <si>
    <t>ticks per second</t>
  </si>
  <si>
    <t>time with ramp per tile</t>
  </si>
  <si>
    <t>moments per change</t>
  </si>
  <si>
    <t>degrees assigned</t>
  </si>
  <si>
    <t>ramp ratre per milli</t>
  </si>
  <si>
    <t>desired power</t>
  </si>
  <si>
    <t>nextpoint</t>
  </si>
  <si>
    <t>ramp tate</t>
  </si>
  <si>
    <t>curpoint</t>
  </si>
  <si>
    <t>tiles per second</t>
  </si>
  <si>
    <t>seconds/tile</t>
  </si>
  <si>
    <t>ticks</t>
  </si>
  <si>
    <t>millis</t>
  </si>
  <si>
    <t>millis*1.1</t>
  </si>
  <si>
    <t>div</t>
  </si>
  <si>
    <t>move X,Y wheel directions</t>
  </si>
  <si>
    <t>angle</t>
  </si>
  <si>
    <t>X</t>
  </si>
  <si>
    <t>Y</t>
  </si>
  <si>
    <t>degrees</t>
  </si>
  <si>
    <t>counts per motor rev</t>
  </si>
  <si>
    <t>drive gear reduction</t>
  </si>
  <si>
    <t>counts per inch forward</t>
  </si>
  <si>
    <t>cos</t>
  </si>
  <si>
    <t>distance in inches</t>
  </si>
  <si>
    <t>max speed</t>
  </si>
  <si>
    <t>FrontRight</t>
  </si>
  <si>
    <t>BackRight</t>
  </si>
  <si>
    <t>BackLeft</t>
  </si>
  <si>
    <t>FrontLeft</t>
  </si>
  <si>
    <t>leftTarget</t>
  </si>
  <si>
    <t>rightTarget</t>
  </si>
  <si>
    <t>top dimension</t>
  </si>
  <si>
    <t>bottom dimension</t>
  </si>
  <si>
    <t>height total</t>
  </si>
  <si>
    <t>height of taper</t>
  </si>
  <si>
    <t>inches</t>
  </si>
  <si>
    <t>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</si>
</sst>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0"/>
    <numFmt numFmtId="165" formatCode="0.000"/>
    <numFmt numFmtId="166" formatCode="0.000000"/>
    <numFmt numFmtId="167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Sheet1!$A$8:$A$111</c:f>
              <c:strCache>
                <c:ptCount val="33"/>
                <c:pt idx="0">
                  <c:v>0.000</c:v>
                </c:pt>
                <c:pt idx="1">
                  <c:v>0.100</c:v>
                </c:pt>
                <c:pt idx="2">
                  <c:v>0.200</c:v>
                </c:pt>
                <c:pt idx="3">
                  <c:v>0.300</c:v>
                </c:pt>
                <c:pt idx="4">
                  <c:v>0.400</c:v>
                </c:pt>
                <c:pt idx="5">
                  <c:v>0.500</c:v>
                </c:pt>
                <c:pt idx="6">
                  <c:v>0.600</c:v>
                </c:pt>
                <c:pt idx="7">
                  <c:v>0.700</c:v>
                </c:pt>
                <c:pt idx="8">
                  <c:v>0.800</c:v>
                </c:pt>
                <c:pt idx="9">
                  <c:v>0.900</c:v>
                </c:pt>
                <c:pt idx="10">
                  <c:v>1.000</c:v>
                </c:pt>
                <c:pt idx="11">
                  <c:v>1.100</c:v>
                </c:pt>
                <c:pt idx="12">
                  <c:v>1.200</c:v>
                </c:pt>
                <c:pt idx="13">
                  <c:v>1.300</c:v>
                </c:pt>
                <c:pt idx="14">
                  <c:v>1.400</c:v>
                </c:pt>
                <c:pt idx="15">
                  <c:v>1.500</c:v>
                </c:pt>
                <c:pt idx="16">
                  <c:v>1.600</c:v>
                </c:pt>
                <c:pt idx="17">
                  <c:v>1.700</c:v>
                </c:pt>
                <c:pt idx="18">
                  <c:v>1.800</c:v>
                </c:pt>
                <c:pt idx="19">
                  <c:v>1.900</c:v>
                </c:pt>
                <c:pt idx="20">
                  <c:v>2.000</c:v>
                </c:pt>
                <c:pt idx="21">
                  <c:v>2.100</c:v>
                </c:pt>
                <c:pt idx="22">
                  <c:v>2.200</c:v>
                </c:pt>
                <c:pt idx="23">
                  <c:v>2.300</c:v>
                </c:pt>
                <c:pt idx="24">
                  <c:v>2.400</c:v>
                </c:pt>
                <c:pt idx="25">
                  <c:v>2.500</c:v>
                </c:pt>
                <c:pt idx="26">
                  <c:v>2.600</c:v>
                </c:pt>
                <c:pt idx="27">
                  <c:v>2.700</c:v>
                </c:pt>
                <c:pt idx="28">
                  <c:v>2.800</c:v>
                </c:pt>
                <c:pt idx="29">
                  <c:v>2.900</c:v>
                </c:pt>
                <c:pt idx="31">
                  <c:v>kT</c:v>
                </c:pt>
                <c:pt idx="32">
                  <c:v>0.100</c:v>
                </c:pt>
              </c:strCache>
            </c:strRef>
          </c:cat>
          <c:val>
            <c:numRef>
              <c:f>Sheet1!$B$8:$B$37</c:f>
              <c:numCache>
                <c:formatCode>0.000</c:formatCode>
                <c:ptCount val="30"/>
                <c:pt idx="0">
                  <c:v>0</c:v>
                </c:pt>
                <c:pt idx="1">
                  <c:v>299.04000000000002</c:v>
                </c:pt>
                <c:pt idx="2">
                  <c:v>598.08000000000004</c:v>
                </c:pt>
                <c:pt idx="3">
                  <c:v>897.12</c:v>
                </c:pt>
                <c:pt idx="4">
                  <c:v>1196.1600000000001</c:v>
                </c:pt>
                <c:pt idx="5">
                  <c:v>1495.2</c:v>
                </c:pt>
                <c:pt idx="6">
                  <c:v>1794.24</c:v>
                </c:pt>
                <c:pt idx="7">
                  <c:v>2093.2799999999997</c:v>
                </c:pt>
                <c:pt idx="8">
                  <c:v>2392.3200000000002</c:v>
                </c:pt>
                <c:pt idx="9">
                  <c:v>2691.36</c:v>
                </c:pt>
                <c:pt idx="10">
                  <c:v>2990.4</c:v>
                </c:pt>
                <c:pt idx="11">
                  <c:v>3289.4400000000005</c:v>
                </c:pt>
                <c:pt idx="12">
                  <c:v>3588.48</c:v>
                </c:pt>
                <c:pt idx="13">
                  <c:v>3887.5200000000004</c:v>
                </c:pt>
                <c:pt idx="14">
                  <c:v>4186.5600000000004</c:v>
                </c:pt>
                <c:pt idx="15">
                  <c:v>4485.6000000000004</c:v>
                </c:pt>
                <c:pt idx="16">
                  <c:v>4784.6400000000003</c:v>
                </c:pt>
                <c:pt idx="17">
                  <c:v>5083.68</c:v>
                </c:pt>
                <c:pt idx="18">
                  <c:v>5277.7449984000004</c:v>
                </c:pt>
                <c:pt idx="19">
                  <c:v>5297.7104054353922</c:v>
                </c:pt>
                <c:pt idx="20">
                  <c:v>5297.7104054353922</c:v>
                </c:pt>
                <c:pt idx="21">
                  <c:v>5297.7104054353922</c:v>
                </c:pt>
                <c:pt idx="22">
                  <c:v>5297.7104054353922</c:v>
                </c:pt>
                <c:pt idx="23">
                  <c:v>5297.7104054353922</c:v>
                </c:pt>
                <c:pt idx="24">
                  <c:v>5297.7104054353922</c:v>
                </c:pt>
                <c:pt idx="25">
                  <c:v>5297.7104054353922</c:v>
                </c:pt>
                <c:pt idx="26">
                  <c:v>5297.7104054353922</c:v>
                </c:pt>
                <c:pt idx="27">
                  <c:v>5297.7104054353922</c:v>
                </c:pt>
                <c:pt idx="28">
                  <c:v>5297.7104054353922</c:v>
                </c:pt>
                <c:pt idx="29">
                  <c:v>5297.7104054353922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F-4041-8937-83F5F00D0DA3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Sheet1!$A$8:$A$111</c:f>
              <c:strCache>
                <c:ptCount val="33"/>
                <c:pt idx="0">
                  <c:v>0.000</c:v>
                </c:pt>
                <c:pt idx="1">
                  <c:v>0.100</c:v>
                </c:pt>
                <c:pt idx="2">
                  <c:v>0.200</c:v>
                </c:pt>
                <c:pt idx="3">
                  <c:v>0.300</c:v>
                </c:pt>
                <c:pt idx="4">
                  <c:v>0.400</c:v>
                </c:pt>
                <c:pt idx="5">
                  <c:v>0.500</c:v>
                </c:pt>
                <c:pt idx="6">
                  <c:v>0.600</c:v>
                </c:pt>
                <c:pt idx="7">
                  <c:v>0.700</c:v>
                </c:pt>
                <c:pt idx="8">
                  <c:v>0.800</c:v>
                </c:pt>
                <c:pt idx="9">
                  <c:v>0.900</c:v>
                </c:pt>
                <c:pt idx="10">
                  <c:v>1.000</c:v>
                </c:pt>
                <c:pt idx="11">
                  <c:v>1.100</c:v>
                </c:pt>
                <c:pt idx="12">
                  <c:v>1.200</c:v>
                </c:pt>
                <c:pt idx="13">
                  <c:v>1.300</c:v>
                </c:pt>
                <c:pt idx="14">
                  <c:v>1.400</c:v>
                </c:pt>
                <c:pt idx="15">
                  <c:v>1.500</c:v>
                </c:pt>
                <c:pt idx="16">
                  <c:v>1.600</c:v>
                </c:pt>
                <c:pt idx="17">
                  <c:v>1.700</c:v>
                </c:pt>
                <c:pt idx="18">
                  <c:v>1.800</c:v>
                </c:pt>
                <c:pt idx="19">
                  <c:v>1.900</c:v>
                </c:pt>
                <c:pt idx="20">
                  <c:v>2.000</c:v>
                </c:pt>
                <c:pt idx="21">
                  <c:v>2.100</c:v>
                </c:pt>
                <c:pt idx="22">
                  <c:v>2.200</c:v>
                </c:pt>
                <c:pt idx="23">
                  <c:v>2.300</c:v>
                </c:pt>
                <c:pt idx="24">
                  <c:v>2.400</c:v>
                </c:pt>
                <c:pt idx="25">
                  <c:v>2.500</c:v>
                </c:pt>
                <c:pt idx="26">
                  <c:v>2.600</c:v>
                </c:pt>
                <c:pt idx="27">
                  <c:v>2.700</c:v>
                </c:pt>
                <c:pt idx="28">
                  <c:v>2.800</c:v>
                </c:pt>
                <c:pt idx="29">
                  <c:v>2.900</c:v>
                </c:pt>
                <c:pt idx="31">
                  <c:v>kT</c:v>
                </c:pt>
                <c:pt idx="32">
                  <c:v>0.100</c:v>
                </c:pt>
              </c:strCache>
            </c:strRef>
          </c:cat>
          <c:val>
            <c:numRef>
              <c:f>Sheet1!$C$8:$C$37</c:f>
              <c:numCache>
                <c:formatCode>0.000</c:formatCode>
                <c:ptCount val="30"/>
                <c:pt idx="0">
                  <c:v>5300</c:v>
                </c:pt>
                <c:pt idx="1">
                  <c:v>5000.96</c:v>
                </c:pt>
                <c:pt idx="2">
                  <c:v>4701.92</c:v>
                </c:pt>
                <c:pt idx="3">
                  <c:v>4402.88</c:v>
                </c:pt>
                <c:pt idx="4">
                  <c:v>4103.84</c:v>
                </c:pt>
                <c:pt idx="5">
                  <c:v>3804.8</c:v>
                </c:pt>
                <c:pt idx="6">
                  <c:v>3505.76</c:v>
                </c:pt>
                <c:pt idx="7">
                  <c:v>3206.7200000000003</c:v>
                </c:pt>
                <c:pt idx="8">
                  <c:v>2907.68</c:v>
                </c:pt>
                <c:pt idx="9">
                  <c:v>2608.64</c:v>
                </c:pt>
                <c:pt idx="10">
                  <c:v>2309.6</c:v>
                </c:pt>
                <c:pt idx="11">
                  <c:v>2010.5599999999995</c:v>
                </c:pt>
                <c:pt idx="12">
                  <c:v>1711.52</c:v>
                </c:pt>
                <c:pt idx="13">
                  <c:v>1412.4799999999996</c:v>
                </c:pt>
                <c:pt idx="14">
                  <c:v>1113.4399999999996</c:v>
                </c:pt>
                <c:pt idx="15">
                  <c:v>814.39999999999964</c:v>
                </c:pt>
                <c:pt idx="16">
                  <c:v>515.35999999999967</c:v>
                </c:pt>
                <c:pt idx="17">
                  <c:v>216.31999999999971</c:v>
                </c:pt>
                <c:pt idx="18">
                  <c:v>22.255001599999559</c:v>
                </c:pt>
                <c:pt idx="19">
                  <c:v>2.2895945646077962</c:v>
                </c:pt>
                <c:pt idx="20">
                  <c:v>2.2895945646077962</c:v>
                </c:pt>
                <c:pt idx="21">
                  <c:v>2.2895945646077962</c:v>
                </c:pt>
                <c:pt idx="22">
                  <c:v>2.2895945646077962</c:v>
                </c:pt>
                <c:pt idx="23">
                  <c:v>2.2895945646077962</c:v>
                </c:pt>
                <c:pt idx="24">
                  <c:v>2.2895945646077962</c:v>
                </c:pt>
                <c:pt idx="25">
                  <c:v>2.2895945646077962</c:v>
                </c:pt>
                <c:pt idx="26">
                  <c:v>2.2895945646077962</c:v>
                </c:pt>
                <c:pt idx="27">
                  <c:v>2.2895945646077962</c:v>
                </c:pt>
                <c:pt idx="28">
                  <c:v>2.2895945646077962</c:v>
                </c:pt>
                <c:pt idx="29">
                  <c:v>2.2895945646077962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4F-4041-8937-83F5F00D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801567"/>
        <c:axId val="976805343"/>
      </c:lineChart>
      <c:catAx>
        <c:axId val="9768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05343"/>
        <c:crosses val="autoZero"/>
        <c:auto val="1"/>
        <c:lblAlgn val="ctr"/>
        <c:lblOffset val="100"/>
        <c:noMultiLvlLbl val="0"/>
      </c:catAx>
      <c:valAx>
        <c:axId val="9768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Sheet1!$I$8:$I$37</c:f>
              <c:numCache>
                <c:formatCode>0.000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0.64895999999999909</c:v>
                </c:pt>
                <c:pt idx="18">
                  <c:v>6.6765004799998681E-2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C-B445-8A08-0258D6607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801567"/>
        <c:axId val="976805343"/>
      </c:lineChart>
      <c:catAx>
        <c:axId val="9768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05343"/>
        <c:crosses val="autoZero"/>
        <c:auto val="1"/>
        <c:lblAlgn val="ctr"/>
        <c:lblOffset val="100"/>
        <c:noMultiLvlLbl val="0"/>
      </c:catAx>
      <c:valAx>
        <c:axId val="9768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4693965517241381"/>
          <c:w val="0.89655796150481193"/>
          <c:h val="0.740136777083899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Sheet4!$A$4:$C$4</c:f>
              <c:strCache>
                <c:ptCount val="3"/>
                <c:pt idx="0">
                  <c:v>time</c:v>
                </c:pt>
                <c:pt idx="1">
                  <c:v>radians</c:v>
                </c:pt>
                <c:pt idx="2">
                  <c:v>power</c:v>
                </c:pt>
              </c:strCache>
            </c:strRef>
          </c:cat>
          <c:val>
            <c:numRef>
              <c:f>Sheet4!$A$4:$A$15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C-A04F-A128-E1AFDEA534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Sheet4!$A$4:$C$4</c:f>
              <c:strCache>
                <c:ptCount val="3"/>
                <c:pt idx="0">
                  <c:v>time</c:v>
                </c:pt>
                <c:pt idx="1">
                  <c:v>radians</c:v>
                </c:pt>
                <c:pt idx="2">
                  <c:v>power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0.31415926535897931</c:v>
                </c:pt>
                <c:pt idx="3">
                  <c:v>0.62831853071795862</c:v>
                </c:pt>
                <c:pt idx="4">
                  <c:v>0.94247779607693793</c:v>
                </c:pt>
                <c:pt idx="5">
                  <c:v>1.2566370614359172</c:v>
                </c:pt>
                <c:pt idx="6">
                  <c:v>1.5707963267948966</c:v>
                </c:pt>
                <c:pt idx="7">
                  <c:v>1.8849555921538759</c:v>
                </c:pt>
                <c:pt idx="8">
                  <c:v>2.1991148575128552</c:v>
                </c:pt>
                <c:pt idx="9">
                  <c:v>2.5132741228718345</c:v>
                </c:pt>
                <c:pt idx="10">
                  <c:v>2.8274333882308138</c:v>
                </c:pt>
                <c:pt idx="11">
                  <c:v>3.1415926535897931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C-A04F-A128-E1AFDEA534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Sheet4!$A$4:$C$4</c:f>
              <c:strCache>
                <c:ptCount val="3"/>
                <c:pt idx="0">
                  <c:v>time</c:v>
                </c:pt>
                <c:pt idx="1">
                  <c:v>radians</c:v>
                </c:pt>
                <c:pt idx="2">
                  <c:v>power</c:v>
                </c:pt>
              </c:strCache>
            </c:strRef>
          </c:cat>
          <c:val>
            <c:numRef>
              <c:f>Sheet4!$C$4:$C$15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0.3090169943749474</c:v>
                </c:pt>
                <c:pt idx="3">
                  <c:v>0.58778525229247314</c:v>
                </c:pt>
                <c:pt idx="4">
                  <c:v>0.80901699437494745</c:v>
                </c:pt>
                <c:pt idx="5">
                  <c:v>0.95105651629515353</c:v>
                </c:pt>
                <c:pt idx="6">
                  <c:v>1</c:v>
                </c:pt>
                <c:pt idx="7">
                  <c:v>0.95105651629515364</c:v>
                </c:pt>
                <c:pt idx="8">
                  <c:v>0.80901699437494745</c:v>
                </c:pt>
                <c:pt idx="9">
                  <c:v>0.58778525229247325</c:v>
                </c:pt>
                <c:pt idx="10">
                  <c:v>0.30901699437494751</c:v>
                </c:pt>
                <c:pt idx="11">
                  <c:v>1.22514845490862E-16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C-A04F-A128-E1AFDEA534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4074271"/>
        <c:axId val="1274093567"/>
      </c:lineChart>
      <c:catAx>
        <c:axId val="127407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93567"/>
        <c:crosses val="autoZero"/>
        <c:auto val="1"/>
        <c:lblAlgn val="ctr"/>
        <c:lblOffset val="100"/>
        <c:noMultiLvlLbl val="0"/>
      </c:catAx>
      <c:valAx>
        <c:axId val="12740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Sheet3!$H$10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Sheet3!$H$11:$H$21</c:f>
              <c:numCache>
                <c:formatCode>General</c:formatCode>
                <c:ptCount val="11"/>
                <c:pt idx="0">
                  <c:v>0</c:v>
                </c:pt>
                <c:pt idx="1">
                  <c:v>2.2712948359932286E-2</c:v>
                </c:pt>
                <c:pt idx="2">
                  <c:v>4.5425896719864571E-2</c:v>
                </c:pt>
                <c:pt idx="3">
                  <c:v>6.8138845079796853E-2</c:v>
                </c:pt>
                <c:pt idx="4">
                  <c:v>9.0851793439729142E-2</c:v>
                </c:pt>
                <c:pt idx="5">
                  <c:v>0.11356474179966143</c:v>
                </c:pt>
                <c:pt idx="6">
                  <c:v>0.13627769015959371</c:v>
                </c:pt>
                <c:pt idx="7">
                  <c:v>0.158990638519526</c:v>
                </c:pt>
                <c:pt idx="8">
                  <c:v>0.18170358687945828</c:v>
                </c:pt>
                <c:pt idx="9">
                  <c:v>0.20441653523939057</c:v>
                </c:pt>
                <c:pt idx="10">
                  <c:v>0.22712948359932286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3-ED42-A461-3849DCF3E83D}"/>
            </c:ext>
          </c:extLst>
        </c:ser>
        <c:ser>
          <c:idx val="1"/>
          <c:order val="1"/>
          <c:tx>
            <c:strRef>
              <c:f>Sheet3!$I$10</c:f>
              <c:strCache>
                <c:ptCount val="1"/>
                <c:pt idx="0">
                  <c:v>degrees assigned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Sheet3!$I$11:$I$21</c:f>
              <c:numCache>
                <c:formatCode>General</c:formatCode>
                <c:ptCount val="11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  <c:pt idx="9">
                  <c:v>3.1415926535897931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3-ED42-A461-3849DCF3E83D}"/>
            </c:ext>
          </c:extLst>
        </c:ser>
        <c:ser>
          <c:idx val="2"/>
          <c:order val="2"/>
          <c:tx>
            <c:strRef>
              <c:f>Sheet3!$J$10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Sheet3!$J$11:$J$21</c:f>
              <c:numCache>
                <c:formatCode>General</c:formatCode>
                <c:ptCount val="11"/>
                <c:pt idx="0">
                  <c:v>0.3090169943749474</c:v>
                </c:pt>
                <c:pt idx="1">
                  <c:v>0.58778525229247314</c:v>
                </c:pt>
                <c:pt idx="2">
                  <c:v>0.80901699437494745</c:v>
                </c:pt>
                <c:pt idx="3">
                  <c:v>0.95105651629515353</c:v>
                </c:pt>
                <c:pt idx="4">
                  <c:v>1</c:v>
                </c:pt>
                <c:pt idx="5">
                  <c:v>0.95105651629515364</c:v>
                </c:pt>
                <c:pt idx="6">
                  <c:v>0.80901699437494745</c:v>
                </c:pt>
                <c:pt idx="7">
                  <c:v>0.58778525229247325</c:v>
                </c:pt>
                <c:pt idx="8">
                  <c:v>0.30901699437494751</c:v>
                </c:pt>
                <c:pt idx="9">
                  <c:v>1.22514845490862E-16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33-ED42-A461-3849DCF3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063455"/>
        <c:axId val="1298203647"/>
      </c:lineChart>
      <c:catAx>
        <c:axId val="127406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03647"/>
        <c:crosses val="autoZero"/>
        <c:auto val="1"/>
        <c:lblAlgn val="ctr"/>
        <c:lblOffset val="100"/>
        <c:noMultiLvlLbl val="0"/>
      </c:catAx>
      <c:valAx>
        <c:axId val="12982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2</xdr:row>
      <xdr:rowOff>107950</xdr:rowOff>
    </xdr:from>
    <xdr:to>
      <xdr:col>22</xdr:col>
      <xdr:colOff>25400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907A4-C02F-CE7E-6BCB-DA4042F65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21</xdr:row>
      <xdr:rowOff>63500</xdr:rowOff>
    </xdr:from>
    <xdr:to>
      <xdr:col>22</xdr:col>
      <xdr:colOff>6350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BF92E2-BFAC-F449-BDA7-D765EE438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273050</xdr:colOff>
      <xdr:row>2</xdr:row>
      <xdr:rowOff>120650</xdr:rowOff>
    </xdr:from>
    <xdr:to>
      <xdr:col>14</xdr:col>
      <xdr:colOff>717550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51B93-583A-05D7-8312-C30465AF6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412750</xdr:colOff>
      <xdr:row>6</xdr:row>
      <xdr:rowOff>82550</xdr:rowOff>
    </xdr:from>
    <xdr:to>
      <xdr:col>19</xdr:col>
      <xdr:colOff>762000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DA9EE-24EF-B678-CF0B-4931FD3BD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4462-B40D-EF48-ABE2-33E580FCE3BD}">
  <dimension ref="A1:L111"/>
  <sheetViews>
    <sheetView tabSelected="1" workbookViewId="0">
      <selection activeCell="L39" sqref="L39"/>
    </sheetView>
  </sheetViews>
  <sheetFormatPr baseColWidth="10" defaultRowHeight="16" x14ac:dyDescent="0.2"/>
  <cols>
    <col min="1" max="1" width="23.33203125" customWidth="1"/>
    <col min="3" max="3" width="16.33203125" bestFit="1" customWidth="1"/>
    <col min="6" max="6" width="15.33203125" bestFit="1" customWidth="1"/>
    <col min="7" max="7" width="15.6640625" bestFit="1" customWidth="1"/>
  </cols>
  <sheetData>
    <row r="1" spans="1:12" x14ac:dyDescent="0.2">
      <c r="A1" s="4">
        <f>0.2*G1</f>
        <v>59.808000000000007</v>
      </c>
      <c r="B1" t="s">
        <v>1</v>
      </c>
      <c r="C1" s="1">
        <v>3.0000000000000001E-3</v>
      </c>
      <c r="E1" t="s">
        <v>11</v>
      </c>
      <c r="G1" s="1">
        <v>299.04000000000002</v>
      </c>
    </row>
    <row r="2" spans="1:12" x14ac:dyDescent="0.2">
      <c r="A2" s="4">
        <f>0.4*G1/G2</f>
        <v>1196.1600000000001</v>
      </c>
      <c r="B2" t="s">
        <v>2</v>
      </c>
      <c r="C2" s="1">
        <v>0</v>
      </c>
      <c r="E2" t="s">
        <v>12</v>
      </c>
      <c r="G2">
        <v>0.1</v>
      </c>
      <c r="L2" t="s">
        <v>0</v>
      </c>
    </row>
    <row r="3" spans="1:12" x14ac:dyDescent="0.2">
      <c r="A3" s="4">
        <f>G1*G2*6/90</f>
        <v>1.9936000000000005</v>
      </c>
      <c r="B3" t="s">
        <v>3</v>
      </c>
      <c r="C3" s="1">
        <v>0</v>
      </c>
    </row>
    <row r="4" spans="1:12" x14ac:dyDescent="0.2">
      <c r="B4" t="s">
        <v>4</v>
      </c>
      <c r="C4" s="2">
        <v>5300</v>
      </c>
      <c r="E4" t="s">
        <v>28</v>
      </c>
      <c r="G4">
        <v>20</v>
      </c>
    </row>
    <row r="5" spans="1:12" x14ac:dyDescent="0.2">
      <c r="B5" t="s">
        <v>9</v>
      </c>
      <c r="C5" s="1">
        <v>0.1</v>
      </c>
      <c r="H5" t="s">
        <v>27</v>
      </c>
    </row>
    <row r="6" spans="1:12" x14ac:dyDescent="0.2">
      <c r="B6" t="s">
        <v>10</v>
      </c>
      <c r="C6">
        <f>2.67*1120</f>
        <v>2990.4</v>
      </c>
      <c r="H6">
        <v>0</v>
      </c>
    </row>
    <row r="7" spans="1:12" x14ac:dyDescent="0.2">
      <c r="A7" s="3" t="s">
        <v>5</v>
      </c>
      <c r="B7" s="3" t="s">
        <v>0</v>
      </c>
      <c r="C7" s="3" t="s">
        <v>6</v>
      </c>
      <c r="D7" s="3" t="s">
        <v>7</v>
      </c>
      <c r="E7" s="3" t="s">
        <v>8</v>
      </c>
      <c r="F7" s="3" t="s">
        <v>29</v>
      </c>
      <c r="G7" s="3" t="s">
        <v>30</v>
      </c>
      <c r="H7" s="3" t="s">
        <v>13</v>
      </c>
      <c r="I7" s="3" t="s">
        <v>19</v>
      </c>
      <c r="J7" s="3"/>
    </row>
    <row r="8" spans="1:12" x14ac:dyDescent="0.2">
      <c r="A8" s="3">
        <v>0</v>
      </c>
      <c r="B8" s="3">
        <v>0</v>
      </c>
      <c r="C8" s="3">
        <f>$C$4-B8</f>
        <v>5300</v>
      </c>
      <c r="D8" s="3">
        <v>0</v>
      </c>
      <c r="E8" s="3">
        <v>0</v>
      </c>
      <c r="F8" s="3">
        <f>$C$1*(C8+$C$2*D8+$C$3*E8)</f>
        <v>15.9</v>
      </c>
      <c r="G8" s="3">
        <f>IF(ABS(C8)&lt;$G$4,0,F8)</f>
        <v>15.9</v>
      </c>
      <c r="H8" s="3">
        <f>IF(ABS(G8)&gt;1,SIGN(G8),G8)</f>
        <v>1</v>
      </c>
      <c r="I8" s="3">
        <f>IF(-0.1&lt;H8&lt;0.1,0,H8)</f>
        <v>1</v>
      </c>
      <c r="J8" s="3"/>
    </row>
    <row r="9" spans="1:12" x14ac:dyDescent="0.2">
      <c r="A9" s="3">
        <v>0.1</v>
      </c>
      <c r="B9" s="3">
        <f t="shared" ref="B9:B37" si="0">(A9-A8)*I8*$C$6+B8</f>
        <v>299.04000000000002</v>
      </c>
      <c r="C9" s="3">
        <f>$C$4-B9</f>
        <v>5000.96</v>
      </c>
      <c r="D9" s="3">
        <f>D8+C9*(A9-$A$8)</f>
        <v>500.096</v>
      </c>
      <c r="E9" s="3">
        <f>(C8-C9)/(A9-$A$8)</f>
        <v>2990.3999999999996</v>
      </c>
      <c r="F9" s="3">
        <f t="shared" ref="F9:F37" si="1">$C$1*(C9+$C$2*D9+$C$3*E9)</f>
        <v>15.002880000000001</v>
      </c>
      <c r="G9" s="3">
        <f t="shared" ref="G9:G37" si="2">IF(ABS(C9)&lt;$G$4,0,F9)</f>
        <v>15.002880000000001</v>
      </c>
      <c r="H9" s="3">
        <f t="shared" ref="H9:H37" si="3">IF(ABS(G9)&gt;1,SIGN(G9),G9)</f>
        <v>1</v>
      </c>
      <c r="I9" s="3">
        <f t="shared" ref="I9:I37" si="4">IF(-0.1&lt;H9&lt;0.1,0,H9)</f>
        <v>1</v>
      </c>
      <c r="J9" s="3"/>
    </row>
    <row r="10" spans="1:12" x14ac:dyDescent="0.2">
      <c r="A10" s="3">
        <v>0.2</v>
      </c>
      <c r="B10" s="3">
        <f t="shared" si="0"/>
        <v>598.08000000000004</v>
      </c>
      <c r="C10" s="3">
        <f t="shared" ref="C10:C37" si="5">$C$4-B10</f>
        <v>4701.92</v>
      </c>
      <c r="D10" s="3">
        <f t="shared" ref="D10:D37" si="6">D9+C10*(A10-$A$8)</f>
        <v>1440.48</v>
      </c>
      <c r="E10" s="3">
        <f t="shared" ref="E10:E37" si="7">(C9-C10)/(A10-$A$8)</f>
        <v>1495.1999999999998</v>
      </c>
      <c r="F10" s="3">
        <f t="shared" si="1"/>
        <v>14.10576</v>
      </c>
      <c r="G10" s="3">
        <f t="shared" si="2"/>
        <v>14.10576</v>
      </c>
      <c r="H10" s="3">
        <f t="shared" si="3"/>
        <v>1</v>
      </c>
      <c r="I10" s="3">
        <f t="shared" si="4"/>
        <v>1</v>
      </c>
      <c r="J10" s="3">
        <f t="shared" ref="J10:J37" si="8">B10-B9</f>
        <v>299.04000000000002</v>
      </c>
    </row>
    <row r="11" spans="1:12" x14ac:dyDescent="0.2">
      <c r="A11" s="3">
        <v>0.3</v>
      </c>
      <c r="B11" s="3">
        <f t="shared" si="0"/>
        <v>897.12</v>
      </c>
      <c r="C11" s="3">
        <f t="shared" si="5"/>
        <v>4402.88</v>
      </c>
      <c r="D11" s="3">
        <f t="shared" si="6"/>
        <v>2761.3440000000001</v>
      </c>
      <c r="E11" s="3">
        <f t="shared" si="7"/>
        <v>996.8</v>
      </c>
      <c r="F11" s="3">
        <f t="shared" si="1"/>
        <v>13.208640000000001</v>
      </c>
      <c r="G11" s="3">
        <f t="shared" si="2"/>
        <v>13.208640000000001</v>
      </c>
      <c r="H11" s="3">
        <f t="shared" si="3"/>
        <v>1</v>
      </c>
      <c r="I11" s="3">
        <f t="shared" si="4"/>
        <v>1</v>
      </c>
      <c r="J11" s="3">
        <f t="shared" si="8"/>
        <v>299.03999999999996</v>
      </c>
    </row>
    <row r="12" spans="1:12" x14ac:dyDescent="0.2">
      <c r="A12" s="3">
        <v>0.4</v>
      </c>
      <c r="B12" s="3">
        <f t="shared" si="0"/>
        <v>1196.1600000000001</v>
      </c>
      <c r="C12" s="3">
        <f t="shared" si="5"/>
        <v>4103.84</v>
      </c>
      <c r="D12" s="3">
        <f t="shared" si="6"/>
        <v>4402.88</v>
      </c>
      <c r="E12" s="3">
        <f t="shared" si="7"/>
        <v>747.59999999999991</v>
      </c>
      <c r="F12" s="3">
        <f t="shared" si="1"/>
        <v>12.311520000000002</v>
      </c>
      <c r="G12" s="3">
        <f t="shared" si="2"/>
        <v>12.311520000000002</v>
      </c>
      <c r="H12" s="3">
        <f t="shared" si="3"/>
        <v>1</v>
      </c>
      <c r="I12" s="3">
        <f t="shared" si="4"/>
        <v>1</v>
      </c>
      <c r="J12" s="3">
        <f t="shared" si="8"/>
        <v>299.04000000000008</v>
      </c>
    </row>
    <row r="13" spans="1:12" x14ac:dyDescent="0.2">
      <c r="A13" s="3">
        <v>0.5</v>
      </c>
      <c r="B13" s="3">
        <f t="shared" si="0"/>
        <v>1495.2</v>
      </c>
      <c r="C13" s="3">
        <f t="shared" si="5"/>
        <v>3804.8</v>
      </c>
      <c r="D13" s="3">
        <f t="shared" si="6"/>
        <v>6305.2800000000007</v>
      </c>
      <c r="E13" s="3">
        <f t="shared" si="7"/>
        <v>598.07999999999993</v>
      </c>
      <c r="F13" s="3">
        <f t="shared" si="1"/>
        <v>11.414400000000001</v>
      </c>
      <c r="G13" s="3">
        <f t="shared" si="2"/>
        <v>11.414400000000001</v>
      </c>
      <c r="H13" s="3">
        <f t="shared" si="3"/>
        <v>1</v>
      </c>
      <c r="I13" s="3">
        <f t="shared" si="4"/>
        <v>1</v>
      </c>
      <c r="J13" s="3">
        <f t="shared" si="8"/>
        <v>299.03999999999996</v>
      </c>
    </row>
    <row r="14" spans="1:12" x14ac:dyDescent="0.2">
      <c r="A14" s="3">
        <v>0.6</v>
      </c>
      <c r="B14" s="3">
        <f t="shared" si="0"/>
        <v>1794.24</v>
      </c>
      <c r="C14" s="3">
        <f t="shared" si="5"/>
        <v>3505.76</v>
      </c>
      <c r="D14" s="3">
        <f t="shared" si="6"/>
        <v>8408.7360000000008</v>
      </c>
      <c r="E14" s="3">
        <f t="shared" si="7"/>
        <v>498.4</v>
      </c>
      <c r="F14" s="3">
        <f t="shared" si="1"/>
        <v>10.517280000000001</v>
      </c>
      <c r="G14" s="3">
        <f t="shared" si="2"/>
        <v>10.517280000000001</v>
      </c>
      <c r="H14" s="3">
        <f t="shared" si="3"/>
        <v>1</v>
      </c>
      <c r="I14" s="3">
        <f t="shared" si="4"/>
        <v>1</v>
      </c>
      <c r="J14" s="3">
        <f t="shared" si="8"/>
        <v>299.03999999999996</v>
      </c>
    </row>
    <row r="15" spans="1:12" x14ac:dyDescent="0.2">
      <c r="A15" s="3">
        <v>0.7</v>
      </c>
      <c r="B15" s="3">
        <f t="shared" si="0"/>
        <v>2093.2799999999997</v>
      </c>
      <c r="C15" s="3">
        <f t="shared" si="5"/>
        <v>3206.7200000000003</v>
      </c>
      <c r="D15" s="3">
        <f t="shared" si="6"/>
        <v>10653.44</v>
      </c>
      <c r="E15" s="3">
        <f t="shared" si="7"/>
        <v>427.2</v>
      </c>
      <c r="F15" s="3">
        <f t="shared" si="1"/>
        <v>9.6201600000000003</v>
      </c>
      <c r="G15" s="3">
        <f t="shared" si="2"/>
        <v>9.6201600000000003</v>
      </c>
      <c r="H15" s="3">
        <f t="shared" si="3"/>
        <v>1</v>
      </c>
      <c r="I15" s="3">
        <f t="shared" si="4"/>
        <v>1</v>
      </c>
      <c r="J15" s="3">
        <f t="shared" si="8"/>
        <v>299.03999999999974</v>
      </c>
    </row>
    <row r="16" spans="1:12" x14ac:dyDescent="0.2">
      <c r="A16" s="3">
        <v>0.8</v>
      </c>
      <c r="B16" s="3">
        <f t="shared" si="0"/>
        <v>2392.3200000000002</v>
      </c>
      <c r="C16" s="3">
        <f t="shared" si="5"/>
        <v>2907.68</v>
      </c>
      <c r="D16" s="3">
        <f t="shared" si="6"/>
        <v>12979.584000000001</v>
      </c>
      <c r="E16" s="3">
        <f t="shared" si="7"/>
        <v>373.80000000000052</v>
      </c>
      <c r="F16" s="3">
        <f t="shared" si="1"/>
        <v>8.7230399999999992</v>
      </c>
      <c r="G16" s="3">
        <f t="shared" si="2"/>
        <v>8.7230399999999992</v>
      </c>
      <c r="H16" s="3">
        <f t="shared" si="3"/>
        <v>1</v>
      </c>
      <c r="I16" s="3">
        <f t="shared" si="4"/>
        <v>1</v>
      </c>
      <c r="J16" s="3">
        <f t="shared" si="8"/>
        <v>299.04000000000042</v>
      </c>
    </row>
    <row r="17" spans="1:10" x14ac:dyDescent="0.2">
      <c r="A17" s="3">
        <v>0.9</v>
      </c>
      <c r="B17" s="3">
        <f t="shared" si="0"/>
        <v>2691.36</v>
      </c>
      <c r="C17" s="3">
        <f t="shared" si="5"/>
        <v>2608.64</v>
      </c>
      <c r="D17" s="3">
        <f t="shared" si="6"/>
        <v>15327.36</v>
      </c>
      <c r="E17" s="3">
        <f t="shared" si="7"/>
        <v>332.26666666666659</v>
      </c>
      <c r="F17" s="3">
        <f t="shared" si="1"/>
        <v>7.82592</v>
      </c>
      <c r="G17" s="3">
        <f t="shared" si="2"/>
        <v>7.82592</v>
      </c>
      <c r="H17" s="3">
        <f t="shared" si="3"/>
        <v>1</v>
      </c>
      <c r="I17" s="3">
        <f t="shared" si="4"/>
        <v>1</v>
      </c>
      <c r="J17" s="3">
        <f t="shared" si="8"/>
        <v>299.03999999999996</v>
      </c>
    </row>
    <row r="18" spans="1:10" x14ac:dyDescent="0.2">
      <c r="A18" s="3">
        <v>1</v>
      </c>
      <c r="B18" s="3">
        <f t="shared" si="0"/>
        <v>2990.4</v>
      </c>
      <c r="C18" s="3">
        <f t="shared" si="5"/>
        <v>2309.6</v>
      </c>
      <c r="D18" s="3">
        <f t="shared" si="6"/>
        <v>17636.96</v>
      </c>
      <c r="E18" s="3">
        <f t="shared" si="7"/>
        <v>299.03999999999996</v>
      </c>
      <c r="F18" s="3">
        <f t="shared" si="1"/>
        <v>6.9287999999999998</v>
      </c>
      <c r="G18" s="3">
        <f t="shared" si="2"/>
        <v>6.9287999999999998</v>
      </c>
      <c r="H18" s="3">
        <f t="shared" si="3"/>
        <v>1</v>
      </c>
      <c r="I18" s="3">
        <f t="shared" si="4"/>
        <v>1</v>
      </c>
      <c r="J18" s="3">
        <f t="shared" si="8"/>
        <v>299.03999999999996</v>
      </c>
    </row>
    <row r="19" spans="1:10" x14ac:dyDescent="0.2">
      <c r="A19" s="3">
        <v>1.1000000000000001</v>
      </c>
      <c r="B19" s="3">
        <f t="shared" si="0"/>
        <v>3289.4400000000005</v>
      </c>
      <c r="C19" s="3">
        <f t="shared" si="5"/>
        <v>2010.5599999999995</v>
      </c>
      <c r="D19" s="3">
        <f t="shared" si="6"/>
        <v>19848.575999999997</v>
      </c>
      <c r="E19" s="3">
        <f t="shared" si="7"/>
        <v>271.85454545454581</v>
      </c>
      <c r="F19" s="3">
        <f t="shared" si="1"/>
        <v>6.0316799999999988</v>
      </c>
      <c r="G19" s="3">
        <f t="shared" si="2"/>
        <v>6.0316799999999988</v>
      </c>
      <c r="H19" s="3">
        <f t="shared" si="3"/>
        <v>1</v>
      </c>
      <c r="I19" s="3">
        <f t="shared" si="4"/>
        <v>1</v>
      </c>
      <c r="J19" s="3">
        <f t="shared" si="8"/>
        <v>299.04000000000042</v>
      </c>
    </row>
    <row r="20" spans="1:10" x14ac:dyDescent="0.2">
      <c r="A20" s="3">
        <v>1.2</v>
      </c>
      <c r="B20" s="3">
        <f t="shared" si="0"/>
        <v>3588.48</v>
      </c>
      <c r="C20" s="3">
        <f t="shared" si="5"/>
        <v>1711.52</v>
      </c>
      <c r="D20" s="3">
        <f t="shared" si="6"/>
        <v>21902.399999999998</v>
      </c>
      <c r="E20" s="3">
        <f t="shared" si="7"/>
        <v>249.19999999999959</v>
      </c>
      <c r="F20" s="3">
        <f t="shared" si="1"/>
        <v>5.1345600000000005</v>
      </c>
      <c r="G20" s="3">
        <f t="shared" si="2"/>
        <v>5.1345600000000005</v>
      </c>
      <c r="H20" s="3">
        <f t="shared" si="3"/>
        <v>1</v>
      </c>
      <c r="I20" s="3">
        <f t="shared" si="4"/>
        <v>1</v>
      </c>
      <c r="J20" s="3">
        <f t="shared" si="8"/>
        <v>299.03999999999951</v>
      </c>
    </row>
    <row r="21" spans="1:10" x14ac:dyDescent="0.2">
      <c r="A21" s="3">
        <v>1.3</v>
      </c>
      <c r="B21" s="3">
        <f t="shared" si="0"/>
        <v>3887.5200000000004</v>
      </c>
      <c r="C21" s="3">
        <f t="shared" si="5"/>
        <v>1412.4799999999996</v>
      </c>
      <c r="D21" s="3">
        <f t="shared" si="6"/>
        <v>23738.623999999996</v>
      </c>
      <c r="E21" s="3">
        <f t="shared" si="7"/>
        <v>230.03076923076955</v>
      </c>
      <c r="F21" s="3">
        <f t="shared" si="1"/>
        <v>4.2374399999999985</v>
      </c>
      <c r="G21" s="3">
        <f t="shared" si="2"/>
        <v>4.2374399999999985</v>
      </c>
      <c r="H21" s="3">
        <f t="shared" si="3"/>
        <v>1</v>
      </c>
      <c r="I21" s="3">
        <f t="shared" si="4"/>
        <v>1</v>
      </c>
      <c r="J21" s="3">
        <f t="shared" si="8"/>
        <v>299.04000000000042</v>
      </c>
    </row>
    <row r="22" spans="1:10" x14ac:dyDescent="0.2">
      <c r="A22" s="3">
        <v>1.4</v>
      </c>
      <c r="B22" s="3">
        <f t="shared" si="0"/>
        <v>4186.5600000000004</v>
      </c>
      <c r="C22" s="3">
        <f t="shared" si="5"/>
        <v>1113.4399999999996</v>
      </c>
      <c r="D22" s="3">
        <f t="shared" si="6"/>
        <v>25297.439999999995</v>
      </c>
      <c r="E22" s="3">
        <f t="shared" si="7"/>
        <v>213.6</v>
      </c>
      <c r="F22" s="3">
        <f t="shared" si="1"/>
        <v>3.3403199999999988</v>
      </c>
      <c r="G22" s="3">
        <f t="shared" si="2"/>
        <v>3.3403199999999988</v>
      </c>
      <c r="H22" s="3">
        <f t="shared" si="3"/>
        <v>1</v>
      </c>
      <c r="I22" s="3">
        <f t="shared" si="4"/>
        <v>1</v>
      </c>
      <c r="J22" s="3">
        <f t="shared" si="8"/>
        <v>299.03999999999996</v>
      </c>
    </row>
    <row r="23" spans="1:10" x14ac:dyDescent="0.2">
      <c r="A23" s="3">
        <v>1.5</v>
      </c>
      <c r="B23" s="3">
        <f t="shared" si="0"/>
        <v>4485.6000000000004</v>
      </c>
      <c r="C23" s="3">
        <f t="shared" si="5"/>
        <v>814.39999999999964</v>
      </c>
      <c r="D23" s="3">
        <f t="shared" si="6"/>
        <v>26519.039999999994</v>
      </c>
      <c r="E23" s="3">
        <f t="shared" si="7"/>
        <v>199.35999999999999</v>
      </c>
      <c r="F23" s="3">
        <f t="shared" si="1"/>
        <v>2.4431999999999992</v>
      </c>
      <c r="G23" s="3">
        <f t="shared" si="2"/>
        <v>2.4431999999999992</v>
      </c>
      <c r="H23" s="3">
        <f t="shared" si="3"/>
        <v>1</v>
      </c>
      <c r="I23" s="3">
        <f t="shared" si="4"/>
        <v>1</v>
      </c>
      <c r="J23" s="3">
        <f t="shared" si="8"/>
        <v>299.03999999999996</v>
      </c>
    </row>
    <row r="24" spans="1:10" x14ac:dyDescent="0.2">
      <c r="A24" s="3">
        <v>1.6</v>
      </c>
      <c r="B24" s="3">
        <f t="shared" si="0"/>
        <v>4784.6400000000003</v>
      </c>
      <c r="C24" s="3">
        <f t="shared" si="5"/>
        <v>515.35999999999967</v>
      </c>
      <c r="D24" s="3">
        <f t="shared" si="6"/>
        <v>27343.615999999995</v>
      </c>
      <c r="E24" s="3">
        <f t="shared" si="7"/>
        <v>186.89999999999998</v>
      </c>
      <c r="F24" s="3">
        <f t="shared" si="1"/>
        <v>1.546079999999999</v>
      </c>
      <c r="G24" s="3">
        <f t="shared" si="2"/>
        <v>1.546079999999999</v>
      </c>
      <c r="H24" s="3">
        <f t="shared" si="3"/>
        <v>1</v>
      </c>
      <c r="I24" s="3">
        <f t="shared" si="4"/>
        <v>1</v>
      </c>
      <c r="J24" s="3">
        <f t="shared" si="8"/>
        <v>299.03999999999996</v>
      </c>
    </row>
    <row r="25" spans="1:10" x14ac:dyDescent="0.2">
      <c r="A25" s="3">
        <v>1.7</v>
      </c>
      <c r="B25" s="3">
        <f t="shared" si="0"/>
        <v>5083.68</v>
      </c>
      <c r="C25" s="3">
        <f t="shared" si="5"/>
        <v>216.31999999999971</v>
      </c>
      <c r="D25" s="3">
        <f t="shared" si="6"/>
        <v>27711.359999999993</v>
      </c>
      <c r="E25" s="3">
        <f t="shared" si="7"/>
        <v>175.90588235294115</v>
      </c>
      <c r="F25" s="3">
        <f t="shared" si="1"/>
        <v>0.64895999999999909</v>
      </c>
      <c r="G25" s="3">
        <f t="shared" si="2"/>
        <v>0.64895999999999909</v>
      </c>
      <c r="H25" s="3">
        <f t="shared" si="3"/>
        <v>0.64895999999999909</v>
      </c>
      <c r="I25" s="3">
        <f t="shared" si="4"/>
        <v>0.64895999999999909</v>
      </c>
      <c r="J25" s="3">
        <f t="shared" si="8"/>
        <v>299.03999999999996</v>
      </c>
    </row>
    <row r="26" spans="1:10" x14ac:dyDescent="0.2">
      <c r="A26" s="3">
        <v>1.8</v>
      </c>
      <c r="B26" s="3">
        <f t="shared" si="0"/>
        <v>5277.7449984000004</v>
      </c>
      <c r="C26" s="3">
        <f t="shared" si="5"/>
        <v>22.255001599999559</v>
      </c>
      <c r="D26" s="3">
        <f t="shared" si="6"/>
        <v>27751.419002879993</v>
      </c>
      <c r="E26" s="3">
        <f t="shared" si="7"/>
        <v>107.81388800000008</v>
      </c>
      <c r="F26" s="3">
        <f t="shared" si="1"/>
        <v>6.6765004799998681E-2</v>
      </c>
      <c r="G26" s="3">
        <f t="shared" si="2"/>
        <v>6.6765004799998681E-2</v>
      </c>
      <c r="H26" s="3">
        <f t="shared" si="3"/>
        <v>6.6765004799998681E-2</v>
      </c>
      <c r="I26" s="3">
        <f t="shared" si="4"/>
        <v>6.6765004799998681E-2</v>
      </c>
      <c r="J26" s="3">
        <f t="shared" si="8"/>
        <v>194.06499840000015</v>
      </c>
    </row>
    <row r="27" spans="1:10" x14ac:dyDescent="0.2">
      <c r="A27" s="3">
        <v>1.9</v>
      </c>
      <c r="B27" s="3">
        <f t="shared" si="0"/>
        <v>5297.7104054353922</v>
      </c>
      <c r="C27" s="3">
        <f t="shared" si="5"/>
        <v>2.2895945646077962</v>
      </c>
      <c r="D27" s="3">
        <f t="shared" si="6"/>
        <v>27755.76923255275</v>
      </c>
      <c r="E27" s="3">
        <f t="shared" si="7"/>
        <v>10.508108965995666</v>
      </c>
      <c r="F27" s="3">
        <f t="shared" si="1"/>
        <v>6.8687836938233883E-3</v>
      </c>
      <c r="G27" s="3">
        <f t="shared" si="2"/>
        <v>0</v>
      </c>
      <c r="H27" s="3">
        <f t="shared" si="3"/>
        <v>0</v>
      </c>
      <c r="I27" s="3">
        <f t="shared" si="4"/>
        <v>0</v>
      </c>
      <c r="J27" s="3">
        <f t="shared" si="8"/>
        <v>19.965407035391763</v>
      </c>
    </row>
    <row r="28" spans="1:10" x14ac:dyDescent="0.2">
      <c r="A28" s="3">
        <v>2</v>
      </c>
      <c r="B28" s="3">
        <f t="shared" si="0"/>
        <v>5297.7104054353922</v>
      </c>
      <c r="C28" s="3">
        <f t="shared" si="5"/>
        <v>2.2895945646077962</v>
      </c>
      <c r="D28" s="3">
        <f t="shared" si="6"/>
        <v>27760.348421681963</v>
      </c>
      <c r="E28" s="3">
        <f t="shared" si="7"/>
        <v>0</v>
      </c>
      <c r="F28" s="3">
        <f t="shared" si="1"/>
        <v>6.8687836938233883E-3</v>
      </c>
      <c r="G28" s="3">
        <f t="shared" si="2"/>
        <v>0</v>
      </c>
      <c r="H28" s="3">
        <f t="shared" si="3"/>
        <v>0</v>
      </c>
      <c r="I28" s="3">
        <f t="shared" si="4"/>
        <v>0</v>
      </c>
      <c r="J28" s="3">
        <f t="shared" si="8"/>
        <v>0</v>
      </c>
    </row>
    <row r="29" spans="1:10" x14ac:dyDescent="0.2">
      <c r="A29" s="3">
        <v>2.1</v>
      </c>
      <c r="B29" s="3">
        <f t="shared" si="0"/>
        <v>5297.7104054353922</v>
      </c>
      <c r="C29" s="3">
        <f t="shared" si="5"/>
        <v>2.2895945646077962</v>
      </c>
      <c r="D29" s="3">
        <f t="shared" si="6"/>
        <v>27765.156570267638</v>
      </c>
      <c r="E29" s="3">
        <f t="shared" si="7"/>
        <v>0</v>
      </c>
      <c r="F29" s="3">
        <f t="shared" si="1"/>
        <v>6.8687836938233883E-3</v>
      </c>
      <c r="G29" s="3">
        <f t="shared" si="2"/>
        <v>0</v>
      </c>
      <c r="H29" s="3">
        <f t="shared" si="3"/>
        <v>0</v>
      </c>
      <c r="I29" s="3">
        <f t="shared" si="4"/>
        <v>0</v>
      </c>
      <c r="J29" s="3">
        <f t="shared" si="8"/>
        <v>0</v>
      </c>
    </row>
    <row r="30" spans="1:10" x14ac:dyDescent="0.2">
      <c r="A30" s="3">
        <v>2.2000000000000002</v>
      </c>
      <c r="B30" s="3">
        <f t="shared" si="0"/>
        <v>5297.7104054353922</v>
      </c>
      <c r="C30" s="3">
        <f t="shared" si="5"/>
        <v>2.2895945646077962</v>
      </c>
      <c r="D30" s="3">
        <f t="shared" si="6"/>
        <v>27770.193678309774</v>
      </c>
      <c r="E30" s="3">
        <f t="shared" si="7"/>
        <v>0</v>
      </c>
      <c r="F30" s="3">
        <f t="shared" si="1"/>
        <v>6.8687836938233883E-3</v>
      </c>
      <c r="G30" s="3">
        <f t="shared" si="2"/>
        <v>0</v>
      </c>
      <c r="H30" s="3">
        <f t="shared" si="3"/>
        <v>0</v>
      </c>
      <c r="I30" s="3">
        <f t="shared" si="4"/>
        <v>0</v>
      </c>
      <c r="J30" s="3">
        <f t="shared" si="8"/>
        <v>0</v>
      </c>
    </row>
    <row r="31" spans="1:10" x14ac:dyDescent="0.2">
      <c r="A31" s="3">
        <v>2.2999999999999998</v>
      </c>
      <c r="B31" s="3">
        <f t="shared" si="0"/>
        <v>5297.7104054353922</v>
      </c>
      <c r="C31" s="3">
        <f t="shared" si="5"/>
        <v>2.2895945646077962</v>
      </c>
      <c r="D31" s="3">
        <f t="shared" si="6"/>
        <v>27775.45974580837</v>
      </c>
      <c r="E31" s="3">
        <f t="shared" si="7"/>
        <v>0</v>
      </c>
      <c r="F31" s="3">
        <f t="shared" si="1"/>
        <v>6.8687836938233883E-3</v>
      </c>
      <c r="G31" s="3">
        <f t="shared" si="2"/>
        <v>0</v>
      </c>
      <c r="H31" s="3">
        <f t="shared" si="3"/>
        <v>0</v>
      </c>
      <c r="I31" s="3">
        <f t="shared" si="4"/>
        <v>0</v>
      </c>
      <c r="J31" s="3">
        <f t="shared" si="8"/>
        <v>0</v>
      </c>
    </row>
    <row r="32" spans="1:10" x14ac:dyDescent="0.2">
      <c r="A32" s="3">
        <v>2.4</v>
      </c>
      <c r="B32" s="3">
        <f t="shared" si="0"/>
        <v>5297.7104054353922</v>
      </c>
      <c r="C32" s="3">
        <f t="shared" si="5"/>
        <v>2.2895945646077962</v>
      </c>
      <c r="D32" s="3">
        <f t="shared" si="6"/>
        <v>27780.954772763427</v>
      </c>
      <c r="E32" s="3">
        <f t="shared" si="7"/>
        <v>0</v>
      </c>
      <c r="F32" s="3">
        <f t="shared" si="1"/>
        <v>6.8687836938233883E-3</v>
      </c>
      <c r="G32" s="3">
        <f t="shared" si="2"/>
        <v>0</v>
      </c>
      <c r="H32" s="3">
        <f t="shared" si="3"/>
        <v>0</v>
      </c>
      <c r="I32" s="3">
        <f t="shared" si="4"/>
        <v>0</v>
      </c>
      <c r="J32" s="3">
        <f t="shared" si="8"/>
        <v>0</v>
      </c>
    </row>
    <row r="33" spans="1:10" x14ac:dyDescent="0.2">
      <c r="A33" s="3">
        <v>2.5</v>
      </c>
      <c r="B33" s="3">
        <f t="shared" si="0"/>
        <v>5297.7104054353922</v>
      </c>
      <c r="C33" s="3">
        <f t="shared" si="5"/>
        <v>2.2895945646077962</v>
      </c>
      <c r="D33" s="3">
        <f t="shared" si="6"/>
        <v>27786.678759174945</v>
      </c>
      <c r="E33" s="3">
        <f t="shared" si="7"/>
        <v>0</v>
      </c>
      <c r="F33" s="3">
        <f t="shared" si="1"/>
        <v>6.8687836938233883E-3</v>
      </c>
      <c r="G33" s="3">
        <f t="shared" si="2"/>
        <v>0</v>
      </c>
      <c r="H33" s="3">
        <f t="shared" si="3"/>
        <v>0</v>
      </c>
      <c r="I33" s="3">
        <f t="shared" si="4"/>
        <v>0</v>
      </c>
      <c r="J33" s="3">
        <f t="shared" si="8"/>
        <v>0</v>
      </c>
    </row>
    <row r="34" spans="1:10" x14ac:dyDescent="0.2">
      <c r="A34" s="3">
        <v>2.6</v>
      </c>
      <c r="B34" s="3">
        <f t="shared" si="0"/>
        <v>5297.7104054353922</v>
      </c>
      <c r="C34" s="3">
        <f t="shared" si="5"/>
        <v>2.2895945646077962</v>
      </c>
      <c r="D34" s="3">
        <f t="shared" si="6"/>
        <v>27792.631705042924</v>
      </c>
      <c r="E34" s="3">
        <f t="shared" si="7"/>
        <v>0</v>
      </c>
      <c r="F34" s="3">
        <f t="shared" si="1"/>
        <v>6.8687836938233883E-3</v>
      </c>
      <c r="G34" s="3">
        <f t="shared" si="2"/>
        <v>0</v>
      </c>
      <c r="H34" s="3">
        <f t="shared" si="3"/>
        <v>0</v>
      </c>
      <c r="I34" s="3">
        <f t="shared" si="4"/>
        <v>0</v>
      </c>
      <c r="J34" s="3">
        <f t="shared" si="8"/>
        <v>0</v>
      </c>
    </row>
    <row r="35" spans="1:10" x14ac:dyDescent="0.2">
      <c r="A35" s="3">
        <v>2.7</v>
      </c>
      <c r="B35" s="3">
        <f t="shared" si="0"/>
        <v>5297.7104054353922</v>
      </c>
      <c r="C35" s="3">
        <f t="shared" si="5"/>
        <v>2.2895945646077962</v>
      </c>
      <c r="D35" s="3">
        <f t="shared" si="6"/>
        <v>27798.813610367364</v>
      </c>
      <c r="E35" s="3">
        <f t="shared" si="7"/>
        <v>0</v>
      </c>
      <c r="F35" s="3">
        <f t="shared" si="1"/>
        <v>6.8687836938233883E-3</v>
      </c>
      <c r="G35" s="3">
        <f t="shared" si="2"/>
        <v>0</v>
      </c>
      <c r="H35" s="3">
        <f t="shared" si="3"/>
        <v>0</v>
      </c>
      <c r="I35" s="3">
        <f t="shared" si="4"/>
        <v>0</v>
      </c>
      <c r="J35" s="3">
        <f t="shared" si="8"/>
        <v>0</v>
      </c>
    </row>
    <row r="36" spans="1:10" x14ac:dyDescent="0.2">
      <c r="A36" s="3">
        <v>2.8</v>
      </c>
      <c r="B36" s="3">
        <f t="shared" si="0"/>
        <v>5297.7104054353922</v>
      </c>
      <c r="C36" s="3">
        <f t="shared" si="5"/>
        <v>2.2895945646077962</v>
      </c>
      <c r="D36" s="3">
        <f t="shared" si="6"/>
        <v>27805.224475148265</v>
      </c>
      <c r="E36" s="3">
        <f t="shared" si="7"/>
        <v>0</v>
      </c>
      <c r="F36" s="3">
        <f t="shared" si="1"/>
        <v>6.8687836938233883E-3</v>
      </c>
      <c r="G36" s="3">
        <f t="shared" si="2"/>
        <v>0</v>
      </c>
      <c r="H36" s="3">
        <f t="shared" si="3"/>
        <v>0</v>
      </c>
      <c r="I36" s="3">
        <f t="shared" si="4"/>
        <v>0</v>
      </c>
      <c r="J36" s="3">
        <f t="shared" si="8"/>
        <v>0</v>
      </c>
    </row>
    <row r="37" spans="1:10" x14ac:dyDescent="0.2">
      <c r="A37" s="3">
        <v>2.9</v>
      </c>
      <c r="B37" s="3">
        <f t="shared" si="0"/>
        <v>5297.7104054353922</v>
      </c>
      <c r="C37" s="3">
        <f t="shared" si="5"/>
        <v>2.2895945646077962</v>
      </c>
      <c r="D37" s="3">
        <f t="shared" si="6"/>
        <v>27811.864299385627</v>
      </c>
      <c r="E37" s="3">
        <f t="shared" si="7"/>
        <v>0</v>
      </c>
      <c r="F37" s="3">
        <f t="shared" si="1"/>
        <v>6.8687836938233883E-3</v>
      </c>
      <c r="G37" s="3">
        <f t="shared" si="2"/>
        <v>0</v>
      </c>
      <c r="H37" s="3">
        <f t="shared" si="3"/>
        <v>0</v>
      </c>
      <c r="I37" s="3">
        <f t="shared" si="4"/>
        <v>0</v>
      </c>
      <c r="J37" s="3">
        <f t="shared" si="8"/>
        <v>0</v>
      </c>
    </row>
    <row r="38" spans="1:1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2">
      <c r="A39" s="3" t="s">
        <v>83</v>
      </c>
      <c r="B39" s="3" t="s">
        <v>11</v>
      </c>
      <c r="C39" s="3"/>
      <c r="D39" s="3"/>
      <c r="E39" s="3"/>
      <c r="F39" s="3"/>
      <c r="G39" s="3"/>
      <c r="H39" s="3"/>
      <c r="I39" s="3"/>
      <c r="J39" s="3"/>
    </row>
    <row r="40" spans="1:10" x14ac:dyDescent="0.2">
      <c r="A40" s="3">
        <f>A37-A36</f>
        <v>0.10000000000000009</v>
      </c>
      <c r="B40" s="3">
        <f>B36-B37</f>
        <v>0</v>
      </c>
      <c r="C40" s="3"/>
      <c r="D40" s="3"/>
      <c r="E40" s="3"/>
      <c r="F40" s="3"/>
      <c r="G40" s="3"/>
      <c r="H40" s="3"/>
      <c r="I40" s="3"/>
      <c r="J40" s="3"/>
    </row>
    <row r="41" spans="1:1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 spans="1:1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247B-4B46-2646-8A86-E2EFFB205D41}">
  <dimension ref="A2:L15"/>
  <sheetViews>
    <sheetView workbookViewId="0">
      <selection activeCell="H25" sqref="H25"/>
    </sheetView>
  </sheetViews>
  <sheetFormatPr baseColWidth="10" defaultRowHeight="16" x14ac:dyDescent="0.2"/>
  <sheetData>
    <row r="2" spans="1:12" x14ac:dyDescent="0.2">
      <c r="E2">
        <f>PI()</f>
        <v>3.1415926535897931</v>
      </c>
      <c r="F2">
        <f>2*E2/36</f>
        <v>0.17453292519943295</v>
      </c>
    </row>
    <row r="3" spans="1:12" x14ac:dyDescent="0.2">
      <c r="E3" t="s">
        <v>15</v>
      </c>
      <c r="F3">
        <v>0</v>
      </c>
    </row>
    <row r="5" spans="1:12" x14ac:dyDescent="0.2">
      <c r="A5" t="s">
        <v>25</v>
      </c>
      <c r="B5" t="s">
        <v>24</v>
      </c>
      <c r="C5" t="s">
        <v>26</v>
      </c>
      <c r="D5" t="s">
        <v>19</v>
      </c>
      <c r="E5" t="s">
        <v>14</v>
      </c>
      <c r="F5" t="s">
        <v>16</v>
      </c>
      <c r="G5" t="s">
        <v>17</v>
      </c>
      <c r="H5" t="s">
        <v>18</v>
      </c>
      <c r="I5" t="s">
        <v>21</v>
      </c>
      <c r="J5" t="s">
        <v>20</v>
      </c>
      <c r="K5" t="s">
        <v>22</v>
      </c>
      <c r="L5" t="s">
        <v>23</v>
      </c>
    </row>
    <row r="6" spans="1:12" x14ac:dyDescent="0.2">
      <c r="A6">
        <v>0</v>
      </c>
      <c r="B6">
        <v>1</v>
      </c>
      <c r="C6">
        <f>ATAN2(-A6,B6)</f>
        <v>1.5707963267948966</v>
      </c>
      <c r="D6">
        <f>SQRT(A6*A6+B6*B6)</f>
        <v>1</v>
      </c>
      <c r="E6">
        <f>C6-PI()/4</f>
        <v>0.78539816339744828</v>
      </c>
      <c r="F6">
        <f>SIN(E6)</f>
        <v>0.70710678118654746</v>
      </c>
      <c r="G6">
        <f>COS(E6)</f>
        <v>0.70710678118654757</v>
      </c>
      <c r="H6">
        <f>2*IF(D6+ABS($F$3)&gt;1,1/($F$3+D6),1/SQRT(2))</f>
        <v>1.4142135623730949</v>
      </c>
      <c r="I6">
        <f>H6*(D6*F6-$F$3)</f>
        <v>0.99999999999999978</v>
      </c>
      <c r="J6">
        <f>H6*(D6*G6-$F$3)</f>
        <v>1</v>
      </c>
      <c r="K6">
        <f>H6*(D6*F6-$F$3)</f>
        <v>0.99999999999999978</v>
      </c>
      <c r="L6">
        <f>H6*(D6*G6+$F$3)</f>
        <v>1</v>
      </c>
    </row>
    <row r="11" spans="1:12" x14ac:dyDescent="0.2">
      <c r="D11" t="s">
        <v>23</v>
      </c>
      <c r="E11">
        <f>L6</f>
        <v>1</v>
      </c>
      <c r="G11">
        <f>I6</f>
        <v>0.99999999999999978</v>
      </c>
      <c r="H11" t="s">
        <v>21</v>
      </c>
    </row>
    <row r="15" spans="1:12" x14ac:dyDescent="0.2">
      <c r="D15" t="s">
        <v>22</v>
      </c>
      <c r="E15">
        <f>K6</f>
        <v>0.99999999999999978</v>
      </c>
      <c r="G15">
        <f>J6</f>
        <v>1</v>
      </c>
      <c r="H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34B4-81B7-9A4B-BCA9-27D6F26AC1E9}">
  <dimension ref="A4:C15"/>
  <sheetViews>
    <sheetView workbookViewId="0">
      <selection activeCell="C5" sqref="C5:C15"/>
    </sheetView>
  </sheetViews>
  <sheetFormatPr baseColWidth="10" defaultRowHeight="16" x14ac:dyDescent="0.2"/>
  <sheetData>
    <row r="4" spans="1:3" x14ac:dyDescent="0.2">
      <c r="A4" t="s">
        <v>5</v>
      </c>
      <c r="B4" t="s">
        <v>41</v>
      </c>
      <c r="C4" t="s">
        <v>19</v>
      </c>
    </row>
    <row r="5" spans="1:3" x14ac:dyDescent="0.2">
      <c r="A5">
        <v>0</v>
      </c>
      <c r="B5">
        <f>A5*PI()</f>
        <v>0</v>
      </c>
      <c r="C5">
        <f>SIN(B5)</f>
        <v>0</v>
      </c>
    </row>
    <row r="6" spans="1:3" x14ac:dyDescent="0.2">
      <c r="A6">
        <v>0.1</v>
      </c>
      <c r="B6">
        <f t="shared" ref="B6:B15" si="0">A6*PI()</f>
        <v>0.31415926535897931</v>
      </c>
      <c r="C6">
        <f>SIN(B6)</f>
        <v>0.3090169943749474</v>
      </c>
    </row>
    <row r="7" spans="1:3" x14ac:dyDescent="0.2">
      <c r="A7">
        <v>0.2</v>
      </c>
      <c r="B7">
        <f t="shared" si="0"/>
        <v>0.62831853071795862</v>
      </c>
      <c r="C7">
        <f t="shared" ref="C7:C15" si="1">SIN(B7)</f>
        <v>0.58778525229247314</v>
      </c>
    </row>
    <row r="8" spans="1:3" x14ac:dyDescent="0.2">
      <c r="A8">
        <v>0.3</v>
      </c>
      <c r="B8">
        <f t="shared" si="0"/>
        <v>0.94247779607693793</v>
      </c>
      <c r="C8">
        <f t="shared" si="1"/>
        <v>0.80901699437494745</v>
      </c>
    </row>
    <row r="9" spans="1:3" x14ac:dyDescent="0.2">
      <c r="A9">
        <v>0.4</v>
      </c>
      <c r="B9">
        <f t="shared" si="0"/>
        <v>1.2566370614359172</v>
      </c>
      <c r="C9">
        <f t="shared" si="1"/>
        <v>0.95105651629515353</v>
      </c>
    </row>
    <row r="10" spans="1:3" x14ac:dyDescent="0.2">
      <c r="A10">
        <v>0.5</v>
      </c>
      <c r="B10">
        <f t="shared" si="0"/>
        <v>1.5707963267948966</v>
      </c>
      <c r="C10">
        <f t="shared" si="1"/>
        <v>1</v>
      </c>
    </row>
    <row r="11" spans="1:3" x14ac:dyDescent="0.2">
      <c r="A11">
        <v>0.6</v>
      </c>
      <c r="B11">
        <f t="shared" si="0"/>
        <v>1.8849555921538759</v>
      </c>
      <c r="C11">
        <f t="shared" si="1"/>
        <v>0.95105651629515364</v>
      </c>
    </row>
    <row r="12" spans="1:3" x14ac:dyDescent="0.2">
      <c r="A12">
        <v>0.7</v>
      </c>
      <c r="B12">
        <f t="shared" si="0"/>
        <v>2.1991148575128552</v>
      </c>
      <c r="C12">
        <f t="shared" si="1"/>
        <v>0.80901699437494745</v>
      </c>
    </row>
    <row r="13" spans="1:3" x14ac:dyDescent="0.2">
      <c r="A13">
        <v>0.8</v>
      </c>
      <c r="B13">
        <f t="shared" si="0"/>
        <v>2.5132741228718345</v>
      </c>
      <c r="C13">
        <f t="shared" si="1"/>
        <v>0.58778525229247325</v>
      </c>
    </row>
    <row r="14" spans="1:3" x14ac:dyDescent="0.2">
      <c r="A14">
        <v>0.9</v>
      </c>
      <c r="B14">
        <f t="shared" si="0"/>
        <v>2.8274333882308138</v>
      </c>
      <c r="C14">
        <f t="shared" si="1"/>
        <v>0.30901699437494751</v>
      </c>
    </row>
    <row r="15" spans="1:3" x14ac:dyDescent="0.2">
      <c r="A15">
        <v>1</v>
      </c>
      <c r="B15">
        <f t="shared" si="0"/>
        <v>3.1415926535897931</v>
      </c>
      <c r="C15">
        <f t="shared" si="1"/>
        <v>1.22514845490862E-16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B278-53BF-424D-95F9-0C3227BF9337}">
  <dimension ref="A3:J43"/>
  <sheetViews>
    <sheetView workbookViewId="0">
      <selection activeCell="B39" sqref="B39"/>
    </sheetView>
  </sheetViews>
  <sheetFormatPr baseColWidth="10" defaultRowHeight="16" x14ac:dyDescent="0.2"/>
  <sheetData>
    <row r="3" spans="1:10" x14ac:dyDescent="0.2">
      <c r="A3" t="s">
        <v>31</v>
      </c>
      <c r="C3">
        <v>1120</v>
      </c>
    </row>
    <row r="4" spans="1:10" x14ac:dyDescent="0.2">
      <c r="A4" t="s">
        <v>32</v>
      </c>
      <c r="C4">
        <v>32</v>
      </c>
    </row>
    <row r="5" spans="1:10" x14ac:dyDescent="0.2">
      <c r="A5" t="s">
        <v>33</v>
      </c>
      <c r="C5">
        <v>24</v>
      </c>
    </row>
    <row r="6" spans="1:10" x14ac:dyDescent="0.2">
      <c r="A6" t="s">
        <v>34</v>
      </c>
      <c r="C6">
        <v>3.3</v>
      </c>
      <c r="F6" t="s">
        <v>47</v>
      </c>
      <c r="H6">
        <f>C27+0.2</f>
        <v>0.22712948359932286</v>
      </c>
    </row>
    <row r="7" spans="1:10" x14ac:dyDescent="0.2">
      <c r="F7" t="s">
        <v>48</v>
      </c>
      <c r="H7">
        <f>H6/10</f>
        <v>2.2712948359932286E-2</v>
      </c>
    </row>
    <row r="8" spans="1:10" x14ac:dyDescent="0.2">
      <c r="A8" t="s">
        <v>35</v>
      </c>
      <c r="C8">
        <f>C4/C5</f>
        <v>1.3333333333333333</v>
      </c>
    </row>
    <row r="9" spans="1:10" x14ac:dyDescent="0.2">
      <c r="A9" t="s">
        <v>36</v>
      </c>
      <c r="C9">
        <f>PI()*C6</f>
        <v>10.367255756846317</v>
      </c>
    </row>
    <row r="10" spans="1:10" x14ac:dyDescent="0.2">
      <c r="A10" t="s">
        <v>37</v>
      </c>
      <c r="C10">
        <f>C9*(C8/C3)</f>
        <v>1.2341971139102757E-2</v>
      </c>
      <c r="H10" t="s">
        <v>5</v>
      </c>
      <c r="I10" t="s">
        <v>49</v>
      </c>
      <c r="J10" t="s">
        <v>19</v>
      </c>
    </row>
    <row r="11" spans="1:10" x14ac:dyDescent="0.2">
      <c r="A11" t="s">
        <v>68</v>
      </c>
      <c r="C11">
        <f>(C3*(1/C8)/(C6*3.1415))</f>
        <v>81.026724349977584</v>
      </c>
      <c r="G11">
        <v>1</v>
      </c>
      <c r="H11">
        <f>0</f>
        <v>0</v>
      </c>
      <c r="I11">
        <f>(H11+$H$21/10)*PI()/$H$21</f>
        <v>0.31415926535897931</v>
      </c>
      <c r="J11">
        <f>SIN(I11)</f>
        <v>0.3090169943749474</v>
      </c>
    </row>
    <row r="12" spans="1:10" x14ac:dyDescent="0.2">
      <c r="C12">
        <f>18*C11</f>
        <v>1458.4810382995965</v>
      </c>
      <c r="D12">
        <v>1527.6</v>
      </c>
      <c r="G12">
        <v>2</v>
      </c>
      <c r="H12">
        <f>H11+$H$7</f>
        <v>2.2712948359932286E-2</v>
      </c>
      <c r="I12">
        <f t="shared" ref="I12:I20" si="0">(H12+$H$21/10)*PI()/$H$21</f>
        <v>0.62831853071795862</v>
      </c>
      <c r="J12">
        <f t="shared" ref="J12:J20" si="1">SIN(I12)</f>
        <v>0.58778525229247314</v>
      </c>
    </row>
    <row r="13" spans="1:10" x14ac:dyDescent="0.2">
      <c r="G13">
        <v>3</v>
      </c>
      <c r="H13">
        <f t="shared" ref="H13:H20" si="2">H12+$H$7</f>
        <v>4.5425896719864571E-2</v>
      </c>
      <c r="I13">
        <f t="shared" si="0"/>
        <v>0.94247779607693793</v>
      </c>
      <c r="J13">
        <f t="shared" si="1"/>
        <v>0.80901699437494745</v>
      </c>
    </row>
    <row r="14" spans="1:10" x14ac:dyDescent="0.2">
      <c r="A14" t="s">
        <v>38</v>
      </c>
      <c r="C14">
        <v>16</v>
      </c>
      <c r="G14">
        <v>4</v>
      </c>
      <c r="H14">
        <f t="shared" si="2"/>
        <v>6.8138845079796853E-2</v>
      </c>
      <c r="I14">
        <f t="shared" si="0"/>
        <v>1.2566370614359172</v>
      </c>
      <c r="J14">
        <f t="shared" si="1"/>
        <v>0.95105651629515353</v>
      </c>
    </row>
    <row r="15" spans="1:10" x14ac:dyDescent="0.2">
      <c r="A15" t="s">
        <v>39</v>
      </c>
      <c r="C15">
        <f>PI()*C14</f>
        <v>50.26548245743669</v>
      </c>
      <c r="G15">
        <v>5</v>
      </c>
      <c r="H15">
        <f t="shared" si="2"/>
        <v>9.0851793439729142E-2</v>
      </c>
      <c r="I15">
        <f t="shared" si="0"/>
        <v>1.5707963267948966</v>
      </c>
      <c r="J15">
        <f t="shared" si="1"/>
        <v>1</v>
      </c>
    </row>
    <row r="16" spans="1:10" x14ac:dyDescent="0.2">
      <c r="A16" t="s">
        <v>40</v>
      </c>
      <c r="C16">
        <f>FLOOR((90/360)*C15/C10,1)</f>
        <v>1018</v>
      </c>
      <c r="G16">
        <v>6</v>
      </c>
      <c r="H16">
        <f t="shared" si="2"/>
        <v>0.11356474179966143</v>
      </c>
      <c r="I16">
        <f t="shared" si="0"/>
        <v>1.8849555921538759</v>
      </c>
      <c r="J16">
        <f t="shared" si="1"/>
        <v>0.95105651629515364</v>
      </c>
    </row>
    <row r="17" spans="1:10" x14ac:dyDescent="0.2">
      <c r="G17">
        <v>7</v>
      </c>
      <c r="H17">
        <f t="shared" si="2"/>
        <v>0.13627769015959371</v>
      </c>
      <c r="I17">
        <f t="shared" si="0"/>
        <v>2.1991148575128552</v>
      </c>
      <c r="J17">
        <f t="shared" si="1"/>
        <v>0.80901699437494745</v>
      </c>
    </row>
    <row r="18" spans="1:10" x14ac:dyDescent="0.2">
      <c r="G18">
        <v>8</v>
      </c>
      <c r="H18">
        <f t="shared" si="2"/>
        <v>0.158990638519526</v>
      </c>
      <c r="I18">
        <f t="shared" si="0"/>
        <v>2.5132741228718345</v>
      </c>
      <c r="J18">
        <f t="shared" si="1"/>
        <v>0.58778525229247325</v>
      </c>
    </row>
    <row r="19" spans="1:10" x14ac:dyDescent="0.2">
      <c r="G19">
        <v>9</v>
      </c>
      <c r="H19">
        <f t="shared" si="2"/>
        <v>0.18170358687945828</v>
      </c>
      <c r="I19">
        <f t="shared" si="0"/>
        <v>2.8274333882308138</v>
      </c>
      <c r="J19">
        <f t="shared" si="1"/>
        <v>0.30901699437494751</v>
      </c>
    </row>
    <row r="20" spans="1:10" x14ac:dyDescent="0.2">
      <c r="A20" t="s">
        <v>42</v>
      </c>
      <c r="C20">
        <v>160</v>
      </c>
      <c r="D20" t="s">
        <v>43</v>
      </c>
      <c r="G20">
        <v>10</v>
      </c>
      <c r="H20">
        <f t="shared" si="2"/>
        <v>0.20441653523939057</v>
      </c>
      <c r="I20">
        <f t="shared" si="0"/>
        <v>3.1415926535897931</v>
      </c>
      <c r="J20">
        <f t="shared" si="1"/>
        <v>1.22514845490862E-16</v>
      </c>
    </row>
    <row r="21" spans="1:10" x14ac:dyDescent="0.2">
      <c r="C21">
        <f>C20/60</f>
        <v>2.6666666666666665</v>
      </c>
      <c r="D21" t="s">
        <v>44</v>
      </c>
      <c r="H21">
        <f>H20+$H$7</f>
        <v>0.22712948359932286</v>
      </c>
    </row>
    <row r="23" spans="1:10" x14ac:dyDescent="0.2">
      <c r="A23" t="s">
        <v>45</v>
      </c>
      <c r="C23">
        <f>1/C21</f>
        <v>0.375</v>
      </c>
    </row>
    <row r="24" spans="1:10" x14ac:dyDescent="0.2">
      <c r="A24" t="s">
        <v>46</v>
      </c>
      <c r="C24">
        <f>C3/C23</f>
        <v>2986.6666666666665</v>
      </c>
      <c r="D24">
        <f>C21*C3</f>
        <v>2986.6666666666665</v>
      </c>
    </row>
    <row r="27" spans="1:10" x14ac:dyDescent="0.2">
      <c r="A27" t="s">
        <v>55</v>
      </c>
      <c r="C27">
        <f>C11/C24</f>
        <v>2.7129483599322855E-2</v>
      </c>
    </row>
    <row r="28" spans="1:10" x14ac:dyDescent="0.2">
      <c r="A28" t="s">
        <v>56</v>
      </c>
      <c r="C28">
        <f>C24/C11</f>
        <v>36.860266666666661</v>
      </c>
    </row>
    <row r="30" spans="1:10" x14ac:dyDescent="0.2">
      <c r="E30" t="s">
        <v>57</v>
      </c>
      <c r="F30">
        <v>1500</v>
      </c>
    </row>
    <row r="31" spans="1:10" x14ac:dyDescent="0.2">
      <c r="E31" t="s">
        <v>58</v>
      </c>
      <c r="F31">
        <f>FLOOR(F30*(1/C24)*1000,1)</f>
        <v>502</v>
      </c>
    </row>
    <row r="32" spans="1:10" x14ac:dyDescent="0.2">
      <c r="E32" t="s">
        <v>59</v>
      </c>
      <c r="F32">
        <f>FLOOR(F31*1.1,1)</f>
        <v>552</v>
      </c>
    </row>
    <row r="33" spans="2:7" x14ac:dyDescent="0.2">
      <c r="E33" t="s">
        <v>60</v>
      </c>
      <c r="F33">
        <f>FLOOR(F32/10,1)</f>
        <v>55</v>
      </c>
    </row>
    <row r="36" spans="2:7" x14ac:dyDescent="0.2">
      <c r="B36">
        <f>100*(3.77-3.15)/3.77</f>
        <v>16.445623342175072</v>
      </c>
      <c r="C36">
        <v>5</v>
      </c>
    </row>
    <row r="37" spans="2:7" x14ac:dyDescent="0.2">
      <c r="B37">
        <f>B36/C36</f>
        <v>3.2891246684350142</v>
      </c>
    </row>
    <row r="38" spans="2:7" x14ac:dyDescent="0.2">
      <c r="B38">
        <f>2*B37</f>
        <v>6.5782493368700283</v>
      </c>
    </row>
    <row r="39" spans="2:7" x14ac:dyDescent="0.2">
      <c r="B39">
        <f>(1-B38/100)*3.77</f>
        <v>3.5219999999999998</v>
      </c>
    </row>
    <row r="41" spans="2:7" x14ac:dyDescent="0.2">
      <c r="D41" t="s">
        <v>57</v>
      </c>
      <c r="E41" t="s">
        <v>82</v>
      </c>
    </row>
    <row r="42" spans="2:7" x14ac:dyDescent="0.2">
      <c r="D42">
        <v>1273</v>
      </c>
      <c r="E42">
        <v>15</v>
      </c>
      <c r="G42">
        <f>E43*D42/E42</f>
        <v>1527.6</v>
      </c>
    </row>
    <row r="43" spans="2:7" x14ac:dyDescent="0.2">
      <c r="E43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8A15-D43C-DE46-BC51-386F026FBAD3}">
  <dimension ref="A4:E33"/>
  <sheetViews>
    <sheetView workbookViewId="0">
      <selection activeCell="E14" sqref="E14"/>
    </sheetView>
  </sheetViews>
  <sheetFormatPr baseColWidth="10" defaultRowHeight="16" x14ac:dyDescent="0.2"/>
  <cols>
    <col min="2" max="2" width="12.83203125" bestFit="1" customWidth="1"/>
    <col min="3" max="3" width="9.33203125" bestFit="1" customWidth="1"/>
  </cols>
  <sheetData>
    <row r="4" spans="1:5" x14ac:dyDescent="0.2">
      <c r="A4" t="s">
        <v>50</v>
      </c>
      <c r="C4" t="s">
        <v>53</v>
      </c>
      <c r="D4">
        <v>0.2</v>
      </c>
    </row>
    <row r="7" spans="1:5" x14ac:dyDescent="0.2">
      <c r="A7" t="s">
        <v>5</v>
      </c>
      <c r="B7" t="s">
        <v>51</v>
      </c>
      <c r="C7" t="s">
        <v>54</v>
      </c>
      <c r="D7" t="s">
        <v>52</v>
      </c>
      <c r="E7" t="s">
        <v>19</v>
      </c>
    </row>
    <row r="8" spans="1:5" x14ac:dyDescent="0.2">
      <c r="A8">
        <v>0</v>
      </c>
      <c r="B8">
        <v>1</v>
      </c>
      <c r="C8">
        <f>0</f>
        <v>0</v>
      </c>
      <c r="D8">
        <f>C8+D4*(0)</f>
        <v>0</v>
      </c>
      <c r="E8">
        <f>IF(B8-D8&gt;0,D8,B8)</f>
        <v>0</v>
      </c>
    </row>
    <row r="9" spans="1:5" x14ac:dyDescent="0.2">
      <c r="A9">
        <v>1</v>
      </c>
      <c r="B9">
        <v>1</v>
      </c>
      <c r="C9">
        <f>D9</f>
        <v>0.2</v>
      </c>
      <c r="D9">
        <f>C8+$D$4*(A9-A8)</f>
        <v>0.2</v>
      </c>
      <c r="E9">
        <f t="shared" ref="E9:E33" si="0">IF(B9-D9&gt;0,D9,B9)</f>
        <v>0.2</v>
      </c>
    </row>
    <row r="10" spans="1:5" x14ac:dyDescent="0.2">
      <c r="A10">
        <v>2</v>
      </c>
      <c r="B10">
        <v>1</v>
      </c>
      <c r="C10">
        <f t="shared" ref="C10:C33" si="1">D10</f>
        <v>0.4</v>
      </c>
      <c r="D10">
        <f t="shared" ref="D10:D33" si="2">C9+$D$4*(A10-A9)</f>
        <v>0.4</v>
      </c>
      <c r="E10">
        <f t="shared" si="0"/>
        <v>0.4</v>
      </c>
    </row>
    <row r="11" spans="1:5" x14ac:dyDescent="0.2">
      <c r="A11">
        <v>3</v>
      </c>
      <c r="B11">
        <v>1</v>
      </c>
      <c r="C11">
        <f t="shared" si="1"/>
        <v>0.60000000000000009</v>
      </c>
      <c r="D11">
        <f t="shared" si="2"/>
        <v>0.60000000000000009</v>
      </c>
      <c r="E11">
        <f t="shared" si="0"/>
        <v>0.60000000000000009</v>
      </c>
    </row>
    <row r="12" spans="1:5" x14ac:dyDescent="0.2">
      <c r="A12">
        <v>4</v>
      </c>
      <c r="B12">
        <v>1</v>
      </c>
      <c r="C12">
        <f t="shared" si="1"/>
        <v>0.8</v>
      </c>
      <c r="D12">
        <f t="shared" si="2"/>
        <v>0.8</v>
      </c>
      <c r="E12">
        <f t="shared" si="0"/>
        <v>0.8</v>
      </c>
    </row>
    <row r="13" spans="1:5" x14ac:dyDescent="0.2">
      <c r="A13">
        <v>5</v>
      </c>
      <c r="B13">
        <v>1</v>
      </c>
      <c r="C13">
        <f t="shared" si="1"/>
        <v>1</v>
      </c>
      <c r="D13">
        <f t="shared" si="2"/>
        <v>1</v>
      </c>
      <c r="E13">
        <f t="shared" si="0"/>
        <v>1</v>
      </c>
    </row>
    <row r="14" spans="1:5" x14ac:dyDescent="0.2">
      <c r="A14">
        <v>6</v>
      </c>
      <c r="B14">
        <v>1</v>
      </c>
      <c r="C14">
        <f t="shared" si="1"/>
        <v>1.2</v>
      </c>
      <c r="D14">
        <f t="shared" si="2"/>
        <v>1.2</v>
      </c>
      <c r="E14">
        <f t="shared" si="0"/>
        <v>1</v>
      </c>
    </row>
    <row r="15" spans="1:5" x14ac:dyDescent="0.2">
      <c r="A15">
        <v>7</v>
      </c>
      <c r="B15">
        <v>1</v>
      </c>
      <c r="C15">
        <f t="shared" si="1"/>
        <v>1.4</v>
      </c>
      <c r="D15">
        <f t="shared" si="2"/>
        <v>1.4</v>
      </c>
      <c r="E15">
        <f t="shared" si="0"/>
        <v>1</v>
      </c>
    </row>
    <row r="16" spans="1:5" x14ac:dyDescent="0.2">
      <c r="A16">
        <v>8</v>
      </c>
      <c r="B16">
        <v>1</v>
      </c>
      <c r="C16">
        <f t="shared" si="1"/>
        <v>1.5999999999999999</v>
      </c>
      <c r="D16">
        <f t="shared" si="2"/>
        <v>1.5999999999999999</v>
      </c>
      <c r="E16">
        <f t="shared" si="0"/>
        <v>1</v>
      </c>
    </row>
    <row r="17" spans="1:5" x14ac:dyDescent="0.2">
      <c r="A17">
        <v>9</v>
      </c>
      <c r="B17">
        <v>1</v>
      </c>
      <c r="C17">
        <f t="shared" si="1"/>
        <v>1.7999999999999998</v>
      </c>
      <c r="D17">
        <f t="shared" si="2"/>
        <v>1.7999999999999998</v>
      </c>
      <c r="E17">
        <f t="shared" si="0"/>
        <v>1</v>
      </c>
    </row>
    <row r="18" spans="1:5" x14ac:dyDescent="0.2">
      <c r="A18">
        <v>10</v>
      </c>
      <c r="B18">
        <v>1</v>
      </c>
      <c r="C18">
        <f t="shared" si="1"/>
        <v>1.9999999999999998</v>
      </c>
      <c r="D18">
        <f t="shared" si="2"/>
        <v>1.9999999999999998</v>
      </c>
      <c r="E18">
        <f t="shared" si="0"/>
        <v>1</v>
      </c>
    </row>
    <row r="19" spans="1:5" x14ac:dyDescent="0.2">
      <c r="A19">
        <v>11</v>
      </c>
      <c r="B19">
        <v>1</v>
      </c>
      <c r="C19">
        <f t="shared" si="1"/>
        <v>2.1999999999999997</v>
      </c>
      <c r="D19">
        <f t="shared" si="2"/>
        <v>2.1999999999999997</v>
      </c>
      <c r="E19">
        <f t="shared" si="0"/>
        <v>1</v>
      </c>
    </row>
    <row r="20" spans="1:5" x14ac:dyDescent="0.2">
      <c r="A20">
        <v>12</v>
      </c>
      <c r="B20">
        <v>1</v>
      </c>
      <c r="C20">
        <f t="shared" si="1"/>
        <v>2.4</v>
      </c>
      <c r="D20">
        <f t="shared" si="2"/>
        <v>2.4</v>
      </c>
      <c r="E20">
        <f t="shared" si="0"/>
        <v>1</v>
      </c>
    </row>
    <row r="21" spans="1:5" x14ac:dyDescent="0.2">
      <c r="A21">
        <v>13</v>
      </c>
      <c r="B21">
        <v>1</v>
      </c>
      <c r="C21">
        <f t="shared" si="1"/>
        <v>2.6</v>
      </c>
      <c r="D21">
        <f t="shared" si="2"/>
        <v>2.6</v>
      </c>
      <c r="E21">
        <f t="shared" si="0"/>
        <v>1</v>
      </c>
    </row>
    <row r="22" spans="1:5" x14ac:dyDescent="0.2">
      <c r="A22">
        <v>14</v>
      </c>
      <c r="B22">
        <v>1</v>
      </c>
      <c r="C22">
        <f t="shared" si="1"/>
        <v>2.8000000000000003</v>
      </c>
      <c r="D22">
        <f t="shared" si="2"/>
        <v>2.8000000000000003</v>
      </c>
      <c r="E22">
        <f t="shared" si="0"/>
        <v>1</v>
      </c>
    </row>
    <row r="23" spans="1:5" x14ac:dyDescent="0.2">
      <c r="A23">
        <v>15</v>
      </c>
      <c r="B23">
        <v>1</v>
      </c>
      <c r="C23">
        <f t="shared" si="1"/>
        <v>3.0000000000000004</v>
      </c>
      <c r="D23">
        <f t="shared" si="2"/>
        <v>3.0000000000000004</v>
      </c>
      <c r="E23">
        <f t="shared" si="0"/>
        <v>1</v>
      </c>
    </row>
    <row r="24" spans="1:5" x14ac:dyDescent="0.2">
      <c r="A24">
        <v>16</v>
      </c>
      <c r="B24">
        <v>1</v>
      </c>
      <c r="C24">
        <f t="shared" si="1"/>
        <v>3.2000000000000006</v>
      </c>
      <c r="D24">
        <f t="shared" si="2"/>
        <v>3.2000000000000006</v>
      </c>
      <c r="E24">
        <f t="shared" si="0"/>
        <v>1</v>
      </c>
    </row>
    <row r="25" spans="1:5" x14ac:dyDescent="0.2">
      <c r="A25">
        <v>17</v>
      </c>
      <c r="B25">
        <v>1</v>
      </c>
      <c r="C25">
        <f t="shared" si="1"/>
        <v>3.4000000000000008</v>
      </c>
      <c r="D25">
        <f t="shared" si="2"/>
        <v>3.4000000000000008</v>
      </c>
      <c r="E25">
        <f t="shared" si="0"/>
        <v>1</v>
      </c>
    </row>
    <row r="26" spans="1:5" x14ac:dyDescent="0.2">
      <c r="A26">
        <v>18</v>
      </c>
      <c r="B26">
        <v>1</v>
      </c>
      <c r="C26">
        <f t="shared" si="1"/>
        <v>3.600000000000001</v>
      </c>
      <c r="D26">
        <f t="shared" si="2"/>
        <v>3.600000000000001</v>
      </c>
      <c r="E26">
        <f t="shared" si="0"/>
        <v>1</v>
      </c>
    </row>
    <row r="27" spans="1:5" x14ac:dyDescent="0.2">
      <c r="A27">
        <v>19</v>
      </c>
      <c r="B27">
        <v>1</v>
      </c>
      <c r="C27">
        <f t="shared" si="1"/>
        <v>3.8000000000000012</v>
      </c>
      <c r="D27">
        <f t="shared" si="2"/>
        <v>3.8000000000000012</v>
      </c>
      <c r="E27">
        <f t="shared" si="0"/>
        <v>1</v>
      </c>
    </row>
    <row r="28" spans="1:5" x14ac:dyDescent="0.2">
      <c r="A28">
        <v>20</v>
      </c>
      <c r="B28">
        <v>1</v>
      </c>
      <c r="C28">
        <f t="shared" si="1"/>
        <v>4.0000000000000009</v>
      </c>
      <c r="D28">
        <f t="shared" si="2"/>
        <v>4.0000000000000009</v>
      </c>
      <c r="E28">
        <f t="shared" si="0"/>
        <v>1</v>
      </c>
    </row>
    <row r="29" spans="1:5" x14ac:dyDescent="0.2">
      <c r="A29">
        <v>21</v>
      </c>
      <c r="B29">
        <v>1</v>
      </c>
      <c r="C29">
        <f t="shared" si="1"/>
        <v>4.2000000000000011</v>
      </c>
      <c r="D29">
        <f t="shared" si="2"/>
        <v>4.2000000000000011</v>
      </c>
      <c r="E29">
        <f t="shared" si="0"/>
        <v>1</v>
      </c>
    </row>
    <row r="30" spans="1:5" x14ac:dyDescent="0.2">
      <c r="A30">
        <v>22</v>
      </c>
      <c r="B30">
        <v>1</v>
      </c>
      <c r="C30">
        <f t="shared" si="1"/>
        <v>4.4000000000000012</v>
      </c>
      <c r="D30">
        <f t="shared" si="2"/>
        <v>4.4000000000000012</v>
      </c>
      <c r="E30">
        <f t="shared" si="0"/>
        <v>1</v>
      </c>
    </row>
    <row r="31" spans="1:5" x14ac:dyDescent="0.2">
      <c r="A31">
        <v>23</v>
      </c>
      <c r="B31">
        <v>1</v>
      </c>
      <c r="C31">
        <f t="shared" si="1"/>
        <v>4.6000000000000014</v>
      </c>
      <c r="D31">
        <f t="shared" si="2"/>
        <v>4.6000000000000014</v>
      </c>
      <c r="E31">
        <f t="shared" si="0"/>
        <v>1</v>
      </c>
    </row>
    <row r="32" spans="1:5" x14ac:dyDescent="0.2">
      <c r="A32">
        <v>24</v>
      </c>
      <c r="B32">
        <v>1</v>
      </c>
      <c r="C32">
        <f t="shared" si="1"/>
        <v>4.8000000000000016</v>
      </c>
      <c r="D32">
        <f t="shared" si="2"/>
        <v>4.8000000000000016</v>
      </c>
      <c r="E32">
        <f t="shared" si="0"/>
        <v>1</v>
      </c>
    </row>
    <row r="33" spans="1:5" x14ac:dyDescent="0.2">
      <c r="A33">
        <v>25</v>
      </c>
      <c r="B33">
        <v>1</v>
      </c>
      <c r="C33">
        <f t="shared" si="1"/>
        <v>5.0000000000000018</v>
      </c>
      <c r="D33">
        <f t="shared" si="2"/>
        <v>5.0000000000000018</v>
      </c>
      <c r="E3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C435-F989-4848-8014-E9A413DBD29A}">
  <dimension ref="A1:N15"/>
  <sheetViews>
    <sheetView workbookViewId="0">
      <selection activeCell="H8" sqref="H8"/>
    </sheetView>
  </sheetViews>
  <sheetFormatPr baseColWidth="10" defaultRowHeight="16" x14ac:dyDescent="0.2"/>
  <cols>
    <col min="4" max="4" width="23" bestFit="1" customWidth="1"/>
  </cols>
  <sheetData>
    <row r="1" spans="1:14" x14ac:dyDescent="0.2">
      <c r="G1" t="s">
        <v>66</v>
      </c>
      <c r="I1">
        <v>1120</v>
      </c>
    </row>
    <row r="2" spans="1:14" x14ac:dyDescent="0.2">
      <c r="G2" t="s">
        <v>67</v>
      </c>
      <c r="I2">
        <f>24/32</f>
        <v>0.75</v>
      </c>
    </row>
    <row r="3" spans="1:14" x14ac:dyDescent="0.2">
      <c r="G3" t="s">
        <v>34</v>
      </c>
      <c r="I3">
        <f>96/25.4</f>
        <v>3.7795275590551185</v>
      </c>
    </row>
    <row r="4" spans="1:14" x14ac:dyDescent="0.2">
      <c r="D4" t="s">
        <v>61</v>
      </c>
      <c r="G4" t="s">
        <v>68</v>
      </c>
      <c r="I4">
        <f>(I1+I2)/(I3*PI())</f>
        <v>94.388994223836221</v>
      </c>
    </row>
    <row r="5" spans="1:14" x14ac:dyDescent="0.2">
      <c r="G5" t="s">
        <v>70</v>
      </c>
      <c r="I5">
        <v>10</v>
      </c>
    </row>
    <row r="6" spans="1:14" x14ac:dyDescent="0.2">
      <c r="G6" t="s">
        <v>71</v>
      </c>
      <c r="I6">
        <v>0.8</v>
      </c>
    </row>
    <row r="7" spans="1:14" x14ac:dyDescent="0.2">
      <c r="A7" t="s">
        <v>63</v>
      </c>
      <c r="B7" t="s">
        <v>64</v>
      </c>
      <c r="D7" t="s">
        <v>62</v>
      </c>
      <c r="E7" t="s">
        <v>65</v>
      </c>
      <c r="F7" t="s">
        <v>16</v>
      </c>
      <c r="G7" t="s">
        <v>69</v>
      </c>
      <c r="H7" t="s">
        <v>18</v>
      </c>
      <c r="I7" t="s">
        <v>72</v>
      </c>
      <c r="J7" t="s">
        <v>73</v>
      </c>
      <c r="K7" t="s">
        <v>74</v>
      </c>
      <c r="L7" t="s">
        <v>75</v>
      </c>
      <c r="M7" t="s">
        <v>76</v>
      </c>
      <c r="N7" t="s">
        <v>77</v>
      </c>
    </row>
    <row r="8" spans="1:14" x14ac:dyDescent="0.2">
      <c r="A8">
        <v>1</v>
      </c>
      <c r="B8">
        <v>0</v>
      </c>
      <c r="C8">
        <f>ATAN2(A8,B8)</f>
        <v>0</v>
      </c>
      <c r="D8">
        <f>ATAN2(A8,B8)-PI()/4</f>
        <v>-0.78539816339744828</v>
      </c>
      <c r="E8">
        <f>DEGREES(D8)</f>
        <v>-45</v>
      </c>
      <c r="F8">
        <f>SIN(D8)</f>
        <v>-0.70710678118654746</v>
      </c>
      <c r="G8">
        <f>COS(D8)</f>
        <v>0.70710678118654757</v>
      </c>
      <c r="H8">
        <f>IF($I$5&gt;1,$I$6/$I$5,$I$6/SQRT(2))</f>
        <v>0.08</v>
      </c>
      <c r="I8" s="5">
        <f>H8*($I$5*F8)</f>
        <v>-0.56568542494923801</v>
      </c>
      <c r="J8" s="5">
        <f>H8*($I$5*G8)</f>
        <v>0.56568542494923801</v>
      </c>
      <c r="K8" s="5">
        <f>I8</f>
        <v>-0.56568542494923801</v>
      </c>
      <c r="L8" s="5">
        <f>J8</f>
        <v>0.56568542494923801</v>
      </c>
      <c r="M8">
        <f>FLOOR(G8*($I$4*$I$5),1)</f>
        <v>667</v>
      </c>
      <c r="N8">
        <f>FLOOR(F8*($I$4*$I$5),1)</f>
        <v>-668</v>
      </c>
    </row>
    <row r="9" spans="1:14" x14ac:dyDescent="0.2">
      <c r="A9">
        <v>1</v>
      </c>
      <c r="B9">
        <v>1</v>
      </c>
      <c r="C9">
        <f t="shared" ref="C9:C15" si="0">ATAN2(A9,B9)</f>
        <v>0.78539816339744828</v>
      </c>
      <c r="D9">
        <f t="shared" ref="D9:D15" si="1">ATAN2(A9,B9)-PI()/4</f>
        <v>0</v>
      </c>
      <c r="E9">
        <f t="shared" ref="E9:E15" si="2">DEGREES(D9)</f>
        <v>0</v>
      </c>
      <c r="F9">
        <f t="shared" ref="F9:F15" si="3">SIN(D9)</f>
        <v>0</v>
      </c>
      <c r="G9">
        <f t="shared" ref="G9:G15" si="4">COS(D9)</f>
        <v>1</v>
      </c>
      <c r="H9">
        <f t="shared" ref="H9:H15" si="5">IF($I$5&gt;1,$I$6/$I$5,$I$6/SQRT(2))</f>
        <v>0.08</v>
      </c>
      <c r="I9" s="5">
        <f t="shared" ref="I9:I15" si="6">H9*($I$5*F9)</f>
        <v>0</v>
      </c>
      <c r="J9" s="5">
        <f t="shared" ref="J9:J15" si="7">H9*($I$5*G9)</f>
        <v>0.8</v>
      </c>
      <c r="K9" s="5">
        <f t="shared" ref="K9:K15" si="8">I9</f>
        <v>0</v>
      </c>
      <c r="L9" s="5">
        <f t="shared" ref="L9:L15" si="9">J9</f>
        <v>0.8</v>
      </c>
      <c r="M9">
        <f t="shared" ref="M9:M15" si="10">FLOOR(G9*($I$4*$I$5),1)</f>
        <v>943</v>
      </c>
      <c r="N9">
        <f>FLOOR(F9*($I$4*$I$5),1)</f>
        <v>0</v>
      </c>
    </row>
    <row r="10" spans="1:14" x14ac:dyDescent="0.2">
      <c r="A10">
        <v>0</v>
      </c>
      <c r="B10">
        <v>1</v>
      </c>
      <c r="C10">
        <f t="shared" si="0"/>
        <v>1.5707963267948966</v>
      </c>
      <c r="D10">
        <f t="shared" si="1"/>
        <v>0.78539816339744828</v>
      </c>
      <c r="E10">
        <f t="shared" si="2"/>
        <v>45</v>
      </c>
      <c r="F10">
        <f t="shared" si="3"/>
        <v>0.70710678118654746</v>
      </c>
      <c r="G10">
        <f t="shared" si="4"/>
        <v>0.70710678118654757</v>
      </c>
      <c r="H10">
        <f t="shared" si="5"/>
        <v>0.08</v>
      </c>
      <c r="I10" s="5">
        <f t="shared" si="6"/>
        <v>0.56568542494923801</v>
      </c>
      <c r="J10" s="5">
        <f t="shared" si="7"/>
        <v>0.56568542494923801</v>
      </c>
      <c r="K10" s="5">
        <f t="shared" si="8"/>
        <v>0.56568542494923801</v>
      </c>
      <c r="L10" s="5">
        <f t="shared" si="9"/>
        <v>0.56568542494923801</v>
      </c>
      <c r="M10">
        <f t="shared" si="10"/>
        <v>667</v>
      </c>
      <c r="N10">
        <f t="shared" ref="N10:N15" si="11">FLOOR(F10*($I$4*$I$5),1)</f>
        <v>667</v>
      </c>
    </row>
    <row r="11" spans="1:14" x14ac:dyDescent="0.2">
      <c r="A11">
        <v>-1</v>
      </c>
      <c r="B11">
        <v>1</v>
      </c>
      <c r="C11">
        <f t="shared" si="0"/>
        <v>2.3561944901923448</v>
      </c>
      <c r="D11">
        <f t="shared" si="1"/>
        <v>1.5707963267948966</v>
      </c>
      <c r="E11">
        <f t="shared" si="2"/>
        <v>90</v>
      </c>
      <c r="F11">
        <f t="shared" si="3"/>
        <v>1</v>
      </c>
      <c r="G11">
        <f t="shared" si="4"/>
        <v>6.1257422745431001E-17</v>
      </c>
      <c r="H11">
        <f t="shared" si="5"/>
        <v>0.08</v>
      </c>
      <c r="I11" s="5">
        <f t="shared" si="6"/>
        <v>0.8</v>
      </c>
      <c r="J11" s="5">
        <f t="shared" si="7"/>
        <v>4.90059381963448E-17</v>
      </c>
      <c r="K11" s="5">
        <f t="shared" si="8"/>
        <v>0.8</v>
      </c>
      <c r="L11" s="5">
        <f t="shared" si="9"/>
        <v>4.90059381963448E-17</v>
      </c>
      <c r="M11">
        <f t="shared" si="10"/>
        <v>0</v>
      </c>
      <c r="N11">
        <f t="shared" si="11"/>
        <v>943</v>
      </c>
    </row>
    <row r="12" spans="1:14" x14ac:dyDescent="0.2">
      <c r="A12">
        <v>-1</v>
      </c>
      <c r="B12">
        <v>0</v>
      </c>
      <c r="C12">
        <f t="shared" si="0"/>
        <v>3.1415926535897931</v>
      </c>
      <c r="D12">
        <f t="shared" si="1"/>
        <v>2.3561944901923448</v>
      </c>
      <c r="E12">
        <f t="shared" si="2"/>
        <v>135</v>
      </c>
      <c r="F12">
        <f t="shared" si="3"/>
        <v>0.70710678118654757</v>
      </c>
      <c r="G12">
        <f t="shared" si="4"/>
        <v>-0.70710678118654746</v>
      </c>
      <c r="H12">
        <f t="shared" si="5"/>
        <v>0.08</v>
      </c>
      <c r="I12" s="5">
        <f t="shared" si="6"/>
        <v>0.56568542494923801</v>
      </c>
      <c r="J12" s="5">
        <f t="shared" si="7"/>
        <v>-0.56568542494923801</v>
      </c>
      <c r="K12" s="5">
        <f t="shared" si="8"/>
        <v>0.56568542494923801</v>
      </c>
      <c r="L12" s="5">
        <f t="shared" si="9"/>
        <v>-0.56568542494923801</v>
      </c>
      <c r="M12">
        <f t="shared" si="10"/>
        <v>-668</v>
      </c>
      <c r="N12">
        <f t="shared" si="11"/>
        <v>667</v>
      </c>
    </row>
    <row r="13" spans="1:14" x14ac:dyDescent="0.2">
      <c r="A13">
        <v>-1</v>
      </c>
      <c r="B13">
        <v>-1</v>
      </c>
      <c r="C13">
        <f t="shared" si="0"/>
        <v>-2.3561944901923448</v>
      </c>
      <c r="D13">
        <f t="shared" si="1"/>
        <v>-3.1415926535897931</v>
      </c>
      <c r="E13">
        <f t="shared" si="2"/>
        <v>-180</v>
      </c>
      <c r="F13">
        <f t="shared" si="3"/>
        <v>-1.22514845490862E-16</v>
      </c>
      <c r="G13">
        <f t="shared" si="4"/>
        <v>-1</v>
      </c>
      <c r="H13">
        <f t="shared" si="5"/>
        <v>0.08</v>
      </c>
      <c r="I13" s="5">
        <f t="shared" si="6"/>
        <v>-9.8011876392689601E-17</v>
      </c>
      <c r="J13" s="5">
        <f t="shared" si="7"/>
        <v>-0.8</v>
      </c>
      <c r="K13" s="5">
        <f t="shared" si="8"/>
        <v>-9.8011876392689601E-17</v>
      </c>
      <c r="L13" s="5">
        <f t="shared" si="9"/>
        <v>-0.8</v>
      </c>
      <c r="M13">
        <f t="shared" si="10"/>
        <v>-944</v>
      </c>
      <c r="N13">
        <f t="shared" si="11"/>
        <v>-1</v>
      </c>
    </row>
    <row r="14" spans="1:14" x14ac:dyDescent="0.2">
      <c r="A14">
        <v>0</v>
      </c>
      <c r="B14">
        <v>-1</v>
      </c>
      <c r="C14">
        <f t="shared" si="0"/>
        <v>-1.5707963267948966</v>
      </c>
      <c r="D14">
        <f t="shared" si="1"/>
        <v>-2.3561944901923448</v>
      </c>
      <c r="E14">
        <f t="shared" si="2"/>
        <v>-135</v>
      </c>
      <c r="F14">
        <f t="shared" si="3"/>
        <v>-0.70710678118654757</v>
      </c>
      <c r="G14">
        <f t="shared" si="4"/>
        <v>-0.70710678118654746</v>
      </c>
      <c r="H14">
        <f t="shared" si="5"/>
        <v>0.08</v>
      </c>
      <c r="I14" s="5">
        <f t="shared" si="6"/>
        <v>-0.56568542494923801</v>
      </c>
      <c r="J14" s="5">
        <f t="shared" si="7"/>
        <v>-0.56568542494923801</v>
      </c>
      <c r="K14" s="5">
        <f t="shared" si="8"/>
        <v>-0.56568542494923801</v>
      </c>
      <c r="L14" s="5">
        <f t="shared" si="9"/>
        <v>-0.56568542494923801</v>
      </c>
      <c r="M14">
        <f t="shared" si="10"/>
        <v>-668</v>
      </c>
      <c r="N14">
        <f t="shared" si="11"/>
        <v>-668</v>
      </c>
    </row>
    <row r="15" spans="1:14" x14ac:dyDescent="0.2">
      <c r="A15">
        <v>1</v>
      </c>
      <c r="B15">
        <v>-1</v>
      </c>
      <c r="C15">
        <f t="shared" si="0"/>
        <v>-0.78539816339744828</v>
      </c>
      <c r="D15">
        <f t="shared" si="1"/>
        <v>-1.5707963267948966</v>
      </c>
      <c r="E15">
        <f t="shared" si="2"/>
        <v>-90</v>
      </c>
      <c r="F15">
        <f t="shared" si="3"/>
        <v>-1</v>
      </c>
      <c r="G15">
        <f t="shared" si="4"/>
        <v>6.1257422745431001E-17</v>
      </c>
      <c r="H15">
        <f t="shared" si="5"/>
        <v>0.08</v>
      </c>
      <c r="I15" s="5">
        <f t="shared" si="6"/>
        <v>-0.8</v>
      </c>
      <c r="J15" s="5">
        <f t="shared" si="7"/>
        <v>4.90059381963448E-17</v>
      </c>
      <c r="K15" s="5">
        <f t="shared" si="8"/>
        <v>-0.8</v>
      </c>
      <c r="L15" s="5">
        <f t="shared" si="9"/>
        <v>4.90059381963448E-17</v>
      </c>
      <c r="M15">
        <f t="shared" si="10"/>
        <v>0</v>
      </c>
      <c r="N15">
        <f t="shared" si="11"/>
        <v>-944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8E91-8950-1A46-B57C-4F9B5DBEB4EA}">
  <dimension ref="A4:C7"/>
  <sheetViews>
    <sheetView workbookViewId="0">
      <selection activeCell="A13" sqref="A13"/>
    </sheetView>
  </sheetViews>
  <sheetFormatPr baseColWidth="10" defaultRowHeight="16" x14ac:dyDescent="0.2"/>
  <sheetData>
    <row r="4" spans="1:3" x14ac:dyDescent="0.2">
      <c r="A4" t="s">
        <v>78</v>
      </c>
      <c r="C4">
        <v>1.9</v>
      </c>
    </row>
    <row r="5" spans="1:3" x14ac:dyDescent="0.2">
      <c r="A5" t="s">
        <v>79</v>
      </c>
      <c r="C5">
        <v>3.2</v>
      </c>
    </row>
    <row r="6" spans="1:3" x14ac:dyDescent="0.2">
      <c r="A6" t="s">
        <v>80</v>
      </c>
      <c r="C6">
        <v>5</v>
      </c>
    </row>
    <row r="7" spans="1:3" x14ac:dyDescent="0.2">
      <c r="A7" t="s">
        <v>81</v>
      </c>
      <c r="C7">
        <f>C6-0.7</f>
        <v>4.3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Sheet3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Weaver</dc:creator>
  <cp:lastModifiedBy>Greg Weaver</cp:lastModifiedBy>
  <dcterms:created xsi:type="dcterms:W3CDTF">2022-10-27T20:33:49Z</dcterms:created>
  <dcterms:modified xsi:type="dcterms:W3CDTF">2022-11-28T06:09:46Z</dcterms:modified>
</cp:coreProperties>
</file>