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showInkAnnotation="0" defaultThemeVersion="166925"/>
  <xr:revisionPtr revIDLastSave="0" documentId="13_ncr:1_{AC936E64-ABF8-4F91-AB9D-885232BDF6A6}" xr6:coauthVersionLast="47" xr6:coauthVersionMax="47" xr10:uidLastSave="{00000000-0000-0000-0000-000000000000}"/>
  <bookViews>
    <workbookView xWindow="-27600" yWindow="1395" windowWidth="25155" windowHeight="19005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5" l="1"/>
  <c r="H14" i="5"/>
  <c r="E14" i="5" s="1"/>
  <c r="G14" i="5" l="1"/>
  <c r="F7" i="4"/>
  <c r="H7" i="4"/>
  <c r="E7" i="4" s="1"/>
  <c r="G7" i="4" s="1"/>
  <c r="H5" i="10" l="1"/>
  <c r="E5" i="10" s="1"/>
  <c r="F8" i="1" l="1"/>
  <c r="G8" i="1" s="1"/>
  <c r="H8" i="1"/>
  <c r="F7" i="7"/>
  <c r="H7" i="7"/>
  <c r="E7" i="7" s="1"/>
  <c r="G7" i="7" s="1"/>
  <c r="Y9" i="1"/>
  <c r="Y8" i="1"/>
  <c r="Y7" i="1"/>
  <c r="Y5" i="1"/>
  <c r="Y4" i="1"/>
  <c r="Y6" i="1"/>
  <c r="H8" i="10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8" i="5"/>
  <c r="H28" i="5"/>
  <c r="E28" i="5" s="1"/>
  <c r="G28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6" i="5"/>
  <c r="H26" i="5"/>
  <c r="E26" i="5" s="1"/>
  <c r="G26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5" i="5" l="1"/>
  <c r="H25" i="5"/>
  <c r="E25" i="5" s="1"/>
  <c r="G25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6" i="7" l="1"/>
  <c r="H6" i="7"/>
  <c r="E6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6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6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<sst xmlns="http://schemas.openxmlformats.org/spreadsheetml/2006/main" count="1153" uniqueCount="681">
  <si>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</si>
  <si>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</si>
  <si>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</si>
  <si>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</si>
  <si>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</si>
  <si>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</si>
  <si>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</si>
  <si>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</si>
  <si>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</si>
  <si>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</si>
  <si>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</si>
  <si>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</si>
  <si>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</si>
  <si>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</si>
  <si>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</si>
  <si>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</si>
  <si>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</si>
  <si>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</si>
  <si>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</si>
  <si>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</si>
  <si>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</si>
  <si>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</si>
  <si>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</si>
  <si>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</si>
  <si>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</si>
  <si>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</si>
  <si>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</si>
  <si>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</si>
  <si>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</si>
  <si>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</si>
  <si>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</si>
  <si>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</si>
  <si>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</si>
  <si>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</si>
  <si>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</si>
  <si>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</si>
  <si>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</si>
  <si>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</si>
  <si>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</si>
  <si>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</si>
  <si>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</si>
  <si>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</si>
  <si>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</si>
  <si>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</si>
  <si>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</si>
  <si>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</si>
  <si>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</si>
  <si>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</si>
  <si>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</si>
  <si>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</si>
  <si>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</si>
  <si>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</si>
  <si>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</si>
  <si>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</si>
  <si>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</si>
  <si>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</si>
  <si>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</si>
  <si>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</si>
  <si>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</si>
  <si>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</si>
  <si>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</si>
  <si>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</si>
  <si>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</si>
  <si>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</si>
  <si>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</si>
  <si>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</si>
  <si>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</si>
  <si>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</si>
  <si>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</si>
  <si>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</si>
  <si>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</si>
  <si>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</si>
  <si>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</si>
  <si>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</si>
  <si>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</si>
  <si>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</si>
  <si>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</si>
  <si>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</si>
  <si>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</si>
  <si>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</si>
  <si>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</si>
  <si>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</si>
  <si>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</si>
  <si>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</si>
  <si>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</si>
  <si>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</si>
  <si>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</si>
  <si>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</si>
  <si>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</si>
  <si>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</si>
  <si>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</si>
  <si>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</si>
  <si>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</si>
  <si>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</si>
  <si>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</si>
  <si>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</si>
  <si>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</si>
  <si>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</si>
  <si>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</si>
  <si>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</si>
  <si>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</si>
  <si>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</si>
  <si>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</si>
  <si>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</si>
  <si>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</si>
  <si>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</si>
  <si>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</si>
  <si>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</si>
  <si>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</si>
  <si>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</si>
  <si>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</si>
  <si>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</si>
  <si>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</si>
  <si>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</si>
  <si>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</si>
  <si>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</si>
  <si>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</si>
  <si>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</si>
  <si>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</si>
  <si>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</si>
  <si>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</si>
  <si>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</si>
  <si>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</si>
  <si>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</si>
  <si>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</si>
  <si>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</si>
  <si>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</si>
  <si>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</si>
  <si>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</si>
  <si>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</si>
  <si>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</si>
  <si>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</si>
  <si>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</si>
  <si>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</si>
  <si>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</si>
  <si>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</si>
  <si>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</si>
  <si>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</si>
  <si>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</si>
  <si>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</si>
  <si>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</si>
  <si>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</si>
  <si>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</si>
  <si>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</si>
  <si>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</si>
  <si>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</si>
  <si>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</si>
  <si>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</si>
  <si>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</si>
  <si>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</si>
  <si>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</si>
  <si>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</si>
  <si>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</si>
  <si>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</si>
  <si>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</si>
  <si>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</si>
  <si>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</si>
  <si>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</si>
  <si>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</si>
  <si>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</si>
  <si>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</si>
  <si>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</si>
  <si>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</si>
  <si>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</si>
  <si>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</si>
  <si>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</si>
  <si>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</si>
  <si>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</si>
  <si>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</si>
  <si>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</si>
  <si>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</si>
  <si>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</si>
  <si>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</si>
  <si>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</si>
  <si>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</si>
  <si>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</si>
  <si>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</si>
  <si>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</si>
  <si>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</si>
  <si>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</si>
  <si>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</si>
  <si>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</si>
  <si>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</si>
  <si>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</si>
  <si>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</si>
  <si>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</si>
  <si>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</si>
  <si>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</si>
  <si>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</si>
  <si>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</si>
  <si>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</si>
  <si>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</si>
  <si>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</si>
  <si>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</si>
  <si>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</si>
  <si>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</si>
  <si>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</si>
  <si>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</si>
  <si>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</si>
  <si>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</si>
  <si>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</si>
  <si>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</si>
  <si>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</si>
  <si>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</si>
  <si>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</si>
  <si>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</si>
  <si>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</si>
  <si>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</si>
  <si>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</si>
  <si>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</si>
  <si>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</si>
  <si>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</si>
  <si>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</si>
  <si>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</si>
  <si>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</si>
  <si>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</si>
  <si>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</si>
  <si>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</si>
  <si>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</si>
  <si>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</si>
  <si>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</si>
  <si>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</si>
  <si>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</si>
  <si>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</si>
  <si>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</si>
  <si>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</si>
  <si>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</si>
  <si>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</si>
  <si>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</si>
  <si>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</si>
  <si>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</si>
  <si>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</si>
  <si>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</si>
  <si>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</si>
  <si>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</si>
  <si>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</si>
  <si>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</si>
  <si>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</si>
  <si>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</si>
  <si>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</si>
  <si>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</si>
  <si>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</si>
  <si>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</si>
  <si>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</si>
  <si>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</si>
  <si>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</si>
  <si>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</si>
  <si>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</si>
  <si>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</si>
  <si>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</si>
  <si>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</si>
  <si>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</si>
  <si>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</si>
  <si>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</si>
  <si>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</si>
  <si>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</si>
  <si>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</si>
  <si>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</si>
  <si>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</si>
  <si>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</si>
  <si>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</si>
  <si>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</si>
  <si>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</si>
  <si>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</si>
  <si>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</si>
  <si>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</si>
  <si>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</si>
  <si>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</si>
  <si>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</si>
  <si>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</si>
  <si>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</si>
  <si>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</si>
  <si>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</si>
  <si>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</si>
  <si>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</si>
  <si>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</si>
  <si>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</si>
  <si>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</si>
  <si>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</si>
  <si>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</si>
  <si>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</si>
  <si>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</si>
  <si>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</si>
  <si>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</si>
  <si>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</si>
  <si>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</si>
  <si>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</si>
  <si>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</si>
  <si>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</si>
  <si>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</si>
  <si>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</si>
  <si>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</si>
  <si>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</si>
  <si>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</si>
  <si>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</si>
  <si>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</si>
  <si>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</si>
  <si>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</si>
  <si>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</si>
  <si>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</si>
  <si>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</si>
  <si>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</si>
  <si>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</si>
  <si>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</si>
  <si>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</si>
  <si>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</si>
  <si>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</si>
  <si>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</si>
  <si>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</si>
  <si>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</si>
  <si>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</si>
  <si>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</si>
  <si>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</si>
  <si>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</si>
  <si>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</si>
  <si>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</si>
  <si>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</si>
  <si>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</si>
  <si>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</si>
  <si>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</si>
  <si>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</si>
  <si>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</si>
  <si>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</si>
  <si>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</si>
  <si>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</si>
  <si>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</si>
  <si>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</si>
  <si>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</si>
  <si>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</si>
  <si>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</si>
  <si>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</si>
  <si>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</si>
  <si>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</si>
  <si>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</si>
  <si>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</si>
  <si>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</si>
  <si>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</si>
  <si>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</si>
  <si>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</si>
  <si>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</si>
  <si>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</si>
  <si>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</si>
  <si>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</si>
  <si>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</si>
  <si>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</si>
  <si>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</si>
  <si>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</si>
  <si>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</si>
  <si>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</si>
  <si>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</si>
  <si>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</si>
  <si>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</si>
  <si>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</si>
  <si>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</si>
  <si>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</si>
  <si>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</si>
  <si>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</si>
  <si>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</si>
  <si>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</si>
  <si>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</si>
  <si>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</si>
  <si>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</si>
  <si>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</si>
  <si>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</si>
  <si>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</si>
  <si>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</si>
  <si>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</si>
  <si>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</si>
  <si>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</si>
  <si>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</si>
  <si>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</si>
  <si>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</si>
  <si>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</si>
  <si>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</si>
  <si>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</si>
  <si>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</si>
  <si>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</si>
  <si>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</si>
  <si>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</si>
  <si>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</si>
  <si>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</si>
  <si>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</si>
  <si>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</si>
  <si>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</si>
  <si>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</si>
  <si>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</si>
  <si>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</si>
  <si>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</si>
  <si>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</si>
  <si>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</si>
  <si>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</si>
  <si>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</si>
  <si>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</si>
  <si>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</si>
  <si>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</si>
  <si>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</si>
  <si>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</si>
  <si>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</si>
  <si>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</si>
  <si>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</si>
  <si>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</si>
  <si>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</si>
  <si>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</si>
  <si>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</si>
  <si>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</si>
  <si>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</si>
  <si>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</si>
  <si>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</si>
  <si>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</si>
  <si>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</si>
  <si>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</si>
  <si>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</si>
  <si>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</si>
  <si>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</si>
  <si>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</si>
  <si>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</si>
  <si>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</si>
  <si>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</si>
  <si>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</si>
  <si>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</si>
  <si>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</si>
  <si>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</si>
  <si>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</si>
  <si>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</si>
  <si>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</si>
  <si>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</si>
  <si>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</si>
  <si>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</si>
  <si>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</si>
  <si>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</si>
  <si>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</si>
  <si>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</si>
  <si>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</si>
  <si>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</si>
  <si>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</si>
  <si>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</si>
  <si>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</si>
  <si>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</si>
  <si>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</si>
  <si>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</si>
  <si>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</si>
  <si>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</si>
  <si>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</si>
  <si>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</si>
  <si>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</si>
  <si>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</si>
  <si>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</si>
  <si>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</si>
  <si>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</si>
  <si>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</si>
  <si>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</si>
  <si>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</si>
  <si>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</si>
  <si>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</si>
  <si>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</si>
  <si>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</si>
  <si>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</si>
  <si>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</si>
  <si>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</si>
  <si>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</si>
  <si>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</si>
  <si>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</si>
  <si>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</si>
  <si>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</si>
  <si>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</si>
  <si>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</si>
  <si>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</si>
  <si>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</si>
  <si>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</si>
  <si>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</si>
  <si>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</si>
  <si>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</si>
  <si>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</si>
  <si>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</si>
  <si>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</si>
  <si>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</si>
  <si>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</si>
  <si>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</si>
  <si>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</si>
  <si>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</si>
  <si>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</si>
  <si>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</si>
  <si>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</si>
  <si>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</si>
  <si>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</si>
  <si>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</si>
  <si>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</si>
  <si>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</si>
  <si>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</si>
  <si>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</si>
  <si>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</si>
  <si>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</si>
  <si>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</si>
  <si>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</si>
  <si>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</si>
  <si>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</si>
  <si>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</si>
  <si>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</si>
  <si>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</si>
  <si>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</si>
  <si>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</si>
  <si>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</si>
  <si>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</si>
  <si>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</si>
  <si>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</si>
  <si>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</si>
  <si>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</si>
  <si>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</si>
  <si>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</si>
  <si>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</si>
  <si>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</si>
  <si>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</si>
  <si>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</si>
  <si>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</si>
  <si>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</si>
  <si>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</si>
  <si>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</si>
  <si>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</si>
  <si>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</si>
  <si>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</si>
  <si>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</si>
  <si>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</si>
  <si>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</si>
  <si>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</si>
  <si>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</si>
  <si>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</si>
  <si>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</si>
  <si>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</si>
  <si>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</si>
  <si>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</si>
  <si>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</si>
  <si>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</si>
  <si>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</si>
  <si>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</si>
  <si>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</si>
  <si>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</si>
  <si>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</si>
  <si>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</si>
  <si>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</si>
  <si>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</si>
  <si>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</si>
  <si>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</si>
  <si>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</si>
  <si>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</si>
  <si>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</si>
  <si>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</si>
  <si>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</si>
  <si>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</si>
  <si>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</si>
  <si>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</si>
  <si>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</si>
  <si>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</si>
  <si>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</si>
  <si>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</si>
  <si>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</si>
  <si>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</si>
  <si>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</si>
  <si>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</si>
  <si>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</si>
  <si>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</si>
  <si>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</si>
  <si>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</si>
  <si>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</si>
  <si>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</si>
  <si>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</si>
  <si>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</si>
  <si>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</si>
  <si>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</si>
  <si>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</si>
  <si>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</si>
  <si>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</si>
  <si>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</si>
  <si>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</si>
  <si>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</si>
  <si>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</si>
  <si>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</si>
  <si>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</si>
  <si>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</si>
  <si>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</si>
  <si>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</si>
  <si>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</si>
  <si>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</si>
  <si>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</si>
  <si>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</si>
  <si>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</si>
  <si>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</si>
  <si>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</si>
  <si>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</si>
  <si>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</si>
  <si>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</si>
  <si>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</si>
  <si>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</si>
  <si>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</si>
  <si>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</si>
  <si>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</si>
  <si>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</si>
  <si>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</si>
  <si>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</si>
  <si>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</si>
  <si>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</si>
  <si>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</si>
  <si>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</si>
  <si>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</si>
  <si>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</si>
  <si>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</si>
  <si>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</si>
  <si>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</si>
  <si>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</si>
  <si>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</si>
  <si>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</si>
  <si>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</si>
  <si>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</si>
  <si>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</si>
  <si>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</si>
  <si>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</si>
  <si>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</si>
  <si>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</si>
  <si>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</si>
  <si>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</si>
  <si>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</si>
  <si>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</si>
  <si>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</si>
  <si>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</si>
  <si>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</si>
  <si>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</si>
  <si>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</si>
  <si>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</si>
  <si>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</si>
  <si>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</si>
  <si>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</si>
  <si>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</si>
  <si>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</si>
  <si>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</si>
  <si>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</si>
  <si>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</si>
  <si>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</si>
  <si>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</si>
  <si>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</si>
  <si>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</si>
  <si>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</si>
  <si>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</si>
  <si>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</si>
  <si>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</si>
  <si>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</si>
  <si>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</si>
  <si>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</si>
  <si>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</si>
  <si>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</si>
  <si>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</si>
  <si>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</si>
  <si>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</si>
  <si>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</si>
  <si>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</si>
  <si>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</si>
  <si>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</si>
  <si>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</si>
  <si>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</si>
  <si>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</si>
  <si>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</si>
  <si>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</si>
  <si>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</si>
  <si>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</si>
  <si>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</si>
  <si>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</si>
  <si>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</si>
  <si>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</si>
  <si>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</si>
  <si>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</si>
  <si>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</si>
  <si>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</si>
  <si>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</si>
  <si>
    <t>XYZ</t>
  </si>
  <si>
    <t>Age</t>
  </si>
  <si>
    <t>Tempus</t>
  </si>
  <si>
    <t>TEM</t>
  </si>
  <si>
    <t>Recruit</t>
  </si>
  <si>
    <t>6098 JP</t>
  </si>
  <si>
    <t>Zalando</t>
  </si>
  <si>
    <t>ZAL GR</t>
  </si>
  <si>
    <t>London Stock Exchange</t>
  </si>
  <si>
    <t>LSEG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</si>
</sst>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86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99" fillId="0" borderId="0" xfId="1" applyFont="1" applyBorder="1"/>
    <xf numFmtId="0" fontId="61" fillId="0" borderId="0" xfId="0" applyFont="1"/>
    <xf numFmtId="0" fontId="60" fillId="0" borderId="0" xfId="0" applyFont="1" applyAlignment="1">
      <alignment horizontal="right"/>
    </xf>
    <xf numFmtId="0" fontId="59" fillId="0" borderId="0" xfId="0" applyFont="1"/>
    <xf numFmtId="3" fontId="59" fillId="0" borderId="0" xfId="0" applyNumberFormat="1" applyFont="1" applyAlignment="1">
      <alignment horizontal="right"/>
    </xf>
    <xf numFmtId="0" fontId="58" fillId="0" borderId="0" xfId="0" applyFont="1"/>
    <xf numFmtId="14" fontId="58" fillId="0" borderId="0" xfId="0" applyNumberFormat="1" applyFont="1" applyAlignment="1">
      <alignment horizontal="right"/>
    </xf>
    <xf numFmtId="0" fontId="57" fillId="0" borderId="0" xfId="0" applyFont="1" applyAlignment="1">
      <alignment horizontal="right"/>
    </xf>
    <xf numFmtId="14" fontId="97" fillId="0" borderId="0" xfId="0" applyNumberFormat="1" applyFont="1"/>
    <xf numFmtId="0" fontId="56" fillId="0" borderId="0" xfId="0" applyFont="1"/>
    <xf numFmtId="165" fontId="91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0" fontId="55" fillId="0" borderId="0" xfId="0" applyFont="1"/>
    <xf numFmtId="4" fontId="83" fillId="0" borderId="0" xfId="0" applyNumberFormat="1" applyFont="1"/>
    <xf numFmtId="0" fontId="54" fillId="0" borderId="0" xfId="0" applyFont="1"/>
    <xf numFmtId="0" fontId="53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2" fillId="0" borderId="0" xfId="0" applyFont="1"/>
    <xf numFmtId="0" fontId="51" fillId="0" borderId="0" xfId="0" applyFont="1"/>
    <xf numFmtId="3" fontId="51" fillId="0" borderId="0" xfId="0" applyNumberFormat="1" applyFont="1"/>
    <xf numFmtId="3" fontId="51" fillId="2" borderId="0" xfId="0" applyNumberFormat="1" applyFont="1" applyFill="1"/>
    <xf numFmtId="0" fontId="50" fillId="0" borderId="0" xfId="0" applyFont="1"/>
    <xf numFmtId="3" fontId="50" fillId="0" borderId="0" xfId="0" applyNumberFormat="1" applyFont="1"/>
    <xf numFmtId="3" fontId="99" fillId="0" borderId="0" xfId="1" applyNumberFormat="1" applyFont="1"/>
    <xf numFmtId="0" fontId="49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8" fillId="0" borderId="0" xfId="0" applyFont="1"/>
    <xf numFmtId="0" fontId="47" fillId="0" borderId="0" xfId="0" applyFont="1"/>
    <xf numFmtId="0" fontId="102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1" fillId="0" borderId="1" xfId="0" applyFont="1" applyBorder="1"/>
    <xf numFmtId="0" fontId="40" fillId="0" borderId="0" xfId="0" applyFont="1"/>
    <xf numFmtId="0" fontId="39" fillId="0" borderId="0" xfId="0" applyFont="1"/>
    <xf numFmtId="0" fontId="37" fillId="0" borderId="0" xfId="0" applyFont="1"/>
    <xf numFmtId="0" fontId="36" fillId="0" borderId="0" xfId="0" applyFont="1"/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2" fillId="0" borderId="0" xfId="0" applyFont="1"/>
    <xf numFmtId="0" fontId="31" fillId="0" borderId="0" xfId="0" applyFont="1"/>
    <xf numFmtId="0" fontId="30" fillId="0" borderId="0" xfId="0" applyFont="1" applyAlignment="1">
      <alignment horizontal="right"/>
    </xf>
    <xf numFmtId="0" fontId="30" fillId="0" borderId="0" xfId="0" applyFont="1"/>
    <xf numFmtId="2" fontId="30" fillId="0" borderId="0" xfId="0" applyNumberFormat="1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0" fontId="28" fillId="0" borderId="0" xfId="0" applyFont="1"/>
    <xf numFmtId="0" fontId="28" fillId="0" borderId="0" xfId="0" applyFont="1" applyAlignment="1">
      <alignment horizontal="right"/>
    </xf>
    <xf numFmtId="3" fontId="28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14" fontId="28" fillId="0" borderId="0" xfId="0" applyNumberFormat="1" applyFont="1" applyAlignment="1">
      <alignment horizontal="right"/>
    </xf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2" xfId="0" applyFont="1" applyBorder="1" applyAlignment="1">
      <alignment horizontal="center"/>
    </xf>
    <xf numFmtId="0" fontId="28" fillId="0" borderId="1" xfId="0" applyFont="1" applyBorder="1"/>
    <xf numFmtId="4" fontId="28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horizontal="right"/>
    </xf>
    <xf numFmtId="0" fontId="24" fillId="0" borderId="3" xfId="0" applyFont="1" applyBorder="1"/>
    <xf numFmtId="0" fontId="24" fillId="0" borderId="4" xfId="0" applyFont="1" applyBorder="1"/>
    <xf numFmtId="2" fontId="24" fillId="0" borderId="4" xfId="0" applyNumberFormat="1" applyFont="1" applyBorder="1" applyAlignment="1">
      <alignment horizontal="right"/>
    </xf>
    <xf numFmtId="3" fontId="24" fillId="0" borderId="4" xfId="0" applyNumberFormat="1" applyFont="1" applyBorder="1" applyAlignment="1">
      <alignment horizontal="right"/>
    </xf>
    <xf numFmtId="0" fontId="24" fillId="0" borderId="4" xfId="0" applyFont="1" applyBorder="1" applyAlignment="1">
      <alignment horizontal="right"/>
    </xf>
    <xf numFmtId="0" fontId="24" fillId="0" borderId="4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24" fillId="0" borderId="5" xfId="0" applyFont="1" applyBorder="1"/>
    <xf numFmtId="3" fontId="24" fillId="0" borderId="0" xfId="0" applyNumberFormat="1" applyFont="1"/>
    <xf numFmtId="4" fontId="24" fillId="0" borderId="0" xfId="0" applyNumberFormat="1" applyFont="1" applyAlignment="1">
      <alignment horizontal="right"/>
    </xf>
    <xf numFmtId="2" fontId="24" fillId="0" borderId="0" xfId="0" applyNumberFormat="1" applyFont="1" applyAlignment="1">
      <alignment horizontal="right"/>
    </xf>
    <xf numFmtId="14" fontId="24" fillId="0" borderId="0" xfId="0" applyNumberFormat="1" applyFont="1" applyAlignment="1">
      <alignment horizontal="right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4" fontId="94" fillId="0" borderId="0" xfId="0" applyNumberFormat="1" applyFont="1"/>
    <xf numFmtId="0" fontId="23" fillId="0" borderId="0" xfId="0" applyFont="1" applyAlignment="1">
      <alignment horizontal="right"/>
    </xf>
    <xf numFmtId="3" fontId="23" fillId="0" borderId="0" xfId="0" applyNumberFormat="1" applyFont="1"/>
    <xf numFmtId="0" fontId="22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/>
    </xf>
    <xf numFmtId="0" fontId="20" fillId="0" borderId="0" xfId="0" applyFont="1"/>
    <xf numFmtId="3" fontId="20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right"/>
    </xf>
    <xf numFmtId="0" fontId="18" fillId="0" borderId="0" xfId="0" applyFont="1"/>
    <xf numFmtId="0" fontId="17" fillId="0" borderId="0" xfId="0" applyFont="1" applyAlignment="1">
      <alignment horizontal="right"/>
    </xf>
    <xf numFmtId="0" fontId="16" fillId="0" borderId="0" xfId="0" applyFont="1"/>
    <xf numFmtId="0" fontId="16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4" fillId="0" borderId="0" xfId="0" applyFont="1"/>
    <xf numFmtId="4" fontId="89" fillId="0" borderId="0" xfId="0" applyNumberFormat="1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9" fontId="12" fillId="0" borderId="0" xfId="0" applyNumberFormat="1" applyFont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4" fontId="12" fillId="0" borderId="0" xfId="0" applyNumberFormat="1" applyFont="1" applyAlignment="1">
      <alignment horizontal="right"/>
    </xf>
    <xf numFmtId="4" fontId="12" fillId="0" borderId="0" xfId="0" applyNumberFormat="1" applyFont="1" applyAlignment="1">
      <alignment horizontal="center"/>
    </xf>
    <xf numFmtId="9" fontId="12" fillId="0" borderId="2" xfId="0" applyNumberFormat="1" applyFont="1" applyBorder="1" applyAlignment="1">
      <alignment horizontal="center"/>
    </xf>
    <xf numFmtId="164" fontId="12" fillId="0" borderId="2" xfId="0" applyNumberFormat="1" applyFont="1" applyBorder="1" applyAlignment="1">
      <alignment horizontal="center"/>
    </xf>
    <xf numFmtId="4" fontId="12" fillId="0" borderId="1" xfId="0" applyNumberFormat="1" applyFont="1" applyBorder="1" applyAlignment="1">
      <alignment horizontal="center"/>
    </xf>
    <xf numFmtId="4" fontId="12" fillId="0" borderId="2" xfId="0" applyNumberFormat="1" applyFont="1" applyBorder="1" applyAlignment="1">
      <alignment horizontal="center"/>
    </xf>
    <xf numFmtId="4" fontId="12" fillId="0" borderId="0" xfId="0" applyNumberFormat="1" applyFont="1" applyAlignment="1">
      <alignment horizontal="right"/>
    </xf>
    <xf numFmtId="0" fontId="12" fillId="0" borderId="1" xfId="0" applyFont="1" applyBorder="1"/>
    <xf numFmtId="0" fontId="12" fillId="0" borderId="7" xfId="0" applyFont="1" applyBorder="1"/>
    <xf numFmtId="0" fontId="12" fillId="0" borderId="6" xfId="0" applyFont="1" applyBorder="1"/>
    <xf numFmtId="2" fontId="12" fillId="0" borderId="6" xfId="0" applyNumberFormat="1" applyFont="1" applyBorder="1" applyAlignment="1">
      <alignment horizontal="right"/>
    </xf>
    <xf numFmtId="3" fontId="12" fillId="0" borderId="6" xfId="0" applyNumberFormat="1" applyFont="1" applyBorder="1" applyAlignment="1">
      <alignment horizontal="right"/>
    </xf>
    <xf numFmtId="0" fontId="12" fillId="0" borderId="6" xfId="0" applyFont="1" applyBorder="1" applyAlignment="1">
      <alignment horizontal="right"/>
    </xf>
    <xf numFmtId="0" fontId="12" fillId="0" borderId="8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right"/>
    </xf>
    <xf numFmtId="0" fontId="9" fillId="0" borderId="0" xfId="0" applyFont="1"/>
    <xf numFmtId="4" fontId="91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2" fontId="2" fillId="0" borderId="4" xfId="0" applyNumberFormat="1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2" fillId="0" borderId="0" xfId="0" applyNumberFormat="1" applyFont="1" applyAlignment="1">
      <alignment horizontal="right"/>
    </xf>
    <xf numFmtId="0" fontId="2" fillId="2" borderId="0" xfId="0" applyFont="1" applyFill="1"/>
    <xf numFmtId="0" fontId="12" fillId="2" borderId="0" xfId="0" applyFont="1" applyFill="1"/>
    <xf numFmtId="0" fontId="41" fillId="2" borderId="0" xfId="0" applyFont="1" applyFill="1"/>
    <xf numFmtId="3" fontId="2" fillId="2" borderId="0" xfId="0" applyNumberFormat="1" applyFont="1" applyFill="1"/>
    <xf numFmtId="0" fontId="38" fillId="2" borderId="0" xfId="0" applyFont="1" applyFill="1"/>
    <xf numFmtId="0" fontId="28" fillId="2" borderId="0" xfId="0" applyFont="1" applyFill="1"/>
    <xf numFmtId="0" fontId="78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externalLink" Target="externalLinks/externalLink63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externalLink" Target="externalLinks/externalLink64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externalLink" Target="externalLinks/externalLink65.xml"/><Relationship Id="rId86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5.xml"/><Relationship Id="rId82" Type="http://schemas.openxmlformats.org/officeDocument/2006/relationships/externalLink" Target="externalLinks/externalLink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TD.xlsx" TargetMode="External"/><Relationship Id="rId1" Type="http://schemas.openxmlformats.org/officeDocument/2006/relationships/externalLinkPath" Target="TT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AP.xlsx" TargetMode="External"/><Relationship Id="rId1" Type="http://schemas.openxmlformats.org/officeDocument/2006/relationships/externalLinkPath" Target="SAP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PGI.xlsx" TargetMode="External"/><Relationship Id="rId1" Type="http://schemas.openxmlformats.org/officeDocument/2006/relationships/externalLinkPath" Target="SPGI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YPL.xlsx" TargetMode="External"/><Relationship Id="rId1" Type="http://schemas.openxmlformats.org/officeDocument/2006/relationships/externalLinkPath" Target="PYPL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UBER.xlsx" TargetMode="External"/><Relationship Id="rId1" Type="http://schemas.openxmlformats.org/officeDocument/2006/relationships/externalLinkPath" Target="UBER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PNG.xlsx" TargetMode="External"/><Relationship Id="rId1" Type="http://schemas.openxmlformats.org/officeDocument/2006/relationships/externalLinkPath" Target="CPNG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S.xlsx" TargetMode="External"/><Relationship Id="rId1" Type="http://schemas.openxmlformats.org/officeDocument/2006/relationships/externalLinkPath" Target="ZS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507</v>
          </cell>
        </row>
        <row r="5">
          <cell r="L5">
            <v>1921.489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Q3">
            <v>307.8</v>
          </cell>
        </row>
        <row r="5">
          <cell r="Q5">
            <v>3460</v>
          </cell>
        </row>
        <row r="6">
          <cell r="Q6">
            <v>11398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1798.8594939999998</v>
          </cell>
        </row>
        <row r="5">
          <cell r="L5">
            <v>5822</v>
          </cell>
        </row>
        <row r="6">
          <cell r="L6">
            <v>1216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153.43862300000001</v>
          </cell>
        </row>
        <row r="5">
          <cell r="K5">
            <v>2307.8969999999999</v>
          </cell>
        </row>
        <row r="6">
          <cell r="K6">
            <v>1145.799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6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TTD.xlsx" TargetMode="External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Relationship Id="rId9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SPGI.xlsx" TargetMode="External"/><Relationship Id="rId3" Type="http://schemas.openxmlformats.org/officeDocument/2006/relationships/hyperlink" Target="HOOD.xlsx" TargetMode="External"/><Relationship Id="rId7" Type="http://schemas.openxmlformats.org/officeDocument/2006/relationships/hyperlink" Target="XYZ.xlsx" TargetMode="Externa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DAVE.xlsx" TargetMode="External"/><Relationship Id="rId10" Type="http://schemas.openxmlformats.org/officeDocument/2006/relationships/comments" Target="../comments1.xml"/><Relationship Id="rId4" Type="http://schemas.openxmlformats.org/officeDocument/2006/relationships/hyperlink" Target="V.xlsx" TargetMode="External"/><Relationship Id="rId9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TEM.xls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ZS.xlsx" TargetMode="External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27" bestFit="1" customWidth="1"/>
    <col min="2" max="2" width="18.28515625" style="127" bestFit="1" customWidth="1"/>
    <col min="3" max="16384" width="9.140625" style="127"/>
  </cols>
  <sheetData>
    <row r="1" spans="1:10" x14ac:dyDescent="0.2">
      <c r="A1" s="127" t="s">
        <v>142</v>
      </c>
    </row>
    <row r="2" spans="1:10" x14ac:dyDescent="0.2">
      <c r="D2" s="127" t="s">
        <v>449</v>
      </c>
    </row>
    <row r="3" spans="1:10" x14ac:dyDescent="0.2">
      <c r="B3" s="127" t="s">
        <v>453</v>
      </c>
      <c r="C3" s="127" t="s">
        <v>255</v>
      </c>
    </row>
    <row r="4" spans="1:10" x14ac:dyDescent="0.2">
      <c r="B4" s="127" t="s">
        <v>454</v>
      </c>
      <c r="C4" s="127" t="s">
        <v>455</v>
      </c>
    </row>
    <row r="5" spans="1:10" x14ac:dyDescent="0.2">
      <c r="B5" s="127" t="s">
        <v>413</v>
      </c>
      <c r="C5" s="127" t="s">
        <v>13</v>
      </c>
    </row>
    <row r="6" spans="1:10" x14ac:dyDescent="0.2">
      <c r="B6" s="127" t="s">
        <v>456</v>
      </c>
      <c r="C6" s="127" t="s">
        <v>13</v>
      </c>
    </row>
    <row r="7" spans="1:10" x14ac:dyDescent="0.2">
      <c r="B7" s="127" t="s">
        <v>457</v>
      </c>
      <c r="C7" s="127" t="s">
        <v>13</v>
      </c>
    </row>
    <row r="8" spans="1:10" x14ac:dyDescent="0.2">
      <c r="B8" s="127" t="s">
        <v>458</v>
      </c>
      <c r="C8" s="127" t="s">
        <v>459</v>
      </c>
      <c r="D8" s="127">
        <v>1999</v>
      </c>
    </row>
    <row r="9" spans="1:10" x14ac:dyDescent="0.2">
      <c r="B9" s="127" t="s">
        <v>460</v>
      </c>
      <c r="C9" s="127" t="s">
        <v>7</v>
      </c>
    </row>
    <row r="10" spans="1:10" x14ac:dyDescent="0.2">
      <c r="B10" s="130" t="s">
        <v>481</v>
      </c>
      <c r="C10" s="130" t="s">
        <v>255</v>
      </c>
      <c r="D10" s="127">
        <v>1994</v>
      </c>
    </row>
    <row r="11" spans="1:10" s="10" customFormat="1" x14ac:dyDescent="0.2">
      <c r="A11" s="67"/>
      <c r="B11" s="5" t="s">
        <v>168</v>
      </c>
      <c r="C11" s="10" t="s">
        <v>169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5" t="s">
        <v>348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1" bestFit="1" customWidth="1"/>
    <col min="2" max="16384" width="8.85546875" style="131"/>
  </cols>
  <sheetData>
    <row r="1" spans="1:4" x14ac:dyDescent="0.2">
      <c r="A1" s="5" t="s">
        <v>142</v>
      </c>
    </row>
    <row r="2" spans="1:4" x14ac:dyDescent="0.2">
      <c r="B2" s="131" t="s">
        <v>223</v>
      </c>
      <c r="C2" s="131" t="s">
        <v>484</v>
      </c>
      <c r="D2" s="131" t="s">
        <v>485</v>
      </c>
    </row>
    <row r="3" spans="1:4" x14ac:dyDescent="0.2">
      <c r="B3" s="131" t="s">
        <v>482</v>
      </c>
      <c r="C3" s="131" t="s">
        <v>483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0" bestFit="1" customWidth="1"/>
    <col min="2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90" t="s">
        <v>19</v>
      </c>
    </row>
    <row r="3" spans="1:3" x14ac:dyDescent="0.2">
      <c r="B3" s="90" t="s">
        <v>336</v>
      </c>
      <c r="C3" s="90" t="s">
        <v>337</v>
      </c>
    </row>
    <row r="4" spans="1:3" x14ac:dyDescent="0.2">
      <c r="B4" s="90" t="s">
        <v>338</v>
      </c>
      <c r="C4" s="90" t="s">
        <v>339</v>
      </c>
    </row>
    <row r="5" spans="1:3" x14ac:dyDescent="0.2">
      <c r="B5" s="90" t="s">
        <v>340</v>
      </c>
    </row>
    <row r="6" spans="1:3" x14ac:dyDescent="0.2">
      <c r="B6" s="90" t="s">
        <v>333</v>
      </c>
    </row>
    <row r="7" spans="1:3" x14ac:dyDescent="0.2">
      <c r="B7" s="90" t="s">
        <v>331</v>
      </c>
    </row>
    <row r="8" spans="1:3" x14ac:dyDescent="0.2">
      <c r="B8" s="90" t="s">
        <v>335</v>
      </c>
    </row>
    <row r="9" spans="1:3" x14ac:dyDescent="0.2">
      <c r="B9" s="90" t="s">
        <v>332</v>
      </c>
    </row>
    <row r="10" spans="1:3" x14ac:dyDescent="0.2">
      <c r="B10" s="90" t="s">
        <v>341</v>
      </c>
    </row>
    <row r="11" spans="1:3" x14ac:dyDescent="0.2">
      <c r="B11" s="90" t="s">
        <v>342</v>
      </c>
    </row>
    <row r="12" spans="1:3" x14ac:dyDescent="0.2">
      <c r="B12" s="90" t="s">
        <v>334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4" bestFit="1" customWidth="1"/>
    <col min="2" max="2" width="12.7109375" style="114" customWidth="1"/>
    <col min="3" max="16384" width="9.140625" style="114"/>
  </cols>
  <sheetData>
    <row r="1" spans="1:15" x14ac:dyDescent="0.2">
      <c r="A1" s="5" t="s">
        <v>142</v>
      </c>
    </row>
    <row r="2" spans="1:15" x14ac:dyDescent="0.2">
      <c r="B2" s="114" t="s">
        <v>0</v>
      </c>
      <c r="C2" s="114">
        <v>2010</v>
      </c>
      <c r="D2" s="114">
        <f>C2+1</f>
        <v>2011</v>
      </c>
      <c r="E2" s="114">
        <f t="shared" ref="E2:O2" si="0">D2+1</f>
        <v>2012</v>
      </c>
      <c r="F2" s="114">
        <f t="shared" si="0"/>
        <v>2013</v>
      </c>
      <c r="G2" s="114">
        <f t="shared" si="0"/>
        <v>2014</v>
      </c>
      <c r="H2" s="114">
        <f t="shared" si="0"/>
        <v>2015</v>
      </c>
      <c r="I2" s="114">
        <f t="shared" si="0"/>
        <v>2016</v>
      </c>
      <c r="J2" s="114">
        <f t="shared" si="0"/>
        <v>2017</v>
      </c>
      <c r="K2" s="114">
        <f t="shared" si="0"/>
        <v>2018</v>
      </c>
      <c r="L2" s="114">
        <f t="shared" si="0"/>
        <v>2019</v>
      </c>
      <c r="M2" s="114">
        <f t="shared" si="0"/>
        <v>2020</v>
      </c>
      <c r="N2" s="114">
        <f t="shared" si="0"/>
        <v>2021</v>
      </c>
      <c r="O2" s="114">
        <f t="shared" si="0"/>
        <v>2022</v>
      </c>
    </row>
    <row r="3" spans="1:15" x14ac:dyDescent="0.2">
      <c r="B3" s="117" t="s">
        <v>416</v>
      </c>
      <c r="C3" s="115">
        <f>SUM(C5:C25)</f>
        <v>62484</v>
      </c>
      <c r="D3" s="115">
        <f t="shared" ref="D3:O3" si="1">SUM(D5:D25)</f>
        <v>69943</v>
      </c>
      <c r="E3" s="115">
        <f t="shared" si="1"/>
        <v>119762</v>
      </c>
      <c r="F3" s="115">
        <f t="shared" si="1"/>
        <v>141240</v>
      </c>
      <c r="G3" s="115">
        <f t="shared" si="1"/>
        <v>169944</v>
      </c>
      <c r="H3" s="115">
        <f t="shared" si="1"/>
        <v>194377</v>
      </c>
      <c r="I3" s="115">
        <f t="shared" si="1"/>
        <v>253177</v>
      </c>
      <c r="J3" s="115">
        <f t="shared" si="1"/>
        <v>305432</v>
      </c>
      <c r="K3" s="115">
        <f t="shared" si="1"/>
        <v>371389</v>
      </c>
      <c r="L3" s="115">
        <f t="shared" si="1"/>
        <v>436330</v>
      </c>
      <c r="M3" s="115">
        <f t="shared" si="1"/>
        <v>503965</v>
      </c>
      <c r="N3" s="115">
        <f t="shared" si="1"/>
        <v>718643</v>
      </c>
      <c r="O3" s="118">
        <f t="shared" si="1"/>
        <v>825015.8</v>
      </c>
    </row>
    <row r="5" spans="1:15" x14ac:dyDescent="0.2">
      <c r="B5" s="114" t="s">
        <v>9</v>
      </c>
      <c r="E5" s="115">
        <v>46039</v>
      </c>
      <c r="F5" s="115">
        <v>55519</v>
      </c>
      <c r="G5" s="115">
        <v>66001</v>
      </c>
      <c r="H5" s="115">
        <v>74989</v>
      </c>
      <c r="I5" s="115">
        <v>90272</v>
      </c>
      <c r="J5" s="115">
        <v>110855</v>
      </c>
      <c r="K5" s="115">
        <v>136819</v>
      </c>
      <c r="L5" s="115">
        <v>161857</v>
      </c>
      <c r="M5" s="115">
        <v>182527</v>
      </c>
      <c r="N5" s="115">
        <v>257637</v>
      </c>
      <c r="O5" s="115">
        <v>282836</v>
      </c>
    </row>
    <row r="6" spans="1:15" x14ac:dyDescent="0.2">
      <c r="B6" s="114" t="s">
        <v>7</v>
      </c>
      <c r="C6" s="115">
        <v>62484</v>
      </c>
      <c r="D6" s="115">
        <v>69943</v>
      </c>
      <c r="E6" s="115">
        <v>73723</v>
      </c>
      <c r="F6" s="115">
        <v>77849</v>
      </c>
      <c r="G6" s="115">
        <v>86833</v>
      </c>
      <c r="H6" s="115">
        <v>93580</v>
      </c>
      <c r="I6" s="115">
        <v>85320</v>
      </c>
      <c r="J6" s="115">
        <v>96571</v>
      </c>
      <c r="K6" s="115">
        <v>110360</v>
      </c>
      <c r="L6" s="115">
        <v>125843</v>
      </c>
      <c r="M6" s="115">
        <v>143015</v>
      </c>
      <c r="N6" s="115">
        <v>184903</v>
      </c>
      <c r="O6" s="115">
        <v>204094</v>
      </c>
    </row>
    <row r="7" spans="1:15" x14ac:dyDescent="0.2">
      <c r="B7" s="114" t="s">
        <v>13</v>
      </c>
      <c r="F7" s="115">
        <v>7872</v>
      </c>
      <c r="G7" s="115">
        <v>12466</v>
      </c>
      <c r="H7" s="115">
        <v>17928</v>
      </c>
      <c r="I7" s="115">
        <v>27638</v>
      </c>
      <c r="J7" s="115">
        <v>40653</v>
      </c>
      <c r="K7" s="115">
        <v>55838</v>
      </c>
      <c r="L7" s="115">
        <v>70697</v>
      </c>
      <c r="M7" s="115">
        <v>85965</v>
      </c>
      <c r="N7" s="115">
        <v>117929</v>
      </c>
      <c r="O7" s="115">
        <v>116609</v>
      </c>
    </row>
    <row r="8" spans="1:15" x14ac:dyDescent="0.2">
      <c r="B8" s="114" t="s">
        <v>404</v>
      </c>
      <c r="G8" s="115">
        <v>4644</v>
      </c>
      <c r="H8" s="115">
        <v>7880</v>
      </c>
      <c r="I8" s="115">
        <v>12219</v>
      </c>
      <c r="J8" s="115">
        <v>17459</v>
      </c>
      <c r="K8" s="115">
        <v>25655</v>
      </c>
      <c r="L8" s="115">
        <v>35026</v>
      </c>
      <c r="M8" s="115">
        <v>45370</v>
      </c>
      <c r="N8" s="115">
        <v>62202</v>
      </c>
      <c r="O8" s="115">
        <v>80096</v>
      </c>
    </row>
    <row r="9" spans="1:15" x14ac:dyDescent="0.2">
      <c r="B9" s="114" t="s">
        <v>23</v>
      </c>
      <c r="I9" s="115">
        <v>37728</v>
      </c>
      <c r="J9" s="115">
        <v>39831</v>
      </c>
      <c r="K9" s="115">
        <v>39506</v>
      </c>
      <c r="L9" s="115">
        <v>39068</v>
      </c>
      <c r="M9" s="115">
        <v>40479</v>
      </c>
      <c r="N9" s="115">
        <v>42440</v>
      </c>
      <c r="O9" s="115">
        <v>46073</v>
      </c>
    </row>
    <row r="10" spans="1:15" x14ac:dyDescent="0.2">
      <c r="B10" s="114" t="s">
        <v>25</v>
      </c>
      <c r="N10" s="115">
        <v>27843</v>
      </c>
      <c r="O10" s="116">
        <f>N10*1.1</f>
        <v>30627.300000000003</v>
      </c>
    </row>
    <row r="11" spans="1:15" x14ac:dyDescent="0.2">
      <c r="B11" s="114" t="s">
        <v>21</v>
      </c>
      <c r="O11" s="116">
        <v>30294</v>
      </c>
    </row>
    <row r="12" spans="1:15" x14ac:dyDescent="0.2">
      <c r="B12" s="114" t="s">
        <v>19</v>
      </c>
      <c r="N12" s="115">
        <v>15785</v>
      </c>
      <c r="O12" s="116">
        <f>N12*1.1</f>
        <v>17363.5</v>
      </c>
    </row>
    <row r="13" spans="1:15" x14ac:dyDescent="0.2">
      <c r="B13" s="114" t="s">
        <v>405</v>
      </c>
      <c r="J13" s="115">
        <v>63</v>
      </c>
      <c r="K13" s="115">
        <v>150</v>
      </c>
      <c r="L13" s="115">
        <v>350</v>
      </c>
      <c r="M13" s="115">
        <v>2640</v>
      </c>
      <c r="N13" s="115">
        <v>4697</v>
      </c>
      <c r="O13" s="115">
        <v>9401</v>
      </c>
    </row>
    <row r="14" spans="1:15" x14ac:dyDescent="0.2">
      <c r="B14" s="114" t="s">
        <v>255</v>
      </c>
    </row>
    <row r="15" spans="1:15" x14ac:dyDescent="0.2">
      <c r="B15" s="114" t="s">
        <v>44</v>
      </c>
    </row>
    <row r="16" spans="1:15" x14ac:dyDescent="0.2">
      <c r="B16" s="114" t="s">
        <v>171</v>
      </c>
    </row>
    <row r="17" spans="2:15" x14ac:dyDescent="0.2">
      <c r="B17" s="114" t="s">
        <v>29</v>
      </c>
    </row>
    <row r="18" spans="2:15" x14ac:dyDescent="0.2">
      <c r="B18" s="114" t="s">
        <v>406</v>
      </c>
    </row>
    <row r="19" spans="2:15" x14ac:dyDescent="0.2">
      <c r="B19" s="117" t="s">
        <v>173</v>
      </c>
      <c r="K19" s="115">
        <v>3061</v>
      </c>
      <c r="L19" s="115">
        <v>3489</v>
      </c>
      <c r="M19" s="115">
        <v>3969</v>
      </c>
      <c r="N19" s="115">
        <v>5107</v>
      </c>
      <c r="O19" s="115">
        <v>6622</v>
      </c>
    </row>
    <row r="20" spans="2:15" x14ac:dyDescent="0.2">
      <c r="B20" s="114" t="s">
        <v>33</v>
      </c>
    </row>
    <row r="21" spans="2:15" x14ac:dyDescent="0.2">
      <c r="B21" s="114" t="s">
        <v>390</v>
      </c>
      <c r="N21" s="115">
        <v>100</v>
      </c>
      <c r="O21" s="115">
        <v>1000</v>
      </c>
    </row>
    <row r="22" spans="2:15" x14ac:dyDescent="0.2">
      <c r="B22" s="114" t="s">
        <v>40</v>
      </c>
    </row>
    <row r="23" spans="2:15" x14ac:dyDescent="0.2">
      <c r="B23" s="114" t="s">
        <v>50</v>
      </c>
    </row>
    <row r="24" spans="2:15" x14ac:dyDescent="0.2">
      <c r="B24" s="114" t="s">
        <v>52</v>
      </c>
    </row>
    <row r="25" spans="2:15" x14ac:dyDescent="0.2">
      <c r="B25" s="114" t="s">
        <v>294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0" bestFit="1" customWidth="1"/>
    <col min="2" max="2" width="10.42578125" style="90" customWidth="1"/>
    <col min="3" max="16384" width="9.140625" style="90"/>
  </cols>
  <sheetData>
    <row r="1" spans="1:3" x14ac:dyDescent="0.2">
      <c r="A1" s="5" t="s">
        <v>142</v>
      </c>
    </row>
    <row r="2" spans="1:3" x14ac:dyDescent="0.2">
      <c r="A2" s="5"/>
      <c r="B2" s="117" t="s">
        <v>414</v>
      </c>
    </row>
    <row r="3" spans="1:3" x14ac:dyDescent="0.2">
      <c r="A3" s="5"/>
      <c r="B3" s="117" t="s">
        <v>410</v>
      </c>
    </row>
    <row r="4" spans="1:3" x14ac:dyDescent="0.2">
      <c r="A4" s="5"/>
      <c r="B4" s="117" t="s">
        <v>413</v>
      </c>
    </row>
    <row r="5" spans="1:3" x14ac:dyDescent="0.2">
      <c r="A5" s="5"/>
      <c r="B5" s="117" t="s">
        <v>411</v>
      </c>
    </row>
    <row r="6" spans="1:3" x14ac:dyDescent="0.2">
      <c r="A6" s="5"/>
      <c r="B6" s="117" t="s">
        <v>415</v>
      </c>
    </row>
    <row r="7" spans="1:3" x14ac:dyDescent="0.2">
      <c r="A7" s="5"/>
      <c r="B7" s="117" t="s">
        <v>412</v>
      </c>
    </row>
    <row r="8" spans="1:3" x14ac:dyDescent="0.2">
      <c r="A8" s="5"/>
      <c r="B8" s="117"/>
    </row>
    <row r="9" spans="1:3" x14ac:dyDescent="0.2">
      <c r="A9" s="5"/>
      <c r="B9" s="117"/>
    </row>
    <row r="10" spans="1:3" x14ac:dyDescent="0.2">
      <c r="A10" s="5"/>
      <c r="B10" s="90" t="s">
        <v>347</v>
      </c>
    </row>
    <row r="11" spans="1:3" x14ac:dyDescent="0.2">
      <c r="B11" s="90" t="s">
        <v>343</v>
      </c>
    </row>
    <row r="12" spans="1:3" x14ac:dyDescent="0.2">
      <c r="B12" s="90" t="s">
        <v>344</v>
      </c>
      <c r="C12" s="90" t="s">
        <v>345</v>
      </c>
    </row>
    <row r="13" spans="1:3" x14ac:dyDescent="0.2">
      <c r="B13" s="90" t="s">
        <v>346</v>
      </c>
    </row>
    <row r="14" spans="1:3" x14ac:dyDescent="0.2">
      <c r="B14" s="114" t="s">
        <v>407</v>
      </c>
      <c r="C14" s="114" t="s">
        <v>408</v>
      </c>
    </row>
    <row r="15" spans="1:3" x14ac:dyDescent="0.2">
      <c r="B15" s="114" t="s">
        <v>409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Y43"/>
  <sheetViews>
    <sheetView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E14" sqref="E14"/>
    </sheetView>
  </sheetViews>
  <sheetFormatPr defaultColWidth="8.42578125" defaultRowHeight="12.75" x14ac:dyDescent="0.2"/>
  <cols>
    <col min="1" max="1" width="4.85546875" style="214" customWidth="1"/>
    <col min="2" max="2" width="16.42578125" style="214" customWidth="1"/>
    <col min="3" max="3" width="10.7109375" style="214" customWidth="1"/>
    <col min="4" max="4" width="8.7109375" style="215" customWidth="1"/>
    <col min="5" max="5" width="10.28515625" style="216" customWidth="1"/>
    <col min="6" max="9" width="9.42578125" style="213" customWidth="1"/>
    <col min="10" max="10" width="10.42578125" style="213" customWidth="1"/>
    <col min="11" max="15" width="8.42578125" style="217"/>
    <col min="16" max="16" width="8.42578125" style="222"/>
    <col min="17" max="18" width="8.42578125" style="217"/>
    <col min="19" max="19" width="8.42578125" style="223"/>
    <col min="20" max="20" width="8.42578125" style="222"/>
    <col min="21" max="22" width="8.42578125" style="217"/>
    <col min="23" max="23" width="8.42578125" style="223"/>
    <col min="24" max="16384" width="8.42578125" style="214"/>
  </cols>
  <sheetData>
    <row r="2" spans="1:25" x14ac:dyDescent="0.2">
      <c r="L2" s="218">
        <f>AVERAGE(L4:L5)</f>
        <v>-0.2158304416401513</v>
      </c>
      <c r="P2" s="219">
        <f>AVERAGE(P4:P5)</f>
        <v>43.732853904727968</v>
      </c>
      <c r="Q2" s="220">
        <f>AVERAGE(Q4:Q5)</f>
        <v>38.942666305255237</v>
      </c>
      <c r="R2" s="220">
        <f>AVERAGE(R4:R5)</f>
        <v>32.473811288135018</v>
      </c>
      <c r="S2" s="221">
        <f>AVERAGE(S4:S5)</f>
        <v>29.405648462451822</v>
      </c>
    </row>
    <row r="3" spans="1:25" x14ac:dyDescent="0.2">
      <c r="B3" s="224" t="s">
        <v>0</v>
      </c>
      <c r="C3" s="225" t="s">
        <v>1</v>
      </c>
      <c r="D3" s="226" t="s">
        <v>2</v>
      </c>
      <c r="E3" s="227" t="s">
        <v>3</v>
      </c>
      <c r="F3" s="228" t="s">
        <v>4</v>
      </c>
      <c r="G3" s="228" t="s">
        <v>5</v>
      </c>
      <c r="H3" s="228" t="s">
        <v>212</v>
      </c>
      <c r="I3" s="228" t="s">
        <v>6</v>
      </c>
      <c r="J3" s="228" t="s">
        <v>223</v>
      </c>
      <c r="K3" s="229" t="s">
        <v>207</v>
      </c>
      <c r="L3" s="229" t="s">
        <v>211</v>
      </c>
      <c r="M3" s="229" t="s">
        <v>208</v>
      </c>
      <c r="N3" s="229" t="s">
        <v>209</v>
      </c>
      <c r="O3" s="230" t="s">
        <v>210</v>
      </c>
      <c r="P3" s="231" t="s">
        <v>228</v>
      </c>
      <c r="Q3" s="232" t="s">
        <v>229</v>
      </c>
      <c r="R3" s="232" t="s">
        <v>230</v>
      </c>
      <c r="S3" s="230">
        <v>2025</v>
      </c>
      <c r="T3" s="231" t="s">
        <v>227</v>
      </c>
      <c r="U3" s="229">
        <v>2023</v>
      </c>
      <c r="V3" s="229">
        <v>2024</v>
      </c>
      <c r="W3" s="230">
        <v>2025</v>
      </c>
      <c r="X3" s="214" t="s">
        <v>213</v>
      </c>
      <c r="Y3" s="263" t="s">
        <v>672</v>
      </c>
    </row>
    <row r="4" spans="1:25" x14ac:dyDescent="0.2">
      <c r="A4" s="278" t="s">
        <v>252</v>
      </c>
      <c r="B4" s="82" t="s">
        <v>7</v>
      </c>
      <c r="C4" s="214" t="s">
        <v>8</v>
      </c>
      <c r="D4" s="215">
        <v>433</v>
      </c>
      <c r="E4" s="216">
        <f>D4*[2]Main!$L$3</f>
        <v>3234510</v>
      </c>
      <c r="F4" s="216">
        <f>[2]Main!$L$5-[2]Main!$L$6</f>
        <v>49089</v>
      </c>
      <c r="G4" s="216">
        <f>+E4-F4</f>
        <v>3185421</v>
      </c>
      <c r="H4" s="216">
        <f>+[2]Main!$L$3</f>
        <v>7470</v>
      </c>
      <c r="I4" s="249" t="s">
        <v>655</v>
      </c>
      <c r="J4" s="233">
        <v>45649</v>
      </c>
      <c r="K4" s="234">
        <f>+[2]Model!$BT$52</f>
        <v>262.48742406108209</v>
      </c>
      <c r="L4" s="218">
        <f>K4/D4-1</f>
        <v>-0.39379347791897901</v>
      </c>
      <c r="M4" s="218">
        <f>+[2]Model!$BT$49</f>
        <v>7.0000000000000007E-2</v>
      </c>
      <c r="N4" s="218">
        <f>+[2]Model!$BT$48</f>
        <v>0</v>
      </c>
      <c r="O4" s="235">
        <f>+[2]Model!$BT$50</f>
        <v>0.01</v>
      </c>
      <c r="P4" s="219">
        <f>+$G$4/$H$4/T4</f>
        <v>44.206387448664579</v>
      </c>
      <c r="Q4" s="221">
        <f t="shared" ref="Q4:S4" si="0">+$G$4/$H$4/U4</f>
        <v>42.346993425525525</v>
      </c>
      <c r="R4" s="221">
        <f t="shared" si="0"/>
        <v>39.782243620679722</v>
      </c>
      <c r="S4" s="236">
        <f t="shared" si="0"/>
        <v>34.142636446124342</v>
      </c>
      <c r="T4" s="237">
        <f>+[2]Model!$BI$46</f>
        <v>9.6463099263974534</v>
      </c>
      <c r="U4" s="234">
        <f>+[2]Model!$BJ$46</f>
        <v>10.06986516778748</v>
      </c>
      <c r="V4" s="234">
        <f>+[2]Model!$BK$46</f>
        <v>10.719066479059959</v>
      </c>
      <c r="W4" s="238">
        <f>+[2]Model!$BL$46</f>
        <v>12.489618800502162</v>
      </c>
      <c r="X4" s="214">
        <v>1975</v>
      </c>
      <c r="Y4" s="214">
        <f t="shared" ref="Y4:Y5" si="1">2025-X4</f>
        <v>50</v>
      </c>
    </row>
    <row r="5" spans="1:25" x14ac:dyDescent="0.2">
      <c r="A5" s="277" t="s">
        <v>252</v>
      </c>
      <c r="B5" s="82" t="s">
        <v>9</v>
      </c>
      <c r="C5" s="214" t="s">
        <v>10</v>
      </c>
      <c r="D5" s="215">
        <v>207.71</v>
      </c>
      <c r="E5" s="216">
        <f>D5*[3]Main!$L$3</f>
        <v>2637086.16</v>
      </c>
      <c r="F5" s="216">
        <f>[3]Main!$L$5-[3]Main!$L$6</f>
        <v>121659</v>
      </c>
      <c r="G5" s="216">
        <f>+E5-F5</f>
        <v>2515427.16</v>
      </c>
      <c r="H5" s="216">
        <f>[3]Main!$L$3</f>
        <v>12696</v>
      </c>
      <c r="I5" s="213" t="s">
        <v>614</v>
      </c>
      <c r="J5" s="233">
        <v>45519</v>
      </c>
      <c r="K5" s="234">
        <f>[3]Model!$AY$36</f>
        <v>199.84456123239949</v>
      </c>
      <c r="L5" s="218">
        <f>K5/D5-1</f>
        <v>-3.7867405361323603E-2</v>
      </c>
      <c r="M5" s="218">
        <f>[3]Model!$AY$33</f>
        <v>7.0000000000000007E-2</v>
      </c>
      <c r="N5" s="218">
        <f>[3]Model!$AY$32</f>
        <v>0</v>
      </c>
      <c r="O5" s="235">
        <f>[3]Model!$AY$34</f>
        <v>0.01</v>
      </c>
      <c r="P5" s="219">
        <f>+$G$5/$H$5/T5</f>
        <v>43.259320360791357</v>
      </c>
      <c r="Q5" s="221">
        <f>+$G$5/$H$5/U5</f>
        <v>35.538339184984949</v>
      </c>
      <c r="R5" s="221">
        <f>+$G$5/$H$5/V5</f>
        <v>25.16537895559031</v>
      </c>
      <c r="S5" s="221">
        <f>+$G$5/$H$5/W5</f>
        <v>24.668660478779298</v>
      </c>
      <c r="T5" s="237">
        <f>[3]Model!$AN$29</f>
        <v>4.5799964361174039</v>
      </c>
      <c r="U5" s="234">
        <f>[3]Model!$AO$29</f>
        <v>5.5750363586206904</v>
      </c>
      <c r="V5" s="234">
        <f>[3]Model!$AP$29</f>
        <v>7.8730200499235021</v>
      </c>
      <c r="W5" s="238">
        <f>[3]Model!$AQ$29</f>
        <v>8.0315480952733758</v>
      </c>
      <c r="X5" s="214">
        <v>1998</v>
      </c>
      <c r="Y5" s="214">
        <f t="shared" si="1"/>
        <v>27</v>
      </c>
    </row>
    <row r="6" spans="1:25" x14ac:dyDescent="0.2">
      <c r="A6" s="277" t="s">
        <v>252</v>
      </c>
      <c r="B6" s="82" t="s">
        <v>72</v>
      </c>
      <c r="C6" s="214" t="s">
        <v>73</v>
      </c>
      <c r="D6" s="215">
        <v>505</v>
      </c>
      <c r="E6" s="216">
        <f>+D6*H6</f>
        <v>169473.86102000001</v>
      </c>
      <c r="F6" s="216">
        <f>+[4]Main!$K$5-[4]Main!$K$6</f>
        <v>-2906.86</v>
      </c>
      <c r="G6" s="216">
        <f>+E6-F6</f>
        <v>172380.72102</v>
      </c>
      <c r="H6" s="216">
        <f>+[4]Main!$K$3</f>
        <v>335.59180400000002</v>
      </c>
      <c r="I6" s="213" t="s">
        <v>348</v>
      </c>
      <c r="J6" s="233">
        <v>45701</v>
      </c>
      <c r="O6" s="223"/>
      <c r="X6" s="214">
        <v>2012</v>
      </c>
      <c r="Y6" s="214">
        <f>2025-X6</f>
        <v>13</v>
      </c>
    </row>
    <row r="7" spans="1:25" x14ac:dyDescent="0.2">
      <c r="A7" s="277" t="s">
        <v>252</v>
      </c>
      <c r="B7" s="82" t="s">
        <v>173</v>
      </c>
      <c r="C7" s="214" t="s">
        <v>174</v>
      </c>
      <c r="D7" s="239">
        <v>2825.35</v>
      </c>
      <c r="E7" s="216">
        <f>D7*H7/CAD</f>
        <v>46084.890152016626</v>
      </c>
      <c r="F7" s="216">
        <f>[5]Main!$O$5-[5]Main!$O$6</f>
        <v>-1163</v>
      </c>
      <c r="G7" s="216">
        <f>E7-F7</f>
        <v>47247.890152016626</v>
      </c>
      <c r="H7" s="216">
        <f>+[5]Main!$O$3</f>
        <v>21.19153</v>
      </c>
      <c r="I7" s="213" t="s">
        <v>379</v>
      </c>
      <c r="J7" s="233">
        <v>45047</v>
      </c>
      <c r="O7" s="223"/>
      <c r="X7" s="214">
        <v>1995</v>
      </c>
      <c r="Y7" s="214">
        <f t="shared" ref="Y7:Y9" si="2">2025-X7</f>
        <v>30</v>
      </c>
    </row>
    <row r="8" spans="1:25" x14ac:dyDescent="0.2">
      <c r="A8" s="277" t="s">
        <v>252</v>
      </c>
      <c r="B8" s="82" t="s">
        <v>56</v>
      </c>
      <c r="C8" s="214" t="s">
        <v>480</v>
      </c>
      <c r="D8" s="215">
        <v>83.89</v>
      </c>
      <c r="E8" s="216">
        <v>41017</v>
      </c>
      <c r="F8" s="216">
        <f>+[6]Main!$L$5-[6]Main!$L$6</f>
        <v>1921.489</v>
      </c>
      <c r="G8" s="216">
        <f>+E8-F8</f>
        <v>39095.510999999999</v>
      </c>
      <c r="H8" s="216">
        <f>+[6]Main!$L$3</f>
        <v>507</v>
      </c>
      <c r="I8" s="263" t="s">
        <v>670</v>
      </c>
      <c r="J8" s="233">
        <v>45701</v>
      </c>
      <c r="O8" s="223"/>
      <c r="X8" s="214">
        <v>2009</v>
      </c>
      <c r="Y8" s="214">
        <f t="shared" si="2"/>
        <v>16</v>
      </c>
    </row>
    <row r="9" spans="1:25" x14ac:dyDescent="0.2">
      <c r="B9" s="82" t="s">
        <v>38</v>
      </c>
      <c r="C9" s="214" t="s">
        <v>39</v>
      </c>
      <c r="D9" s="215">
        <v>92.75</v>
      </c>
      <c r="E9" s="216">
        <f>+D9*[7]Main!$L$3/8</f>
        <v>32856.6875</v>
      </c>
      <c r="F9" s="216">
        <f>([7]Main!$L$5-[7]Main!$L$6)/RMB</f>
        <v>30585.01483679525</v>
      </c>
      <c r="G9" s="216">
        <f>E9-F9</f>
        <v>2271.6726632047503</v>
      </c>
      <c r="H9" s="216">
        <f>+[7]Main!$L$3</f>
        <v>2834</v>
      </c>
      <c r="I9" s="213" t="s">
        <v>14</v>
      </c>
      <c r="O9" s="223"/>
      <c r="X9" s="214">
        <v>2000</v>
      </c>
      <c r="Y9" s="214">
        <f t="shared" si="2"/>
        <v>25</v>
      </c>
    </row>
    <row r="10" spans="1:25" x14ac:dyDescent="0.2">
      <c r="B10" s="82" t="s">
        <v>38</v>
      </c>
      <c r="C10" s="214" t="s">
        <v>633</v>
      </c>
      <c r="F10" s="216"/>
      <c r="G10" s="216"/>
      <c r="H10" s="216"/>
      <c r="O10" s="223"/>
    </row>
    <row r="11" spans="1:25" x14ac:dyDescent="0.2">
      <c r="B11" s="240" t="s">
        <v>311</v>
      </c>
      <c r="C11" s="214" t="s">
        <v>312</v>
      </c>
      <c r="D11" s="215">
        <v>46.37</v>
      </c>
      <c r="E11" s="216">
        <v>20860</v>
      </c>
      <c r="O11" s="223"/>
      <c r="X11" s="214">
        <v>1987</v>
      </c>
    </row>
    <row r="12" spans="1:25" x14ac:dyDescent="0.2">
      <c r="A12" s="277" t="s">
        <v>252</v>
      </c>
      <c r="B12" s="240" t="s">
        <v>420</v>
      </c>
      <c r="C12" s="214" t="s">
        <v>421</v>
      </c>
      <c r="D12" s="215">
        <v>547.96</v>
      </c>
      <c r="E12" s="216">
        <v>58644</v>
      </c>
      <c r="O12" s="223"/>
    </row>
    <row r="13" spans="1:25" x14ac:dyDescent="0.2">
      <c r="A13" s="214" t="s">
        <v>252</v>
      </c>
      <c r="B13" s="240" t="s">
        <v>422</v>
      </c>
      <c r="C13" s="214" t="s">
        <v>423</v>
      </c>
      <c r="D13" s="215">
        <v>281.41000000000003</v>
      </c>
      <c r="E13" s="216">
        <f>129933/RMB</f>
        <v>19277.893175074183</v>
      </c>
      <c r="O13" s="223"/>
    </row>
    <row r="14" spans="1:25" x14ac:dyDescent="0.2">
      <c r="A14" s="214" t="s">
        <v>252</v>
      </c>
      <c r="B14" s="240" t="s">
        <v>78</v>
      </c>
      <c r="C14" s="214" t="s">
        <v>79</v>
      </c>
      <c r="D14" s="215">
        <v>16.87</v>
      </c>
      <c r="E14" s="216">
        <v>11408</v>
      </c>
      <c r="O14" s="223"/>
      <c r="X14" s="214">
        <v>2007</v>
      </c>
    </row>
    <row r="15" spans="1:25" x14ac:dyDescent="0.2">
      <c r="A15" s="214" t="s">
        <v>252</v>
      </c>
      <c r="B15" s="240" t="s">
        <v>441</v>
      </c>
      <c r="C15" s="214" t="s">
        <v>442</v>
      </c>
      <c r="D15" s="215">
        <v>34.99</v>
      </c>
      <c r="E15" s="216">
        <v>18901</v>
      </c>
      <c r="O15" s="223"/>
    </row>
    <row r="16" spans="1:25" x14ac:dyDescent="0.2">
      <c r="A16" s="277" t="s">
        <v>252</v>
      </c>
      <c r="B16" s="240" t="s">
        <v>84</v>
      </c>
      <c r="C16" s="214" t="s">
        <v>85</v>
      </c>
      <c r="D16" s="215">
        <v>363.45</v>
      </c>
      <c r="E16" s="216">
        <v>15250</v>
      </c>
      <c r="O16" s="223"/>
      <c r="X16" s="214">
        <v>1966</v>
      </c>
    </row>
    <row r="17" spans="1:24" x14ac:dyDescent="0.2">
      <c r="B17" s="240" t="s">
        <v>101</v>
      </c>
      <c r="C17" s="214" t="s">
        <v>102</v>
      </c>
      <c r="D17" s="215">
        <v>408.48</v>
      </c>
      <c r="E17" s="216">
        <v>10570</v>
      </c>
      <c r="O17" s="223"/>
    </row>
    <row r="18" spans="1:24" x14ac:dyDescent="0.2">
      <c r="B18" s="240" t="s">
        <v>105</v>
      </c>
      <c r="C18" s="214" t="s">
        <v>106</v>
      </c>
      <c r="D18" s="215">
        <v>80.52</v>
      </c>
      <c r="E18" s="216">
        <v>10310</v>
      </c>
      <c r="O18" s="223"/>
      <c r="X18" s="214">
        <v>2007</v>
      </c>
    </row>
    <row r="19" spans="1:24" x14ac:dyDescent="0.2">
      <c r="B19" s="240" t="s">
        <v>109</v>
      </c>
      <c r="C19" s="214" t="s">
        <v>110</v>
      </c>
      <c r="D19" s="215">
        <v>8.17</v>
      </c>
      <c r="E19" s="216">
        <v>9320</v>
      </c>
      <c r="O19" s="223"/>
    </row>
    <row r="20" spans="1:24" x14ac:dyDescent="0.2">
      <c r="B20" s="240" t="s">
        <v>113</v>
      </c>
      <c r="C20" s="214" t="s">
        <v>114</v>
      </c>
      <c r="D20" s="215">
        <v>203.42</v>
      </c>
      <c r="E20" s="216">
        <v>8580</v>
      </c>
      <c r="O20" s="223"/>
      <c r="X20" s="214">
        <v>2003</v>
      </c>
    </row>
    <row r="21" spans="1:24" x14ac:dyDescent="0.2">
      <c r="A21" s="278" t="s">
        <v>252</v>
      </c>
      <c r="B21" s="240" t="s">
        <v>116</v>
      </c>
      <c r="C21" s="214" t="s">
        <v>117</v>
      </c>
      <c r="D21" s="215">
        <v>126.81</v>
      </c>
      <c r="E21" s="216">
        <v>8200</v>
      </c>
      <c r="O21" s="223"/>
    </row>
    <row r="22" spans="1:24" x14ac:dyDescent="0.2">
      <c r="A22" s="278" t="s">
        <v>252</v>
      </c>
      <c r="B22" s="240" t="s">
        <v>118</v>
      </c>
      <c r="C22" s="214" t="s">
        <v>119</v>
      </c>
      <c r="D22" s="215">
        <v>50.35</v>
      </c>
      <c r="E22" s="216">
        <v>8150</v>
      </c>
      <c r="O22" s="223"/>
    </row>
    <row r="23" spans="1:24" x14ac:dyDescent="0.2">
      <c r="B23" s="240" t="s">
        <v>121</v>
      </c>
      <c r="C23" s="214" t="s">
        <v>122</v>
      </c>
      <c r="D23" s="215">
        <v>88.7</v>
      </c>
      <c r="E23" s="216">
        <v>7910</v>
      </c>
      <c r="O23" s="223"/>
    </row>
    <row r="24" spans="1:24" x14ac:dyDescent="0.2">
      <c r="A24" s="214" t="s">
        <v>252</v>
      </c>
      <c r="B24" s="240" t="s">
        <v>125</v>
      </c>
      <c r="C24" s="214" t="s">
        <v>126</v>
      </c>
      <c r="D24" s="215">
        <v>50.36</v>
      </c>
      <c r="E24" s="216">
        <v>7140</v>
      </c>
      <c r="O24" s="223"/>
    </row>
    <row r="25" spans="1:24" x14ac:dyDescent="0.2">
      <c r="A25" s="214" t="s">
        <v>252</v>
      </c>
      <c r="B25" s="240" t="s">
        <v>127</v>
      </c>
      <c r="C25" s="214" t="s">
        <v>128</v>
      </c>
      <c r="D25" s="215">
        <v>80.58</v>
      </c>
      <c r="E25" s="216">
        <v>6930</v>
      </c>
      <c r="O25" s="223"/>
    </row>
    <row r="26" spans="1:24" x14ac:dyDescent="0.2">
      <c r="B26" s="240" t="s">
        <v>133</v>
      </c>
      <c r="C26" s="214" t="s">
        <v>134</v>
      </c>
      <c r="D26" s="215">
        <v>54.6</v>
      </c>
      <c r="E26" s="216">
        <v>6370</v>
      </c>
      <c r="O26" s="223"/>
    </row>
    <row r="27" spans="1:24" x14ac:dyDescent="0.2">
      <c r="A27" s="214" t="s">
        <v>252</v>
      </c>
      <c r="B27" s="240" t="s">
        <v>135</v>
      </c>
      <c r="C27" s="214" t="s">
        <v>136</v>
      </c>
      <c r="D27" s="215">
        <v>62.59</v>
      </c>
      <c r="E27" s="216">
        <v>6350</v>
      </c>
      <c r="O27" s="223"/>
    </row>
    <row r="28" spans="1:24" x14ac:dyDescent="0.2">
      <c r="A28" s="278" t="s">
        <v>252</v>
      </c>
      <c r="B28" s="240" t="s">
        <v>137</v>
      </c>
      <c r="C28" s="214" t="s">
        <v>137</v>
      </c>
      <c r="D28" s="215">
        <v>62.71</v>
      </c>
      <c r="E28" s="216">
        <v>3603</v>
      </c>
      <c r="O28" s="223"/>
    </row>
    <row r="29" spans="1:24" x14ac:dyDescent="0.2">
      <c r="B29" s="82" t="s">
        <v>332</v>
      </c>
      <c r="C29" s="214" t="s">
        <v>616</v>
      </c>
      <c r="D29" s="215">
        <v>13.99</v>
      </c>
      <c r="E29" s="216">
        <f>+D29*H29</f>
        <v>1249.307</v>
      </c>
      <c r="F29" s="216">
        <f>+[8]Main!$K$5-[8]Main!$K$6</f>
        <v>357.65600000000001</v>
      </c>
      <c r="G29" s="216">
        <f>+E29-F29</f>
        <v>891.65100000000007</v>
      </c>
      <c r="H29" s="216">
        <f>+[8]Main!$K$3</f>
        <v>89.3</v>
      </c>
      <c r="I29" s="213" t="s">
        <v>614</v>
      </c>
      <c r="J29" s="233">
        <v>45546</v>
      </c>
      <c r="O29" s="223"/>
    </row>
    <row r="30" spans="1:24" x14ac:dyDescent="0.2">
      <c r="A30" s="214" t="s">
        <v>252</v>
      </c>
      <c r="B30" s="240" t="s">
        <v>501</v>
      </c>
      <c r="C30" s="214" t="s">
        <v>502</v>
      </c>
      <c r="O30" s="223"/>
    </row>
    <row r="31" spans="1:24" x14ac:dyDescent="0.2">
      <c r="A31" s="214" t="s">
        <v>252</v>
      </c>
      <c r="B31" s="240" t="s">
        <v>138</v>
      </c>
      <c r="C31" s="214" t="s">
        <v>139</v>
      </c>
      <c r="D31" s="215">
        <v>21.19</v>
      </c>
      <c r="E31" s="216">
        <v>2965</v>
      </c>
      <c r="O31" s="223"/>
    </row>
    <row r="32" spans="1:24" x14ac:dyDescent="0.2">
      <c r="B32" s="240" t="s">
        <v>214</v>
      </c>
      <c r="C32" s="214" t="s">
        <v>215</v>
      </c>
      <c r="D32" s="215">
        <v>13.95</v>
      </c>
      <c r="E32" s="216">
        <v>2030</v>
      </c>
      <c r="O32" s="223"/>
    </row>
    <row r="33" spans="1:15" x14ac:dyDescent="0.2">
      <c r="B33" s="240" t="s">
        <v>216</v>
      </c>
      <c r="C33" s="214" t="s">
        <v>217</v>
      </c>
      <c r="D33" s="215">
        <v>19.95</v>
      </c>
      <c r="E33" s="216">
        <v>2560</v>
      </c>
      <c r="O33" s="223"/>
    </row>
    <row r="34" spans="1:15" x14ac:dyDescent="0.2">
      <c r="B34" s="240" t="s">
        <v>225</v>
      </c>
      <c r="C34" s="214" t="s">
        <v>226</v>
      </c>
      <c r="O34" s="223"/>
    </row>
    <row r="35" spans="1:15" x14ac:dyDescent="0.2">
      <c r="B35" s="240" t="s">
        <v>392</v>
      </c>
      <c r="O35" s="223"/>
    </row>
    <row r="36" spans="1:15" x14ac:dyDescent="0.2">
      <c r="A36" s="214" t="s">
        <v>252</v>
      </c>
      <c r="B36" s="240" t="s">
        <v>491</v>
      </c>
      <c r="C36" s="214" t="s">
        <v>492</v>
      </c>
      <c r="O36" s="223"/>
    </row>
    <row r="37" spans="1:15" x14ac:dyDescent="0.2">
      <c r="A37" s="214" t="s">
        <v>252</v>
      </c>
      <c r="B37" s="240" t="s">
        <v>426</v>
      </c>
      <c r="C37" s="214" t="s">
        <v>427</v>
      </c>
      <c r="O37" s="223"/>
    </row>
    <row r="38" spans="1:15" x14ac:dyDescent="0.2">
      <c r="A38" s="214" t="s">
        <v>252</v>
      </c>
      <c r="B38" s="240" t="s">
        <v>524</v>
      </c>
      <c r="C38" s="214" t="s">
        <v>525</v>
      </c>
      <c r="O38" s="223"/>
    </row>
    <row r="39" spans="1:15" x14ac:dyDescent="0.2">
      <c r="B39" s="240" t="s">
        <v>635</v>
      </c>
      <c r="C39" s="214" t="s">
        <v>634</v>
      </c>
      <c r="O39" s="223"/>
    </row>
    <row r="40" spans="1:15" x14ac:dyDescent="0.2">
      <c r="A40" s="214" t="s">
        <v>252</v>
      </c>
      <c r="B40" s="240" t="s">
        <v>528</v>
      </c>
      <c r="C40" s="214" t="s">
        <v>529</v>
      </c>
      <c r="O40" s="223"/>
    </row>
    <row r="41" spans="1:15" x14ac:dyDescent="0.2">
      <c r="A41" s="214" t="s">
        <v>252</v>
      </c>
      <c r="B41" s="240" t="s">
        <v>536</v>
      </c>
      <c r="C41" s="214" t="s">
        <v>537</v>
      </c>
      <c r="O41" s="223"/>
    </row>
    <row r="42" spans="1:15" x14ac:dyDescent="0.2">
      <c r="A42" s="214" t="s">
        <v>252</v>
      </c>
      <c r="B42" s="240" t="s">
        <v>544</v>
      </c>
      <c r="C42" s="214" t="s">
        <v>545</v>
      </c>
      <c r="O42" s="223"/>
    </row>
    <row r="43" spans="1:15" x14ac:dyDescent="0.2">
      <c r="A43" s="214" t="s">
        <v>252</v>
      </c>
      <c r="B43" s="241" t="s">
        <v>584</v>
      </c>
      <c r="C43" s="242" t="s">
        <v>585</v>
      </c>
      <c r="D43" s="243"/>
      <c r="E43" s="244"/>
      <c r="F43" s="245"/>
      <c r="G43" s="245"/>
      <c r="H43" s="245"/>
      <c r="I43" s="245"/>
      <c r="J43" s="245"/>
      <c r="K43" s="232"/>
      <c r="L43" s="232"/>
      <c r="M43" s="232"/>
      <c r="N43" s="232"/>
      <c r="O43" s="246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  <hyperlink ref="B8" r:id="rId8" xr:uid="{A4E374A4-E9DE-40D2-BD26-49E8D76CD0BB}"/>
  </hyperlinks>
  <pageMargins left="0.7" right="0.7" top="0.75" bottom="0.75" header="0.3" footer="0.3"/>
  <pageSetup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48" t="s">
        <v>252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s="20" customFormat="1" x14ac:dyDescent="0.2">
      <c r="A3" s="277" t="s">
        <v>252</v>
      </c>
      <c r="B3" s="82" t="s">
        <v>11</v>
      </c>
      <c r="C3" s="20" t="s">
        <v>12</v>
      </c>
      <c r="D3" s="21">
        <v>186.72</v>
      </c>
      <c r="E3" s="22">
        <f>+D3*[9]Main!$K$3</f>
        <v>1963362.8554137598</v>
      </c>
      <c r="F3" s="22">
        <f>[9]Main!$K$5-[9]Main!$K$6</f>
        <v>33161</v>
      </c>
      <c r="G3" s="22">
        <f>+E3-F3</f>
        <v>1930201.8554137598</v>
      </c>
      <c r="H3" s="22">
        <f>+[9]Main!$K$3</f>
        <v>10515.011007999999</v>
      </c>
      <c r="I3" s="204" t="s">
        <v>614</v>
      </c>
      <c r="J3" s="37">
        <v>45581</v>
      </c>
      <c r="K3" s="27">
        <f>+[9]Model!$BZ$49</f>
        <v>138.84592160567925</v>
      </c>
      <c r="L3" s="28">
        <f>K3/D3-1</f>
        <v>-0.25639502139203485</v>
      </c>
      <c r="M3" s="35">
        <f>+[9]Model!$BZ$45</f>
        <v>0.08</v>
      </c>
      <c r="N3" s="28">
        <f>+[9]Model!$BZ$47</f>
        <v>0</v>
      </c>
      <c r="O3" s="83">
        <f>+[9]Model!$BZ$46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+[9]Model!$BO$33</f>
        <v>0.51665847665847664</v>
      </c>
      <c r="U3" s="27">
        <f>+[9]Model!$BP$33</f>
        <v>2.9001048517777144</v>
      </c>
      <c r="V3" s="27">
        <f>+[9]Model!$BQ$33</f>
        <v>2.7473266371175273</v>
      </c>
      <c r="W3" s="33">
        <f>+[9]Model!$BR$33</f>
        <v>4.2487251286221426</v>
      </c>
      <c r="X3" s="20">
        <v>1994</v>
      </c>
    </row>
    <row r="4" spans="1:24" s="20" customFormat="1" x14ac:dyDescent="0.2">
      <c r="A4" s="279" t="s">
        <v>252</v>
      </c>
      <c r="B4" s="5" t="s">
        <v>23</v>
      </c>
      <c r="C4" s="20" t="s">
        <v>24</v>
      </c>
      <c r="D4" s="21">
        <v>167.48</v>
      </c>
      <c r="E4" s="22">
        <f>+D4*[10]Main!$G$3</f>
        <v>474638.31999999995</v>
      </c>
      <c r="F4" s="22">
        <f>+[10]Main!$G$5-[10]Main!$G$6</f>
        <v>-76208</v>
      </c>
      <c r="G4" s="22">
        <f>+E4-F4</f>
        <v>550846.31999999995</v>
      </c>
      <c r="H4" s="22">
        <f>+[10]Main!$G$3</f>
        <v>2834</v>
      </c>
      <c r="I4" s="139" t="s">
        <v>614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279" t="s">
        <v>252</v>
      </c>
      <c r="B5" s="5" t="s">
        <v>25</v>
      </c>
      <c r="C5" s="20" t="s">
        <v>25</v>
      </c>
      <c r="D5" s="21">
        <v>291</v>
      </c>
      <c r="E5" s="22">
        <f>+D5*H5</f>
        <v>342798</v>
      </c>
      <c r="F5" s="22">
        <f>+[11]Main!$L$5-[11]Main!$L$6</f>
        <v>8195</v>
      </c>
      <c r="G5" s="22">
        <f>E5-F5</f>
        <v>334603</v>
      </c>
      <c r="H5" s="22">
        <f>+[11]Main!$L$3</f>
        <v>1178</v>
      </c>
      <c r="I5" s="263" t="s">
        <v>614</v>
      </c>
      <c r="J5" s="37">
        <v>45701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279" t="s">
        <v>252</v>
      </c>
      <c r="B6" s="5" t="s">
        <v>21</v>
      </c>
      <c r="C6" s="20" t="s">
        <v>22</v>
      </c>
      <c r="D6" s="21">
        <v>265.39999999999998</v>
      </c>
      <c r="E6" s="22">
        <f>+D6*[12]Main!$M$3</f>
        <v>258234.19999999998</v>
      </c>
      <c r="F6" s="22">
        <f>+[12]Main!$M$5-[12]Main!$M$6</f>
        <v>17653</v>
      </c>
      <c r="G6" s="22">
        <f>E6-F6</f>
        <v>240581.19999999998</v>
      </c>
      <c r="H6" s="22">
        <f>+[12]Main!$M$3</f>
        <v>973</v>
      </c>
      <c r="I6" s="149" t="s">
        <v>614</v>
      </c>
      <c r="J6" s="37">
        <v>45555</v>
      </c>
      <c r="K6" s="27">
        <f>+[12]Model!$AE$65</f>
        <v>170.42672158668651</v>
      </c>
      <c r="L6" s="28">
        <f>+K6/D6-1</f>
        <v>-0.35784957955280139</v>
      </c>
      <c r="M6" s="28">
        <f>+[12]Model!$AE$63</f>
        <v>0.08</v>
      </c>
      <c r="N6" s="28">
        <f>+[12]Model!$AE$62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279" t="s">
        <v>252</v>
      </c>
      <c r="B7" s="5" t="s">
        <v>255</v>
      </c>
      <c r="C7" s="65" t="s">
        <v>255</v>
      </c>
      <c r="D7" s="106">
        <v>221</v>
      </c>
      <c r="E7" s="54">
        <f>D7*H7</f>
        <v>203320</v>
      </c>
      <c r="F7" s="54">
        <f>[13]Main!$M$5-[13]Main!$M$6</f>
        <v>-38732</v>
      </c>
      <c r="G7" s="22">
        <f>E7-F7</f>
        <v>242052</v>
      </c>
      <c r="H7" s="54">
        <f>[13]Main!$M$3</f>
        <v>920</v>
      </c>
      <c r="I7" s="169" t="s">
        <v>614</v>
      </c>
      <c r="J7" s="76">
        <v>45565</v>
      </c>
      <c r="X7" s="55">
        <v>1911</v>
      </c>
    </row>
    <row r="8" spans="1:24" x14ac:dyDescent="0.2">
      <c r="A8" s="279" t="s">
        <v>252</v>
      </c>
      <c r="B8" s="93" t="s">
        <v>148</v>
      </c>
      <c r="C8" s="20" t="s">
        <v>149</v>
      </c>
      <c r="D8" s="21">
        <v>80</v>
      </c>
      <c r="E8" s="22">
        <f>+D8*H8</f>
        <v>202240</v>
      </c>
      <c r="F8" s="22">
        <f>[14]Main!$L$5-[14]Main!$L$6</f>
        <v>5230</v>
      </c>
      <c r="G8" s="22">
        <f>E8-F8</f>
        <v>197010</v>
      </c>
      <c r="H8" s="22">
        <f>+[14]Main!$L$3</f>
        <v>2528</v>
      </c>
      <c r="I8" s="260" t="s">
        <v>670</v>
      </c>
      <c r="J8" s="76">
        <v>45692</v>
      </c>
    </row>
    <row r="9" spans="1:24" s="20" customFormat="1" x14ac:dyDescent="0.2">
      <c r="A9" s="279" t="s">
        <v>252</v>
      </c>
      <c r="B9" s="5" t="s">
        <v>29</v>
      </c>
      <c r="C9" s="20" t="s">
        <v>30</v>
      </c>
      <c r="D9" s="21">
        <v>919.25</v>
      </c>
      <c r="E9" s="22">
        <f>+D9*[15]Main!$L$3</f>
        <v>191204</v>
      </c>
      <c r="F9" s="22">
        <f>+[15]Main!$L$5-[15]Main!$L$6</f>
        <v>7397</v>
      </c>
      <c r="G9" s="22">
        <f t="shared" ref="G9" si="0">E9-F9</f>
        <v>183807</v>
      </c>
      <c r="H9" s="22">
        <f>+[15]Main!$L$3</f>
        <v>208</v>
      </c>
      <c r="I9" s="169" t="s">
        <v>614</v>
      </c>
      <c r="J9" s="76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279" t="s">
        <v>252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+[16]Main!$P$5-[16]Main!$P$6</f>
        <v>4391</v>
      </c>
      <c r="G10" s="22">
        <f t="shared" ref="G10:G14" si="1">E10-F10</f>
        <v>65834</v>
      </c>
      <c r="H10" s="23">
        <f>+[16]Main!$P$3</f>
        <v>265</v>
      </c>
      <c r="I10" s="169" t="s">
        <v>614</v>
      </c>
      <c r="J10" s="37">
        <v>45565</v>
      </c>
      <c r="X10" s="55">
        <v>2005</v>
      </c>
    </row>
    <row r="11" spans="1:24" x14ac:dyDescent="0.2">
      <c r="A11" s="279" t="s">
        <v>252</v>
      </c>
      <c r="B11" s="5" t="s">
        <v>40</v>
      </c>
      <c r="C11" s="20" t="s">
        <v>41</v>
      </c>
      <c r="D11" s="21">
        <v>161.19</v>
      </c>
      <c r="E11" s="22">
        <f>+D11*[17]Main!$L$3</f>
        <v>41909.4</v>
      </c>
      <c r="F11" s="22">
        <f>+[17]Main!$L$5-[17]Main!$L$6</f>
        <v>1576</v>
      </c>
      <c r="G11" s="22">
        <f>E11-F11</f>
        <v>40333.4</v>
      </c>
      <c r="H11" s="22">
        <f>+[17]Main!$L$3</f>
        <v>260</v>
      </c>
      <c r="I11" s="169" t="s">
        <v>614</v>
      </c>
      <c r="J11" s="76">
        <v>45565</v>
      </c>
      <c r="X11" s="55">
        <v>2002</v>
      </c>
    </row>
    <row r="12" spans="1:24" x14ac:dyDescent="0.2">
      <c r="A12" s="279" t="s">
        <v>252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+[18]Main!$O$5-[18]Main!$O$6</f>
        <v>970</v>
      </c>
      <c r="G12" s="22">
        <f>E12-F12</f>
        <v>36895.572005250004</v>
      </c>
      <c r="H12" s="54">
        <f>+[18]Main!$O$3</f>
        <v>337.15227500000003</v>
      </c>
      <c r="I12" s="75" t="s">
        <v>199</v>
      </c>
      <c r="J12" s="76">
        <v>45514</v>
      </c>
      <c r="X12" s="55">
        <v>2010</v>
      </c>
    </row>
    <row r="13" spans="1:24" x14ac:dyDescent="0.2">
      <c r="A13" s="279" t="s">
        <v>252</v>
      </c>
      <c r="B13" s="5" t="s">
        <v>44</v>
      </c>
      <c r="C13" s="20" t="s">
        <v>45</v>
      </c>
      <c r="D13" s="21">
        <v>109.1</v>
      </c>
      <c r="E13" s="22">
        <f>+D13*[19]Main!$M$3</f>
        <v>34296.785099999994</v>
      </c>
      <c r="F13" s="22">
        <f>+[19]Main!$M$5-[19]Main!$M$6</f>
        <v>5027.4579999999996</v>
      </c>
      <c r="G13" s="22">
        <f t="shared" si="1"/>
        <v>29269.327099999995</v>
      </c>
      <c r="H13" s="22">
        <f>+[19]Main!$M$3</f>
        <v>314.36099999999999</v>
      </c>
      <c r="I13" s="34" t="s">
        <v>14</v>
      </c>
      <c r="X13" s="55">
        <v>2012</v>
      </c>
    </row>
    <row r="14" spans="1:24" x14ac:dyDescent="0.2">
      <c r="A14" s="279" t="s">
        <v>252</v>
      </c>
      <c r="B14" s="5" t="s">
        <v>171</v>
      </c>
      <c r="C14" s="20" t="s">
        <v>172</v>
      </c>
      <c r="D14" s="21">
        <v>186.85</v>
      </c>
      <c r="E14" s="22">
        <f>+D14*H14</f>
        <v>28933.162884249999</v>
      </c>
      <c r="F14" s="22">
        <f>+[20]Main!$M$5-[20]Main!$M$6</f>
        <v>2838.5529999999999</v>
      </c>
      <c r="G14" s="22">
        <f t="shared" si="1"/>
        <v>26094.60988425</v>
      </c>
      <c r="H14" s="22">
        <f>+[20]Main!$M$3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279" t="s">
        <v>252</v>
      </c>
      <c r="B15" s="82" t="s">
        <v>68</v>
      </c>
      <c r="C15" s="150" t="s">
        <v>69</v>
      </c>
      <c r="D15" s="151">
        <v>520</v>
      </c>
      <c r="E15" s="152">
        <f>+D15*H15</f>
        <v>26701.395759999999</v>
      </c>
      <c r="F15" s="22">
        <f>+[21]Main!$K$5-[21]Main!$K$6</f>
        <v>1488.5009999999997</v>
      </c>
      <c r="G15" s="22">
        <f>+E15-F15</f>
        <v>25212.894759999999</v>
      </c>
      <c r="H15" s="22">
        <f>+[21]Main!$K$3</f>
        <v>51.348838000000001</v>
      </c>
      <c r="I15" s="207" t="s">
        <v>614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279" t="s">
        <v>252</v>
      </c>
      <c r="B16" s="5" t="s">
        <v>182</v>
      </c>
      <c r="C16" s="20" t="s">
        <v>183</v>
      </c>
      <c r="D16" s="21">
        <v>320</v>
      </c>
      <c r="E16" s="22">
        <f>+D16*H16</f>
        <v>23680</v>
      </c>
      <c r="F16" s="22">
        <f>+[22]Main!$J$5-[22]Main!$J$6</f>
        <v>1177</v>
      </c>
      <c r="G16" s="22">
        <f>+E16-F16</f>
        <v>22503</v>
      </c>
      <c r="H16" s="22">
        <f>+[22]Main!$J$3</f>
        <v>74</v>
      </c>
      <c r="I16" s="213" t="s">
        <v>655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279" t="s">
        <v>252</v>
      </c>
      <c r="B17" s="93" t="s">
        <v>190</v>
      </c>
      <c r="C17" s="20" t="s">
        <v>191</v>
      </c>
      <c r="D17" s="21">
        <v>80.39</v>
      </c>
      <c r="E17" s="22">
        <f>+D17*H17</f>
        <v>13655.210681839999</v>
      </c>
      <c r="F17" s="22">
        <f>+[23]Main!$K$5-[23]Main!$K$6</f>
        <v>1245</v>
      </c>
      <c r="G17" s="22">
        <f>+E17-F17</f>
        <v>12410.210681839999</v>
      </c>
      <c r="H17" s="22">
        <f>+[23]Main!$K$3</f>
        <v>169.862056</v>
      </c>
      <c r="I17" s="253" t="s">
        <v>655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1" t="s">
        <v>252</v>
      </c>
      <c r="B18" s="5" t="s">
        <v>294</v>
      </c>
      <c r="C18" s="77" t="s">
        <v>175</v>
      </c>
      <c r="D18" s="21">
        <v>66.94</v>
      </c>
      <c r="E18" s="22">
        <f>+D18*H18</f>
        <v>20603.4100521</v>
      </c>
      <c r="F18" s="22">
        <f>+[24]Main!$J$5-[24]Main!$J$6</f>
        <v>7958.5609999999997</v>
      </c>
      <c r="G18" s="22">
        <f>E18-F18</f>
        <v>12644.8490521</v>
      </c>
      <c r="H18" s="22">
        <f>+[24]Main!$J$3</f>
        <v>307.78921500000001</v>
      </c>
      <c r="I18" s="149" t="s">
        <v>614</v>
      </c>
      <c r="J18" s="37">
        <v>45555</v>
      </c>
      <c r="X18" s="55">
        <v>2011</v>
      </c>
    </row>
    <row r="19" spans="1:24" s="20" customFormat="1" x14ac:dyDescent="0.2">
      <c r="A19" s="131" t="s">
        <v>252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279" t="s">
        <v>252</v>
      </c>
      <c r="B20" s="5" t="s">
        <v>393</v>
      </c>
      <c r="C20" s="131" t="s">
        <v>500</v>
      </c>
      <c r="D20" s="21">
        <v>30.55</v>
      </c>
      <c r="E20" s="22">
        <f>+H20*D20</f>
        <v>9859.2028944499998</v>
      </c>
      <c r="F20" s="22">
        <f>+[25]Main!$J$5-[25]Main!$J$6</f>
        <v>840.96199999999999</v>
      </c>
      <c r="G20" s="22">
        <f>+E20-F20</f>
        <v>9018.2408944500003</v>
      </c>
      <c r="H20" s="22">
        <f>+[25]Main!$J$3</f>
        <v>322.723499</v>
      </c>
      <c r="I20" s="204" t="s">
        <v>614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1" t="s">
        <v>252</v>
      </c>
      <c r="B21" s="87" t="s">
        <v>326</v>
      </c>
      <c r="C21" s="92" t="s">
        <v>373</v>
      </c>
      <c r="D21" s="55">
        <v>25.54</v>
      </c>
      <c r="E21" s="54">
        <v>4800</v>
      </c>
      <c r="X21" s="55">
        <v>2012</v>
      </c>
    </row>
    <row r="22" spans="1:24" x14ac:dyDescent="0.2">
      <c r="A22" s="131" t="s">
        <v>252</v>
      </c>
      <c r="B22" s="105" t="s">
        <v>386</v>
      </c>
      <c r="C22" s="105" t="s">
        <v>387</v>
      </c>
      <c r="D22" s="55">
        <v>10.88</v>
      </c>
      <c r="E22" s="54">
        <v>3000</v>
      </c>
    </row>
    <row r="23" spans="1:24" x14ac:dyDescent="0.2">
      <c r="B23" s="85" t="s">
        <v>184</v>
      </c>
      <c r="C23" s="20" t="s">
        <v>185</v>
      </c>
      <c r="D23" s="21">
        <v>114.84</v>
      </c>
      <c r="E23" s="22">
        <v>17930</v>
      </c>
    </row>
    <row r="24" spans="1:24" x14ac:dyDescent="0.2">
      <c r="A24" s="131" t="s">
        <v>252</v>
      </c>
      <c r="B24" s="85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1" t="s">
        <v>252</v>
      </c>
      <c r="B25" s="85" t="s">
        <v>192</v>
      </c>
      <c r="C25" s="20" t="s">
        <v>193</v>
      </c>
      <c r="D25" s="21">
        <v>97.08</v>
      </c>
      <c r="E25" s="22">
        <v>15070</v>
      </c>
    </row>
    <row r="26" spans="1:24" x14ac:dyDescent="0.2">
      <c r="A26" s="131" t="s">
        <v>252</v>
      </c>
      <c r="B26" s="85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1" t="s">
        <v>252</v>
      </c>
      <c r="B27" s="85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1" t="s">
        <v>252</v>
      </c>
      <c r="B28" s="123" t="s">
        <v>428</v>
      </c>
      <c r="C28" s="123" t="s">
        <v>429</v>
      </c>
      <c r="D28" s="21"/>
      <c r="E28" s="22"/>
      <c r="F28" s="22"/>
      <c r="G28" s="22"/>
      <c r="H28" s="22"/>
      <c r="I28" s="23"/>
      <c r="J28" s="76"/>
    </row>
    <row r="29" spans="1:24" x14ac:dyDescent="0.2">
      <c r="A29" s="131" t="s">
        <v>252</v>
      </c>
      <c r="B29" s="123" t="s">
        <v>426</v>
      </c>
      <c r="C29" s="123" t="s">
        <v>427</v>
      </c>
      <c r="D29" s="21"/>
      <c r="E29" s="22"/>
      <c r="F29" s="54"/>
      <c r="G29" s="22"/>
      <c r="H29" s="54"/>
      <c r="I29" s="75"/>
      <c r="J29" s="76"/>
    </row>
    <row r="30" spans="1:24" x14ac:dyDescent="0.2">
      <c r="A30" s="279" t="s">
        <v>252</v>
      </c>
      <c r="B30" s="132" t="s">
        <v>505</v>
      </c>
      <c r="C30" s="131" t="s">
        <v>506</v>
      </c>
      <c r="D30" s="21"/>
      <c r="E30" s="22"/>
    </row>
    <row r="31" spans="1:24" x14ac:dyDescent="0.2">
      <c r="A31" s="131" t="s">
        <v>252</v>
      </c>
      <c r="B31" s="132" t="s">
        <v>498</v>
      </c>
      <c r="C31" s="131" t="s">
        <v>499</v>
      </c>
      <c r="D31" s="21"/>
      <c r="E31" s="22"/>
    </row>
    <row r="32" spans="1:24" x14ac:dyDescent="0.2">
      <c r="A32" s="279" t="s">
        <v>252</v>
      </c>
      <c r="B32" s="132" t="s">
        <v>507</v>
      </c>
      <c r="C32" s="131" t="s">
        <v>508</v>
      </c>
      <c r="D32" s="21"/>
      <c r="E32" s="22"/>
    </row>
    <row r="33" spans="1:24" x14ac:dyDescent="0.2">
      <c r="B33" s="85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1" t="s">
        <v>252</v>
      </c>
      <c r="B34" s="123" t="s">
        <v>434</v>
      </c>
      <c r="C34" s="123" t="s">
        <v>435</v>
      </c>
      <c r="D34" s="21"/>
      <c r="E34" s="22"/>
    </row>
    <row r="35" spans="1:24" x14ac:dyDescent="0.2">
      <c r="A35" s="134" t="s">
        <v>252</v>
      </c>
      <c r="B35" s="123" t="s">
        <v>436</v>
      </c>
      <c r="C35" s="123" t="s">
        <v>437</v>
      </c>
      <c r="D35" s="21"/>
      <c r="E35" s="22"/>
    </row>
    <row r="36" spans="1:24" x14ac:dyDescent="0.2">
      <c r="A36" s="131" t="s">
        <v>252</v>
      </c>
      <c r="B36" s="123" t="s">
        <v>438</v>
      </c>
      <c r="C36" s="123" t="s">
        <v>89</v>
      </c>
      <c r="D36" s="21"/>
      <c r="E36" s="22"/>
    </row>
    <row r="37" spans="1:24" x14ac:dyDescent="0.2">
      <c r="A37" s="279" t="s">
        <v>252</v>
      </c>
      <c r="B37" s="85" t="s">
        <v>186</v>
      </c>
      <c r="C37" s="20" t="s">
        <v>187</v>
      </c>
      <c r="D37" s="21">
        <v>87.46</v>
      </c>
      <c r="E37" s="22">
        <v>16020</v>
      </c>
    </row>
    <row r="38" spans="1:24" s="20" customFormat="1" x14ac:dyDescent="0.2">
      <c r="A38" s="131" t="s">
        <v>252</v>
      </c>
      <c r="B38" s="85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1" t="s">
        <v>252</v>
      </c>
      <c r="B39" s="131" t="s">
        <v>489</v>
      </c>
      <c r="C39" s="131" t="s">
        <v>490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1" t="s">
        <v>252</v>
      </c>
      <c r="B40" s="131" t="s">
        <v>493</v>
      </c>
      <c r="C40" s="13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34" t="s">
        <v>252</v>
      </c>
      <c r="B41" s="5" t="s">
        <v>578</v>
      </c>
      <c r="C41" s="134" t="s">
        <v>579</v>
      </c>
      <c r="D41" s="21">
        <v>32.659999999999997</v>
      </c>
      <c r="E41" s="22">
        <f>+D41*H41</f>
        <v>3319.1307980999995</v>
      </c>
      <c r="F41" s="22">
        <f>+[26]Main!$M$5-[26]Main!$M$6</f>
        <v>487.66099999999994</v>
      </c>
      <c r="G41" s="22">
        <f>+E41-F41</f>
        <v>2831.4697980999995</v>
      </c>
      <c r="H41" s="22">
        <f>+[26]Main!$M$3</f>
        <v>101.626785</v>
      </c>
      <c r="I41" s="166" t="s">
        <v>614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34" t="s">
        <v>252</v>
      </c>
      <c r="B42" s="5" t="s">
        <v>562</v>
      </c>
      <c r="C42" s="134" t="s">
        <v>563</v>
      </c>
      <c r="D42" s="21">
        <v>11.1</v>
      </c>
      <c r="E42" s="22">
        <f>+D42*H42</f>
        <v>3353.2079243999997</v>
      </c>
      <c r="F42" s="22">
        <f>+[27]Main!$H$5-[27]Main!$H$6</f>
        <v>1019.114</v>
      </c>
      <c r="G42" s="22">
        <f>+E42-F42</f>
        <v>2334.0939243999997</v>
      </c>
      <c r="H42" s="22">
        <f>+[27]Main!$H$3</f>
        <v>302.09080399999999</v>
      </c>
      <c r="I42" s="166" t="s">
        <v>614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34" t="s">
        <v>252</v>
      </c>
      <c r="B43" s="5" t="s">
        <v>580</v>
      </c>
      <c r="C43" s="134" t="s">
        <v>581</v>
      </c>
      <c r="D43" s="21">
        <v>27.26</v>
      </c>
      <c r="E43" s="22">
        <f>+D43*H43</f>
        <v>1998.6214199999999</v>
      </c>
      <c r="F43" s="22">
        <f>+[28]Main!$K$5-[28]Main!$K$6</f>
        <v>-11.827999999999975</v>
      </c>
      <c r="G43" s="22">
        <f>+E43-F43</f>
        <v>2010.4494199999999</v>
      </c>
      <c r="H43" s="22">
        <f>+[28]Main!$K$3</f>
        <v>73.316999999999993</v>
      </c>
      <c r="I43" s="172" t="s">
        <v>614</v>
      </c>
      <c r="J43" s="185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1"/>
      <c r="B44" s="5" t="s">
        <v>615</v>
      </c>
      <c r="C44" s="136" t="s">
        <v>615</v>
      </c>
      <c r="D44" s="21">
        <v>13.22</v>
      </c>
      <c r="E44" s="22">
        <f>+D44*H44</f>
        <v>5412.6671779000008</v>
      </c>
      <c r="F44" s="22">
        <f>+[29]Main!$J$5-[29]Main!$J$6</f>
        <v>4999</v>
      </c>
      <c r="G44" s="22">
        <f>+E44-F44</f>
        <v>413.66717790000075</v>
      </c>
      <c r="H44" s="22">
        <f>+[29]Main!$J$3</f>
        <v>409.43019500000003</v>
      </c>
      <c r="I44" s="137" t="s">
        <v>614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1" t="s">
        <v>252</v>
      </c>
      <c r="B45" s="131" t="s">
        <v>494</v>
      </c>
      <c r="C45" s="131" t="s">
        <v>495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1" t="s">
        <v>252</v>
      </c>
      <c r="B46" s="131" t="s">
        <v>497</v>
      </c>
      <c r="C46" s="131" t="s">
        <v>496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1" t="s">
        <v>252</v>
      </c>
      <c r="B47" s="131" t="s">
        <v>511</v>
      </c>
      <c r="C47" s="131" t="s">
        <v>512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1" t="s">
        <v>252</v>
      </c>
      <c r="B48" s="131" t="s">
        <v>514</v>
      </c>
      <c r="C48" s="131" t="s">
        <v>515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1" t="s">
        <v>252</v>
      </c>
      <c r="B49" s="131" t="s">
        <v>520</v>
      </c>
      <c r="C49" s="131" t="s">
        <v>521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1" t="s">
        <v>252</v>
      </c>
      <c r="B50" s="131" t="s">
        <v>522</v>
      </c>
      <c r="C50" s="131" t="s">
        <v>523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1" t="s">
        <v>252</v>
      </c>
      <c r="B51" s="131" t="s">
        <v>526</v>
      </c>
      <c r="C51" s="131" t="s">
        <v>527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1" t="s">
        <v>252</v>
      </c>
      <c r="B52" s="131" t="s">
        <v>540</v>
      </c>
      <c r="C52" s="131" t="s">
        <v>541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33" t="s">
        <v>252</v>
      </c>
      <c r="B53" s="133" t="s">
        <v>546</v>
      </c>
      <c r="C53" s="133" t="s">
        <v>547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33" t="s">
        <v>252</v>
      </c>
      <c r="B54" s="133" t="s">
        <v>548</v>
      </c>
      <c r="C54" s="133" t="s">
        <v>549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34" t="s">
        <v>252</v>
      </c>
      <c r="B55" s="134" t="s">
        <v>564</v>
      </c>
      <c r="C55" s="134" t="s">
        <v>565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34" t="s">
        <v>252</v>
      </c>
      <c r="B56" s="134" t="s">
        <v>566</v>
      </c>
      <c r="C56" s="134" t="s">
        <v>567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34" t="s">
        <v>252</v>
      </c>
      <c r="B57" s="134" t="s">
        <v>568</v>
      </c>
      <c r="C57" s="134" t="s">
        <v>569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34" t="s">
        <v>252</v>
      </c>
      <c r="B58" s="134" t="s">
        <v>574</v>
      </c>
      <c r="C58" s="134" t="s">
        <v>575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34" t="s">
        <v>252</v>
      </c>
      <c r="B59" s="134" t="s">
        <v>576</v>
      </c>
      <c r="C59" s="134" t="s">
        <v>577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34" t="s">
        <v>252</v>
      </c>
      <c r="B60" s="134" t="s">
        <v>582</v>
      </c>
      <c r="C60" s="134" t="s">
        <v>583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34" t="s">
        <v>252</v>
      </c>
      <c r="B61" s="134" t="s">
        <v>588</v>
      </c>
      <c r="C61" s="134" t="s">
        <v>589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34" t="s">
        <v>252</v>
      </c>
      <c r="B62" s="134" t="s">
        <v>590</v>
      </c>
      <c r="C62" s="134" t="s">
        <v>591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34"/>
      <c r="B63" s="5" t="s">
        <v>620</v>
      </c>
      <c r="C63" s="147" t="s">
        <v>621</v>
      </c>
      <c r="D63" s="21">
        <v>16.170000000000002</v>
      </c>
      <c r="E63" s="22">
        <f>+D63*H63</f>
        <v>5800.7075164500011</v>
      </c>
      <c r="F63" s="22">
        <f>+[30]Main!$M$5-[30]Main!$M$6</f>
        <v>200.15600000000001</v>
      </c>
      <c r="G63" s="22">
        <f>+E63-F63</f>
        <v>5600.5515164500011</v>
      </c>
      <c r="H63" s="22">
        <f>+[30]Main!$M$3</f>
        <v>358.732685</v>
      </c>
      <c r="I63" s="247" t="s">
        <v>655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34"/>
      <c r="B64" s="5" t="s">
        <v>663</v>
      </c>
      <c r="C64" s="250" t="s">
        <v>664</v>
      </c>
      <c r="D64" s="251">
        <v>27.66</v>
      </c>
      <c r="E64" s="22">
        <f>+D64*H64</f>
        <v>5513.7476638799999</v>
      </c>
      <c r="F64" s="22">
        <f>+[31]Main!$L$5-[31]Main!$L$6</f>
        <v>2288.1999999999998</v>
      </c>
      <c r="G64" s="22">
        <f>+E64-F64</f>
        <v>3225.5476638800001</v>
      </c>
      <c r="H64" s="22">
        <f>+[31]Main!$L$3</f>
        <v>199.34011799999999</v>
      </c>
      <c r="I64" s="252" t="s">
        <v>655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34" t="s">
        <v>252</v>
      </c>
      <c r="B65" s="134" t="s">
        <v>592</v>
      </c>
      <c r="C65" s="134" t="s">
        <v>593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34" t="s">
        <v>252</v>
      </c>
      <c r="B66" s="134" t="s">
        <v>602</v>
      </c>
      <c r="C66" s="134" t="s">
        <v>603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34" t="s">
        <v>252</v>
      </c>
      <c r="B67" s="134" t="s">
        <v>606</v>
      </c>
      <c r="C67" s="134" t="s">
        <v>607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34" t="s">
        <v>252</v>
      </c>
      <c r="B68" s="134" t="s">
        <v>608</v>
      </c>
      <c r="C68" s="134" t="s">
        <v>609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34" t="s">
        <v>252</v>
      </c>
      <c r="B69" s="134" t="s">
        <v>610</v>
      </c>
      <c r="C69" s="134" t="s">
        <v>611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34"/>
      <c r="B70" s="214" t="s">
        <v>657</v>
      </c>
      <c r="C70" s="214" t="s">
        <v>658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34"/>
      <c r="B71" s="254" t="s">
        <v>666</v>
      </c>
      <c r="C71" s="254" t="s">
        <v>665</v>
      </c>
      <c r="D71" s="251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34"/>
      <c r="B72" s="5" t="s">
        <v>669</v>
      </c>
      <c r="C72" s="255" t="s">
        <v>669</v>
      </c>
      <c r="D72" s="251">
        <v>18</v>
      </c>
      <c r="E72" s="22"/>
      <c r="F72" s="23"/>
      <c r="G72" s="23"/>
      <c r="H72" s="22">
        <f>+[32]Main!$O$3</f>
        <v>237.44796100000002</v>
      </c>
      <c r="I72" s="256" t="s">
        <v>655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33"/>
      <c r="B73" s="133"/>
      <c r="C73" s="133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2">
      <c r="B74" s="70" t="s">
        <v>247</v>
      </c>
      <c r="I74" s="108" t="s">
        <v>213</v>
      </c>
    </row>
    <row r="75" spans="1:23" x14ac:dyDescent="0.2">
      <c r="B75" s="108" t="s">
        <v>394</v>
      </c>
      <c r="E75" s="55">
        <v>30000</v>
      </c>
      <c r="I75" s="126" t="s">
        <v>452</v>
      </c>
    </row>
    <row r="76" spans="1:23" x14ac:dyDescent="0.2">
      <c r="B76" s="108" t="s">
        <v>395</v>
      </c>
      <c r="E76" s="55">
        <v>10000</v>
      </c>
      <c r="F76" s="108" t="s">
        <v>397</v>
      </c>
      <c r="G76" s="108" t="s">
        <v>396</v>
      </c>
      <c r="H76" s="108" t="s">
        <v>398</v>
      </c>
      <c r="I76" s="55">
        <v>2013</v>
      </c>
    </row>
    <row r="77" spans="1:23" x14ac:dyDescent="0.2">
      <c r="B77" s="108" t="s">
        <v>120</v>
      </c>
      <c r="E77" s="55">
        <v>10000</v>
      </c>
      <c r="F77" s="108"/>
      <c r="G77" s="108"/>
      <c r="H77" s="108"/>
    </row>
    <row r="78" spans="1:23" x14ac:dyDescent="0.2">
      <c r="B78" s="123" t="s">
        <v>98</v>
      </c>
      <c r="E78" s="55">
        <v>12000</v>
      </c>
    </row>
    <row r="79" spans="1:23" x14ac:dyDescent="0.2">
      <c r="B79" s="69" t="s">
        <v>274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1" t="s">
        <v>229</v>
      </c>
      <c r="R2" s="41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20" t="s">
        <v>213</v>
      </c>
      <c r="Y2" s="120" t="s">
        <v>417</v>
      </c>
      <c r="Z2" s="120" t="s">
        <v>418</v>
      </c>
    </row>
    <row r="3" spans="1:26" s="20" customFormat="1" x14ac:dyDescent="0.2">
      <c r="A3" s="277" t="s">
        <v>252</v>
      </c>
      <c r="B3" s="5" t="s">
        <v>13</v>
      </c>
      <c r="C3" s="20" t="s">
        <v>194</v>
      </c>
      <c r="D3" s="21">
        <v>680</v>
      </c>
      <c r="E3" s="22">
        <f>+D3*[33]Main!$M$3</f>
        <v>1803053.0983200001</v>
      </c>
      <c r="F3" s="22">
        <f>+[33]Main!$M$5-[33]Main!$M$6</f>
        <v>38382</v>
      </c>
      <c r="G3" s="22">
        <f t="shared" ref="G3:G4" si="0">+E3-F3</f>
        <v>1764671.0983200001</v>
      </c>
      <c r="H3" s="22">
        <f>+[33]Main!$M$3</f>
        <v>2651.5486740000001</v>
      </c>
      <c r="I3" s="257" t="s">
        <v>655</v>
      </c>
      <c r="J3" s="37">
        <v>45686</v>
      </c>
      <c r="K3" s="27"/>
      <c r="L3" s="28">
        <f>K3/D3-1</f>
        <v>-1</v>
      </c>
      <c r="M3" s="28">
        <f>+[33]Model!$AX$50</f>
        <v>0.08</v>
      </c>
      <c r="N3" s="28">
        <f>+[33]Model!$AX$51</f>
        <v>-0.05</v>
      </c>
      <c r="O3" s="28">
        <f>+[33]Model!$AX$52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1">
        <f>G3/Y3</f>
        <v>463.16826727559055</v>
      </c>
    </row>
    <row r="4" spans="1:26" s="20" customFormat="1" x14ac:dyDescent="0.2">
      <c r="A4" s="277" t="s">
        <v>252</v>
      </c>
      <c r="B4" s="5" t="s">
        <v>15</v>
      </c>
      <c r="C4" s="20" t="s">
        <v>16</v>
      </c>
      <c r="D4" s="21">
        <v>277.39999999999998</v>
      </c>
      <c r="E4" s="22">
        <f>+D4*[34]Main!$L$3*1000/HKD</f>
        <v>341793.77818543144</v>
      </c>
      <c r="F4" s="22">
        <f>([34]Main!$L$5-[34]Main!$L$6)/HKD*1000</f>
        <v>81912.914978725574</v>
      </c>
      <c r="G4" s="22">
        <f t="shared" si="0"/>
        <v>259880.86320670586</v>
      </c>
      <c r="H4" s="22">
        <f>+[34]Main!$L$3*1000</f>
        <v>9672</v>
      </c>
      <c r="I4" s="84" t="s">
        <v>199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1"/>
      <c r="B5" s="72" t="s">
        <v>279</v>
      </c>
      <c r="C5" s="71" t="s">
        <v>280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277" t="s">
        <v>252</v>
      </c>
      <c r="B6" s="88" t="s">
        <v>327</v>
      </c>
      <c r="C6" s="88" t="s">
        <v>328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277" t="s">
        <v>252</v>
      </c>
      <c r="B7" s="93" t="s">
        <v>297</v>
      </c>
      <c r="C7" s="78" t="s">
        <v>298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4"/>
      <c r="B8" s="93" t="s">
        <v>374</v>
      </c>
      <c r="C8" s="94" t="s">
        <v>375</v>
      </c>
      <c r="D8" s="21">
        <v>11.28</v>
      </c>
      <c r="E8" s="22">
        <f>+D8*H8</f>
        <v>18758.64</v>
      </c>
      <c r="F8" s="97">
        <f>+[35]Main!$L$5-[35]Main!$L$6</f>
        <v>-449.19900000000007</v>
      </c>
      <c r="G8" s="22">
        <f>E8-F8</f>
        <v>19207.839</v>
      </c>
      <c r="H8" s="22">
        <f>+[35]Main!$L$3</f>
        <v>1663</v>
      </c>
      <c r="I8" s="247" t="s">
        <v>655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1">
        <f>G8/Y8</f>
        <v>51.220903999999997</v>
      </c>
    </row>
    <row r="9" spans="1:26" s="20" customFormat="1" x14ac:dyDescent="0.2">
      <c r="A9" s="277" t="s">
        <v>252</v>
      </c>
      <c r="B9" s="71" t="s">
        <v>277</v>
      </c>
      <c r="C9" s="71" t="s">
        <v>278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1" t="s">
        <v>281</v>
      </c>
      <c r="C10" s="71" t="s">
        <v>282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A11" s="277" t="s">
        <v>252</v>
      </c>
      <c r="B11" s="5" t="s">
        <v>76</v>
      </c>
      <c r="C11" s="195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6" t="s">
        <v>317</v>
      </c>
      <c r="C12" s="86" t="s">
        <v>318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A13" s="277" t="s">
        <v>252</v>
      </c>
      <c r="B13" s="5" t="s">
        <v>320</v>
      </c>
      <c r="C13" s="195" t="s">
        <v>640</v>
      </c>
      <c r="D13" s="196">
        <v>100</v>
      </c>
      <c r="E13" s="112">
        <f>+D13*H13</f>
        <v>16587.6054</v>
      </c>
      <c r="F13" s="112">
        <f>+[36]Main!$J$5-[36]Main!$J$6</f>
        <v>591.05100000000004</v>
      </c>
      <c r="G13" s="112">
        <f>+E13-F13</f>
        <v>15996.554400000001</v>
      </c>
      <c r="H13" s="112">
        <f>+[36]Main!$J$3</f>
        <v>165.87605400000001</v>
      </c>
      <c r="I13" s="211" t="s">
        <v>614</v>
      </c>
      <c r="J13" s="37">
        <v>45601</v>
      </c>
    </row>
    <row r="14" spans="1:26" s="20" customFormat="1" x14ac:dyDescent="0.2">
      <c r="B14" s="85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6" t="s">
        <v>322</v>
      </c>
      <c r="C15" s="195" t="s">
        <v>642</v>
      </c>
      <c r="D15" s="49">
        <v>23.43</v>
      </c>
      <c r="E15" s="112">
        <v>4600</v>
      </c>
    </row>
    <row r="16" spans="1:26" s="20" customFormat="1" x14ac:dyDescent="0.2">
      <c r="B16" s="5" t="s">
        <v>357</v>
      </c>
      <c r="C16" s="144" t="s">
        <v>619</v>
      </c>
      <c r="D16" s="21">
        <v>12.27</v>
      </c>
      <c r="E16" s="22">
        <f>+D16*H16</f>
        <v>2159.42446578</v>
      </c>
      <c r="F16" s="146">
        <f>+[37]Main!$K$5-[37]Main!$K$6</f>
        <v>-240.45199999999997</v>
      </c>
      <c r="G16" s="22">
        <f>+E16-F16</f>
        <v>2399.8764657799998</v>
      </c>
      <c r="H16" s="22">
        <f>+[37]Main!$K$3</f>
        <v>175.99221399999999</v>
      </c>
      <c r="I16" s="145" t="s">
        <v>614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639</v>
      </c>
      <c r="C17" s="195" t="s">
        <v>641</v>
      </c>
      <c r="D17" s="196">
        <v>2.8</v>
      </c>
      <c r="E17" s="198">
        <f>+D17*H17</f>
        <v>269.08319199999994</v>
      </c>
      <c r="F17" s="112">
        <f>+[38]Main!$K$5-[38]Main!$K$6</f>
        <v>-41.52800000000002</v>
      </c>
      <c r="G17" s="22">
        <f>+E17-F17</f>
        <v>310.61119199999996</v>
      </c>
      <c r="H17" s="112">
        <f>+[38]Main!$K$3</f>
        <v>96.101139999999987</v>
      </c>
      <c r="I17" s="199" t="s">
        <v>614</v>
      </c>
      <c r="J17" s="197">
        <v>45575</v>
      </c>
    </row>
    <row r="18" spans="2:23" x14ac:dyDescent="0.2">
      <c r="B18" s="5" t="s">
        <v>667</v>
      </c>
      <c r="C18" s="254" t="s">
        <v>668</v>
      </c>
      <c r="D18" s="196">
        <v>4.05</v>
      </c>
      <c r="E18" s="198"/>
      <c r="F18" s="112"/>
      <c r="G18" s="22"/>
      <c r="H18" s="112"/>
      <c r="I18" s="199"/>
      <c r="J18" s="197"/>
    </row>
    <row r="19" spans="2:23" s="20" customFormat="1" x14ac:dyDescent="0.2">
      <c r="B19" s="138" t="s">
        <v>617</v>
      </c>
      <c r="C19" s="86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38" t="s">
        <v>618</v>
      </c>
      <c r="C20" s="86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247</v>
      </c>
      <c r="F22" s="125" t="s">
        <v>213</v>
      </c>
    </row>
    <row r="23" spans="2:23" x14ac:dyDescent="0.2">
      <c r="B23" s="71" t="s">
        <v>276</v>
      </c>
      <c r="E23" s="112">
        <v>400000</v>
      </c>
    </row>
    <row r="24" spans="2:23" x14ac:dyDescent="0.2">
      <c r="B24" s="49" t="s">
        <v>246</v>
      </c>
      <c r="E24" s="112">
        <v>30000</v>
      </c>
    </row>
    <row r="25" spans="2:23" x14ac:dyDescent="0.2">
      <c r="B25" s="148" t="s">
        <v>624</v>
      </c>
      <c r="C25" s="148" t="s">
        <v>623</v>
      </c>
      <c r="D25" s="21">
        <v>44.5</v>
      </c>
      <c r="E25" s="22">
        <v>34050</v>
      </c>
    </row>
    <row r="26" spans="2:23" x14ac:dyDescent="0.2">
      <c r="B26" s="86" t="s">
        <v>316</v>
      </c>
      <c r="E26" s="112">
        <v>14500</v>
      </c>
      <c r="F26" s="49">
        <v>2015</v>
      </c>
      <c r="H26" s="124" t="s">
        <v>447</v>
      </c>
    </row>
    <row r="27" spans="2:23" x14ac:dyDescent="0.2">
      <c r="B27" s="124" t="s">
        <v>445</v>
      </c>
      <c r="E27" s="112"/>
      <c r="F27" s="49">
        <v>2021</v>
      </c>
      <c r="H27" s="148" t="s">
        <v>625</v>
      </c>
    </row>
    <row r="28" spans="2:23" x14ac:dyDescent="0.2">
      <c r="B28" s="124" t="s">
        <v>446</v>
      </c>
      <c r="E28" s="49">
        <v>1000</v>
      </c>
      <c r="H28" s="124" t="s">
        <v>448</v>
      </c>
    </row>
    <row r="29" spans="2:23" x14ac:dyDescent="0.2">
      <c r="B29" s="49" t="s">
        <v>245</v>
      </c>
      <c r="E29" s="49">
        <v>200</v>
      </c>
    </row>
    <row r="30" spans="2:23" x14ac:dyDescent="0.2">
      <c r="B30" s="86" t="s">
        <v>319</v>
      </c>
    </row>
    <row r="31" spans="2:23" x14ac:dyDescent="0.2">
      <c r="B31" s="86" t="s">
        <v>321</v>
      </c>
    </row>
    <row r="32" spans="2:23" x14ac:dyDescent="0.2">
      <c r="B32" s="86" t="s">
        <v>323</v>
      </c>
    </row>
    <row r="33" spans="2:2" x14ac:dyDescent="0.2">
      <c r="B33" s="86" t="s">
        <v>324</v>
      </c>
    </row>
    <row r="34" spans="2:2" x14ac:dyDescent="0.2">
      <c r="B34" s="86" t="s">
        <v>325</v>
      </c>
    </row>
    <row r="35" spans="2:2" x14ac:dyDescent="0.2">
      <c r="B35" s="91" t="s">
        <v>349</v>
      </c>
    </row>
    <row r="36" spans="2:2" x14ac:dyDescent="0.2">
      <c r="B36" s="49" t="s">
        <v>244</v>
      </c>
    </row>
    <row r="37" spans="2:2" x14ac:dyDescent="0.2">
      <c r="B37" s="91" t="s">
        <v>350</v>
      </c>
    </row>
    <row r="38" spans="2:2" x14ac:dyDescent="0.2">
      <c r="B38" s="113" t="s">
        <v>403</v>
      </c>
    </row>
    <row r="39" spans="2:2" x14ac:dyDescent="0.2">
      <c r="B39" s="91" t="s">
        <v>351</v>
      </c>
    </row>
    <row r="40" spans="2:2" x14ac:dyDescent="0.2">
      <c r="B40" s="91" t="s">
        <v>352</v>
      </c>
    </row>
    <row r="41" spans="2:2" x14ac:dyDescent="0.2">
      <c r="B41" s="91" t="s">
        <v>294</v>
      </c>
    </row>
    <row r="42" spans="2:2" x14ac:dyDescent="0.2">
      <c r="B42" s="91" t="s">
        <v>353</v>
      </c>
    </row>
    <row r="43" spans="2:2" x14ac:dyDescent="0.2">
      <c r="B43" s="91" t="s">
        <v>354</v>
      </c>
    </row>
    <row r="44" spans="2:2" x14ac:dyDescent="0.2">
      <c r="B44" s="91" t="s">
        <v>355</v>
      </c>
    </row>
    <row r="45" spans="2:2" x14ac:dyDescent="0.2">
      <c r="B45" s="91" t="s">
        <v>356</v>
      </c>
    </row>
    <row r="46" spans="2:2" x14ac:dyDescent="0.2">
      <c r="B46" s="91" t="s">
        <v>358</v>
      </c>
    </row>
    <row r="47" spans="2:2" x14ac:dyDescent="0.2">
      <c r="B47" s="91" t="s">
        <v>359</v>
      </c>
    </row>
    <row r="48" spans="2:2" x14ac:dyDescent="0.2">
      <c r="B48" s="91" t="s">
        <v>360</v>
      </c>
    </row>
    <row r="49" spans="2:2" x14ac:dyDescent="0.2">
      <c r="B49" s="91" t="s">
        <v>361</v>
      </c>
    </row>
    <row r="50" spans="2:2" x14ac:dyDescent="0.2">
      <c r="B50" s="91" t="s">
        <v>362</v>
      </c>
    </row>
    <row r="51" spans="2:2" x14ac:dyDescent="0.2">
      <c r="B51" s="91" t="s">
        <v>363</v>
      </c>
    </row>
    <row r="52" spans="2:2" x14ac:dyDescent="0.2">
      <c r="B52" s="91" t="s">
        <v>364</v>
      </c>
    </row>
    <row r="53" spans="2:2" x14ac:dyDescent="0.2">
      <c r="B53" s="91" t="s">
        <v>365</v>
      </c>
    </row>
    <row r="54" spans="2:2" x14ac:dyDescent="0.2">
      <c r="B54" s="91" t="s">
        <v>366</v>
      </c>
    </row>
    <row r="55" spans="2:2" x14ac:dyDescent="0.2">
      <c r="B55" s="91" t="s">
        <v>367</v>
      </c>
    </row>
    <row r="56" spans="2:2" x14ac:dyDescent="0.2">
      <c r="B56" s="91" t="s">
        <v>368</v>
      </c>
    </row>
    <row r="57" spans="2:2" x14ac:dyDescent="0.2">
      <c r="B57" s="91" t="s">
        <v>369</v>
      </c>
    </row>
    <row r="58" spans="2:2" x14ac:dyDescent="0.2">
      <c r="B58" s="91" t="s">
        <v>370</v>
      </c>
    </row>
    <row r="59" spans="2:2" x14ac:dyDescent="0.2">
      <c r="B59" s="148" t="s">
        <v>622</v>
      </c>
    </row>
    <row r="60" spans="2:2" x14ac:dyDescent="0.2">
      <c r="B60" s="148" t="s">
        <v>626</v>
      </c>
    </row>
    <row r="61" spans="2:2" x14ac:dyDescent="0.2">
      <c r="B61" s="148" t="s">
        <v>627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54" bestFit="1" customWidth="1"/>
    <col min="2" max="2" width="15" style="154" customWidth="1"/>
    <col min="3" max="16384" width="9.140625" style="154"/>
  </cols>
  <sheetData>
    <row r="1" spans="1:24" x14ac:dyDescent="0.2">
      <c r="A1" s="5" t="s">
        <v>142</v>
      </c>
    </row>
    <row r="2" spans="1:24" x14ac:dyDescent="0.2">
      <c r="A2" s="5"/>
      <c r="B2" s="154" t="s">
        <v>0</v>
      </c>
      <c r="C2" s="154" t="s">
        <v>1</v>
      </c>
      <c r="D2" s="155" t="s">
        <v>2</v>
      </c>
      <c r="E2" s="156" t="s">
        <v>3</v>
      </c>
      <c r="F2" s="155" t="s">
        <v>384</v>
      </c>
      <c r="G2" s="155" t="s">
        <v>5</v>
      </c>
      <c r="H2" s="155" t="s">
        <v>212</v>
      </c>
      <c r="I2" s="155" t="s">
        <v>385</v>
      </c>
      <c r="J2" s="155" t="s">
        <v>223</v>
      </c>
    </row>
    <row r="3" spans="1:24" x14ac:dyDescent="0.2">
      <c r="A3" s="282" t="s">
        <v>252</v>
      </c>
      <c r="B3" s="5" t="s">
        <v>178</v>
      </c>
      <c r="C3" s="154" t="s">
        <v>179</v>
      </c>
      <c r="D3" s="157">
        <v>375.71</v>
      </c>
      <c r="E3" s="156">
        <f>+D3*H3</f>
        <v>57472.452251789997</v>
      </c>
      <c r="F3" s="156">
        <f>+[39]Main!$N$5-[39]Main!$N$6</f>
        <v>1696.7459999999999</v>
      </c>
      <c r="G3" s="156">
        <f t="shared" ref="G3:G8" si="0">E3-F3</f>
        <v>55775.706251789998</v>
      </c>
      <c r="H3" s="156">
        <f>+[39]Main!$N$3</f>
        <v>152.970249</v>
      </c>
      <c r="I3" s="155" t="s">
        <v>14</v>
      </c>
      <c r="J3" s="158">
        <v>44783</v>
      </c>
      <c r="K3" s="159"/>
      <c r="L3" s="159"/>
      <c r="M3" s="159"/>
      <c r="N3" s="159"/>
      <c r="O3" s="159"/>
      <c r="P3" s="160"/>
      <c r="Q3" s="159"/>
      <c r="R3" s="159"/>
      <c r="S3" s="161"/>
      <c r="T3" s="160"/>
      <c r="U3" s="159"/>
      <c r="V3" s="159"/>
      <c r="W3" s="161"/>
    </row>
    <row r="4" spans="1:24" x14ac:dyDescent="0.2">
      <c r="A4" s="282" t="s">
        <v>252</v>
      </c>
      <c r="B4" s="5" t="s">
        <v>176</v>
      </c>
      <c r="C4" s="154" t="s">
        <v>177</v>
      </c>
      <c r="D4" s="157">
        <v>39.74</v>
      </c>
      <c r="E4" s="156">
        <f>+D4*[40]Main!$L$3*EUR</f>
        <v>53089.738980000009</v>
      </c>
      <c r="F4" s="156">
        <f>+([40]Main!$L$5-[40]Main!$L$6)*EUR</f>
        <v>-490.25400000000008</v>
      </c>
      <c r="G4" s="156">
        <f t="shared" si="0"/>
        <v>53579.99298000001</v>
      </c>
      <c r="H4" s="156"/>
      <c r="I4" s="155" t="s">
        <v>199</v>
      </c>
      <c r="J4" s="155"/>
      <c r="K4" s="159"/>
      <c r="L4" s="159"/>
      <c r="M4" s="159"/>
      <c r="N4" s="159"/>
      <c r="O4" s="159"/>
      <c r="P4" s="160"/>
      <c r="Q4" s="159"/>
      <c r="R4" s="159"/>
      <c r="S4" s="161"/>
      <c r="T4" s="160"/>
      <c r="U4" s="159"/>
      <c r="V4" s="159"/>
      <c r="W4" s="161"/>
    </row>
    <row r="5" spans="1:24" x14ac:dyDescent="0.2">
      <c r="A5" s="282" t="s">
        <v>252</v>
      </c>
      <c r="B5" s="5" t="s">
        <v>48</v>
      </c>
      <c r="C5" s="154" t="s">
        <v>49</v>
      </c>
      <c r="D5" s="157">
        <v>253.59</v>
      </c>
      <c r="E5" s="156">
        <f>+D5*H5</f>
        <v>69438.013800000001</v>
      </c>
      <c r="F5" s="156">
        <f>+[41]Main!$K$5-[41]Main!$K$6</f>
        <v>-289.71199999999999</v>
      </c>
      <c r="G5" s="156">
        <f t="shared" si="0"/>
        <v>69727.7258</v>
      </c>
      <c r="H5" s="156">
        <f>+[41]Main!$K$3</f>
        <v>273.82</v>
      </c>
      <c r="I5" s="155" t="s">
        <v>220</v>
      </c>
      <c r="J5" s="155"/>
      <c r="K5" s="159"/>
      <c r="L5" s="159"/>
      <c r="M5" s="159"/>
      <c r="N5" s="159"/>
      <c r="O5" s="159"/>
      <c r="P5" s="160"/>
      <c r="Q5" s="159"/>
      <c r="R5" s="159"/>
      <c r="S5" s="161"/>
      <c r="T5" s="160"/>
      <c r="U5" s="159"/>
      <c r="V5" s="159"/>
      <c r="W5" s="161"/>
    </row>
    <row r="6" spans="1:24" x14ac:dyDescent="0.2">
      <c r="A6" s="282" t="s">
        <v>252</v>
      </c>
      <c r="B6" s="5" t="s">
        <v>46</v>
      </c>
      <c r="C6" s="154" t="s">
        <v>47</v>
      </c>
      <c r="D6" s="157">
        <v>203.73</v>
      </c>
      <c r="E6" s="156">
        <f>+D6*H6</f>
        <v>44264.86632465</v>
      </c>
      <c r="F6" s="156">
        <f>+[42]Main!$L$5-[42]Main!$L$6</f>
        <v>-1005</v>
      </c>
      <c r="G6" s="156">
        <f t="shared" si="0"/>
        <v>45269.86632465</v>
      </c>
      <c r="H6" s="156">
        <f>+[42]Main!$L$3</f>
        <v>217.27220500000001</v>
      </c>
      <c r="I6" s="155" t="s">
        <v>14</v>
      </c>
      <c r="J6" s="155"/>
      <c r="K6" s="159"/>
      <c r="L6" s="159"/>
      <c r="M6" s="159"/>
      <c r="N6" s="159"/>
      <c r="O6" s="159"/>
      <c r="P6" s="160"/>
      <c r="Q6" s="159"/>
      <c r="R6" s="159"/>
      <c r="S6" s="161"/>
      <c r="T6" s="160"/>
      <c r="U6" s="159"/>
      <c r="V6" s="159"/>
      <c r="W6" s="161"/>
      <c r="X6" s="154">
        <v>1982</v>
      </c>
    </row>
    <row r="7" spans="1:24" x14ac:dyDescent="0.2">
      <c r="A7" s="154" t="s">
        <v>252</v>
      </c>
      <c r="B7" s="5" t="s">
        <v>61</v>
      </c>
      <c r="C7" s="154" t="s">
        <v>62</v>
      </c>
      <c r="D7" s="157">
        <v>236.61</v>
      </c>
      <c r="E7" s="156">
        <f>+D7*H7</f>
        <v>20601.316825649999</v>
      </c>
      <c r="F7" s="156">
        <f>+[43]Main!$M$5-[43]Main!$M$6</f>
        <v>-235.76700000000005</v>
      </c>
      <c r="G7" s="156">
        <f t="shared" si="0"/>
        <v>20837.083825649999</v>
      </c>
      <c r="H7" s="156">
        <f>+[43]Main!$M$3</f>
        <v>87.068664999999996</v>
      </c>
      <c r="I7" s="155" t="s">
        <v>199</v>
      </c>
      <c r="J7" s="158">
        <v>44795</v>
      </c>
      <c r="K7" s="159"/>
      <c r="L7" s="159"/>
      <c r="M7" s="159"/>
      <c r="N7" s="159"/>
      <c r="O7" s="159"/>
      <c r="P7" s="160"/>
      <c r="Q7" s="159"/>
      <c r="R7" s="159"/>
      <c r="S7" s="161"/>
      <c r="T7" s="160"/>
      <c r="U7" s="159"/>
      <c r="V7" s="159"/>
      <c r="W7" s="161"/>
    </row>
    <row r="8" spans="1:24" x14ac:dyDescent="0.2">
      <c r="A8" s="282" t="s">
        <v>252</v>
      </c>
      <c r="B8" s="82" t="s">
        <v>218</v>
      </c>
      <c r="C8" s="154" t="s">
        <v>219</v>
      </c>
      <c r="D8" s="157">
        <v>122.15</v>
      </c>
      <c r="E8" s="156">
        <f>D8*H8/SEK</f>
        <v>31363.739288425048</v>
      </c>
      <c r="F8" s="156">
        <f>([44]Main!$L$5-[44]Main!$L$6)*EUR</f>
        <v>-3389.8630000000003</v>
      </c>
      <c r="G8" s="156">
        <f t="shared" si="0"/>
        <v>34753.602288425049</v>
      </c>
      <c r="H8" s="156">
        <f>[44]Main!$L$3</f>
        <v>2706.2939999999999</v>
      </c>
      <c r="I8" s="155" t="s">
        <v>379</v>
      </c>
      <c r="J8" s="158">
        <v>45056</v>
      </c>
      <c r="K8" s="159"/>
      <c r="L8" s="159"/>
      <c r="M8" s="159"/>
      <c r="N8" s="159"/>
      <c r="O8" s="161"/>
      <c r="P8" s="160"/>
      <c r="Q8" s="159"/>
      <c r="R8" s="159"/>
      <c r="S8" s="161"/>
      <c r="T8" s="160"/>
      <c r="U8" s="159"/>
      <c r="V8" s="159"/>
      <c r="W8" s="161"/>
      <c r="X8" s="154">
        <v>1992</v>
      </c>
    </row>
    <row r="9" spans="1:24" x14ac:dyDescent="0.2">
      <c r="A9" s="154" t="s">
        <v>252</v>
      </c>
      <c r="B9" s="162" t="s">
        <v>92</v>
      </c>
      <c r="C9" s="154" t="s">
        <v>92</v>
      </c>
      <c r="D9" s="157">
        <v>115.52</v>
      </c>
      <c r="E9" s="156">
        <v>13640</v>
      </c>
    </row>
    <row r="10" spans="1:24" x14ac:dyDescent="0.2">
      <c r="B10" s="154" t="s">
        <v>221</v>
      </c>
      <c r="C10" s="154" t="s">
        <v>222</v>
      </c>
      <c r="D10" s="163">
        <v>31.44</v>
      </c>
      <c r="E10" s="156">
        <v>2220</v>
      </c>
      <c r="F10" s="155"/>
      <c r="G10" s="155"/>
      <c r="H10" s="155"/>
      <c r="I10" s="155"/>
      <c r="J10" s="155"/>
      <c r="K10" s="159"/>
      <c r="L10" s="159"/>
      <c r="M10" s="159"/>
      <c r="N10" s="159"/>
      <c r="O10" s="159"/>
      <c r="P10" s="160"/>
      <c r="Q10" s="159"/>
      <c r="R10" s="159"/>
      <c r="S10" s="161"/>
      <c r="T10" s="160"/>
      <c r="U10" s="159"/>
      <c r="V10" s="159"/>
      <c r="W10" s="161"/>
    </row>
    <row r="11" spans="1:24" x14ac:dyDescent="0.2">
      <c r="B11" s="154" t="s">
        <v>314</v>
      </c>
      <c r="C11" s="154" t="s">
        <v>371</v>
      </c>
      <c r="D11" s="155"/>
      <c r="E11" s="155"/>
      <c r="F11" s="155"/>
      <c r="G11" s="155"/>
      <c r="H11" s="155"/>
      <c r="I11" s="155"/>
      <c r="J11" s="155"/>
    </row>
    <row r="12" spans="1:24" x14ac:dyDescent="0.2">
      <c r="B12" s="154" t="s">
        <v>315</v>
      </c>
      <c r="D12" s="155"/>
      <c r="E12" s="155"/>
      <c r="F12" s="155"/>
      <c r="G12" s="155"/>
      <c r="H12" s="155"/>
      <c r="I12" s="155"/>
      <c r="J12" s="155"/>
    </row>
    <row r="13" spans="1:24" x14ac:dyDescent="0.2">
      <c r="A13" s="282" t="s">
        <v>252</v>
      </c>
      <c r="B13" s="154" t="s">
        <v>488</v>
      </c>
      <c r="C13" s="154" t="s">
        <v>107</v>
      </c>
    </row>
    <row r="14" spans="1:24" x14ac:dyDescent="0.2">
      <c r="A14" s="154" t="s">
        <v>252</v>
      </c>
      <c r="B14" s="162" t="s">
        <v>90</v>
      </c>
      <c r="C14" s="154" t="s">
        <v>91</v>
      </c>
      <c r="D14" s="157">
        <v>206.61</v>
      </c>
      <c r="E14" s="156">
        <v>13880</v>
      </c>
    </row>
    <row r="15" spans="1:24" x14ac:dyDescent="0.2">
      <c r="A15" s="154" t="s">
        <v>252</v>
      </c>
      <c r="B15" s="154" t="s">
        <v>440</v>
      </c>
      <c r="C15" s="154" t="s">
        <v>439</v>
      </c>
    </row>
    <row r="16" spans="1:24" x14ac:dyDescent="0.2">
      <c r="A16" s="154" t="s">
        <v>252</v>
      </c>
      <c r="B16" s="154" t="s">
        <v>516</v>
      </c>
      <c r="C16" s="154" t="s">
        <v>517</v>
      </c>
    </row>
    <row r="17" spans="1:5" x14ac:dyDescent="0.2">
      <c r="A17" s="154" t="s">
        <v>252</v>
      </c>
      <c r="B17" s="154" t="s">
        <v>534</v>
      </c>
      <c r="C17" s="154" t="s">
        <v>535</v>
      </c>
    </row>
    <row r="18" spans="1:5" x14ac:dyDescent="0.2">
      <c r="A18" s="154" t="s">
        <v>252</v>
      </c>
      <c r="B18" s="154" t="s">
        <v>550</v>
      </c>
      <c r="C18" s="154" t="s">
        <v>551</v>
      </c>
    </row>
    <row r="19" spans="1:5" x14ac:dyDescent="0.2">
      <c r="A19" s="154" t="s">
        <v>252</v>
      </c>
      <c r="B19" s="154" t="s">
        <v>554</v>
      </c>
      <c r="C19" s="154" t="s">
        <v>555</v>
      </c>
    </row>
    <row r="20" spans="1:5" x14ac:dyDescent="0.2">
      <c r="A20" s="154" t="s">
        <v>252</v>
      </c>
      <c r="B20" s="154" t="s">
        <v>558</v>
      </c>
      <c r="C20" s="154" t="s">
        <v>559</v>
      </c>
    </row>
    <row r="22" spans="1:5" x14ac:dyDescent="0.2">
      <c r="B22" s="70" t="s">
        <v>247</v>
      </c>
    </row>
    <row r="23" spans="1:5" x14ac:dyDescent="0.2">
      <c r="B23" s="154" t="s">
        <v>402</v>
      </c>
      <c r="E23" s="154">
        <v>2400</v>
      </c>
    </row>
    <row r="24" spans="1:5" x14ac:dyDescent="0.2">
      <c r="B24" s="154" t="s">
        <v>381</v>
      </c>
      <c r="E24" s="154">
        <v>1500</v>
      </c>
    </row>
    <row r="25" spans="1:5" x14ac:dyDescent="0.2">
      <c r="B25" s="154" t="s">
        <v>383</v>
      </c>
      <c r="E25" s="154">
        <v>1000</v>
      </c>
    </row>
    <row r="26" spans="1:5" x14ac:dyDescent="0.2">
      <c r="B26" s="154" t="s">
        <v>401</v>
      </c>
      <c r="E26" s="154">
        <v>1000</v>
      </c>
    </row>
    <row r="27" spans="1:5" x14ac:dyDescent="0.2">
      <c r="B27" s="154" t="s">
        <v>372</v>
      </c>
    </row>
    <row r="28" spans="1:5" x14ac:dyDescent="0.2">
      <c r="B28" s="154" t="s">
        <v>382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212</v>
      </c>
      <c r="I2" s="17" t="s">
        <v>6</v>
      </c>
      <c r="J2" s="36" t="s">
        <v>223</v>
      </c>
      <c r="K2" s="18" t="s">
        <v>207</v>
      </c>
      <c r="L2" s="18" t="s">
        <v>211</v>
      </c>
      <c r="M2" s="18" t="s">
        <v>208</v>
      </c>
      <c r="N2" s="18" t="s">
        <v>209</v>
      </c>
      <c r="O2" s="19" t="s">
        <v>210</v>
      </c>
      <c r="P2" s="40" t="s">
        <v>228</v>
      </c>
      <c r="Q2" s="42" t="s">
        <v>229</v>
      </c>
      <c r="R2" s="42" t="s">
        <v>230</v>
      </c>
      <c r="S2" s="19">
        <v>2025</v>
      </c>
      <c r="T2" s="40" t="s">
        <v>227</v>
      </c>
      <c r="U2" s="18">
        <v>2023</v>
      </c>
      <c r="V2" s="18">
        <v>2024</v>
      </c>
      <c r="W2" s="19">
        <v>2025</v>
      </c>
      <c r="X2" s="43" t="s">
        <v>213</v>
      </c>
      <c r="Y2" s="120" t="s">
        <v>419</v>
      </c>
    </row>
    <row r="3" spans="1:27" x14ac:dyDescent="0.2">
      <c r="A3" s="279" t="s">
        <v>252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40">
        <f>+[2]Model!$BT$49</f>
        <v>7.0000000000000007E-2</v>
      </c>
      <c r="AA3" s="128" t="s">
        <v>465</v>
      </c>
    </row>
    <row r="4" spans="1:27" x14ac:dyDescent="0.2">
      <c r="A4" s="277" t="s">
        <v>252</v>
      </c>
      <c r="B4" s="5" t="s">
        <v>15</v>
      </c>
      <c r="C4" s="20" t="s">
        <v>16</v>
      </c>
      <c r="D4" s="21">
        <v>391.4</v>
      </c>
      <c r="E4" s="22">
        <f>+D4*[34]Main!$L$3*1000/HKD</f>
        <v>482256.9746999924</v>
      </c>
      <c r="F4" s="22">
        <f>([34]Main!$L$5-[34]Main!$L$6)/HKD*1000</f>
        <v>81912.914978725574</v>
      </c>
      <c r="G4" s="22">
        <f>+E4-F4</f>
        <v>400344.05972126685</v>
      </c>
      <c r="H4" s="22"/>
      <c r="I4" s="23" t="s">
        <v>14</v>
      </c>
      <c r="M4" s="141"/>
    </row>
    <row r="5" spans="1:27" s="20" customFormat="1" x14ac:dyDescent="0.2">
      <c r="A5" s="279" t="s">
        <v>252</v>
      </c>
      <c r="B5" s="5" t="s">
        <v>19</v>
      </c>
      <c r="C5" s="20" t="s">
        <v>20</v>
      </c>
      <c r="D5" s="21">
        <v>532</v>
      </c>
      <c r="E5" s="22">
        <f>+D5*[45]Main!$N$4</f>
        <v>238336</v>
      </c>
      <c r="F5" s="22">
        <f>+[45]Main!$N$6-[45]Main!$N$7</f>
        <v>1888</v>
      </c>
      <c r="G5" s="22">
        <f t="shared" ref="G5:G8" si="0">+E5-F5</f>
        <v>236448</v>
      </c>
      <c r="H5" s="22">
        <f>+[45]Main!$N$4</f>
        <v>448</v>
      </c>
      <c r="I5" s="143" t="s">
        <v>614</v>
      </c>
      <c r="J5" s="37">
        <v>45548</v>
      </c>
      <c r="K5" s="24"/>
      <c r="L5" s="24"/>
      <c r="M5" s="142">
        <f>+[45]Model!$AP$36</f>
        <v>0.08</v>
      </c>
      <c r="N5" s="28">
        <f>+[45]Model!$AP$34</f>
        <v>0.01</v>
      </c>
      <c r="O5" s="28">
        <f>+[45]Model!$AP$35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258</v>
      </c>
      <c r="C6" s="65" t="s">
        <v>259</v>
      </c>
      <c r="D6" s="103">
        <v>12025</v>
      </c>
      <c r="E6" s="22">
        <f>D6*H6/JPY</f>
        <v>108755.68776016941</v>
      </c>
      <c r="F6" s="22">
        <f>([46]Main!$O$7-[46]Main!$O$8)/JPY</f>
        <v>3147.411085956328</v>
      </c>
      <c r="G6" s="22">
        <f t="shared" si="0"/>
        <v>105608.27667421309</v>
      </c>
      <c r="H6" s="22">
        <f>[46]Main!$O$4</f>
        <v>1238.413</v>
      </c>
      <c r="I6" s="104" t="s">
        <v>379</v>
      </c>
      <c r="J6" s="37">
        <v>44994</v>
      </c>
      <c r="K6" s="24"/>
      <c r="L6" s="24"/>
      <c r="M6" s="142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2"/>
      <c r="B7" s="5" t="s">
        <v>258</v>
      </c>
      <c r="C7" s="102" t="s">
        <v>380</v>
      </c>
      <c r="D7" s="21">
        <v>87.8</v>
      </c>
      <c r="E7" s="22">
        <f>D7*H7</f>
        <v>108732.6614</v>
      </c>
      <c r="F7" s="22">
        <f>([46]Main!$O$7-[46]Main!$O$8)/JPY</f>
        <v>3147.411085956328</v>
      </c>
      <c r="G7" s="22">
        <f t="shared" si="0"/>
        <v>105585.25031404367</v>
      </c>
      <c r="H7" s="22">
        <f>[46]Main!$O$4</f>
        <v>1238.413</v>
      </c>
      <c r="I7" s="104" t="s">
        <v>379</v>
      </c>
      <c r="J7" s="37">
        <v>44994</v>
      </c>
      <c r="K7" s="24"/>
      <c r="L7" s="24"/>
      <c r="M7" s="142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279" t="s">
        <v>252</v>
      </c>
      <c r="B8" s="66" t="s">
        <v>262</v>
      </c>
      <c r="C8" s="66" t="s">
        <v>263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279" t="s">
        <v>252</v>
      </c>
      <c r="B9" s="10" t="s">
        <v>170</v>
      </c>
      <c r="C9" s="39" t="s">
        <v>231</v>
      </c>
      <c r="D9" s="44">
        <v>59910</v>
      </c>
      <c r="E9" s="44" cm="1">
        <f t="array" ref="E9">6975000/JPY</f>
        <v>50938.435697071494</v>
      </c>
    </row>
    <row r="10" spans="1:27" x14ac:dyDescent="0.2">
      <c r="A10" s="279" t="s">
        <v>252</v>
      </c>
      <c r="B10" s="68" t="s">
        <v>265</v>
      </c>
      <c r="C10" s="68" t="s">
        <v>266</v>
      </c>
      <c r="D10" s="190">
        <v>81.010000000000005</v>
      </c>
      <c r="E10" s="44">
        <v>52220</v>
      </c>
    </row>
    <row r="11" spans="1:27" x14ac:dyDescent="0.2">
      <c r="A11" s="279" t="s">
        <v>252</v>
      </c>
      <c r="B11" s="73" t="s">
        <v>283</v>
      </c>
      <c r="C11" s="73" t="s">
        <v>284</v>
      </c>
      <c r="D11" s="190">
        <v>98.73</v>
      </c>
      <c r="E11" s="44">
        <v>56400</v>
      </c>
    </row>
    <row r="12" spans="1:27" x14ac:dyDescent="0.2">
      <c r="A12" s="279" t="s">
        <v>252</v>
      </c>
      <c r="B12" s="5" t="s">
        <v>164</v>
      </c>
      <c r="C12" s="10" t="s">
        <v>165</v>
      </c>
      <c r="D12" s="190">
        <v>142</v>
      </c>
      <c r="E12" s="44">
        <f>+D12*H12</f>
        <v>37516.390202000002</v>
      </c>
      <c r="F12" s="44">
        <f>+[47]Main!$N$5-[47]Main!$N$6</f>
        <v>884</v>
      </c>
      <c r="G12" s="44">
        <f>+E12-F12</f>
        <v>36632.390202000002</v>
      </c>
      <c r="H12" s="44">
        <f>+[47]Main!$N$3</f>
        <v>264.19993099999999</v>
      </c>
      <c r="I12" s="191" t="s">
        <v>614</v>
      </c>
      <c r="J12" s="52">
        <v>45568</v>
      </c>
      <c r="X12" s="10">
        <v>1982</v>
      </c>
    </row>
    <row r="13" spans="1:27" s="1" customFormat="1" x14ac:dyDescent="0.2">
      <c r="A13" s="279" t="s">
        <v>252</v>
      </c>
      <c r="B13" s="5" t="s">
        <v>76</v>
      </c>
      <c r="C13" s="1" t="s">
        <v>77</v>
      </c>
      <c r="D13" s="2">
        <v>61</v>
      </c>
      <c r="E13" s="3">
        <f>D13*H13</f>
        <v>36913.260620000001</v>
      </c>
      <c r="F13" s="3">
        <f>[48]Main!$L$5-[48]Main!$L$6</f>
        <v>2595.5510000000004</v>
      </c>
      <c r="G13" s="3">
        <f>+E13-F13</f>
        <v>34317.709620000001</v>
      </c>
      <c r="H13" s="3">
        <f>[48]Main!$L$3</f>
        <v>605.13542000000007</v>
      </c>
      <c r="I13" s="4" t="s">
        <v>614</v>
      </c>
      <c r="J13" s="101">
        <v>45573</v>
      </c>
      <c r="X13" s="1">
        <v>2004</v>
      </c>
      <c r="Y13" s="1">
        <v>56</v>
      </c>
      <c r="Z13" s="122">
        <f>G13/Y13</f>
        <v>612.81624321428569</v>
      </c>
    </row>
    <row r="14" spans="1:27" x14ac:dyDescent="0.2">
      <c r="A14" s="67"/>
      <c r="B14" s="5" t="s">
        <v>651</v>
      </c>
      <c r="C14" s="208" t="s">
        <v>652</v>
      </c>
      <c r="D14" s="190">
        <v>946.4</v>
      </c>
      <c r="E14" s="44">
        <f>+D14*H14/SEK</f>
        <v>18949.819278937382</v>
      </c>
      <c r="F14" s="44">
        <f>([49]Main!$K$5-[49]Main!$K$6)/SEK</f>
        <v>743.57287096774212</v>
      </c>
      <c r="G14" s="22">
        <f>+E14-F14</f>
        <v>18206.24640796964</v>
      </c>
      <c r="H14" s="44">
        <f>+[49]Main!$K$3</f>
        <v>211.04300000000001</v>
      </c>
      <c r="I14" s="210" t="s">
        <v>614</v>
      </c>
      <c r="J14" s="52">
        <v>45587</v>
      </c>
    </row>
    <row r="15" spans="1:27" s="1" customFormat="1" x14ac:dyDescent="0.2">
      <c r="B15" s="89" t="s">
        <v>329</v>
      </c>
      <c r="C15" s="1" t="s">
        <v>330</v>
      </c>
      <c r="D15" s="2"/>
      <c r="E15" s="3"/>
      <c r="F15" s="3"/>
      <c r="G15" s="3"/>
      <c r="H15" s="4"/>
      <c r="I15" s="4"/>
    </row>
    <row r="16" spans="1:27" x14ac:dyDescent="0.2">
      <c r="A16" s="279" t="s">
        <v>252</v>
      </c>
      <c r="B16" s="10" t="s">
        <v>166</v>
      </c>
      <c r="C16" s="10" t="s">
        <v>167</v>
      </c>
      <c r="D16" s="10">
        <v>127.74</v>
      </c>
      <c r="E16" s="44">
        <v>21290</v>
      </c>
    </row>
    <row r="17" spans="1:26" s="1" customFormat="1" x14ac:dyDescent="0.2">
      <c r="A17" s="1" t="s">
        <v>252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466</v>
      </c>
      <c r="C18" s="1" t="s">
        <v>467</v>
      </c>
      <c r="D18" s="2"/>
      <c r="E18" s="3"/>
      <c r="F18" s="4"/>
      <c r="G18" s="4"/>
      <c r="H18" s="4"/>
    </row>
    <row r="19" spans="1:26" s="1" customFormat="1" x14ac:dyDescent="0.2">
      <c r="B19" s="1" t="s">
        <v>472</v>
      </c>
      <c r="D19" s="2"/>
      <c r="E19" s="3"/>
      <c r="F19" s="4"/>
      <c r="G19" s="4"/>
      <c r="H19" s="4"/>
    </row>
    <row r="20" spans="1:26" s="1" customFormat="1" x14ac:dyDescent="0.2">
      <c r="B20" s="1" t="s">
        <v>474</v>
      </c>
      <c r="C20" s="1" t="s">
        <v>475</v>
      </c>
      <c r="D20" s="2"/>
      <c r="E20" s="3"/>
      <c r="F20" s="4"/>
      <c r="G20" s="4"/>
      <c r="H20" s="4"/>
    </row>
    <row r="21" spans="1:26" s="1" customFormat="1" x14ac:dyDescent="0.2">
      <c r="B21" s="1" t="s">
        <v>250</v>
      </c>
      <c r="C21" s="1" t="s">
        <v>251</v>
      </c>
      <c r="D21" s="2"/>
      <c r="E21" s="3"/>
      <c r="F21" s="4"/>
      <c r="G21" s="4"/>
      <c r="H21" s="4"/>
    </row>
    <row r="22" spans="1:26" s="20" customFormat="1" x14ac:dyDescent="0.2">
      <c r="A22" s="279" t="s">
        <v>252</v>
      </c>
      <c r="B22" s="82" t="s">
        <v>74</v>
      </c>
      <c r="C22" s="20" t="s">
        <v>75</v>
      </c>
      <c r="D22" s="21">
        <v>102.23</v>
      </c>
      <c r="E22" s="22">
        <f>+D22*[50]Main!$K$3</f>
        <v>20147.20788088</v>
      </c>
      <c r="F22" s="22">
        <f>+[50]Main!$K$5-[50]Main!$K$6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653</v>
      </c>
      <c r="C23" s="1" t="s">
        <v>654</v>
      </c>
      <c r="D23" s="212">
        <v>12.55</v>
      </c>
      <c r="E23" s="3">
        <f>+D23*H23</f>
        <v>1641.7643438000002</v>
      </c>
      <c r="F23" s="3">
        <f>+[51]Main!$L$5-[51]Main!$L$6</f>
        <v>585.51599999999996</v>
      </c>
      <c r="G23" s="3">
        <f>+E23-F23</f>
        <v>1056.2483438000004</v>
      </c>
      <c r="H23" s="3">
        <f>+[51]Main!$L$3</f>
        <v>130.81787600000001</v>
      </c>
      <c r="I23" s="4" t="s">
        <v>655</v>
      </c>
      <c r="J23" s="101">
        <v>45629</v>
      </c>
    </row>
    <row r="24" spans="1:26" s="20" customFormat="1" x14ac:dyDescent="0.2">
      <c r="B24" s="51" t="s">
        <v>249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29" t="s">
        <v>478</v>
      </c>
      <c r="C25" s="129" t="s">
        <v>479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2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248</v>
      </c>
    </row>
    <row r="32" spans="1:26" x14ac:dyDescent="0.2">
      <c r="B32" s="108" t="s">
        <v>399</v>
      </c>
    </row>
    <row r="33" spans="2:10" x14ac:dyDescent="0.2">
      <c r="B33" s="128" t="s">
        <v>462</v>
      </c>
    </row>
    <row r="34" spans="2:10" x14ac:dyDescent="0.2">
      <c r="B34" s="124" t="s">
        <v>443</v>
      </c>
      <c r="E34" s="10">
        <v>100</v>
      </c>
      <c r="H34" s="124" t="s">
        <v>444</v>
      </c>
    </row>
    <row r="35" spans="2:10" x14ac:dyDescent="0.2">
      <c r="B35" s="128" t="s">
        <v>463</v>
      </c>
      <c r="H35" s="124"/>
      <c r="J35" s="128" t="s">
        <v>464</v>
      </c>
    </row>
    <row r="36" spans="2:10" x14ac:dyDescent="0.2">
      <c r="B36" s="128" t="s">
        <v>468</v>
      </c>
      <c r="H36" s="124"/>
      <c r="J36" s="128"/>
    </row>
    <row r="37" spans="2:10" x14ac:dyDescent="0.2">
      <c r="B37" s="128" t="s">
        <v>469</v>
      </c>
      <c r="H37" s="124"/>
      <c r="J37" s="128"/>
    </row>
    <row r="38" spans="2:10" x14ac:dyDescent="0.2">
      <c r="B38" s="128" t="s">
        <v>470</v>
      </c>
    </row>
    <row r="39" spans="2:10" x14ac:dyDescent="0.2">
      <c r="B39" s="128" t="s">
        <v>476</v>
      </c>
      <c r="J39" s="128" t="s">
        <v>477</v>
      </c>
    </row>
    <row r="40" spans="2:10" x14ac:dyDescent="0.2">
      <c r="B40" s="128" t="s">
        <v>471</v>
      </c>
    </row>
    <row r="41" spans="2:10" x14ac:dyDescent="0.2">
      <c r="B41" s="128" t="s">
        <v>473</v>
      </c>
    </row>
    <row r="42" spans="2:10" x14ac:dyDescent="0.2">
      <c r="B42" s="128"/>
    </row>
    <row r="43" spans="2:10" x14ac:dyDescent="0.2">
      <c r="B43" s="128" t="s">
        <v>461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50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0" sqref="A20"/>
    </sheetView>
  </sheetViews>
  <sheetFormatPr defaultColWidth="9.140625" defaultRowHeight="12.75" x14ac:dyDescent="0.2"/>
  <cols>
    <col min="1" max="1" width="5" style="171" bestFit="1" customWidth="1"/>
    <col min="2" max="2" width="18.28515625" style="171" customWidth="1"/>
    <col min="3" max="3" width="10.42578125" style="171" bestFit="1" customWidth="1"/>
    <col min="4" max="9" width="9.140625" style="172"/>
    <col min="10" max="10" width="10.42578125" style="171" bestFit="1" customWidth="1"/>
    <col min="11" max="16384" width="9.140625" style="171"/>
  </cols>
  <sheetData>
    <row r="1" spans="1:24" x14ac:dyDescent="0.2">
      <c r="A1" s="5" t="s">
        <v>142</v>
      </c>
    </row>
    <row r="2" spans="1:24" x14ac:dyDescent="0.2">
      <c r="B2" s="173" t="s">
        <v>0</v>
      </c>
      <c r="C2" s="174" t="s">
        <v>1</v>
      </c>
      <c r="D2" s="175" t="s">
        <v>2</v>
      </c>
      <c r="E2" s="176" t="s">
        <v>3</v>
      </c>
      <c r="F2" s="177" t="s">
        <v>4</v>
      </c>
      <c r="G2" s="177" t="s">
        <v>5</v>
      </c>
      <c r="H2" s="177" t="s">
        <v>212</v>
      </c>
      <c r="I2" s="177" t="s">
        <v>6</v>
      </c>
      <c r="J2" s="177" t="s">
        <v>223</v>
      </c>
      <c r="K2" s="178" t="s">
        <v>207</v>
      </c>
      <c r="L2" s="178" t="s">
        <v>211</v>
      </c>
      <c r="M2" s="178" t="s">
        <v>208</v>
      </c>
      <c r="N2" s="178" t="s">
        <v>209</v>
      </c>
      <c r="O2" s="179" t="s">
        <v>210</v>
      </c>
      <c r="P2" s="180" t="s">
        <v>228</v>
      </c>
      <c r="Q2" s="178" t="s">
        <v>229</v>
      </c>
      <c r="R2" s="178" t="s">
        <v>230</v>
      </c>
      <c r="S2" s="179">
        <v>2025</v>
      </c>
      <c r="T2" s="180" t="s">
        <v>227</v>
      </c>
      <c r="U2" s="178">
        <v>2023</v>
      </c>
      <c r="V2" s="178">
        <v>2024</v>
      </c>
      <c r="W2" s="179">
        <v>2025</v>
      </c>
      <c r="X2" s="181" t="s">
        <v>213</v>
      </c>
    </row>
    <row r="3" spans="1:24" s="182" customFormat="1" x14ac:dyDescent="0.2">
      <c r="A3" s="280" t="s">
        <v>252</v>
      </c>
      <c r="B3" s="119" t="s">
        <v>161</v>
      </c>
      <c r="C3" s="182" t="s">
        <v>162</v>
      </c>
      <c r="D3" s="183">
        <v>277</v>
      </c>
      <c r="E3" s="170">
        <v>524600</v>
      </c>
      <c r="F3" s="170">
        <f>+[52]Main!$K$5-[52]Main!$K$6</f>
        <v>675</v>
      </c>
      <c r="G3" s="170">
        <f>+E3-F3</f>
        <v>523925</v>
      </c>
      <c r="H3" s="170">
        <f>+[52]Main!$K$3</f>
        <v>1822.306223</v>
      </c>
      <c r="I3" s="201" t="s">
        <v>614</v>
      </c>
      <c r="J3" s="185">
        <v>45575</v>
      </c>
    </row>
    <row r="4" spans="1:24" s="182" customFormat="1" x14ac:dyDescent="0.2">
      <c r="A4" s="280" t="s">
        <v>252</v>
      </c>
      <c r="B4" s="182" t="s">
        <v>163</v>
      </c>
      <c r="C4" s="182" t="s">
        <v>313</v>
      </c>
      <c r="D4" s="183">
        <v>340.89</v>
      </c>
      <c r="E4" s="170">
        <v>329430</v>
      </c>
      <c r="F4" s="170"/>
      <c r="G4" s="170"/>
      <c r="H4" s="170"/>
      <c r="I4" s="170"/>
    </row>
    <row r="5" spans="1:24" s="182" customFormat="1" x14ac:dyDescent="0.2">
      <c r="A5" s="280" t="s">
        <v>252</v>
      </c>
      <c r="B5" s="182" t="s">
        <v>260</v>
      </c>
      <c r="C5" s="182" t="s">
        <v>261</v>
      </c>
      <c r="D5" s="183">
        <v>284</v>
      </c>
      <c r="E5" s="170"/>
      <c r="F5" s="170"/>
      <c r="G5" s="170"/>
      <c r="H5" s="170"/>
      <c r="I5" s="170"/>
      <c r="O5" s="171"/>
      <c r="P5" s="171"/>
    </row>
    <row r="6" spans="1:24" x14ac:dyDescent="0.2">
      <c r="A6" s="280" t="s">
        <v>252</v>
      </c>
      <c r="B6" s="93" t="s">
        <v>26</v>
      </c>
      <c r="C6" s="171" t="s">
        <v>27</v>
      </c>
      <c r="D6" s="184">
        <v>613</v>
      </c>
      <c r="E6" s="170">
        <f>+D6*H6</f>
        <v>171640</v>
      </c>
      <c r="F6" s="170">
        <f>[53]Main!$L$5-[53]Main!$L$6</f>
        <v>-1833</v>
      </c>
      <c r="G6" s="170">
        <f>E6-F6</f>
        <v>173473</v>
      </c>
      <c r="H6" s="170">
        <f>+[53]Main!$L$3</f>
        <v>280</v>
      </c>
      <c r="I6" s="193" t="s">
        <v>614</v>
      </c>
      <c r="J6" s="185">
        <v>45573</v>
      </c>
      <c r="K6" s="186"/>
      <c r="L6" s="186"/>
      <c r="M6" s="186"/>
      <c r="N6" s="186"/>
      <c r="Q6" s="186"/>
      <c r="R6" s="186"/>
      <c r="S6" s="187"/>
      <c r="T6" s="188"/>
      <c r="U6" s="186"/>
      <c r="V6" s="186"/>
      <c r="W6" s="187"/>
      <c r="X6" s="171">
        <v>1984</v>
      </c>
    </row>
    <row r="7" spans="1:24" s="182" customFormat="1" x14ac:dyDescent="0.2">
      <c r="A7" s="280" t="s">
        <v>252</v>
      </c>
      <c r="B7" s="119" t="s">
        <v>256</v>
      </c>
      <c r="C7" s="182" t="s">
        <v>257</v>
      </c>
      <c r="D7" s="183">
        <v>530.01</v>
      </c>
      <c r="E7" s="170">
        <f>+D7*H7</f>
        <v>163137.07800000001</v>
      </c>
      <c r="F7" s="170">
        <f>+[54]Main!$Q$5-[54]Main!$Q$6</f>
        <v>-7938</v>
      </c>
      <c r="G7" s="170">
        <f>+E7-F7</f>
        <v>171075.07800000001</v>
      </c>
      <c r="H7" s="170">
        <f>+[54]Main!$Q$3</f>
        <v>307.8</v>
      </c>
      <c r="I7" s="264" t="s">
        <v>670</v>
      </c>
      <c r="J7" s="185">
        <v>45700</v>
      </c>
      <c r="O7" s="171"/>
      <c r="P7" s="171"/>
      <c r="X7" s="171">
        <v>1925</v>
      </c>
    </row>
    <row r="8" spans="1:24" s="182" customFormat="1" x14ac:dyDescent="0.2">
      <c r="A8" s="280" t="s">
        <v>252</v>
      </c>
      <c r="B8" s="119" t="s">
        <v>31</v>
      </c>
      <c r="C8" s="182" t="s">
        <v>32</v>
      </c>
      <c r="D8" s="183">
        <v>79.33</v>
      </c>
      <c r="E8" s="170">
        <f>D8*H8</f>
        <v>80440.62</v>
      </c>
      <c r="F8" s="170">
        <f>[55]Main!$M$5-[55]Main!$M$6</f>
        <v>5527</v>
      </c>
      <c r="G8" s="170">
        <f>E8-F8</f>
        <v>74913.62</v>
      </c>
      <c r="H8" s="170">
        <f>[55]Main!$M$3</f>
        <v>1014</v>
      </c>
      <c r="I8" s="261" t="s">
        <v>670</v>
      </c>
      <c r="J8" s="185">
        <v>45692</v>
      </c>
      <c r="O8" s="171"/>
      <c r="P8" s="171"/>
    </row>
    <row r="9" spans="1:24" x14ac:dyDescent="0.2">
      <c r="A9" s="280" t="s">
        <v>252</v>
      </c>
      <c r="B9" s="171" t="s">
        <v>264</v>
      </c>
      <c r="C9" s="194" t="s">
        <v>638</v>
      </c>
      <c r="D9" s="172">
        <v>188.13</v>
      </c>
    </row>
    <row r="10" spans="1:24" x14ac:dyDescent="0.2">
      <c r="A10" s="280" t="s">
        <v>252</v>
      </c>
      <c r="B10" s="171" t="s">
        <v>267</v>
      </c>
      <c r="C10" s="171" t="s">
        <v>268</v>
      </c>
      <c r="D10" s="172">
        <v>161.51</v>
      </c>
    </row>
    <row r="11" spans="1:24" s="182" customFormat="1" x14ac:dyDescent="0.2">
      <c r="A11" s="280" t="s">
        <v>252</v>
      </c>
      <c r="B11" s="119" t="s">
        <v>242</v>
      </c>
      <c r="C11" s="262" t="s">
        <v>671</v>
      </c>
      <c r="D11" s="183">
        <v>85.73</v>
      </c>
      <c r="E11" s="170">
        <v>41870</v>
      </c>
      <c r="F11" s="170"/>
      <c r="G11" s="170"/>
      <c r="H11" s="170"/>
      <c r="I11" s="170"/>
      <c r="O11" s="171"/>
      <c r="P11" s="171"/>
    </row>
    <row r="12" spans="1:24" s="182" customFormat="1" x14ac:dyDescent="0.2">
      <c r="A12" s="280" t="s">
        <v>252</v>
      </c>
      <c r="B12" s="182" t="s">
        <v>269</v>
      </c>
      <c r="C12" s="182" t="s">
        <v>270</v>
      </c>
      <c r="D12" s="183">
        <v>138.08000000000001</v>
      </c>
      <c r="E12" s="170"/>
      <c r="F12" s="170"/>
      <c r="G12" s="170"/>
      <c r="H12" s="170"/>
      <c r="I12" s="170"/>
      <c r="O12" s="171"/>
      <c r="P12" s="171"/>
    </row>
    <row r="13" spans="1:24" s="182" customFormat="1" x14ac:dyDescent="0.2">
      <c r="A13" s="280" t="s">
        <v>252</v>
      </c>
      <c r="B13" s="119" t="s">
        <v>630</v>
      </c>
      <c r="C13" s="182" t="s">
        <v>631</v>
      </c>
      <c r="D13" s="183">
        <v>22.7</v>
      </c>
      <c r="E13" s="170">
        <f>+D13*H13</f>
        <v>20079.375799999998</v>
      </c>
      <c r="F13" s="170">
        <f>+[56]Main!$L$5-[56]Main!$L$6</f>
        <v>7251</v>
      </c>
      <c r="G13" s="170">
        <f>+E13-F13</f>
        <v>12828.375799999998</v>
      </c>
      <c r="H13" s="170">
        <f>+[56]Main!$L$3</f>
        <v>884.55399999999997</v>
      </c>
      <c r="I13" s="170" t="s">
        <v>614</v>
      </c>
      <c r="J13" s="185">
        <v>45559</v>
      </c>
      <c r="O13" s="171"/>
      <c r="P13" s="171"/>
    </row>
    <row r="14" spans="1:24" s="182" customFormat="1" x14ac:dyDescent="0.2">
      <c r="B14" s="182" t="s">
        <v>271</v>
      </c>
      <c r="C14" s="182" t="s">
        <v>272</v>
      </c>
      <c r="D14" s="183"/>
      <c r="E14" s="170"/>
      <c r="F14" s="170"/>
      <c r="G14" s="170"/>
      <c r="H14" s="170"/>
      <c r="I14" s="170"/>
      <c r="O14" s="171"/>
      <c r="P14" s="171"/>
    </row>
    <row r="15" spans="1:24" s="182" customFormat="1" x14ac:dyDescent="0.2">
      <c r="A15" s="280" t="s">
        <v>252</v>
      </c>
      <c r="B15" s="182" t="s">
        <v>287</v>
      </c>
      <c r="C15" s="182" t="s">
        <v>287</v>
      </c>
      <c r="D15" s="183">
        <v>590.69000000000005</v>
      </c>
      <c r="E15" s="170"/>
      <c r="F15" s="170"/>
      <c r="G15" s="170"/>
      <c r="H15" s="170"/>
      <c r="I15" s="170"/>
      <c r="O15" s="171"/>
      <c r="P15" s="171"/>
    </row>
    <row r="16" spans="1:24" s="182" customFormat="1" x14ac:dyDescent="0.2">
      <c r="B16" s="182" t="s">
        <v>288</v>
      </c>
      <c r="C16" s="182" t="s">
        <v>289</v>
      </c>
      <c r="D16" s="183">
        <v>98.94</v>
      </c>
      <c r="E16" s="170"/>
      <c r="F16" s="170"/>
      <c r="G16" s="170"/>
      <c r="H16" s="170"/>
      <c r="I16" s="170"/>
      <c r="O16" s="171"/>
      <c r="P16" s="171"/>
    </row>
    <row r="17" spans="1:23" s="182" customFormat="1" x14ac:dyDescent="0.2">
      <c r="A17" s="280" t="s">
        <v>252</v>
      </c>
      <c r="B17" s="285" t="s">
        <v>679</v>
      </c>
      <c r="C17" s="285" t="s">
        <v>680</v>
      </c>
      <c r="D17" s="183"/>
      <c r="E17" s="170"/>
      <c r="F17" s="170"/>
      <c r="G17" s="170"/>
      <c r="H17" s="170"/>
      <c r="I17" s="170"/>
      <c r="O17" s="171"/>
      <c r="P17" s="171"/>
    </row>
    <row r="18" spans="1:23" s="182" customFormat="1" x14ac:dyDescent="0.2">
      <c r="B18" s="182" t="s">
        <v>292</v>
      </c>
      <c r="C18" s="182" t="s">
        <v>293</v>
      </c>
      <c r="D18" s="183"/>
      <c r="E18" s="170"/>
      <c r="F18" s="170"/>
      <c r="G18" s="170"/>
      <c r="H18" s="170"/>
      <c r="I18" s="170"/>
      <c r="O18" s="171"/>
      <c r="P18" s="171"/>
    </row>
    <row r="19" spans="1:23" s="182" customFormat="1" x14ac:dyDescent="0.2">
      <c r="A19" s="280" t="s">
        <v>252</v>
      </c>
      <c r="B19" s="192" t="s">
        <v>636</v>
      </c>
      <c r="C19" s="192" t="s">
        <v>637</v>
      </c>
      <c r="D19" s="183">
        <v>27.5</v>
      </c>
      <c r="E19" s="170"/>
      <c r="F19" s="170"/>
      <c r="G19" s="170"/>
      <c r="H19" s="170"/>
      <c r="I19" s="170"/>
      <c r="O19" s="171"/>
      <c r="P19" s="171"/>
    </row>
    <row r="20" spans="1:23" s="182" customFormat="1" x14ac:dyDescent="0.2">
      <c r="A20" s="280" t="s">
        <v>252</v>
      </c>
      <c r="B20" s="182" t="s">
        <v>295</v>
      </c>
      <c r="C20" s="182" t="s">
        <v>296</v>
      </c>
      <c r="D20" s="183">
        <v>142.76</v>
      </c>
      <c r="E20" s="170"/>
      <c r="F20" s="170"/>
      <c r="G20" s="170"/>
      <c r="H20" s="170"/>
      <c r="I20" s="170"/>
      <c r="O20" s="171"/>
      <c r="P20" s="171"/>
    </row>
    <row r="21" spans="1:23" s="182" customFormat="1" x14ac:dyDescent="0.2">
      <c r="A21" s="280" t="s">
        <v>252</v>
      </c>
      <c r="B21" s="182" t="s">
        <v>305</v>
      </c>
      <c r="C21" s="182" t="s">
        <v>306</v>
      </c>
      <c r="D21" s="183">
        <v>72.069999999999993</v>
      </c>
      <c r="E21" s="170"/>
      <c r="F21" s="170"/>
      <c r="G21" s="170"/>
      <c r="H21" s="170"/>
      <c r="I21" s="170"/>
      <c r="O21" s="171"/>
      <c r="P21" s="171"/>
    </row>
    <row r="22" spans="1:23" s="182" customFormat="1" x14ac:dyDescent="0.2">
      <c r="A22" s="280" t="s">
        <v>252</v>
      </c>
      <c r="B22" s="182" t="s">
        <v>70</v>
      </c>
      <c r="C22" s="182" t="s">
        <v>71</v>
      </c>
      <c r="D22" s="183">
        <v>68.930000000000007</v>
      </c>
      <c r="E22" s="170">
        <v>18053</v>
      </c>
      <c r="F22" s="170"/>
      <c r="G22" s="170"/>
      <c r="H22" s="170"/>
      <c r="I22" s="170"/>
      <c r="O22" s="171"/>
      <c r="P22" s="171"/>
    </row>
    <row r="23" spans="1:23" s="182" customFormat="1" x14ac:dyDescent="0.2">
      <c r="A23" s="182" t="s">
        <v>252</v>
      </c>
      <c r="B23" s="182" t="s">
        <v>82</v>
      </c>
      <c r="C23" s="182" t="s">
        <v>83</v>
      </c>
      <c r="D23" s="183">
        <v>58.75</v>
      </c>
      <c r="E23" s="170">
        <v>14980</v>
      </c>
      <c r="F23" s="170"/>
      <c r="G23" s="170"/>
      <c r="H23" s="170"/>
      <c r="I23" s="170"/>
      <c r="O23" s="171"/>
      <c r="P23" s="171"/>
    </row>
    <row r="24" spans="1:23" s="182" customFormat="1" x14ac:dyDescent="0.2">
      <c r="A24" s="182" t="s">
        <v>252</v>
      </c>
      <c r="B24" s="182" t="s">
        <v>103</v>
      </c>
      <c r="C24" s="182" t="s">
        <v>104</v>
      </c>
      <c r="D24" s="183">
        <v>184.44</v>
      </c>
      <c r="E24" s="170">
        <v>10400</v>
      </c>
      <c r="F24" s="170"/>
      <c r="G24" s="170"/>
      <c r="H24" s="170"/>
      <c r="I24" s="170"/>
      <c r="O24" s="171"/>
      <c r="P24" s="171"/>
    </row>
    <row r="25" spans="1:23" x14ac:dyDescent="0.2">
      <c r="B25" s="189" t="s">
        <v>299</v>
      </c>
      <c r="C25" s="171" t="s">
        <v>300</v>
      </c>
      <c r="D25" s="184">
        <v>175.2</v>
      </c>
      <c r="E25" s="170">
        <v>27500</v>
      </c>
      <c r="F25" s="170"/>
      <c r="G25" s="170"/>
      <c r="H25" s="170"/>
      <c r="J25" s="172"/>
      <c r="K25" s="186"/>
      <c r="L25" s="186"/>
      <c r="M25" s="186"/>
      <c r="N25" s="186"/>
      <c r="Q25" s="186"/>
      <c r="R25" s="186"/>
      <c r="S25" s="187"/>
      <c r="T25" s="188"/>
      <c r="U25" s="186"/>
      <c r="V25" s="186"/>
      <c r="W25" s="187"/>
    </row>
    <row r="26" spans="1:23" x14ac:dyDescent="0.2">
      <c r="A26" s="171" t="s">
        <v>252</v>
      </c>
      <c r="B26" s="189" t="s">
        <v>64</v>
      </c>
      <c r="C26" s="171" t="s">
        <v>65</v>
      </c>
      <c r="D26" s="184">
        <v>312</v>
      </c>
      <c r="E26" s="170">
        <v>19090</v>
      </c>
    </row>
    <row r="27" spans="1:23" x14ac:dyDescent="0.2">
      <c r="B27" s="200" t="s">
        <v>643</v>
      </c>
      <c r="C27" s="200" t="s">
        <v>644</v>
      </c>
      <c r="D27" s="184">
        <v>8.1300000000000008</v>
      </c>
      <c r="E27" s="170">
        <v>1700</v>
      </c>
    </row>
    <row r="28" spans="1:23" x14ac:dyDescent="0.2">
      <c r="A28" s="171" t="s">
        <v>252</v>
      </c>
      <c r="B28" s="171" t="s">
        <v>424</v>
      </c>
      <c r="C28" s="171" t="s">
        <v>425</v>
      </c>
    </row>
    <row r="29" spans="1:23" x14ac:dyDescent="0.2">
      <c r="A29" s="171" t="s">
        <v>252</v>
      </c>
      <c r="B29" s="171" t="s">
        <v>430</v>
      </c>
      <c r="C29" s="171" t="s">
        <v>431</v>
      </c>
    </row>
    <row r="30" spans="1:23" x14ac:dyDescent="0.2">
      <c r="A30" s="171" t="s">
        <v>252</v>
      </c>
      <c r="B30" s="171" t="s">
        <v>486</v>
      </c>
      <c r="C30" s="171" t="s">
        <v>487</v>
      </c>
    </row>
    <row r="31" spans="1:23" x14ac:dyDescent="0.2">
      <c r="A31" s="171" t="s">
        <v>252</v>
      </c>
      <c r="B31" s="171" t="s">
        <v>518</v>
      </c>
      <c r="C31" s="171" t="s">
        <v>519</v>
      </c>
    </row>
    <row r="32" spans="1:23" x14ac:dyDescent="0.2">
      <c r="A32" s="171" t="s">
        <v>252</v>
      </c>
      <c r="B32" s="171" t="s">
        <v>542</v>
      </c>
      <c r="C32" s="171" t="s">
        <v>543</v>
      </c>
    </row>
    <row r="33" spans="1:9" x14ac:dyDescent="0.2">
      <c r="A33" s="171" t="s">
        <v>252</v>
      </c>
      <c r="B33" s="171" t="s">
        <v>572</v>
      </c>
      <c r="C33" s="171" t="s">
        <v>573</v>
      </c>
    </row>
    <row r="34" spans="1:9" x14ac:dyDescent="0.2">
      <c r="B34" s="205" t="s">
        <v>649</v>
      </c>
      <c r="C34" s="205" t="s">
        <v>650</v>
      </c>
    </row>
    <row r="35" spans="1:9" x14ac:dyDescent="0.2">
      <c r="A35" s="171" t="s">
        <v>252</v>
      </c>
      <c r="B35" s="171" t="s">
        <v>586</v>
      </c>
      <c r="C35" s="171" t="s">
        <v>587</v>
      </c>
    </row>
    <row r="36" spans="1:9" x14ac:dyDescent="0.2">
      <c r="A36" s="171" t="s">
        <v>252</v>
      </c>
      <c r="B36" s="171" t="s">
        <v>594</v>
      </c>
      <c r="C36" s="171" t="s">
        <v>595</v>
      </c>
    </row>
    <row r="37" spans="1:9" x14ac:dyDescent="0.2">
      <c r="A37" s="171" t="s">
        <v>252</v>
      </c>
      <c r="B37" s="171" t="s">
        <v>596</v>
      </c>
      <c r="C37" s="171" t="s">
        <v>597</v>
      </c>
    </row>
    <row r="38" spans="1:9" x14ac:dyDescent="0.2">
      <c r="B38" s="5" t="s">
        <v>659</v>
      </c>
      <c r="C38" s="248" t="s">
        <v>661</v>
      </c>
      <c r="D38" s="183">
        <v>89.5</v>
      </c>
    </row>
    <row r="39" spans="1:9" x14ac:dyDescent="0.2">
      <c r="B39" s="5" t="s">
        <v>660</v>
      </c>
      <c r="C39" s="248" t="s">
        <v>662</v>
      </c>
    </row>
    <row r="40" spans="1:9" x14ac:dyDescent="0.2">
      <c r="A40" s="171" t="s">
        <v>252</v>
      </c>
      <c r="B40" s="171" t="s">
        <v>598</v>
      </c>
      <c r="C40" s="171" t="s">
        <v>599</v>
      </c>
    </row>
    <row r="41" spans="1:9" x14ac:dyDescent="0.2">
      <c r="A41" s="171" t="s">
        <v>252</v>
      </c>
      <c r="B41" s="171" t="s">
        <v>604</v>
      </c>
      <c r="C41" s="171" t="s">
        <v>605</v>
      </c>
    </row>
    <row r="43" spans="1:9" s="182" customFormat="1" x14ac:dyDescent="0.2">
      <c r="B43" s="47" t="s">
        <v>33</v>
      </c>
      <c r="C43" s="47" t="s">
        <v>150</v>
      </c>
      <c r="D43" s="48">
        <v>0</v>
      </c>
      <c r="E43" s="9">
        <v>100000</v>
      </c>
      <c r="F43" s="170"/>
      <c r="G43" s="170"/>
      <c r="H43" s="170"/>
      <c r="I43" s="170"/>
    </row>
    <row r="44" spans="1:9" x14ac:dyDescent="0.2">
      <c r="B44" s="109" t="s">
        <v>58</v>
      </c>
      <c r="C44" s="109"/>
      <c r="D44" s="110">
        <v>0</v>
      </c>
      <c r="E44" s="111">
        <v>26000</v>
      </c>
    </row>
    <row r="45" spans="1:9" x14ac:dyDescent="0.2">
      <c r="B45" s="182" t="s">
        <v>86</v>
      </c>
      <c r="C45" s="182"/>
      <c r="D45" s="48">
        <v>0</v>
      </c>
      <c r="E45" s="170">
        <v>15000</v>
      </c>
    </row>
    <row r="46" spans="1:9" x14ac:dyDescent="0.2">
      <c r="B46" s="171" t="s">
        <v>241</v>
      </c>
      <c r="D46" s="48">
        <v>0</v>
      </c>
      <c r="E46" s="172">
        <v>75</v>
      </c>
    </row>
    <row r="47" spans="1:9" x14ac:dyDescent="0.2">
      <c r="B47" s="171" t="s">
        <v>243</v>
      </c>
      <c r="D47" s="48">
        <v>0</v>
      </c>
    </row>
    <row r="48" spans="1:9" x14ac:dyDescent="0.2">
      <c r="B48" s="171" t="s">
        <v>273</v>
      </c>
      <c r="E48" s="172">
        <v>424</v>
      </c>
    </row>
    <row r="49" spans="2:5" x14ac:dyDescent="0.2">
      <c r="B49" s="171" t="s">
        <v>275</v>
      </c>
      <c r="E49" s="172">
        <v>159.5</v>
      </c>
    </row>
    <row r="50" spans="2:5" x14ac:dyDescent="0.2">
      <c r="B50" s="171" t="s">
        <v>400</v>
      </c>
    </row>
  </sheetData>
  <hyperlinks>
    <hyperlink ref="A1" location="Main!A1" display="Main" xr:uid="{A1A6C7BE-B827-4E66-8B30-A4C4FF1A4224}"/>
    <hyperlink ref="B6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8" r:id="rId5" xr:uid="{132B7EB0-8BB8-4C45-9D4A-8D6FD8E92C4F}"/>
    <hyperlink ref="B39" r:id="rId6" xr:uid="{978BA968-9397-4F51-8BD6-DF24F3265F24}"/>
    <hyperlink ref="B11" r:id="rId7" xr:uid="{4D2153E5-B181-4376-B814-CEB9F02158B7}"/>
    <hyperlink ref="B7" r:id="rId8" xr:uid="{3FE14BBE-9F87-497A-818B-F2351807C428}"/>
  </hyperlinks>
  <pageMargins left="0.7" right="0.7" top="0.75" bottom="0.75" header="0.3" footer="0.3"/>
  <legacyDrawing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6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.42578125" style="266" bestFit="1" customWidth="1"/>
    <col min="2" max="2" width="11.42578125" style="266" bestFit="1" customWidth="1"/>
    <col min="3" max="16384" width="9.140625" style="266"/>
  </cols>
  <sheetData>
    <row r="1" spans="1:24" x14ac:dyDescent="0.2">
      <c r="A1" s="5" t="s">
        <v>142</v>
      </c>
    </row>
    <row r="2" spans="1:24" x14ac:dyDescent="0.2">
      <c r="B2" s="267" t="s">
        <v>0</v>
      </c>
      <c r="C2" s="268" t="s">
        <v>1</v>
      </c>
      <c r="D2" s="269" t="s">
        <v>2</v>
      </c>
      <c r="E2" s="270" t="s">
        <v>3</v>
      </c>
      <c r="F2" s="271" t="s">
        <v>4</v>
      </c>
      <c r="G2" s="271" t="s">
        <v>5</v>
      </c>
      <c r="H2" s="271" t="s">
        <v>212</v>
      </c>
      <c r="I2" s="271" t="s">
        <v>6</v>
      </c>
      <c r="J2" s="271" t="s">
        <v>223</v>
      </c>
      <c r="K2" s="272" t="s">
        <v>207</v>
      </c>
      <c r="L2" s="272" t="s">
        <v>211</v>
      </c>
      <c r="M2" s="272" t="s">
        <v>208</v>
      </c>
      <c r="N2" s="272" t="s">
        <v>209</v>
      </c>
      <c r="O2" s="273" t="s">
        <v>210</v>
      </c>
      <c r="P2" s="274" t="s">
        <v>228</v>
      </c>
      <c r="Q2" s="275" t="s">
        <v>229</v>
      </c>
      <c r="R2" s="275" t="s">
        <v>230</v>
      </c>
      <c r="S2" s="273">
        <v>2025</v>
      </c>
      <c r="T2" s="274" t="s">
        <v>227</v>
      </c>
      <c r="U2" s="272">
        <v>2023</v>
      </c>
      <c r="V2" s="272">
        <v>2024</v>
      </c>
      <c r="W2" s="273">
        <v>2025</v>
      </c>
      <c r="X2" s="266" t="s">
        <v>213</v>
      </c>
    </row>
    <row r="3" spans="1:24" x14ac:dyDescent="0.2">
      <c r="B3" s="265" t="s">
        <v>143</v>
      </c>
      <c r="C3" s="266" t="s">
        <v>144</v>
      </c>
      <c r="D3" s="276">
        <v>26.99</v>
      </c>
      <c r="E3" s="264">
        <v>1400</v>
      </c>
    </row>
    <row r="4" spans="1:24" x14ac:dyDescent="0.2">
      <c r="B4" s="82" t="s">
        <v>673</v>
      </c>
      <c r="C4" s="266" t="s">
        <v>674</v>
      </c>
      <c r="D4" s="276">
        <v>83.95</v>
      </c>
      <c r="E4" s="264"/>
    </row>
    <row r="5" spans="1:24" x14ac:dyDescent="0.2">
      <c r="A5" s="266" t="s">
        <v>252</v>
      </c>
      <c r="B5" s="265" t="s">
        <v>530</v>
      </c>
      <c r="C5" s="266" t="s">
        <v>531</v>
      </c>
      <c r="D5" s="276"/>
      <c r="E5" s="264"/>
    </row>
    <row r="6" spans="1:24" x14ac:dyDescent="0.2">
      <c r="A6" s="266" t="s">
        <v>252</v>
      </c>
      <c r="B6" s="265" t="s">
        <v>391</v>
      </c>
      <c r="C6" s="266" t="s">
        <v>513</v>
      </c>
    </row>
  </sheetData>
  <hyperlinks>
    <hyperlink ref="B4" r:id="rId1" xr:uid="{6A64061A-0D93-429F-8BE3-27535072E7D2}"/>
    <hyperlink ref="A1" location="Main!A1" display="Main" xr:uid="{9F79FDD5-8764-48DF-AF6B-FC5975B9AE1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9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9" sqref="H9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1" t="s">
        <v>252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[9]Main!$K$5-[9]Main!$K$6</f>
        <v>33161</v>
      </c>
      <c r="G3" s="3">
        <f>+E3-F3</f>
        <v>2449748.54931904</v>
      </c>
      <c r="H3" s="44">
        <f>+[9]Main!$K$3</f>
        <v>10515.011007999999</v>
      </c>
      <c r="I3" s="4" t="s">
        <v>655</v>
      </c>
      <c r="J3" s="259">
        <v>45689</v>
      </c>
    </row>
    <row r="4" spans="1:24" x14ac:dyDescent="0.2">
      <c r="A4" s="281" t="s">
        <v>252</v>
      </c>
      <c r="B4" s="5" t="s">
        <v>42</v>
      </c>
      <c r="C4" s="10" t="s">
        <v>43</v>
      </c>
      <c r="D4" s="190">
        <v>80</v>
      </c>
      <c r="E4" s="22">
        <f>+D4*H4</f>
        <v>168456.74599999998</v>
      </c>
      <c r="F4" s="44">
        <f>+[57]Main!$K$5-[57]Main!$K$6</f>
        <v>7245</v>
      </c>
      <c r="G4" s="44">
        <f>+E4-F4</f>
        <v>161211.74599999998</v>
      </c>
      <c r="H4" s="44">
        <f>+[57]Main!$K$3</f>
        <v>2105.7093249999998</v>
      </c>
      <c r="I4" s="258" t="s">
        <v>655</v>
      </c>
      <c r="J4" s="52">
        <v>45689</v>
      </c>
    </row>
    <row r="5" spans="1:24" s="20" customFormat="1" x14ac:dyDescent="0.2">
      <c r="A5" s="281" t="s">
        <v>252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([58]Main!$O$5-[58]Main!$O$6)/RMB</f>
        <v>121948.96142433234</v>
      </c>
      <c r="G5" s="22">
        <f>+E5-F5</f>
        <v>111256.03232566765</v>
      </c>
      <c r="H5" s="22">
        <f>+[58]Main!$L$3</f>
        <v>2449.375</v>
      </c>
      <c r="I5" s="155" t="s">
        <v>614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281" t="s">
        <v>252</v>
      </c>
      <c r="B6" s="5" t="s">
        <v>17</v>
      </c>
      <c r="C6" s="164" t="s">
        <v>632</v>
      </c>
      <c r="D6" s="165">
        <v>92</v>
      </c>
      <c r="E6" s="3">
        <f>+D6*H6/HKD</f>
        <v>229654.2587072282</v>
      </c>
      <c r="F6" s="3" cm="1">
        <f t="array" ref="F6">([58]Main!$O$5-[58]Main!$O$6)/RMB</f>
        <v>121948.96142433234</v>
      </c>
      <c r="G6" s="3">
        <f>+E6-F6</f>
        <v>107705.29728289586</v>
      </c>
      <c r="H6" s="44">
        <f>+[58]Main!$O$3</f>
        <v>19595</v>
      </c>
      <c r="I6" s="4" t="s">
        <v>614</v>
      </c>
      <c r="J6" s="52">
        <f>+J5</f>
        <v>45559</v>
      </c>
    </row>
    <row r="7" spans="1:24" x14ac:dyDescent="0.2">
      <c r="A7" s="281" t="s">
        <v>252</v>
      </c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281" t="s">
        <v>252</v>
      </c>
      <c r="B8" s="65" t="s">
        <v>253</v>
      </c>
      <c r="C8" s="65" t="s">
        <v>254</v>
      </c>
    </row>
    <row r="9" spans="1:24" x14ac:dyDescent="0.2">
      <c r="A9" s="281" t="s">
        <v>252</v>
      </c>
      <c r="B9" s="11" t="s">
        <v>197</v>
      </c>
      <c r="C9" s="11" t="s">
        <v>198</v>
      </c>
    </row>
    <row r="10" spans="1:24" x14ac:dyDescent="0.2">
      <c r="A10" s="281" t="s">
        <v>252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+[59]Main!$L$5-[59]Main!$L$6</f>
        <v>7643.4470000000001</v>
      </c>
      <c r="G10" s="22">
        <f>E10-F10</f>
        <v>66071.040644859997</v>
      </c>
      <c r="H10" s="44">
        <f>+[59]Main!$L$3</f>
        <v>633.17718300000001</v>
      </c>
      <c r="I10" s="100" t="s">
        <v>348</v>
      </c>
      <c r="J10" s="52">
        <v>44971</v>
      </c>
    </row>
    <row r="11" spans="1:24" x14ac:dyDescent="0.2">
      <c r="A11" s="281" t="s">
        <v>252</v>
      </c>
      <c r="B11" s="11" t="s">
        <v>195</v>
      </c>
      <c r="C11" s="11" t="s">
        <v>196</v>
      </c>
    </row>
    <row r="12" spans="1:24" x14ac:dyDescent="0.2">
      <c r="A12" s="281" t="s">
        <v>252</v>
      </c>
      <c r="B12" s="73" t="s">
        <v>283</v>
      </c>
      <c r="C12" s="73" t="s">
        <v>284</v>
      </c>
    </row>
    <row r="13" spans="1:24" s="20" customFormat="1" x14ac:dyDescent="0.2">
      <c r="A13" s="281" t="s">
        <v>252</v>
      </c>
      <c r="B13" s="5" t="s">
        <v>36</v>
      </c>
      <c r="C13" s="20" t="s">
        <v>37</v>
      </c>
      <c r="D13" s="21">
        <v>36.71</v>
      </c>
      <c r="E13" s="22">
        <f>+D13*[60]Main!$M$3</f>
        <v>46254.6</v>
      </c>
      <c r="F13" s="22">
        <f>+[60]Main!$M$5-[60]Main!$M$6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x14ac:dyDescent="0.2">
      <c r="A14" s="79"/>
      <c r="B14" s="79" t="s">
        <v>301</v>
      </c>
      <c r="C14" s="79" t="s">
        <v>302</v>
      </c>
      <c r="D14" s="190">
        <v>24.43</v>
      </c>
      <c r="E14" s="44">
        <f>+D14*H14</f>
        <v>43946.137438419995</v>
      </c>
      <c r="F14" s="44">
        <f>+[61]Main!$L$5-[61]Main!$L$6</f>
        <v>4606</v>
      </c>
      <c r="G14" s="44">
        <f>+E14-F14</f>
        <v>39340.137438419995</v>
      </c>
      <c r="H14" s="44">
        <f>+[61]Main!$L$3</f>
        <v>1798.8594939999998</v>
      </c>
      <c r="I14" s="284" t="s">
        <v>655</v>
      </c>
      <c r="J14" s="52">
        <v>45712</v>
      </c>
    </row>
    <row r="15" spans="1:24" s="20" customFormat="1" x14ac:dyDescent="0.2">
      <c r="A15" s="281" t="s">
        <v>252</v>
      </c>
      <c r="B15" s="73" t="s">
        <v>285</v>
      </c>
      <c r="C15" s="73" t="s">
        <v>286</v>
      </c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A16" s="281" t="s">
        <v>252</v>
      </c>
      <c r="B16" s="1" t="s">
        <v>59</v>
      </c>
      <c r="C16" s="1" t="s">
        <v>60</v>
      </c>
      <c r="D16" s="2">
        <v>71.66</v>
      </c>
      <c r="E16" s="3">
        <v>25171</v>
      </c>
    </row>
    <row r="17" spans="1:23" x14ac:dyDescent="0.2">
      <c r="A17" s="281" t="s">
        <v>252</v>
      </c>
      <c r="B17" s="266" t="s">
        <v>675</v>
      </c>
      <c r="C17" s="266" t="s">
        <v>676</v>
      </c>
    </row>
    <row r="18" spans="1:23" x14ac:dyDescent="0.2">
      <c r="A18" s="79"/>
      <c r="B18" s="79" t="s">
        <v>303</v>
      </c>
      <c r="C18" s="79" t="s">
        <v>304</v>
      </c>
    </row>
    <row r="19" spans="1:23" x14ac:dyDescent="0.2">
      <c r="A19" s="80"/>
      <c r="B19" s="80" t="s">
        <v>307</v>
      </c>
      <c r="C19" s="80" t="s">
        <v>308</v>
      </c>
    </row>
    <row r="20" spans="1:23" x14ac:dyDescent="0.2">
      <c r="A20" s="81"/>
      <c r="B20" s="81" t="s">
        <v>309</v>
      </c>
      <c r="C20" s="81" t="s">
        <v>310</v>
      </c>
    </row>
    <row r="21" spans="1:23" x14ac:dyDescent="0.2">
      <c r="A21" s="281" t="s">
        <v>252</v>
      </c>
      <c r="B21" s="10" t="s">
        <v>157</v>
      </c>
      <c r="C21" s="10" t="s">
        <v>158</v>
      </c>
    </row>
    <row r="22" spans="1:23" x14ac:dyDescent="0.2">
      <c r="A22" s="281" t="s">
        <v>252</v>
      </c>
      <c r="B22" s="1" t="s">
        <v>96</v>
      </c>
      <c r="C22" s="1" t="s">
        <v>97</v>
      </c>
      <c r="D22" s="2">
        <v>2.5099999999999998</v>
      </c>
      <c r="E22" s="3">
        <v>12580</v>
      </c>
    </row>
    <row r="23" spans="1:23" x14ac:dyDescent="0.2">
      <c r="B23" s="10" t="s">
        <v>159</v>
      </c>
      <c r="C23" s="10" t="s">
        <v>160</v>
      </c>
    </row>
    <row r="24" spans="1:23" s="20" customFormat="1" x14ac:dyDescent="0.2">
      <c r="B24" s="20" t="s">
        <v>131</v>
      </c>
      <c r="C24" s="20" t="s">
        <v>132</v>
      </c>
      <c r="D24" s="21">
        <v>17.63</v>
      </c>
      <c r="E24" s="22">
        <v>6480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5"/>
      <c r="Q24" s="24"/>
      <c r="R24" s="24"/>
      <c r="S24" s="26"/>
      <c r="T24" s="25"/>
      <c r="U24" s="24"/>
      <c r="V24" s="24"/>
      <c r="W24" s="26"/>
    </row>
    <row r="25" spans="1:23" x14ac:dyDescent="0.2">
      <c r="B25" s="5" t="s">
        <v>376</v>
      </c>
      <c r="C25" s="96" t="s">
        <v>377</v>
      </c>
      <c r="D25" s="10">
        <v>8.86</v>
      </c>
      <c r="E25" s="44">
        <f>+D25*H25</f>
        <v>963.51364147999993</v>
      </c>
      <c r="F25" s="44">
        <f>+[62]Main!$K$5-[62]Main!$K$6</f>
        <v>-1163.2909999999999</v>
      </c>
      <c r="G25" s="44">
        <f>+E25-F25</f>
        <v>2126.8046414800001</v>
      </c>
      <c r="H25" s="44">
        <f>+[62]Main!$K$3</f>
        <v>108.748718</v>
      </c>
      <c r="I25" s="99" t="s">
        <v>348</v>
      </c>
      <c r="J25" s="52">
        <v>44965</v>
      </c>
    </row>
    <row r="26" spans="1:23" x14ac:dyDescent="0.2">
      <c r="B26" s="5" t="s">
        <v>628</v>
      </c>
      <c r="C26" s="153" t="s">
        <v>629</v>
      </c>
      <c r="D26" s="10">
        <v>1.77</v>
      </c>
      <c r="E26" s="44">
        <f>+D26*H26</f>
        <v>183.49568582999999</v>
      </c>
      <c r="F26" s="44">
        <f>+[63]Main!$K$5-[63]Main!$K$6</f>
        <v>4.47199999999998</v>
      </c>
      <c r="G26" s="44">
        <f>+E26-F26</f>
        <v>179.02368583000001</v>
      </c>
      <c r="H26" s="44">
        <f>+[63]Main!$K$3</f>
        <v>103.66987899999999</v>
      </c>
      <c r="I26" s="202" t="s">
        <v>614</v>
      </c>
      <c r="J26" s="52">
        <v>45556</v>
      </c>
    </row>
    <row r="27" spans="1:23" x14ac:dyDescent="0.2">
      <c r="B27" s="98" t="s">
        <v>378</v>
      </c>
      <c r="E27" s="44"/>
      <c r="F27" s="44"/>
      <c r="G27" s="44"/>
    </row>
    <row r="28" spans="1:23" x14ac:dyDescent="0.2">
      <c r="B28" s="5" t="s">
        <v>647</v>
      </c>
      <c r="C28" s="205" t="s">
        <v>648</v>
      </c>
      <c r="D28" s="10">
        <v>1.02</v>
      </c>
      <c r="E28" s="44">
        <f>+D28*H28</f>
        <v>114.86102394</v>
      </c>
      <c r="F28" s="44">
        <f>+[64]Main!$J$5-[64]Main!$J$6</f>
        <v>69.837999999999994</v>
      </c>
      <c r="G28" s="44">
        <f>+E28-F28</f>
        <v>45.023023940000002</v>
      </c>
      <c r="H28" s="44">
        <f>+[64]Main!$J$3</f>
        <v>112.608847</v>
      </c>
      <c r="I28" s="206" t="s">
        <v>614</v>
      </c>
      <c r="J28" s="52">
        <v>45583</v>
      </c>
    </row>
    <row r="29" spans="1:23" x14ac:dyDescent="0.2">
      <c r="B29" s="131" t="s">
        <v>509</v>
      </c>
      <c r="C29" s="131" t="s">
        <v>510</v>
      </c>
    </row>
    <row r="30" spans="1:23" x14ac:dyDescent="0.2">
      <c r="B30" s="134" t="s">
        <v>552</v>
      </c>
      <c r="C30" s="134" t="s">
        <v>553</v>
      </c>
    </row>
    <row r="31" spans="1:23" x14ac:dyDescent="0.2">
      <c r="A31" s="281" t="s">
        <v>252</v>
      </c>
      <c r="B31" s="266" t="s">
        <v>677</v>
      </c>
      <c r="C31" s="266" t="s">
        <v>678</v>
      </c>
    </row>
    <row r="32" spans="1:23" x14ac:dyDescent="0.2">
      <c r="B32" s="134" t="s">
        <v>560</v>
      </c>
      <c r="C32" s="134" t="s">
        <v>561</v>
      </c>
    </row>
    <row r="33" spans="2:12" x14ac:dyDescent="0.2">
      <c r="B33" s="135" t="s">
        <v>613</v>
      </c>
      <c r="C33" s="135" t="s">
        <v>612</v>
      </c>
    </row>
    <row r="34" spans="2:12" x14ac:dyDescent="0.2">
      <c r="B34" s="5" t="s">
        <v>645</v>
      </c>
      <c r="C34" s="203" t="s">
        <v>646</v>
      </c>
      <c r="D34" s="190">
        <v>41.16</v>
      </c>
    </row>
    <row r="36" spans="2:12" x14ac:dyDescent="0.2">
      <c r="B36" s="1" t="s">
        <v>115</v>
      </c>
      <c r="C36" s="1"/>
      <c r="D36" s="2"/>
      <c r="E36" s="3">
        <v>8333</v>
      </c>
    </row>
    <row r="37" spans="2:12" x14ac:dyDescent="0.2">
      <c r="B37" s="20" t="s">
        <v>63</v>
      </c>
      <c r="C37" s="20"/>
      <c r="D37" s="21"/>
      <c r="E37" s="22">
        <v>22000</v>
      </c>
    </row>
    <row r="38" spans="2:12" x14ac:dyDescent="0.2">
      <c r="B38" s="20" t="s">
        <v>55</v>
      </c>
      <c r="C38" s="20"/>
      <c r="D38" s="21"/>
      <c r="E38" s="22">
        <v>30000</v>
      </c>
    </row>
    <row r="39" spans="2:12" x14ac:dyDescent="0.2">
      <c r="B39" s="126" t="s">
        <v>450</v>
      </c>
      <c r="L39" s="126" t="s">
        <v>451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5" r:id="rId6" xr:uid="{E112D5EE-DF74-4C8E-8A8A-40FA1E1DA6A2}"/>
    <hyperlink ref="B26" r:id="rId7" xr:uid="{803C9F9C-5FB9-4D21-9B63-E7586C7DD545}"/>
    <hyperlink ref="B34" r:id="rId8" xr:uid="{B9AD6732-3E45-4F0C-8171-C60C9015033B}"/>
    <hyperlink ref="B28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7" sqref="K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212</v>
      </c>
      <c r="I2" s="60" t="s">
        <v>6</v>
      </c>
      <c r="J2" s="60" t="s">
        <v>223</v>
      </c>
      <c r="K2" s="61" t="s">
        <v>207</v>
      </c>
      <c r="L2" s="61" t="s">
        <v>211</v>
      </c>
      <c r="M2" s="61" t="s">
        <v>208</v>
      </c>
      <c r="N2" s="61" t="s">
        <v>209</v>
      </c>
      <c r="O2" s="62" t="s">
        <v>210</v>
      </c>
      <c r="P2" s="63" t="s">
        <v>228</v>
      </c>
      <c r="Q2" s="64" t="s">
        <v>229</v>
      </c>
      <c r="R2" s="64" t="s">
        <v>230</v>
      </c>
      <c r="S2" s="62">
        <v>2025</v>
      </c>
      <c r="T2" s="63" t="s">
        <v>227</v>
      </c>
      <c r="U2" s="61">
        <v>2023</v>
      </c>
      <c r="V2" s="61">
        <v>2024</v>
      </c>
      <c r="W2" s="62">
        <v>2025</v>
      </c>
      <c r="X2" s="55" t="s">
        <v>213</v>
      </c>
    </row>
    <row r="3" spans="1:24" x14ac:dyDescent="0.2">
      <c r="A3" s="283" t="s">
        <v>252</v>
      </c>
      <c r="B3" s="10" t="s">
        <v>151</v>
      </c>
      <c r="C3" s="10" t="s">
        <v>152</v>
      </c>
    </row>
    <row r="4" spans="1:24" x14ac:dyDescent="0.2">
      <c r="A4" s="131" t="s">
        <v>252</v>
      </c>
      <c r="B4" s="10" t="s">
        <v>156</v>
      </c>
      <c r="C4" s="10" t="s">
        <v>155</v>
      </c>
    </row>
    <row r="5" spans="1:24" x14ac:dyDescent="0.2">
      <c r="A5" s="283" t="s">
        <v>252</v>
      </c>
      <c r="B5" s="10" t="s">
        <v>153</v>
      </c>
      <c r="C5" s="10" t="s">
        <v>154</v>
      </c>
    </row>
    <row r="6" spans="1:24" x14ac:dyDescent="0.2">
      <c r="A6" s="74"/>
      <c r="B6" s="74" t="s">
        <v>290</v>
      </c>
      <c r="C6" s="74" t="s">
        <v>291</v>
      </c>
    </row>
    <row r="7" spans="1:24" x14ac:dyDescent="0.2">
      <c r="A7" s="131" t="s">
        <v>252</v>
      </c>
      <c r="B7" s="5" t="s">
        <v>180</v>
      </c>
      <c r="C7" s="20" t="s">
        <v>181</v>
      </c>
      <c r="D7" s="21">
        <v>215</v>
      </c>
      <c r="E7" s="22">
        <f>+D7*H7</f>
        <v>32989.303945</v>
      </c>
      <c r="F7" s="44">
        <f>+[65]Main!$K$5-[65]Main!$K$6</f>
        <v>1162.098</v>
      </c>
      <c r="G7" s="44">
        <f>+E7-F7</f>
        <v>31827.205945000002</v>
      </c>
      <c r="H7" s="44">
        <f>[65]Main!$K$3</f>
        <v>153.43862300000001</v>
      </c>
      <c r="I7" s="284" t="s">
        <v>655</v>
      </c>
      <c r="J7" s="168">
        <v>45702</v>
      </c>
    </row>
    <row r="8" spans="1:24" s="1" customFormat="1" x14ac:dyDescent="0.2">
      <c r="A8" s="1" t="s">
        <v>252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283" t="s">
        <v>252</v>
      </c>
      <c r="B9" s="5" t="s">
        <v>188</v>
      </c>
      <c r="C9" s="10" t="s">
        <v>189</v>
      </c>
      <c r="D9" s="10">
        <v>83.39</v>
      </c>
      <c r="E9" s="44">
        <f>+D9*H9</f>
        <v>28494.590988259999</v>
      </c>
      <c r="F9" s="44">
        <f>+[66]Main!$N$5-[66]Main!$N$6</f>
        <v>472.05500000000006</v>
      </c>
      <c r="G9" s="44">
        <f>+E9-F9</f>
        <v>28022.535988259999</v>
      </c>
      <c r="H9" s="44">
        <f>+[66]Main!$N$3</f>
        <v>341.70273399999996</v>
      </c>
      <c r="I9" s="167" t="s">
        <v>614</v>
      </c>
      <c r="J9" s="168">
        <v>45561</v>
      </c>
    </row>
    <row r="10" spans="1:24" x14ac:dyDescent="0.2">
      <c r="A10" s="131" t="s">
        <v>252</v>
      </c>
      <c r="B10" s="123" t="s">
        <v>432</v>
      </c>
      <c r="C10" s="123" t="s">
        <v>433</v>
      </c>
    </row>
    <row r="11" spans="1:24" x14ac:dyDescent="0.2">
      <c r="A11" s="131" t="s">
        <v>252</v>
      </c>
      <c r="B11" s="131" t="s">
        <v>94</v>
      </c>
      <c r="C11" s="131" t="s">
        <v>95</v>
      </c>
    </row>
    <row r="12" spans="1:24" x14ac:dyDescent="0.2">
      <c r="A12" s="131" t="s">
        <v>252</v>
      </c>
      <c r="B12" s="131" t="s">
        <v>503</v>
      </c>
      <c r="C12" s="131" t="s">
        <v>504</v>
      </c>
    </row>
    <row r="13" spans="1:24" x14ac:dyDescent="0.2">
      <c r="A13" s="131" t="s">
        <v>252</v>
      </c>
      <c r="B13" s="131" t="s">
        <v>532</v>
      </c>
      <c r="C13" s="131" t="s">
        <v>533</v>
      </c>
    </row>
    <row r="14" spans="1:24" x14ac:dyDescent="0.2">
      <c r="A14" s="131" t="s">
        <v>252</v>
      </c>
      <c r="B14" s="131" t="s">
        <v>538</v>
      </c>
      <c r="C14" s="131" t="s">
        <v>539</v>
      </c>
    </row>
    <row r="15" spans="1:24" x14ac:dyDescent="0.2">
      <c r="A15" s="134" t="s">
        <v>252</v>
      </c>
      <c r="B15" s="134" t="s">
        <v>556</v>
      </c>
      <c r="C15" s="134" t="s">
        <v>557</v>
      </c>
    </row>
    <row r="16" spans="1:24" x14ac:dyDescent="0.2">
      <c r="A16" s="134" t="s">
        <v>252</v>
      </c>
      <c r="B16" s="134" t="s">
        <v>570</v>
      </c>
      <c r="C16" s="134" t="s">
        <v>571</v>
      </c>
    </row>
    <row r="17" spans="1:5" x14ac:dyDescent="0.2">
      <c r="A17" s="134" t="s">
        <v>252</v>
      </c>
      <c r="B17" s="134" t="s">
        <v>600</v>
      </c>
      <c r="C17" s="134" t="s">
        <v>601</v>
      </c>
    </row>
    <row r="21" spans="1:5" x14ac:dyDescent="0.2">
      <c r="B21" s="214" t="s">
        <v>656</v>
      </c>
      <c r="C21" s="214" t="s">
        <v>247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  <hyperlink ref="B7" r:id="rId2" xr:uid="{4C039C03-34B6-4015-817A-2A7270682FB5}"/>
  </hyperlinks>
  <pageMargins left="0.7" right="0.7" top="0.75" bottom="0.75" header="0.3" footer="0.3"/>
  <pageSetup paperSize="9"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206</v>
      </c>
      <c r="C4" s="38">
        <v>1.01</v>
      </c>
    </row>
    <row r="5" spans="1:3" x14ac:dyDescent="0.2">
      <c r="B5" s="38" t="s">
        <v>224</v>
      </c>
      <c r="C5" s="209">
        <v>10.54</v>
      </c>
    </row>
    <row r="6" spans="1:3" x14ac:dyDescent="0.2">
      <c r="B6" s="39" t="s">
        <v>232</v>
      </c>
      <c r="C6" s="38">
        <v>136.93</v>
      </c>
    </row>
    <row r="7" spans="1:3" x14ac:dyDescent="0.2">
      <c r="B7" s="39" t="s">
        <v>233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202</v>
      </c>
      <c r="E2" s="39" t="s">
        <v>213</v>
      </c>
      <c r="F2" s="39" t="s">
        <v>235</v>
      </c>
      <c r="G2" s="45" t="s">
        <v>239</v>
      </c>
    </row>
    <row r="3" spans="1:7" x14ac:dyDescent="0.2">
      <c r="B3" s="8" t="s">
        <v>33</v>
      </c>
      <c r="C3" s="7">
        <v>100000</v>
      </c>
      <c r="D3" s="12" t="s">
        <v>203</v>
      </c>
    </row>
    <row r="4" spans="1:7" x14ac:dyDescent="0.2">
      <c r="B4" s="6" t="s">
        <v>86</v>
      </c>
      <c r="C4" s="7">
        <v>15000</v>
      </c>
      <c r="D4" s="12" t="s">
        <v>203</v>
      </c>
    </row>
    <row r="5" spans="1:7" x14ac:dyDescent="0.2">
      <c r="B5" s="6" t="s">
        <v>120</v>
      </c>
      <c r="C5" s="7">
        <v>8000</v>
      </c>
      <c r="D5" s="12" t="s">
        <v>204</v>
      </c>
    </row>
    <row r="6" spans="1:7" x14ac:dyDescent="0.2">
      <c r="B6" s="6" t="s">
        <v>140</v>
      </c>
      <c r="D6" s="12" t="s">
        <v>205</v>
      </c>
    </row>
    <row r="7" spans="1:7" x14ac:dyDescent="0.2">
      <c r="B7" s="6" t="s">
        <v>141</v>
      </c>
      <c r="D7" s="12" t="s">
        <v>205</v>
      </c>
    </row>
    <row r="8" spans="1:7" x14ac:dyDescent="0.2">
      <c r="B8" s="12" t="s">
        <v>200</v>
      </c>
      <c r="D8" s="12" t="s">
        <v>201</v>
      </c>
    </row>
    <row r="9" spans="1:7" x14ac:dyDescent="0.2">
      <c r="B9" s="39" t="s">
        <v>234</v>
      </c>
      <c r="D9" s="39" t="s">
        <v>203</v>
      </c>
      <c r="E9" s="6">
        <v>2021</v>
      </c>
      <c r="F9" s="39" t="s">
        <v>236</v>
      </c>
      <c r="G9" s="45" t="s">
        <v>240</v>
      </c>
    </row>
    <row r="10" spans="1:7" x14ac:dyDescent="0.2">
      <c r="B10" s="45" t="s">
        <v>237</v>
      </c>
      <c r="D10" s="45" t="s">
        <v>238</v>
      </c>
      <c r="E10" s="6">
        <v>2021</v>
      </c>
      <c r="G10" s="45" t="s">
        <v>240</v>
      </c>
    </row>
    <row r="11" spans="1:7" x14ac:dyDescent="0.2">
      <c r="B11" s="107" t="s">
        <v>388</v>
      </c>
      <c r="D11" s="107" t="s">
        <v>389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2025-02-26T13:45:06Z</dcterms:modified>
  <cp:category/>
  <cp:contentStatus/>
</cp:coreProperties>
</file>