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09BE8D8-1163-46D9-99BA-0D5A8D7EA4EE}" xr6:coauthVersionLast="47" xr6:coauthVersionMax="47" xr10:uidLastSave="{00000000-0000-0000-0000-000000000000}"/>
  <bookViews>
    <workbookView xWindow="20280" yWindow="1430" windowWidth="18360" windowHeight="15980" firstSheet="1" activeTab="2" xr2:uid="{00000000-000D-0000-FFFF-FFFF00000000}"/>
  </bookViews>
  <sheets>
    <sheet name="Master" sheetId="41" r:id="rId1"/>
    <sheet name="Main" sheetId="1" r:id="rId2"/>
    <sheet name="Model" sheetId="2" r:id="rId3"/>
    <sheet name="lencapavir" sheetId="48" r:id="rId4"/>
    <sheet name="Biktarvy" sheetId="43" r:id="rId5"/>
    <sheet name="Descovy" sheetId="44" r:id="rId6"/>
    <sheet name="Genvoya" sheetId="45" r:id="rId7"/>
    <sheet name="Veklury" sheetId="46" r:id="rId8"/>
    <sheet name="Stribild" sheetId="34" r:id="rId9"/>
    <sheet name="Trodelvy" sheetId="47" r:id="rId10"/>
    <sheet name="Truvada" sheetId="15" r:id="rId11"/>
    <sheet name="Viread" sheetId="16" r:id="rId12"/>
    <sheet name="Ranexa" sheetId="40" r:id="rId13"/>
    <sheet name="Atripla" sheetId="18" r:id="rId14"/>
    <sheet name="Harvoni" sheetId="42" r:id="rId15"/>
    <sheet name="IMS Monthly" sheetId="33" r:id="rId16"/>
    <sheet name="IMS" sheetId="6" r:id="rId17"/>
    <sheet name="Rx" sheetId="23" r:id="rId18"/>
    <sheet name="HBV" sheetId="7" r:id="rId19"/>
    <sheet name="darusentan" sheetId="30" r:id="rId20"/>
    <sheet name="Letairis" sheetId="27" r:id="rId21"/>
    <sheet name="Hepsera" sheetId="17" r:id="rId22"/>
    <sheet name="HIV" sheetId="14" r:id="rId23"/>
    <sheet name="GS 9137" sheetId="8" r:id="rId24"/>
    <sheet name="GS 9132" sheetId="9" r:id="rId25"/>
    <sheet name="GS9190" sheetId="31" r:id="rId26"/>
    <sheet name="sofosbuvir" sheetId="37" r:id="rId27"/>
    <sheet name="idelasilib" sheetId="38" r:id="rId28"/>
    <sheet name="GS 9451" sheetId="35" r:id="rId29"/>
    <sheet name="Cayston" sheetId="19" r:id="rId30"/>
    <sheet name="Tamiflu" sheetId="10" r:id="rId31"/>
  </sheets>
  <calcPr calcId="191029" calcMode="autoNoTable"/>
  <customWorkbookViews>
    <customWorkbookView name="David Zheng - Personal View" guid="{242E8787-30C2-4AAB-B25A-4ABD2B9A9CA6}" mergeInterval="0" personalView="1" maximized="1" windowWidth="1276" windowHeight="628" activeSheetId="4"/>
    <customWorkbookView name="Martin Shkreli - Personal View" guid="{4186580B-64C2-4B0C-BB3D-D214EFB8989E}" mergeInterval="0" personalView="1" maximized="1" windowWidth="1250" windowHeight="882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52" i="2" l="1"/>
  <c r="DX52" i="2" s="1"/>
  <c r="DW51" i="2"/>
  <c r="EF50" i="2"/>
  <c r="EE50" i="2"/>
  <c r="ED50" i="2"/>
  <c r="EC50" i="2"/>
  <c r="EB50" i="2"/>
  <c r="EA50" i="2"/>
  <c r="DZ50" i="2"/>
  <c r="DY50" i="2"/>
  <c r="DX50" i="2"/>
  <c r="EF49" i="2"/>
  <c r="EE49" i="2"/>
  <c r="ED49" i="2"/>
  <c r="EC49" i="2"/>
  <c r="EB49" i="2"/>
  <c r="EA49" i="2"/>
  <c r="DZ49" i="2"/>
  <c r="DY49" i="2"/>
  <c r="DX49" i="2"/>
  <c r="EF48" i="2"/>
  <c r="ED48" i="2"/>
  <c r="EF47" i="2"/>
  <c r="EE47" i="2"/>
  <c r="EE48" i="2" s="1"/>
  <c r="ED47" i="2"/>
  <c r="EC47" i="2"/>
  <c r="EC48" i="2" s="1"/>
  <c r="EB47" i="2"/>
  <c r="EB48" i="2" s="1"/>
  <c r="EA47" i="2"/>
  <c r="EA48" i="2" s="1"/>
  <c r="DZ47" i="2"/>
  <c r="DZ48" i="2" s="1"/>
  <c r="DY47" i="2"/>
  <c r="DY48" i="2" s="1"/>
  <c r="DX47" i="2"/>
  <c r="DX48" i="2" s="1"/>
  <c r="DW44" i="2"/>
  <c r="DW45" i="2" s="1"/>
  <c r="DW46" i="2" s="1"/>
  <c r="EF42" i="2"/>
  <c r="EE42" i="2"/>
  <c r="ED42" i="2"/>
  <c r="EC42" i="2"/>
  <c r="EB42" i="2"/>
  <c r="EA42" i="2"/>
  <c r="DZ42" i="2"/>
  <c r="DY42" i="2"/>
  <c r="DX42" i="2"/>
  <c r="DW42" i="2"/>
  <c r="EF41" i="2"/>
  <c r="EE41" i="2"/>
  <c r="ED41" i="2"/>
  <c r="EC41" i="2"/>
  <c r="EB41" i="2"/>
  <c r="EA41" i="2"/>
  <c r="DZ41" i="2"/>
  <c r="DY41" i="2"/>
  <c r="DX41" i="2"/>
  <c r="DW41" i="2"/>
  <c r="DW39" i="2"/>
  <c r="DX39" i="2" s="1"/>
  <c r="DY39" i="2" s="1"/>
  <c r="DZ39" i="2" s="1"/>
  <c r="EA39" i="2" s="1"/>
  <c r="EB39" i="2" s="1"/>
  <c r="EC39" i="2" s="1"/>
  <c r="ED39" i="2" s="1"/>
  <c r="EE39" i="2" s="1"/>
  <c r="EF39" i="2" s="1"/>
  <c r="DW38" i="2"/>
  <c r="DX38" i="2" s="1"/>
  <c r="DY38" i="2" s="1"/>
  <c r="DZ38" i="2" s="1"/>
  <c r="EA38" i="2" s="1"/>
  <c r="EB38" i="2" s="1"/>
  <c r="EC38" i="2" s="1"/>
  <c r="ED38" i="2" s="1"/>
  <c r="EE38" i="2" s="1"/>
  <c r="EF38" i="2" s="1"/>
  <c r="DX34" i="2"/>
  <c r="DY34" i="2" s="1"/>
  <c r="DZ34" i="2" s="1"/>
  <c r="EA34" i="2" s="1"/>
  <c r="EB34" i="2" s="1"/>
  <c r="EC34" i="2" s="1"/>
  <c r="ED34" i="2" s="1"/>
  <c r="EE34" i="2" s="1"/>
  <c r="EF34" i="2" s="1"/>
  <c r="DW34" i="2"/>
  <c r="EC31" i="2"/>
  <c r="ED31" i="2" s="1"/>
  <c r="EE31" i="2" s="1"/>
  <c r="EF31" i="2" s="1"/>
  <c r="EB31" i="2"/>
  <c r="DZ31" i="2"/>
  <c r="EA31" i="2" s="1"/>
  <c r="DY31" i="2"/>
  <c r="DX31" i="2"/>
  <c r="DW31" i="2"/>
  <c r="DW30" i="2"/>
  <c r="DX30" i="2" s="1"/>
  <c r="DY30" i="2" s="1"/>
  <c r="DZ30" i="2" s="1"/>
  <c r="EA30" i="2" s="1"/>
  <c r="EB30" i="2" s="1"/>
  <c r="EC30" i="2" s="1"/>
  <c r="ED30" i="2" s="1"/>
  <c r="EE30" i="2" s="1"/>
  <c r="EF30" i="2" s="1"/>
  <c r="DX29" i="2"/>
  <c r="DY29" i="2" s="1"/>
  <c r="DZ29" i="2" s="1"/>
  <c r="EA29" i="2" s="1"/>
  <c r="EB29" i="2" s="1"/>
  <c r="EC29" i="2" s="1"/>
  <c r="ED29" i="2" s="1"/>
  <c r="EE29" i="2" s="1"/>
  <c r="EF29" i="2" s="1"/>
  <c r="DW29" i="2"/>
  <c r="DX26" i="2"/>
  <c r="DY26" i="2" s="1"/>
  <c r="DZ26" i="2" s="1"/>
  <c r="EA26" i="2" s="1"/>
  <c r="EB26" i="2" s="1"/>
  <c r="EC26" i="2" s="1"/>
  <c r="ED26" i="2" s="1"/>
  <c r="EE26" i="2" s="1"/>
  <c r="EF26" i="2" s="1"/>
  <c r="DW26" i="2"/>
  <c r="DX23" i="2"/>
  <c r="DY23" i="2" s="1"/>
  <c r="DZ23" i="2" s="1"/>
  <c r="EA23" i="2" s="1"/>
  <c r="EB23" i="2" s="1"/>
  <c r="EC23" i="2" s="1"/>
  <c r="ED23" i="2" s="1"/>
  <c r="EE23" i="2" s="1"/>
  <c r="EF23" i="2" s="1"/>
  <c r="DW23" i="2"/>
  <c r="DW40" i="2"/>
  <c r="CT39" i="2"/>
  <c r="CS39" i="2"/>
  <c r="CR39" i="2"/>
  <c r="CQ39" i="2"/>
  <c r="CT38" i="2"/>
  <c r="CS38" i="2"/>
  <c r="CR38" i="2"/>
  <c r="CQ38" i="2"/>
  <c r="CT34" i="2"/>
  <c r="CS34" i="2"/>
  <c r="CR34" i="2"/>
  <c r="CQ34" i="2"/>
  <c r="CT31" i="2"/>
  <c r="CS31" i="2"/>
  <c r="CR31" i="2"/>
  <c r="CQ31" i="2"/>
  <c r="CT30" i="2"/>
  <c r="CS30" i="2"/>
  <c r="CR30" i="2"/>
  <c r="CQ30" i="2"/>
  <c r="CT29" i="2"/>
  <c r="CS29" i="2"/>
  <c r="CR29" i="2"/>
  <c r="CQ29" i="2"/>
  <c r="CT26" i="2"/>
  <c r="CS26" i="2"/>
  <c r="CR26" i="2"/>
  <c r="CQ26" i="2"/>
  <c r="CT23" i="2"/>
  <c r="CS23" i="2"/>
  <c r="CR23" i="2"/>
  <c r="CQ23" i="2"/>
  <c r="CT22" i="2"/>
  <c r="CS22" i="2"/>
  <c r="CR22" i="2"/>
  <c r="CQ22" i="2"/>
  <c r="DT40" i="2"/>
  <c r="DS40" i="2"/>
  <c r="DR40" i="2"/>
  <c r="DQ40" i="2"/>
  <c r="DU40" i="2"/>
  <c r="DV39" i="2"/>
  <c r="DU39" i="2"/>
  <c r="DV38" i="2"/>
  <c r="DU38" i="2"/>
  <c r="DV34" i="2"/>
  <c r="DU34" i="2"/>
  <c r="DV31" i="2"/>
  <c r="DU31" i="2"/>
  <c r="DV30" i="2"/>
  <c r="DU30" i="2"/>
  <c r="DV29" i="2"/>
  <c r="DU29" i="2"/>
  <c r="DV26" i="2"/>
  <c r="DU26" i="2"/>
  <c r="DV23" i="2"/>
  <c r="DU23" i="2"/>
  <c r="DV22" i="2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DU22" i="2"/>
  <c r="EF14" i="2"/>
  <c r="EE14" i="2"/>
  <c r="ED14" i="2"/>
  <c r="EC14" i="2"/>
  <c r="DV14" i="2"/>
  <c r="DU14" i="2"/>
  <c r="DV13" i="2"/>
  <c r="DU13" i="2"/>
  <c r="DV12" i="2"/>
  <c r="DU12" i="2"/>
  <c r="DV11" i="2"/>
  <c r="DU11" i="2"/>
  <c r="DV10" i="2"/>
  <c r="DU10" i="2"/>
  <c r="DU9" i="2"/>
  <c r="DV9" i="2"/>
  <c r="CT13" i="2"/>
  <c r="CS13" i="2"/>
  <c r="CT12" i="2"/>
  <c r="CS12" i="2"/>
  <c r="CT11" i="2"/>
  <c r="CS11" i="2"/>
  <c r="CT10" i="2"/>
  <c r="CS10" i="2"/>
  <c r="CT9" i="2"/>
  <c r="CS9" i="2"/>
  <c r="CR13" i="2"/>
  <c r="CQ13" i="2"/>
  <c r="CR12" i="2"/>
  <c r="CQ12" i="2"/>
  <c r="CR11" i="2"/>
  <c r="CQ11" i="2"/>
  <c r="CR10" i="2"/>
  <c r="CQ10" i="2"/>
  <c r="CR9" i="2"/>
  <c r="CQ9" i="2"/>
  <c r="CJ47" i="2"/>
  <c r="CP60" i="2"/>
  <c r="CO60" i="2"/>
  <c r="CN60" i="2"/>
  <c r="CM60" i="2"/>
  <c r="CP38" i="2"/>
  <c r="CP45" i="2"/>
  <c r="CK47" i="2"/>
  <c r="CO47" i="2"/>
  <c r="CO45" i="2"/>
  <c r="CO38" i="2"/>
  <c r="CM47" i="2"/>
  <c r="CM45" i="2"/>
  <c r="CN47" i="2"/>
  <c r="CN45" i="2"/>
  <c r="BL38" i="2"/>
  <c r="BK38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DX51" i="2" l="1"/>
  <c r="DY52" i="2"/>
  <c r="DX44" i="2"/>
  <c r="DX40" i="2"/>
  <c r="DY40" i="2"/>
  <c r="DV40" i="2"/>
  <c r="BE47" i="2"/>
  <c r="BE49" i="2"/>
  <c r="BE45" i="2"/>
  <c r="BA38" i="2"/>
  <c r="BE38" i="2"/>
  <c r="BE40" i="2" s="1"/>
  <c r="BE42" i="2" s="1"/>
  <c r="BB49" i="2"/>
  <c r="BB47" i="2"/>
  <c r="BF49" i="2"/>
  <c r="BF47" i="2"/>
  <c r="BF45" i="2"/>
  <c r="BB38" i="2"/>
  <c r="BF38" i="2"/>
  <c r="BF40" i="2" s="1"/>
  <c r="BF42" i="2" s="1"/>
  <c r="BF54" i="2" s="1"/>
  <c r="BC47" i="2"/>
  <c r="BG49" i="2"/>
  <c r="BG47" i="2"/>
  <c r="BG45" i="2"/>
  <c r="BC38" i="2"/>
  <c r="BC40" i="2" s="1"/>
  <c r="BG38" i="2"/>
  <c r="BG40" i="2" s="1"/>
  <c r="BG42" i="2" s="1"/>
  <c r="BG54" i="2" s="1"/>
  <c r="BI47" i="2"/>
  <c r="BM47" i="2"/>
  <c r="BM45" i="2"/>
  <c r="BH47" i="2"/>
  <c r="BI45" i="2"/>
  <c r="BH45" i="2"/>
  <c r="BL47" i="2"/>
  <c r="BL45" i="2"/>
  <c r="BH38" i="2"/>
  <c r="BH40" i="2" s="1"/>
  <c r="BH42" i="2" s="1"/>
  <c r="BH54" i="2" s="1"/>
  <c r="BL40" i="2"/>
  <c r="BL42" i="2" s="1"/>
  <c r="BI38" i="2"/>
  <c r="BM38" i="2"/>
  <c r="BM40" i="2" s="1"/>
  <c r="BM42" i="2" s="1"/>
  <c r="BM54" i="2" s="1"/>
  <c r="BI40" i="2"/>
  <c r="BI42" i="2" s="1"/>
  <c r="BI54" i="2" s="1"/>
  <c r="BN3" i="2"/>
  <c r="BR59" i="2" s="1"/>
  <c r="BR57" i="2"/>
  <c r="BJ49" i="2"/>
  <c r="BJ47" i="2"/>
  <c r="BJ45" i="2"/>
  <c r="BN47" i="2"/>
  <c r="BN45" i="2"/>
  <c r="BJ38" i="2"/>
  <c r="BN38" i="2"/>
  <c r="BN40" i="2"/>
  <c r="BN42" i="2" s="1"/>
  <c r="BJ40" i="2"/>
  <c r="BJ42" i="2" s="1"/>
  <c r="BJ54" i="2" s="1"/>
  <c r="BS60" i="2"/>
  <c r="BO47" i="2"/>
  <c r="BK49" i="2"/>
  <c r="BK47" i="2"/>
  <c r="BK45" i="2"/>
  <c r="BO49" i="2"/>
  <c r="BO45" i="2"/>
  <c r="BO38" i="2"/>
  <c r="BO3" i="2"/>
  <c r="BS59" i="2" s="1"/>
  <c r="BK40" i="2"/>
  <c r="BK42" i="2" s="1"/>
  <c r="BO40" i="2"/>
  <c r="BS57" i="2" s="1"/>
  <c r="BX60" i="2"/>
  <c r="BW60" i="2"/>
  <c r="BV60" i="2"/>
  <c r="BU60" i="2"/>
  <c r="BT60" i="2"/>
  <c r="BX59" i="2"/>
  <c r="BW59" i="2"/>
  <c r="BV59" i="2"/>
  <c r="BP47" i="2"/>
  <c r="BT47" i="2"/>
  <c r="BP49" i="2"/>
  <c r="BP45" i="2"/>
  <c r="BT49" i="2"/>
  <c r="BT45" i="2"/>
  <c r="BP38" i="2"/>
  <c r="BT38" i="2"/>
  <c r="BT40" i="2" s="1"/>
  <c r="BT42" i="2" s="1"/>
  <c r="BT54" i="2" s="1"/>
  <c r="BP40" i="2"/>
  <c r="BT57" i="2" s="1"/>
  <c r="BP3" i="2"/>
  <c r="CT40" i="2"/>
  <c r="CS40" i="2"/>
  <c r="CR40" i="2"/>
  <c r="CQ40" i="2"/>
  <c r="CP40" i="2"/>
  <c r="CP42" i="2" s="1"/>
  <c r="CP54" i="2" s="1"/>
  <c r="CO40" i="2"/>
  <c r="CO42" i="2" s="1"/>
  <c r="BD38" i="2"/>
  <c r="BD49" i="2"/>
  <c r="BD47" i="2"/>
  <c r="BD45" i="2"/>
  <c r="BC45" i="2"/>
  <c r="BD40" i="2"/>
  <c r="BD42" i="2" s="1"/>
  <c r="CN62" i="2"/>
  <c r="CN85" i="2"/>
  <c r="CN83" i="2"/>
  <c r="CN92" i="2" s="1"/>
  <c r="CM75" i="2"/>
  <c r="CL75" i="2"/>
  <c r="CK75" i="2"/>
  <c r="CJ75" i="2"/>
  <c r="CN73" i="2"/>
  <c r="CN75" i="2" s="1"/>
  <c r="CJ38" i="2"/>
  <c r="CK38" i="2"/>
  <c r="CN3" i="2"/>
  <c r="CM3" i="2"/>
  <c r="CL38" i="2"/>
  <c r="CM38" i="2"/>
  <c r="CM40" i="2"/>
  <c r="CN38" i="2"/>
  <c r="CN40" i="2" s="1"/>
  <c r="CN42" i="2" s="1"/>
  <c r="CH84" i="2"/>
  <c r="CH83" i="2"/>
  <c r="CH63" i="2"/>
  <c r="CH73" i="2"/>
  <c r="CG49" i="2"/>
  <c r="CG47" i="2"/>
  <c r="CG38" i="2"/>
  <c r="CH49" i="2"/>
  <c r="CH47" i="2"/>
  <c r="CH38" i="2"/>
  <c r="CI84" i="2"/>
  <c r="CI83" i="2"/>
  <c r="CI92" i="2" s="1"/>
  <c r="CI63" i="2"/>
  <c r="CI62" i="2" s="1"/>
  <c r="CI73" i="2"/>
  <c r="CI49" i="2"/>
  <c r="CI47" i="2"/>
  <c r="CI38" i="2"/>
  <c r="CG84" i="2"/>
  <c r="CG83" i="2"/>
  <c r="CG73" i="2"/>
  <c r="CG63" i="2"/>
  <c r="CG60" i="2"/>
  <c r="CF60" i="2"/>
  <c r="CG3" i="2"/>
  <c r="BV49" i="2"/>
  <c r="BV47" i="2"/>
  <c r="BZ49" i="2"/>
  <c r="BZ47" i="2"/>
  <c r="BZ38" i="2"/>
  <c r="BY60" i="2"/>
  <c r="BQ49" i="2"/>
  <c r="BQ47" i="2"/>
  <c r="BQ45" i="2"/>
  <c r="BU49" i="2"/>
  <c r="BU47" i="2"/>
  <c r="BU45" i="2"/>
  <c r="BQ38" i="2"/>
  <c r="BQ40" i="2" s="1"/>
  <c r="BQ42" i="2" s="1"/>
  <c r="BU38" i="2"/>
  <c r="BU40" i="2" s="1"/>
  <c r="BU42" i="2" s="1"/>
  <c r="BU54" i="2" s="1"/>
  <c r="BQ3" i="2"/>
  <c r="CF3" i="2"/>
  <c r="CE3" i="2"/>
  <c r="CD3" i="2"/>
  <c r="CC3" i="2"/>
  <c r="CB3" i="2"/>
  <c r="CA3" i="2"/>
  <c r="BZ3" i="2"/>
  <c r="BY3" i="2"/>
  <c r="BX3" i="2"/>
  <c r="BW3" i="2"/>
  <c r="BV3" i="2"/>
  <c r="BU3" i="2"/>
  <c r="BU59" i="2" s="1"/>
  <c r="BT3" i="2"/>
  <c r="BT59" i="2" s="1"/>
  <c r="BS3" i="2"/>
  <c r="BR3" i="2"/>
  <c r="BR49" i="2"/>
  <c r="BR47" i="2"/>
  <c r="BZ60" i="2"/>
  <c r="BR45" i="2"/>
  <c r="BV45" i="2"/>
  <c r="BR38" i="2"/>
  <c r="BV38" i="2"/>
  <c r="BV40" i="2" s="1"/>
  <c r="BV42" i="2" s="1"/>
  <c r="BV54" i="2" s="1"/>
  <c r="BR40" i="2"/>
  <c r="BR42" i="2" s="1"/>
  <c r="BR46" i="2" s="1"/>
  <c r="DP3" i="2"/>
  <c r="DO3" i="2"/>
  <c r="DN3" i="2"/>
  <c r="DT24" i="2"/>
  <c r="DQ24" i="2"/>
  <c r="DR24" i="2"/>
  <c r="DS24" i="2"/>
  <c r="DS16" i="2"/>
  <c r="DQ9" i="2"/>
  <c r="BS49" i="2"/>
  <c r="BW49" i="2"/>
  <c r="BS47" i="2"/>
  <c r="BW47" i="2"/>
  <c r="CA60" i="2"/>
  <c r="BS45" i="2"/>
  <c r="BW45" i="2"/>
  <c r="BS38" i="2"/>
  <c r="BW38" i="2"/>
  <c r="BS40" i="2"/>
  <c r="BS42" i="2" s="1"/>
  <c r="BS54" i="2" s="1"/>
  <c r="DZ52" i="2" l="1"/>
  <c r="DY51" i="2"/>
  <c r="DY44" i="2"/>
  <c r="DX45" i="2"/>
  <c r="DX46" i="2" s="1"/>
  <c r="DZ40" i="2"/>
  <c r="CN54" i="2"/>
  <c r="CN46" i="2"/>
  <c r="CN48" i="2" s="1"/>
  <c r="BQ57" i="2"/>
  <c r="BO42" i="2"/>
  <c r="BO54" i="2" s="1"/>
  <c r="BU57" i="2"/>
  <c r="BV57" i="2"/>
  <c r="BM57" i="2"/>
  <c r="CO46" i="2"/>
  <c r="CO48" i="2" s="1"/>
  <c r="CO54" i="2"/>
  <c r="BD57" i="2"/>
  <c r="CM42" i="2"/>
  <c r="CM46" i="2" s="1"/>
  <c r="CM48" i="2" s="1"/>
  <c r="CI75" i="2"/>
  <c r="CP46" i="2"/>
  <c r="CP48" i="2" s="1"/>
  <c r="CN55" i="2"/>
  <c r="CN50" i="2"/>
  <c r="CN51" i="2" s="1"/>
  <c r="BP57" i="2"/>
  <c r="BP42" i="2"/>
  <c r="BP54" i="2" s="1"/>
  <c r="BE46" i="2"/>
  <c r="BE48" i="2" s="1"/>
  <c r="BE54" i="2"/>
  <c r="BH57" i="2"/>
  <c r="BJ57" i="2"/>
  <c r="BL57" i="2"/>
  <c r="BN57" i="2"/>
  <c r="BI57" i="2"/>
  <c r="BK57" i="2"/>
  <c r="BO57" i="2"/>
  <c r="BC42" i="2"/>
  <c r="BC54" i="2" s="1"/>
  <c r="BG57" i="2"/>
  <c r="BD46" i="2"/>
  <c r="BD48" i="2" s="1"/>
  <c r="BD55" i="2" s="1"/>
  <c r="BD54" i="2"/>
  <c r="BF46" i="2"/>
  <c r="BF48" i="2" s="1"/>
  <c r="BG46" i="2"/>
  <c r="BG48" i="2" s="1"/>
  <c r="BL46" i="2"/>
  <c r="BL48" i="2" s="1"/>
  <c r="BL54" i="2"/>
  <c r="BH46" i="2"/>
  <c r="BH48" i="2" s="1"/>
  <c r="BM46" i="2"/>
  <c r="BM48" i="2" s="1"/>
  <c r="BI46" i="2"/>
  <c r="BI48" i="2" s="1"/>
  <c r="BN46" i="2"/>
  <c r="BN48" i="2" s="1"/>
  <c r="BN50" i="2" s="1"/>
  <c r="BN51" i="2" s="1"/>
  <c r="BJ46" i="2"/>
  <c r="BJ48" i="2" s="1"/>
  <c r="BN54" i="2"/>
  <c r="BN55" i="2"/>
  <c r="BK46" i="2"/>
  <c r="BK48" i="2" s="1"/>
  <c r="BK50" i="2" s="1"/>
  <c r="BK51" i="2" s="1"/>
  <c r="BK54" i="2"/>
  <c r="BO46" i="2"/>
  <c r="BO48" i="2" s="1"/>
  <c r="BO50" i="2" s="1"/>
  <c r="BO51" i="2" s="1"/>
  <c r="BT46" i="2"/>
  <c r="BT48" i="2" s="1"/>
  <c r="BT50" i="2" s="1"/>
  <c r="BT51" i="2" s="1"/>
  <c r="BD50" i="2"/>
  <c r="BD51" i="2" s="1"/>
  <c r="CH62" i="2"/>
  <c r="CH75" i="2"/>
  <c r="BY59" i="2"/>
  <c r="CH92" i="2"/>
  <c r="BR48" i="2"/>
  <c r="BR50" i="2" s="1"/>
  <c r="BR51" i="2" s="1"/>
  <c r="CG92" i="2"/>
  <c r="BZ59" i="2"/>
  <c r="CG75" i="2"/>
  <c r="CG62" i="2"/>
  <c r="BR54" i="2"/>
  <c r="BQ46" i="2"/>
  <c r="BQ48" i="2" s="1"/>
  <c r="BQ55" i="2" s="1"/>
  <c r="BQ54" i="2"/>
  <c r="BU46" i="2"/>
  <c r="BU48" i="2" s="1"/>
  <c r="BU50" i="2" s="1"/>
  <c r="BU51" i="2" s="1"/>
  <c r="BV46" i="2"/>
  <c r="BV48" i="2" s="1"/>
  <c r="BV50" i="2" s="1"/>
  <c r="BS46" i="2"/>
  <c r="BS48" i="2" s="1"/>
  <c r="DT37" i="2"/>
  <c r="DT36" i="2"/>
  <c r="DT33" i="2"/>
  <c r="DT32" i="2"/>
  <c r="DT28" i="2"/>
  <c r="DT27" i="2"/>
  <c r="DT20" i="2"/>
  <c r="DT19" i="2"/>
  <c r="DT16" i="2"/>
  <c r="DS37" i="2"/>
  <c r="DS36" i="2"/>
  <c r="DS33" i="2"/>
  <c r="DS32" i="2"/>
  <c r="DS27" i="2"/>
  <c r="DS20" i="2"/>
  <c r="DS19" i="2"/>
  <c r="DS12" i="2"/>
  <c r="DS10" i="2"/>
  <c r="DS9" i="2"/>
  <c r="DR39" i="2"/>
  <c r="DR37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3" i="2"/>
  <c r="DR22" i="2"/>
  <c r="DR21" i="2"/>
  <c r="DR20" i="2"/>
  <c r="DR19" i="2"/>
  <c r="DR18" i="2"/>
  <c r="DR17" i="2"/>
  <c r="DR16" i="2"/>
  <c r="DR15" i="2"/>
  <c r="DR13" i="2"/>
  <c r="DR12" i="2"/>
  <c r="DR11" i="2"/>
  <c r="DR10" i="2"/>
  <c r="DR9" i="2"/>
  <c r="DQ39" i="2"/>
  <c r="DQ37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3" i="2"/>
  <c r="DQ22" i="2"/>
  <c r="DQ21" i="2"/>
  <c r="DQ20" i="2"/>
  <c r="DQ19" i="2"/>
  <c r="DQ18" i="2"/>
  <c r="DQ17" i="2"/>
  <c r="DQ16" i="2"/>
  <c r="DQ15" i="2"/>
  <c r="DQ13" i="2"/>
  <c r="DQ12" i="2"/>
  <c r="DQ11" i="2"/>
  <c r="DQ10" i="2"/>
  <c r="DW2" i="2"/>
  <c r="DX2" i="2" s="1"/>
  <c r="DY2" i="2" s="1"/>
  <c r="DZ2" i="2" s="1"/>
  <c r="EA2" i="2" s="1"/>
  <c r="EB2" i="2" s="1"/>
  <c r="EC2" i="2" s="1"/>
  <c r="ED2" i="2" s="1"/>
  <c r="EE2" i="2" s="1"/>
  <c r="EF2" i="2" s="1"/>
  <c r="CF84" i="2"/>
  <c r="CF83" i="2"/>
  <c r="CF63" i="2"/>
  <c r="CF62" i="2" s="1"/>
  <c r="CF73" i="2"/>
  <c r="CE60" i="2"/>
  <c r="CD60" i="2"/>
  <c r="CC60" i="2"/>
  <c r="CB60" i="2"/>
  <c r="DS11" i="2"/>
  <c r="DT10" i="2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CJ60" i="2"/>
  <c r="CI60" i="2"/>
  <c r="CL60" i="2"/>
  <c r="CA59" i="2"/>
  <c r="CF47" i="2"/>
  <c r="CF45" i="2"/>
  <c r="CF38" i="2"/>
  <c r="CF40" i="2" s="1"/>
  <c r="CF42" i="2" s="1"/>
  <c r="CF54" i="2" s="1"/>
  <c r="BX38" i="2"/>
  <c r="BX40" i="2" s="1"/>
  <c r="BX57" i="2" s="1"/>
  <c r="BX47" i="2"/>
  <c r="CB47" i="2"/>
  <c r="BX45" i="2"/>
  <c r="CB38" i="2"/>
  <c r="CB40" i="2" s="1"/>
  <c r="CB42" i="2" s="1"/>
  <c r="CB54" i="2" s="1"/>
  <c r="CC47" i="2"/>
  <c r="BY47" i="2"/>
  <c r="BY45" i="2"/>
  <c r="BY38" i="2"/>
  <c r="BY40" i="2" s="1"/>
  <c r="CC38" i="2"/>
  <c r="CC40" i="2" s="1"/>
  <c r="CC42" i="2" s="1"/>
  <c r="CC54" i="2" s="1"/>
  <c r="CD47" i="2"/>
  <c r="BZ45" i="2"/>
  <c r="CD38" i="2"/>
  <c r="CD40" i="2" s="1"/>
  <c r="CD42" i="2" s="1"/>
  <c r="CD54" i="2" s="1"/>
  <c r="CE38" i="2"/>
  <c r="CE40" i="2" s="1"/>
  <c r="CE42" i="2" s="1"/>
  <c r="CA38" i="2"/>
  <c r="DR38" i="2" s="1"/>
  <c r="BW40" i="2"/>
  <c r="CA47" i="2"/>
  <c r="CE47" i="2"/>
  <c r="CE45" i="2"/>
  <c r="CD45" i="2"/>
  <c r="CC45" i="2"/>
  <c r="CB45" i="2"/>
  <c r="CA45" i="2"/>
  <c r="DK52" i="2"/>
  <c r="DJ44" i="2"/>
  <c r="DK39" i="2"/>
  <c r="DK37" i="2"/>
  <c r="DK33" i="2"/>
  <c r="DK18" i="2"/>
  <c r="DK20" i="2"/>
  <c r="DK19" i="2"/>
  <c r="DC17" i="2"/>
  <c r="DJ39" i="2"/>
  <c r="DI39" i="2"/>
  <c r="DJ38" i="2"/>
  <c r="DI38" i="2"/>
  <c r="DH38" i="2"/>
  <c r="DJ37" i="2"/>
  <c r="DI37" i="2"/>
  <c r="DH37" i="2"/>
  <c r="DJ36" i="2"/>
  <c r="DI36" i="2"/>
  <c r="DH36" i="2"/>
  <c r="DJ35" i="2"/>
  <c r="DI35" i="2"/>
  <c r="DH35" i="2"/>
  <c r="DJ34" i="2"/>
  <c r="DI34" i="2"/>
  <c r="DH34" i="2"/>
  <c r="DJ33" i="2"/>
  <c r="DI33" i="2"/>
  <c r="DH33" i="2"/>
  <c r="DJ32" i="2"/>
  <c r="DI32" i="2"/>
  <c r="DH32" i="2"/>
  <c r="DJ28" i="2"/>
  <c r="DI28" i="2"/>
  <c r="DH28" i="2"/>
  <c r="DJ27" i="2"/>
  <c r="DI27" i="2"/>
  <c r="DH27" i="2"/>
  <c r="DJ18" i="2"/>
  <c r="DI18" i="2"/>
  <c r="DH18" i="2"/>
  <c r="DJ17" i="2"/>
  <c r="DI17" i="2"/>
  <c r="DH17" i="2"/>
  <c r="DJ16" i="2"/>
  <c r="DI16" i="2"/>
  <c r="DH16" i="2"/>
  <c r="DJ20" i="2"/>
  <c r="DJ19" i="2"/>
  <c r="DI20" i="2"/>
  <c r="DI19" i="2"/>
  <c r="DH19" i="2"/>
  <c r="DH20" i="2"/>
  <c r="DH15" i="2"/>
  <c r="AM45" i="2"/>
  <c r="AL45" i="2"/>
  <c r="AK45" i="2"/>
  <c r="AJ45" i="2"/>
  <c r="AI45" i="2"/>
  <c r="AH45" i="2"/>
  <c r="AG45" i="2"/>
  <c r="AF45" i="2"/>
  <c r="AE45" i="2"/>
  <c r="AN47" i="2"/>
  <c r="AN45" i="2"/>
  <c r="AP47" i="2"/>
  <c r="AP45" i="2"/>
  <c r="DI15" i="2"/>
  <c r="DJ15" i="2"/>
  <c r="AY45" i="2"/>
  <c r="AY47" i="2"/>
  <c r="AY40" i="2"/>
  <c r="AZ49" i="2"/>
  <c r="AZ47" i="2"/>
  <c r="AZ45" i="2"/>
  <c r="AZ40" i="2"/>
  <c r="J4" i="1"/>
  <c r="DZ51" i="2" l="1"/>
  <c r="EA52" i="2"/>
  <c r="DY45" i="2"/>
  <c r="DY46" i="2" s="1"/>
  <c r="DZ44" i="2"/>
  <c r="EA40" i="2"/>
  <c r="BW42" i="2"/>
  <c r="BW54" i="2" s="1"/>
  <c r="BW57" i="2"/>
  <c r="BP46" i="2"/>
  <c r="BP48" i="2" s="1"/>
  <c r="CP50" i="2"/>
  <c r="CP51" i="2" s="1"/>
  <c r="CP55" i="2"/>
  <c r="AZ42" i="2"/>
  <c r="AZ57" i="2"/>
  <c r="BT55" i="2"/>
  <c r="AY57" i="2"/>
  <c r="CO50" i="2"/>
  <c r="CO51" i="2" s="1"/>
  <c r="CO55" i="2"/>
  <c r="CM50" i="2"/>
  <c r="CM51" i="2" s="1"/>
  <c r="CM55" i="2"/>
  <c r="CM54" i="2"/>
  <c r="BG50" i="2"/>
  <c r="BG51" i="2" s="1"/>
  <c r="BG55" i="2"/>
  <c r="BE50" i="2"/>
  <c r="BE51" i="2" s="1"/>
  <c r="BE55" i="2"/>
  <c r="BC57" i="2"/>
  <c r="BC46" i="2"/>
  <c r="BC48" i="2" s="1"/>
  <c r="BC55" i="2" s="1"/>
  <c r="BF50" i="2"/>
  <c r="BF51" i="2" s="1"/>
  <c r="BF55" i="2"/>
  <c r="BM50" i="2"/>
  <c r="BM51" i="2" s="1"/>
  <c r="BM55" i="2"/>
  <c r="BI50" i="2"/>
  <c r="BI51" i="2" s="1"/>
  <c r="BI55" i="2"/>
  <c r="BL55" i="2"/>
  <c r="BL50" i="2"/>
  <c r="BL51" i="2" s="1"/>
  <c r="BH50" i="2"/>
  <c r="BH51" i="2" s="1"/>
  <c r="BH55" i="2"/>
  <c r="BJ50" i="2"/>
  <c r="BJ51" i="2" s="1"/>
  <c r="BJ55" i="2"/>
  <c r="BK55" i="2"/>
  <c r="BO55" i="2"/>
  <c r="BP50" i="2"/>
  <c r="BP51" i="2" s="1"/>
  <c r="BP55" i="2"/>
  <c r="BR55" i="2"/>
  <c r="BQ50" i="2"/>
  <c r="BQ51" i="2" s="1"/>
  <c r="DJ3" i="2"/>
  <c r="BY42" i="2"/>
  <c r="BY54" i="2" s="1"/>
  <c r="BY57" i="2"/>
  <c r="DH3" i="2"/>
  <c r="DI3" i="2"/>
  <c r="DR3" i="2"/>
  <c r="BU55" i="2"/>
  <c r="CF75" i="2"/>
  <c r="DQ3" i="2"/>
  <c r="DT29" i="2"/>
  <c r="DT31" i="2"/>
  <c r="DT15" i="2"/>
  <c r="DT12" i="2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CH3" i="2"/>
  <c r="CH59" i="2" s="1"/>
  <c r="CK60" i="2"/>
  <c r="BV51" i="2"/>
  <c r="BV55" i="2"/>
  <c r="BS50" i="2"/>
  <c r="BS51" i="2" s="1"/>
  <c r="BS55" i="2"/>
  <c r="CJ45" i="2"/>
  <c r="CF92" i="2"/>
  <c r="DS17" i="2"/>
  <c r="DS18" i="2"/>
  <c r="DT34" i="2"/>
  <c r="DS21" i="2"/>
  <c r="DT39" i="2"/>
  <c r="DS15" i="2"/>
  <c r="CI45" i="2"/>
  <c r="DS34" i="2"/>
  <c r="DT13" i="2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DS35" i="2"/>
  <c r="BW46" i="2"/>
  <c r="BW48" i="2" s="1"/>
  <c r="DS13" i="2"/>
  <c r="DS25" i="2"/>
  <c r="DS39" i="2"/>
  <c r="DS26" i="2"/>
  <c r="DT21" i="2"/>
  <c r="DS22" i="2"/>
  <c r="DQ38" i="2"/>
  <c r="DS28" i="2"/>
  <c r="DT22" i="2"/>
  <c r="DT35" i="2"/>
  <c r="DS23" i="2"/>
  <c r="DS29" i="2"/>
  <c r="DT23" i="2"/>
  <c r="DT25" i="2"/>
  <c r="DS31" i="2"/>
  <c r="DT26" i="2"/>
  <c r="DT9" i="2"/>
  <c r="CG45" i="2"/>
  <c r="CH45" i="2"/>
  <c r="CF59" i="2"/>
  <c r="CD59" i="2"/>
  <c r="CH60" i="2"/>
  <c r="CK45" i="2"/>
  <c r="CL45" i="2"/>
  <c r="CJ52" i="2"/>
  <c r="CV40" i="2"/>
  <c r="CX40" i="2"/>
  <c r="CY40" i="2"/>
  <c r="CF57" i="2"/>
  <c r="CC59" i="2"/>
  <c r="CE59" i="2"/>
  <c r="CB59" i="2"/>
  <c r="CF46" i="2"/>
  <c r="CF48" i="2" s="1"/>
  <c r="CC57" i="2"/>
  <c r="CB46" i="2"/>
  <c r="CB48" i="2" s="1"/>
  <c r="CB57" i="2"/>
  <c r="BX42" i="2"/>
  <c r="BX54" i="2" s="1"/>
  <c r="CE46" i="2"/>
  <c r="CE48" i="2" s="1"/>
  <c r="CE54" i="2"/>
  <c r="CC46" i="2"/>
  <c r="CC48" i="2" s="1"/>
  <c r="CD46" i="2"/>
  <c r="CD48" i="2" s="1"/>
  <c r="CA40" i="2"/>
  <c r="CA57" i="2" s="1"/>
  <c r="DK15" i="2"/>
  <c r="AZ54" i="2"/>
  <c r="AZ46" i="2"/>
  <c r="AZ48" i="2" s="1"/>
  <c r="AZ84" i="2"/>
  <c r="AZ83" i="2"/>
  <c r="AZ73" i="2"/>
  <c r="AZ63" i="2"/>
  <c r="BA44" i="2"/>
  <c r="BA43" i="2"/>
  <c r="AK40" i="2"/>
  <c r="AJ40" i="2"/>
  <c r="AI40" i="2"/>
  <c r="AI42" i="2" s="1"/>
  <c r="AI46" i="2" s="1"/>
  <c r="AH40" i="2"/>
  <c r="AH42" i="2" s="1"/>
  <c r="AH46" i="2" s="1"/>
  <c r="AG40" i="2"/>
  <c r="AG42" i="2" s="1"/>
  <c r="AG46" i="2" s="1"/>
  <c r="AF40" i="2"/>
  <c r="AE40" i="2"/>
  <c r="AL40" i="2"/>
  <c r="AR40" i="2"/>
  <c r="AP40" i="2"/>
  <c r="AM40" i="2"/>
  <c r="AX40" i="2"/>
  <c r="AW40" i="2"/>
  <c r="AV40" i="2"/>
  <c r="AV57" i="2" s="1"/>
  <c r="AU40" i="2"/>
  <c r="AT40" i="2"/>
  <c r="AT57" i="2" s="1"/>
  <c r="AS40" i="2"/>
  <c r="AQ40" i="2"/>
  <c r="AQ57" i="2" s="1"/>
  <c r="J7" i="1"/>
  <c r="EB52" i="2" l="1"/>
  <c r="EA51" i="2"/>
  <c r="EA44" i="2"/>
  <c r="DZ45" i="2"/>
  <c r="DZ46" i="2" s="1"/>
  <c r="EB40" i="2"/>
  <c r="AJ42" i="2"/>
  <c r="AJ46" i="2" s="1"/>
  <c r="AJ57" i="2"/>
  <c r="AX57" i="2"/>
  <c r="AW57" i="2"/>
  <c r="AK42" i="2"/>
  <c r="AK46" i="2" s="1"/>
  <c r="AK57" i="2"/>
  <c r="AU57" i="2"/>
  <c r="AM42" i="2"/>
  <c r="AM46" i="2" s="1"/>
  <c r="AM57" i="2"/>
  <c r="AP42" i="2"/>
  <c r="AP46" i="2" s="1"/>
  <c r="AP57" i="2"/>
  <c r="AL42" i="2"/>
  <c r="AL46" i="2" s="1"/>
  <c r="AL57" i="2"/>
  <c r="BC50" i="2"/>
  <c r="BC51" i="2" s="1"/>
  <c r="BY46" i="2"/>
  <c r="BY48" i="2" s="1"/>
  <c r="BY55" i="2" s="1"/>
  <c r="DS3" i="2"/>
  <c r="CI3" i="2"/>
  <c r="BW50" i="2"/>
  <c r="BW51" i="2" s="1"/>
  <c r="BW55" i="2"/>
  <c r="CI40" i="2"/>
  <c r="CM57" i="2" s="1"/>
  <c r="DS30" i="2"/>
  <c r="CG40" i="2"/>
  <c r="CG42" i="2" s="1"/>
  <c r="CK52" i="2"/>
  <c r="CG59" i="2"/>
  <c r="CW40" i="2"/>
  <c r="DB40" i="2"/>
  <c r="CZ40" i="2"/>
  <c r="CF55" i="2"/>
  <c r="CF50" i="2"/>
  <c r="CF51" i="2" s="1"/>
  <c r="CB50" i="2"/>
  <c r="CB51" i="2" s="1"/>
  <c r="CB55" i="2"/>
  <c r="AZ62" i="2"/>
  <c r="CA42" i="2"/>
  <c r="CA54" i="2" s="1"/>
  <c r="CE57" i="2"/>
  <c r="BX46" i="2"/>
  <c r="BX48" i="2" s="1"/>
  <c r="CE50" i="2"/>
  <c r="CE51" i="2" s="1"/>
  <c r="CE55" i="2"/>
  <c r="CD55" i="2"/>
  <c r="CD50" i="2"/>
  <c r="CD51" i="2" s="1"/>
  <c r="CC50" i="2"/>
  <c r="CC51" i="2" s="1"/>
  <c r="CC55" i="2"/>
  <c r="AZ86" i="2"/>
  <c r="AZ75" i="2"/>
  <c r="DL15" i="2"/>
  <c r="DK44" i="2"/>
  <c r="AZ50" i="2"/>
  <c r="AZ51" i="2" s="1"/>
  <c r="AZ55" i="2"/>
  <c r="EB51" i="2" l="1"/>
  <c r="EC52" i="2"/>
  <c r="EA45" i="2"/>
  <c r="EA46" i="2" s="1"/>
  <c r="EB44" i="2"/>
  <c r="EC40" i="2"/>
  <c r="CI59" i="2"/>
  <c r="CM59" i="2"/>
  <c r="BY50" i="2"/>
  <c r="BY51" i="2" s="1"/>
  <c r="CA46" i="2"/>
  <c r="CA48" i="2" s="1"/>
  <c r="CA50" i="2" s="1"/>
  <c r="CA51" i="2" s="1"/>
  <c r="CI57" i="2"/>
  <c r="CI42" i="2"/>
  <c r="DT18" i="2"/>
  <c r="DS38" i="2"/>
  <c r="CJ3" i="2"/>
  <c r="DT17" i="2"/>
  <c r="CH40" i="2"/>
  <c r="CH42" i="2" s="1"/>
  <c r="DT30" i="2"/>
  <c r="CG57" i="2"/>
  <c r="CL52" i="2"/>
  <c r="DA40" i="2"/>
  <c r="BX50" i="2"/>
  <c r="BX51" i="2" s="1"/>
  <c r="BX55" i="2"/>
  <c r="DK16" i="2"/>
  <c r="DL44" i="2"/>
  <c r="DM44" i="2" s="1"/>
  <c r="DN44" i="2" s="1"/>
  <c r="DO44" i="2" s="1"/>
  <c r="DP44" i="2" s="1"/>
  <c r="DQ44" i="2" s="1"/>
  <c r="DR44" i="2" s="1"/>
  <c r="DS44" i="2" s="1"/>
  <c r="DT44" i="2" s="1"/>
  <c r="DU44" i="2" s="1"/>
  <c r="DV44" i="2" s="1"/>
  <c r="DK45" i="2"/>
  <c r="DK17" i="2"/>
  <c r="DL17" i="2" s="1"/>
  <c r="DM17" i="2" s="1"/>
  <c r="DM15" i="2"/>
  <c r="AZ103" i="2"/>
  <c r="AZ101" i="2"/>
  <c r="AZ102" i="2"/>
  <c r="AZ100" i="2"/>
  <c r="DI52" i="2"/>
  <c r="DJ52" i="2"/>
  <c r="DI44" i="2"/>
  <c r="DI43" i="2"/>
  <c r="DI41" i="2"/>
  <c r="AQ47" i="2"/>
  <c r="AQ45" i="2"/>
  <c r="AQ42" i="2"/>
  <c r="AQ54" i="2" s="1"/>
  <c r="AR47" i="2"/>
  <c r="AR45" i="2"/>
  <c r="AR42" i="2"/>
  <c r="AR54" i="2" s="1"/>
  <c r="AS49" i="2"/>
  <c r="AS47" i="2"/>
  <c r="AS45" i="2"/>
  <c r="AT49" i="2"/>
  <c r="AT47" i="2"/>
  <c r="AT45" i="2"/>
  <c r="DJ43" i="2"/>
  <c r="DJ41" i="2"/>
  <c r="DL19" i="2"/>
  <c r="DM19" i="2" s="1"/>
  <c r="AU47" i="2"/>
  <c r="AU45" i="2"/>
  <c r="EC51" i="2" l="1"/>
  <c r="ED52" i="2"/>
  <c r="EB45" i="2"/>
  <c r="EB46" i="2" s="1"/>
  <c r="EC44" i="2"/>
  <c r="ED40" i="2"/>
  <c r="CJ59" i="2"/>
  <c r="CN59" i="2"/>
  <c r="CA55" i="2"/>
  <c r="CK40" i="2"/>
  <c r="CJ40" i="2"/>
  <c r="CJ42" i="2" s="1"/>
  <c r="CK3" i="2"/>
  <c r="DW9" i="2"/>
  <c r="CH57" i="2"/>
  <c r="DT38" i="2"/>
  <c r="CI46" i="2"/>
  <c r="CI48" i="2" s="1"/>
  <c r="CI54" i="2"/>
  <c r="CG46" i="2"/>
  <c r="CG48" i="2" s="1"/>
  <c r="CG54" i="2"/>
  <c r="DK35" i="2"/>
  <c r="DK36" i="2"/>
  <c r="DK38" i="2"/>
  <c r="DL38" i="2" s="1"/>
  <c r="DM38" i="2" s="1"/>
  <c r="DJ40" i="2"/>
  <c r="DJ42" i="2" s="1"/>
  <c r="DJ54" i="2" s="1"/>
  <c r="DJ45" i="2"/>
  <c r="DI40" i="2"/>
  <c r="DI42" i="2" s="1"/>
  <c r="DI54" i="2" s="1"/>
  <c r="DI49" i="2"/>
  <c r="DI47" i="2"/>
  <c r="AR46" i="2"/>
  <c r="AR48" i="2" s="1"/>
  <c r="DI45" i="2"/>
  <c r="AQ46" i="2"/>
  <c r="AQ48" i="2" s="1"/>
  <c r="EE52" i="2" l="1"/>
  <c r="ED51" i="2"/>
  <c r="ED44" i="2"/>
  <c r="EC45" i="2"/>
  <c r="EC46" i="2" s="1"/>
  <c r="EF40" i="2"/>
  <c r="EE40" i="2"/>
  <c r="CK59" i="2"/>
  <c r="CO59" i="2"/>
  <c r="CO57" i="2"/>
  <c r="CK42" i="2"/>
  <c r="CK46" i="2" s="1"/>
  <c r="CK48" i="2" s="1"/>
  <c r="CK55" i="2" s="1"/>
  <c r="CJ46" i="2"/>
  <c r="CJ48" i="2" s="1"/>
  <c r="CJ55" i="2" s="1"/>
  <c r="CN57" i="2"/>
  <c r="CK57" i="2"/>
  <c r="CJ54" i="2"/>
  <c r="CJ57" i="2"/>
  <c r="CK54" i="2"/>
  <c r="CL3" i="2"/>
  <c r="DT11" i="2"/>
  <c r="CL40" i="2"/>
  <c r="DX9" i="2"/>
  <c r="CH54" i="2"/>
  <c r="CH46" i="2"/>
  <c r="CH48" i="2" s="1"/>
  <c r="CJ50" i="2"/>
  <c r="CJ51" i="2" s="1"/>
  <c r="CI55" i="2"/>
  <c r="CG55" i="2"/>
  <c r="DK28" i="2"/>
  <c r="DL28" i="2" s="1"/>
  <c r="DM28" i="2" s="1"/>
  <c r="DI46" i="2"/>
  <c r="DJ46" i="2"/>
  <c r="AR50" i="2"/>
  <c r="AR51" i="2" s="1"/>
  <c r="AR55" i="2"/>
  <c r="AQ55" i="2"/>
  <c r="AQ50" i="2"/>
  <c r="AQ51" i="2" s="1"/>
  <c r="AV49" i="2"/>
  <c r="AV47" i="2"/>
  <c r="AV45" i="2"/>
  <c r="AO39" i="2"/>
  <c r="BA47" i="2"/>
  <c r="BB45" i="2"/>
  <c r="BA45" i="2"/>
  <c r="AW49" i="2"/>
  <c r="AW47" i="2"/>
  <c r="AW45" i="2"/>
  <c r="AV42" i="2"/>
  <c r="AU42" i="2"/>
  <c r="AT42" i="2"/>
  <c r="AS42" i="2"/>
  <c r="EF52" i="2" l="1"/>
  <c r="EF51" i="2" s="1"/>
  <c r="EE51" i="2"/>
  <c r="ED45" i="2"/>
  <c r="ED46" i="2" s="1"/>
  <c r="EE44" i="2"/>
  <c r="CL59" i="2"/>
  <c r="CP59" i="2"/>
  <c r="CP57" i="2"/>
  <c r="CL42" i="2"/>
  <c r="DT3" i="2"/>
  <c r="CL57" i="2"/>
  <c r="CK50" i="2"/>
  <c r="CK51" i="2" s="1"/>
  <c r="DY9" i="2"/>
  <c r="CG50" i="2"/>
  <c r="CI50" i="2"/>
  <c r="CI51" i="2" s="1"/>
  <c r="CH55" i="2"/>
  <c r="AO40" i="2"/>
  <c r="DH39" i="2"/>
  <c r="DK47" i="2"/>
  <c r="DK34" i="2"/>
  <c r="DJ49" i="2"/>
  <c r="AS54" i="2"/>
  <c r="AS46" i="2"/>
  <c r="AS48" i="2" s="1"/>
  <c r="AU46" i="2"/>
  <c r="AU48" i="2" s="1"/>
  <c r="AU54" i="2"/>
  <c r="AT54" i="2"/>
  <c r="AT46" i="2"/>
  <c r="AT48" i="2" s="1"/>
  <c r="AW42" i="2"/>
  <c r="AW54" i="2" s="1"/>
  <c r="AV54" i="2"/>
  <c r="AV46" i="2"/>
  <c r="AV48" i="2" s="1"/>
  <c r="DK27" i="2"/>
  <c r="DK3" i="2" s="1"/>
  <c r="AX47" i="2"/>
  <c r="DJ47" i="2" s="1"/>
  <c r="DJ48" i="2" s="1"/>
  <c r="AX45" i="2"/>
  <c r="EF44" i="2" l="1"/>
  <c r="EF45" i="2" s="1"/>
  <c r="EF46" i="2" s="1"/>
  <c r="EE45" i="2"/>
  <c r="EE46" i="2" s="1"/>
  <c r="AO57" i="2"/>
  <c r="AS57" i="2"/>
  <c r="CL46" i="2"/>
  <c r="CL48" i="2" s="1"/>
  <c r="CL54" i="2"/>
  <c r="DU3" i="2"/>
  <c r="CG51" i="2"/>
  <c r="DZ9" i="2"/>
  <c r="CH50" i="2"/>
  <c r="CH51" i="2" s="1"/>
  <c r="BA40" i="2"/>
  <c r="DJ50" i="2"/>
  <c r="DJ51" i="2" s="1"/>
  <c r="AW46" i="2"/>
  <c r="AW48" i="2" s="1"/>
  <c r="AW55" i="2" s="1"/>
  <c r="DJ55" i="2"/>
  <c r="AV50" i="2"/>
  <c r="AV51" i="2" s="1"/>
  <c r="AV55" i="2"/>
  <c r="AU50" i="2"/>
  <c r="AU51" i="2" s="1"/>
  <c r="AU55" i="2"/>
  <c r="AT55" i="2"/>
  <c r="AT50" i="2"/>
  <c r="AT51" i="2" s="1"/>
  <c r="AS50" i="2"/>
  <c r="AS51" i="2" s="1"/>
  <c r="AS55" i="2"/>
  <c r="DK32" i="2"/>
  <c r="DK40" i="2" s="1"/>
  <c r="AX42" i="2"/>
  <c r="BA41" i="2" l="1"/>
  <c r="BA42" i="2" s="1"/>
  <c r="BA57" i="2"/>
  <c r="BE57" i="2"/>
  <c r="DW11" i="2"/>
  <c r="DV3" i="2"/>
  <c r="CL55" i="2"/>
  <c r="EA9" i="2"/>
  <c r="AW50" i="2"/>
  <c r="AW51" i="2" s="1"/>
  <c r="DK42" i="2"/>
  <c r="DK46" i="2" s="1"/>
  <c r="DK48" i="2" s="1"/>
  <c r="BB40" i="2"/>
  <c r="AY42" i="2"/>
  <c r="AY46" i="2" s="1"/>
  <c r="AX54" i="2"/>
  <c r="AX46" i="2"/>
  <c r="AX48" i="2" s="1"/>
  <c r="AO47" i="2"/>
  <c r="AJ91" i="2"/>
  <c r="AK91" i="2"/>
  <c r="AL91" i="2"/>
  <c r="AM91" i="2"/>
  <c r="AN91" i="2"/>
  <c r="AO91" i="2"/>
  <c r="AI91" i="2"/>
  <c r="AL86" i="2"/>
  <c r="AN86" i="2"/>
  <c r="AO82" i="2"/>
  <c r="AO86" i="2" s="1"/>
  <c r="AN75" i="2"/>
  <c r="AO63" i="2"/>
  <c r="AO66" i="2"/>
  <c r="BB57" i="2" l="1"/>
  <c r="BF57" i="2"/>
  <c r="CL50" i="2"/>
  <c r="CL51" i="2" s="1"/>
  <c r="DX11" i="2"/>
  <c r="DW3" i="2"/>
  <c r="EB9" i="2"/>
  <c r="DK41" i="2"/>
  <c r="AX50" i="2"/>
  <c r="AX51" i="2" s="1"/>
  <c r="AX55" i="2"/>
  <c r="BB42" i="2"/>
  <c r="AY54" i="2"/>
  <c r="AL92" i="2"/>
  <c r="AO92" i="2"/>
  <c r="AN92" i="2"/>
  <c r="AO75" i="2"/>
  <c r="AM86" i="2"/>
  <c r="AM92" i="2" s="1"/>
  <c r="AM75" i="2"/>
  <c r="DY11" i="2" l="1"/>
  <c r="DX3" i="2"/>
  <c r="EC9" i="2"/>
  <c r="AY48" i="2"/>
  <c r="AY50" i="2" s="1"/>
  <c r="AY51" i="2" s="1"/>
  <c r="BB54" i="2"/>
  <c r="BB46" i="2"/>
  <c r="BB48" i="2" s="1"/>
  <c r="BB55" i="2" s="1"/>
  <c r="BA46" i="2"/>
  <c r="BA48" i="2" s="1"/>
  <c r="BA54" i="2"/>
  <c r="AM47" i="2"/>
  <c r="AM48" i="2" s="1"/>
  <c r="AM50" i="2" s="1"/>
  <c r="DZ11" i="2" l="1"/>
  <c r="DY3" i="2"/>
  <c r="ED9" i="2"/>
  <c r="AY55" i="2"/>
  <c r="BB50" i="2"/>
  <c r="BB51" i="2" s="1"/>
  <c r="BA49" i="2"/>
  <c r="DH44" i="2"/>
  <c r="AL47" i="2"/>
  <c r="AL48" i="2" s="1"/>
  <c r="AL50" i="2" s="1"/>
  <c r="EA11" i="2" l="1"/>
  <c r="DZ3" i="2"/>
  <c r="EE9" i="2"/>
  <c r="BA55" i="2"/>
  <c r="DK49" i="2"/>
  <c r="DK50" i="2" s="1"/>
  <c r="DK51" i="2" s="1"/>
  <c r="BA50" i="2"/>
  <c r="EB11" i="2" l="1"/>
  <c r="EA3" i="2"/>
  <c r="EF9" i="2"/>
  <c r="BA51" i="2"/>
  <c r="BA62" i="2"/>
  <c r="BB62" i="2" s="1"/>
  <c r="DK62" i="2" s="1"/>
  <c r="DL47" i="2" s="1"/>
  <c r="DD38" i="2"/>
  <c r="DD35" i="2"/>
  <c r="DD32" i="2"/>
  <c r="DD34" i="2"/>
  <c r="DD27" i="2"/>
  <c r="DD18" i="2"/>
  <c r="DE52" i="2"/>
  <c r="DE35" i="2"/>
  <c r="DE32" i="2"/>
  <c r="DE34" i="2"/>
  <c r="DE27" i="2"/>
  <c r="DE18" i="2"/>
  <c r="AA49" i="2"/>
  <c r="AA47" i="2"/>
  <c r="AA44" i="2"/>
  <c r="AA43" i="2"/>
  <c r="AA41" i="2"/>
  <c r="AB49" i="2"/>
  <c r="AB47" i="2"/>
  <c r="AC49" i="2"/>
  <c r="AC47" i="2"/>
  <c r="AC44" i="2"/>
  <c r="AC43" i="2"/>
  <c r="AC41" i="2"/>
  <c r="AD49" i="2"/>
  <c r="AD47" i="2"/>
  <c r="AE41" i="2"/>
  <c r="AE42" i="2" s="1"/>
  <c r="AE46" i="2" s="1"/>
  <c r="AF41" i="2"/>
  <c r="AF42" i="2" s="1"/>
  <c r="AF46" i="2" s="1"/>
  <c r="AG47" i="2"/>
  <c r="AG48" i="2" s="1"/>
  <c r="AG50" i="2" s="1"/>
  <c r="DG52" i="2"/>
  <c r="DF52" i="2"/>
  <c r="DF44" i="2"/>
  <c r="DF43" i="2"/>
  <c r="AN40" i="2"/>
  <c r="AN52" i="2"/>
  <c r="AK47" i="2"/>
  <c r="AK48" i="2" s="1"/>
  <c r="AK50" i="2" s="1"/>
  <c r="DH52" i="2"/>
  <c r="DL52" i="2" s="1"/>
  <c r="DM52" i="2" s="1"/>
  <c r="DN52" i="2" s="1"/>
  <c r="DO52" i="2" s="1"/>
  <c r="DP52" i="2" s="1"/>
  <c r="DQ52" i="2" s="1"/>
  <c r="DR52" i="2" s="1"/>
  <c r="DS52" i="2" s="1"/>
  <c r="DT52" i="2" s="1"/>
  <c r="DU52" i="2" s="1"/>
  <c r="DV52" i="2" s="1"/>
  <c r="AI75" i="2"/>
  <c r="AJ75" i="2"/>
  <c r="AK75" i="2"/>
  <c r="DG38" i="2"/>
  <c r="DG27" i="2"/>
  <c r="AJ47" i="2"/>
  <c r="AJ48" i="2" s="1"/>
  <c r="AJ50" i="2" s="1"/>
  <c r="DF39" i="2"/>
  <c r="DF38" i="2"/>
  <c r="DF36" i="2"/>
  <c r="DF35" i="2"/>
  <c r="DF32" i="2"/>
  <c r="DF34" i="2"/>
  <c r="DF27" i="2"/>
  <c r="DF18" i="2"/>
  <c r="AH47" i="2"/>
  <c r="AH48" i="2" s="1"/>
  <c r="AH50" i="2" s="1"/>
  <c r="AI47" i="2"/>
  <c r="AI48" i="2" s="1"/>
  <c r="AI50" i="2" s="1"/>
  <c r="AD17" i="2"/>
  <c r="AD16" i="2"/>
  <c r="AE47" i="2"/>
  <c r="AF47" i="2"/>
  <c r="AC16" i="2"/>
  <c r="AC17" i="2"/>
  <c r="Y39" i="2"/>
  <c r="DD39" i="2" s="1"/>
  <c r="Y45" i="2"/>
  <c r="Y47" i="2"/>
  <c r="AB16" i="2"/>
  <c r="AB17" i="2"/>
  <c r="W52" i="2"/>
  <c r="DD52" i="2" s="1"/>
  <c r="X17" i="2"/>
  <c r="X16" i="2"/>
  <c r="AB41" i="2"/>
  <c r="AB44" i="2"/>
  <c r="AB43" i="2"/>
  <c r="X41" i="2"/>
  <c r="X45" i="2"/>
  <c r="X47" i="2"/>
  <c r="X49" i="2"/>
  <c r="AA38" i="2"/>
  <c r="AA39" i="2"/>
  <c r="DE39" i="2" s="1"/>
  <c r="Z40" i="2"/>
  <c r="W40" i="2"/>
  <c r="V40" i="2"/>
  <c r="S40" i="2"/>
  <c r="R40" i="2"/>
  <c r="Q40" i="2"/>
  <c r="AD45" i="2"/>
  <c r="Z45" i="2"/>
  <c r="Z47" i="2"/>
  <c r="DC52" i="2"/>
  <c r="S41" i="2"/>
  <c r="S44" i="2"/>
  <c r="S43" i="2"/>
  <c r="S49" i="2"/>
  <c r="T39" i="2"/>
  <c r="DC39" i="2" s="1"/>
  <c r="T41" i="2"/>
  <c r="T44" i="2"/>
  <c r="T43" i="2"/>
  <c r="T47" i="2"/>
  <c r="T49" i="2"/>
  <c r="U41" i="2"/>
  <c r="U44" i="2"/>
  <c r="U43" i="2"/>
  <c r="U47" i="2"/>
  <c r="U49" i="2"/>
  <c r="V41" i="2"/>
  <c r="V44" i="2"/>
  <c r="V43" i="2"/>
  <c r="V47" i="2"/>
  <c r="V49" i="2"/>
  <c r="W41" i="2"/>
  <c r="W44" i="2"/>
  <c r="DD44" i="2" s="1"/>
  <c r="W43" i="2"/>
  <c r="DD43" i="2" s="1"/>
  <c r="W47" i="2"/>
  <c r="W49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40" i="2"/>
  <c r="M40" i="2"/>
  <c r="I40" i="2"/>
  <c r="J40" i="2"/>
  <c r="P47" i="2"/>
  <c r="C40" i="2"/>
  <c r="DC32" i="2"/>
  <c r="DC34" i="2"/>
  <c r="DC27" i="2"/>
  <c r="DC18" i="2"/>
  <c r="DC16" i="2"/>
  <c r="CV45" i="2"/>
  <c r="CV46" i="2" s="1"/>
  <c r="CW45" i="2"/>
  <c r="CW46" i="2" s="1"/>
  <c r="CW48" i="2" s="1"/>
  <c r="CW50" i="2" s="1"/>
  <c r="CX45" i="2"/>
  <c r="CX46" i="2" s="1"/>
  <c r="CX48" i="2" s="1"/>
  <c r="CY45" i="2"/>
  <c r="CY46" i="2" s="1"/>
  <c r="CZ45" i="2"/>
  <c r="CZ46" i="2" s="1"/>
  <c r="DA45" i="2"/>
  <c r="DA46" i="2" s="1"/>
  <c r="DA48" i="2" s="1"/>
  <c r="DB45" i="2"/>
  <c r="DB46" i="2" s="1"/>
  <c r="L20" i="6"/>
  <c r="AX28" i="6"/>
  <c r="AX11" i="6"/>
  <c r="AX107" i="6"/>
  <c r="AX115" i="6"/>
  <c r="L89" i="6"/>
  <c r="AX42" i="6"/>
  <c r="AX50" i="6"/>
  <c r="F14" i="27"/>
  <c r="F16" i="27" s="1"/>
  <c r="F18" i="27" s="1"/>
  <c r="DG32" i="2"/>
  <c r="DG43" i="2"/>
  <c r="DG36" i="2"/>
  <c r="DG39" i="2"/>
  <c r="DG35" i="2"/>
  <c r="DG34" i="2"/>
  <c r="DG44" i="2"/>
  <c r="AN42" i="2" l="1"/>
  <c r="AN46" i="2" s="1"/>
  <c r="AN48" i="2" s="1"/>
  <c r="AN57" i="2"/>
  <c r="AR57" i="2"/>
  <c r="EC11" i="2"/>
  <c r="EB3" i="2"/>
  <c r="AF48" i="2"/>
  <c r="AF50" i="2" s="1"/>
  <c r="DC40" i="2"/>
  <c r="L85" i="6"/>
  <c r="AF55" i="6"/>
  <c r="AH55" i="6" s="1"/>
  <c r="L15" i="6"/>
  <c r="G94" i="6"/>
  <c r="W91" i="6" s="1"/>
  <c r="AZ78" i="6"/>
  <c r="L72" i="6"/>
  <c r="Y89" i="6"/>
  <c r="AK59" i="6"/>
  <c r="DD40" i="2"/>
  <c r="AX46" i="6"/>
  <c r="Y128" i="6"/>
  <c r="AZ83" i="6"/>
  <c r="L63" i="6"/>
  <c r="AX24" i="6"/>
  <c r="N96" i="6"/>
  <c r="AS120" i="6"/>
  <c r="AU120" i="6" s="1"/>
  <c r="AE48" i="2"/>
  <c r="AE50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6" i="2"/>
  <c r="AJ92" i="2" s="1"/>
  <c r="AK86" i="2"/>
  <c r="AK92" i="2" s="1"/>
  <c r="AI86" i="2"/>
  <c r="AI92" i="2" s="1"/>
  <c r="AA40" i="2"/>
  <c r="S45" i="2"/>
  <c r="DC43" i="2"/>
  <c r="DA54" i="2"/>
  <c r="U45" i="2"/>
  <c r="DG47" i="2"/>
  <c r="DF45" i="2"/>
  <c r="E40" i="2"/>
  <c r="E42" i="2" s="1"/>
  <c r="E45" i="2" s="1"/>
  <c r="E46" i="2" s="1"/>
  <c r="P40" i="2"/>
  <c r="P42" i="2" s="1"/>
  <c r="P45" i="2" s="1"/>
  <c r="P46" i="2" s="1"/>
  <c r="P48" i="2" s="1"/>
  <c r="V45" i="2"/>
  <c r="DF47" i="2"/>
  <c r="DN45" i="2"/>
  <c r="DE44" i="2"/>
  <c r="T45" i="2"/>
  <c r="DF49" i="2"/>
  <c r="AC45" i="2"/>
  <c r="F40" i="2"/>
  <c r="F54" i="2" s="1"/>
  <c r="G40" i="2"/>
  <c r="G42" i="2" s="1"/>
  <c r="G45" i="2" s="1"/>
  <c r="G46" i="2" s="1"/>
  <c r="Y40" i="2"/>
  <c r="Y42" i="2" s="1"/>
  <c r="Y46" i="2" s="1"/>
  <c r="AA45" i="2"/>
  <c r="W45" i="2"/>
  <c r="W42" i="2"/>
  <c r="CW51" i="2"/>
  <c r="U40" i="2"/>
  <c r="CW55" i="2"/>
  <c r="N40" i="2"/>
  <c r="H40" i="2"/>
  <c r="I54" i="2"/>
  <c r="D40" i="2"/>
  <c r="D54" i="2" s="1"/>
  <c r="I42" i="2"/>
  <c r="I45" i="2" s="1"/>
  <c r="I46" i="2" s="1"/>
  <c r="DE38" i="2"/>
  <c r="DC44" i="2"/>
  <c r="L42" i="2"/>
  <c r="L45" i="2" s="1"/>
  <c r="L46" i="2" s="1"/>
  <c r="L48" i="2" s="1"/>
  <c r="L54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2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40" i="2"/>
  <c r="AB45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DE49" i="2"/>
  <c r="Y120" i="6"/>
  <c r="N83" i="6"/>
  <c r="AV65" i="6"/>
  <c r="AV67" i="6"/>
  <c r="AI60" i="6"/>
  <c r="J60" i="6"/>
  <c r="Y111" i="6"/>
  <c r="T120" i="6"/>
  <c r="AX94" i="6"/>
  <c r="DH43" i="2"/>
  <c r="DH45" i="2" s="1"/>
  <c r="Q42" i="2"/>
  <c r="Q45" i="2" s="1"/>
  <c r="Q46" i="2" s="1"/>
  <c r="Q54" i="2"/>
  <c r="CY54" i="2"/>
  <c r="AO45" i="2"/>
  <c r="CY48" i="2"/>
  <c r="R42" i="2"/>
  <c r="R45" i="2" s="1"/>
  <c r="R46" i="2" s="1"/>
  <c r="R54" i="2"/>
  <c r="DM45" i="2"/>
  <c r="DG45" i="2"/>
  <c r="K40" i="2"/>
  <c r="DL39" i="2"/>
  <c r="DM39" i="2" s="1"/>
  <c r="DE43" i="2"/>
  <c r="DO45" i="2"/>
  <c r="O40" i="2"/>
  <c r="DL27" i="2"/>
  <c r="DM27" i="2" s="1"/>
  <c r="DL34" i="2"/>
  <c r="DM34" i="2" s="1"/>
  <c r="DL45" i="2"/>
  <c r="DE47" i="2"/>
  <c r="CZ48" i="2"/>
  <c r="S42" i="2"/>
  <c r="DB54" i="2"/>
  <c r="M54" i="2"/>
  <c r="M42" i="2"/>
  <c r="M45" i="2" s="1"/>
  <c r="M46" i="2" s="1"/>
  <c r="DD45" i="2"/>
  <c r="DB48" i="2"/>
  <c r="CV48" i="2"/>
  <c r="C42" i="2"/>
  <c r="C45" i="2" s="1"/>
  <c r="C46" i="2" s="1"/>
  <c r="C54" i="2"/>
  <c r="V42" i="2"/>
  <c r="DF16" i="2"/>
  <c r="DF17" i="2"/>
  <c r="DA55" i="2"/>
  <c r="DA50" i="2"/>
  <c r="CX50" i="2"/>
  <c r="CX55" i="2"/>
  <c r="J42" i="2"/>
  <c r="J45" i="2" s="1"/>
  <c r="J46" i="2" s="1"/>
  <c r="J54" i="2"/>
  <c r="DG17" i="2"/>
  <c r="ED11" i="2" l="1"/>
  <c r="EC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DF40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W54" i="2"/>
  <c r="P54" i="2"/>
  <c r="E54" i="2"/>
  <c r="E48" i="2"/>
  <c r="E50" i="2" s="1"/>
  <c r="F42" i="2"/>
  <c r="F45" i="2" s="1"/>
  <c r="F46" i="2" s="1"/>
  <c r="I48" i="2"/>
  <c r="I55" i="2" s="1"/>
  <c r="DC45" i="2"/>
  <c r="DE45" i="2"/>
  <c r="G54" i="2"/>
  <c r="Y48" i="2"/>
  <c r="Y50" i="2" s="1"/>
  <c r="CV54" i="2"/>
  <c r="D42" i="2"/>
  <c r="D45" i="2" s="1"/>
  <c r="D46" i="2" s="1"/>
  <c r="D48" i="2" s="1"/>
  <c r="N42" i="2"/>
  <c r="N45" i="2" s="1"/>
  <c r="N46" i="2" s="1"/>
  <c r="N54" i="2"/>
  <c r="CZ54" i="2"/>
  <c r="U42" i="2"/>
  <c r="W54" i="2"/>
  <c r="H42" i="2"/>
  <c r="H45" i="2" s="1"/>
  <c r="H46" i="2" s="1"/>
  <c r="H54" i="2"/>
  <c r="Y54" i="2"/>
  <c r="CY55" i="2"/>
  <c r="G48" i="2"/>
  <c r="G55" i="2" s="1"/>
  <c r="W46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Y50" i="2"/>
  <c r="CY51" i="2" s="1"/>
  <c r="AH42" i="6"/>
  <c r="AL42" i="6"/>
  <c r="AL55" i="6"/>
  <c r="T42" i="2"/>
  <c r="AL68" i="6"/>
  <c r="AH68" i="6"/>
  <c r="AL81" i="6"/>
  <c r="Z46" i="2"/>
  <c r="Z54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L35" i="2"/>
  <c r="DM35" i="2" s="1"/>
  <c r="Z120" i="6"/>
  <c r="V120" i="6"/>
  <c r="T121" i="6"/>
  <c r="AU68" i="6"/>
  <c r="AY68" i="6"/>
  <c r="H14" i="27"/>
  <c r="G16" i="27"/>
  <c r="G18" i="27" s="1"/>
  <c r="DL32" i="2"/>
  <c r="DM32" i="2" s="1"/>
  <c r="P55" i="2"/>
  <c r="P50" i="2"/>
  <c r="CX54" i="2"/>
  <c r="O42" i="2"/>
  <c r="O45" i="2" s="1"/>
  <c r="O46" i="2" s="1"/>
  <c r="O54" i="2"/>
  <c r="K42" i="2"/>
  <c r="K45" i="2" s="1"/>
  <c r="K46" i="2" s="1"/>
  <c r="K54" i="2"/>
  <c r="R48" i="2"/>
  <c r="DP45" i="2"/>
  <c r="Q48" i="2"/>
  <c r="L55" i="2"/>
  <c r="L50" i="2"/>
  <c r="J48" i="2"/>
  <c r="C48" i="2"/>
  <c r="CV55" i="2"/>
  <c r="CV50" i="2"/>
  <c r="V54" i="2"/>
  <c r="V46" i="2"/>
  <c r="DB50" i="2"/>
  <c r="DB55" i="2"/>
  <c r="M48" i="2"/>
  <c r="S54" i="2"/>
  <c r="S46" i="2"/>
  <c r="CZ55" i="2"/>
  <c r="CZ50" i="2"/>
  <c r="AA42" i="2"/>
  <c r="CX51" i="2"/>
  <c r="DA51" i="2"/>
  <c r="EE11" i="2" l="1"/>
  <c r="ED3" i="2"/>
  <c r="DG40" i="2"/>
  <c r="DL36" i="2"/>
  <c r="DM36" i="2" s="1"/>
  <c r="DQ45" i="2"/>
  <c r="E55" i="2"/>
  <c r="F48" i="2"/>
  <c r="F50" i="2" s="1"/>
  <c r="I50" i="2"/>
  <c r="Y51" i="2"/>
  <c r="Y55" i="2"/>
  <c r="DC46" i="2"/>
  <c r="N48" i="2"/>
  <c r="G50" i="2"/>
  <c r="G51" i="2" s="1"/>
  <c r="W48" i="2"/>
  <c r="H48" i="2"/>
  <c r="U46" i="2"/>
  <c r="U54" i="2"/>
  <c r="T54" i="2"/>
  <c r="T46" i="2"/>
  <c r="Z48" i="2"/>
  <c r="E51" i="2"/>
  <c r="H16" i="27"/>
  <c r="H18" i="27" s="1"/>
  <c r="I14" i="27"/>
  <c r="K48" i="2"/>
  <c r="R50" i="2"/>
  <c r="R55" i="2"/>
  <c r="Q55" i="2"/>
  <c r="Q50" i="2"/>
  <c r="O48" i="2"/>
  <c r="P51" i="2"/>
  <c r="D50" i="2"/>
  <c r="D55" i="2"/>
  <c r="L51" i="2"/>
  <c r="DE40" i="2"/>
  <c r="CZ51" i="2"/>
  <c r="AC40" i="2"/>
  <c r="AA54" i="2"/>
  <c r="AA46" i="2"/>
  <c r="S48" i="2"/>
  <c r="M50" i="2"/>
  <c r="M55" i="2"/>
  <c r="CV51" i="2"/>
  <c r="AD40" i="2"/>
  <c r="X40" i="2"/>
  <c r="DB51" i="2"/>
  <c r="AB40" i="2"/>
  <c r="J55" i="2"/>
  <c r="J50" i="2"/>
  <c r="V48" i="2"/>
  <c r="C50" i="2"/>
  <c r="C55" i="2"/>
  <c r="F55" i="2" l="1"/>
  <c r="EF11" i="2"/>
  <c r="EF3" i="2" s="1"/>
  <c r="EE3" i="2"/>
  <c r="DR45" i="2"/>
  <c r="I51" i="2"/>
  <c r="U48" i="2"/>
  <c r="W55" i="2"/>
  <c r="W50" i="2"/>
  <c r="H50" i="2"/>
  <c r="H55" i="2"/>
  <c r="N55" i="2"/>
  <c r="N50" i="2"/>
  <c r="I16" i="27"/>
  <c r="I18" i="27" s="1"/>
  <c r="J14" i="27"/>
  <c r="Z50" i="2"/>
  <c r="Z55" i="2"/>
  <c r="T48" i="2"/>
  <c r="Q51" i="2"/>
  <c r="D51" i="2"/>
  <c r="O50" i="2"/>
  <c r="O55" i="2"/>
  <c r="R51" i="2"/>
  <c r="F51" i="2"/>
  <c r="K55" i="2"/>
  <c r="K50" i="2"/>
  <c r="V55" i="2"/>
  <c r="V50" i="2"/>
  <c r="X42" i="2"/>
  <c r="S55" i="2"/>
  <c r="S50" i="2"/>
  <c r="C51" i="2"/>
  <c r="AB42" i="2"/>
  <c r="J51" i="2"/>
  <c r="AD42" i="2"/>
  <c r="AA48" i="2"/>
  <c r="M51" i="2"/>
  <c r="DC48" i="2"/>
  <c r="AC42" i="2"/>
  <c r="DS45" i="2" l="1"/>
  <c r="DC54" i="2"/>
  <c r="N51" i="2"/>
  <c r="H51" i="2"/>
  <c r="U55" i="2"/>
  <c r="U50" i="2"/>
  <c r="W51" i="2"/>
  <c r="Z51" i="2"/>
  <c r="T55" i="2"/>
  <c r="T50" i="2"/>
  <c r="K14" i="27"/>
  <c r="J16" i="27"/>
  <c r="J18" i="27" s="1"/>
  <c r="O51" i="2"/>
  <c r="DL18" i="2"/>
  <c r="K51" i="2"/>
  <c r="AK54" i="2"/>
  <c r="AF54" i="2"/>
  <c r="DC49" i="2"/>
  <c r="DC50" i="2" s="1"/>
  <c r="AG54" i="2"/>
  <c r="AI54" i="2"/>
  <c r="AE54" i="2"/>
  <c r="DF42" i="2"/>
  <c r="AB46" i="2"/>
  <c r="AB54" i="2"/>
  <c r="AJ54" i="2"/>
  <c r="V51" i="2"/>
  <c r="AC54" i="2"/>
  <c r="AC46" i="2"/>
  <c r="AD46" i="2"/>
  <c r="AD54" i="2"/>
  <c r="X54" i="2"/>
  <c r="X46" i="2"/>
  <c r="AA50" i="2"/>
  <c r="AA55" i="2"/>
  <c r="AH54" i="2"/>
  <c r="S51" i="2"/>
  <c r="DT45" i="2" l="1"/>
  <c r="U51" i="2"/>
  <c r="T51" i="2"/>
  <c r="K16" i="27"/>
  <c r="K18" i="27" s="1"/>
  <c r="L14" i="27"/>
  <c r="DM18" i="2"/>
  <c r="X48" i="2"/>
  <c r="AD48" i="2"/>
  <c r="AB48" i="2"/>
  <c r="DF46" i="2"/>
  <c r="DF41" i="2"/>
  <c r="AC48" i="2"/>
  <c r="DE46" i="2"/>
  <c r="AL54" i="2"/>
  <c r="AA51" i="2"/>
  <c r="DD46" i="2"/>
  <c r="DD54" i="2"/>
  <c r="DG42" i="2"/>
  <c r="DH40" i="2" l="1"/>
  <c r="DU45" i="2"/>
  <c r="DV45" i="2"/>
  <c r="AM51" i="2"/>
  <c r="L16" i="27"/>
  <c r="L18" i="27" s="1"/>
  <c r="M14" i="27"/>
  <c r="M16" i="27" s="1"/>
  <c r="M18" i="27" s="1"/>
  <c r="DD48" i="2"/>
  <c r="AG55" i="2"/>
  <c r="AC55" i="2"/>
  <c r="AC50" i="2"/>
  <c r="AF55" i="2"/>
  <c r="AB50" i="2"/>
  <c r="AB55" i="2"/>
  <c r="AJ55" i="2"/>
  <c r="AD55" i="2"/>
  <c r="AD50" i="2"/>
  <c r="AK55" i="2"/>
  <c r="AM54" i="2"/>
  <c r="DE54" i="2"/>
  <c r="AH55" i="2"/>
  <c r="DF54" i="2"/>
  <c r="DG46" i="2"/>
  <c r="DG41" i="2"/>
  <c r="AE55" i="2"/>
  <c r="AI55" i="2"/>
  <c r="DE48" i="2"/>
  <c r="DF48" i="2"/>
  <c r="X55" i="2"/>
  <c r="X50" i="2"/>
  <c r="X51" i="2" l="1"/>
  <c r="DF55" i="2"/>
  <c r="DF50" i="2"/>
  <c r="AI51" i="2"/>
  <c r="AE51" i="2"/>
  <c r="DG54" i="2"/>
  <c r="AH51" i="2"/>
  <c r="AK51" i="2"/>
  <c r="AJ51" i="2"/>
  <c r="AB51" i="2"/>
  <c r="AF51" i="2"/>
  <c r="AG51" i="2"/>
  <c r="AO42" i="2"/>
  <c r="DE50" i="2"/>
  <c r="DE55" i="2"/>
  <c r="DG48" i="2"/>
  <c r="AD51" i="2"/>
  <c r="AN54" i="2"/>
  <c r="AC51" i="2"/>
  <c r="DD49" i="2"/>
  <c r="DD50" i="2" s="1"/>
  <c r="AM55" i="2" l="1"/>
  <c r="DE51" i="2"/>
  <c r="AO46" i="2"/>
  <c r="AO54" i="2"/>
  <c r="DG49" i="2"/>
  <c r="DG55" i="2" s="1"/>
  <c r="AL55" i="2"/>
  <c r="DF51" i="2"/>
  <c r="DH42" i="2"/>
  <c r="DH46" i="2" s="1"/>
  <c r="DD51" i="2"/>
  <c r="DH41" i="2" l="1"/>
  <c r="DL16" i="2"/>
  <c r="DL3" i="2" s="1"/>
  <c r="AL51" i="2"/>
  <c r="AO48" i="2"/>
  <c r="AO50" i="2" s="1"/>
  <c r="DG50" i="2"/>
  <c r="AP54" i="2"/>
  <c r="DL40" i="2" l="1"/>
  <c r="DL42" i="2" s="1"/>
  <c r="AN55" i="2"/>
  <c r="AN50" i="2"/>
  <c r="DH54" i="2"/>
  <c r="DM16" i="2"/>
  <c r="DM3" i="2" s="1"/>
  <c r="AP48" i="2"/>
  <c r="AP50" i="2" s="1"/>
  <c r="AP51" i="2" s="1"/>
  <c r="AO55" i="2"/>
  <c r="DG51" i="2"/>
  <c r="DH48" i="2"/>
  <c r="DM40" i="2" l="1"/>
  <c r="DM42" i="2" s="1"/>
  <c r="DH49" i="2"/>
  <c r="DH50" i="2" s="1"/>
  <c r="AP55" i="2"/>
  <c r="AN51" i="2"/>
  <c r="DN40" i="2" l="1"/>
  <c r="DN42" i="2" s="1"/>
  <c r="DH51" i="2"/>
  <c r="AO51" i="2"/>
  <c r="DO40" i="2" l="1"/>
  <c r="DO42" i="2" s="1"/>
  <c r="DK54" i="2"/>
  <c r="DI48" i="2"/>
  <c r="DI55" i="2" s="1"/>
  <c r="DP40" i="2" l="1"/>
  <c r="DP42" i="2" s="1"/>
  <c r="DL46" i="2"/>
  <c r="DL54" i="2"/>
  <c r="DL41" i="2"/>
  <c r="DI50" i="2"/>
  <c r="DI51" i="2" s="1"/>
  <c r="DQ42" i="2" l="1"/>
  <c r="DM46" i="2"/>
  <c r="DM54" i="2"/>
  <c r="DM41" i="2"/>
  <c r="DR42" i="2" l="1"/>
  <c r="DN46" i="2"/>
  <c r="DN54" i="2"/>
  <c r="DO46" i="2"/>
  <c r="DO54" i="2"/>
  <c r="DO41" i="2"/>
  <c r="DN41" i="2"/>
  <c r="DS42" i="2" l="1"/>
  <c r="DT42" i="2" l="1"/>
  <c r="DR54" i="2"/>
  <c r="DR46" i="2"/>
  <c r="DR41" i="2"/>
  <c r="DP46" i="2"/>
  <c r="DP54" i="2"/>
  <c r="DP41" i="2"/>
  <c r="DU42" i="2" l="1"/>
  <c r="DS54" i="2"/>
  <c r="DS46" i="2"/>
  <c r="DS41" i="2"/>
  <c r="DQ46" i="2"/>
  <c r="DQ54" i="2"/>
  <c r="DQ41" i="2"/>
  <c r="DV42" i="2" l="1"/>
  <c r="DU41" i="2"/>
  <c r="DT54" i="2"/>
  <c r="DT46" i="2"/>
  <c r="DT41" i="2"/>
  <c r="DK55" i="2"/>
  <c r="DV41" i="2" l="1"/>
  <c r="DU54" i="2"/>
  <c r="DU46" i="2"/>
  <c r="DV54" i="2"/>
  <c r="DV46" i="2"/>
  <c r="DL48" i="2" l="1"/>
  <c r="DL49" i="2" l="1"/>
  <c r="DL55" i="2" s="1"/>
  <c r="DL50" i="2" l="1"/>
  <c r="DL62" i="2" s="1"/>
  <c r="DM47" i="2" s="1"/>
  <c r="DL51" i="2" l="1"/>
  <c r="DM48" i="2" l="1"/>
  <c r="DM49" i="2" l="1"/>
  <c r="DM55" i="2" s="1"/>
  <c r="DM50" i="2" l="1"/>
  <c r="DM62" i="2" s="1"/>
  <c r="DN47" i="2" s="1"/>
  <c r="DM51" i="2" l="1"/>
  <c r="DN48" i="2" l="1"/>
  <c r="DN49" i="2" l="1"/>
  <c r="DN55" i="2" s="1"/>
  <c r="DN50" i="2" l="1"/>
  <c r="DN51" i="2" l="1"/>
  <c r="DN62" i="2"/>
  <c r="DO47" i="2" s="1"/>
  <c r="DO48" i="2" s="1"/>
  <c r="DO49" i="2" l="1"/>
  <c r="DO55" i="2" s="1"/>
  <c r="DO50" i="2" l="1"/>
  <c r="DO51" i="2" l="1"/>
  <c r="DO62" i="2"/>
  <c r="DP47" i="2" s="1"/>
  <c r="DP48" i="2" s="1"/>
  <c r="DP49" i="2" l="1"/>
  <c r="DP55" i="2" s="1"/>
  <c r="DP50" i="2" l="1"/>
  <c r="DP51" i="2" l="1"/>
  <c r="DP62" i="2"/>
  <c r="DQ47" i="2" s="1"/>
  <c r="DQ48" i="2" s="1"/>
  <c r="DQ49" i="2" l="1"/>
  <c r="DQ55" i="2" s="1"/>
  <c r="DQ50" i="2" l="1"/>
  <c r="DQ51" i="2" l="1"/>
  <c r="DQ62" i="2"/>
  <c r="DR47" i="2" s="1"/>
  <c r="DR48" i="2" s="1"/>
  <c r="DR49" i="2" l="1"/>
  <c r="DR50" i="2" l="1"/>
  <c r="DR55" i="2"/>
  <c r="DR51" i="2" l="1"/>
  <c r="DR62" i="2"/>
  <c r="DS47" i="2" s="1"/>
  <c r="DS48" i="2" s="1"/>
  <c r="DS49" i="2" l="1"/>
  <c r="DS50" i="2" l="1"/>
  <c r="DS55" i="2"/>
  <c r="DS51" i="2" l="1"/>
  <c r="DS62" i="2"/>
  <c r="DT47" i="2" s="1"/>
  <c r="DT48" i="2" s="1"/>
  <c r="DT49" i="2" l="1"/>
  <c r="DT55" i="2" s="1"/>
  <c r="DT50" i="2" l="1"/>
  <c r="DT51" i="2" l="1"/>
  <c r="DT62" i="2"/>
  <c r="DU47" i="2" s="1"/>
  <c r="DU48" i="2" s="1"/>
  <c r="DU49" i="2" l="1"/>
  <c r="DU55" i="2" s="1"/>
  <c r="DU50" i="2" l="1"/>
  <c r="DU51" i="2" l="1"/>
  <c r="DU62" i="2"/>
  <c r="DV47" i="2" s="1"/>
  <c r="DV48" i="2" s="1"/>
  <c r="DV49" i="2" l="1"/>
  <c r="DV55" i="2" s="1"/>
  <c r="DV50" i="2" l="1"/>
  <c r="DV51" i="2" l="1"/>
  <c r="DV62" i="2"/>
  <c r="DW47" i="2" s="1"/>
  <c r="DW48" i="2" s="1"/>
  <c r="EG50" i="2"/>
  <c r="EH50" i="2" s="1"/>
  <c r="EI50" i="2" s="1"/>
  <c r="EJ50" i="2" s="1"/>
  <c r="EK50" i="2" s="1"/>
  <c r="EL50" i="2" s="1"/>
  <c r="EM50" i="2" s="1"/>
  <c r="EN50" i="2" s="1"/>
  <c r="EO50" i="2" s="1"/>
  <c r="EP50" i="2" s="1"/>
  <c r="EQ50" i="2" s="1"/>
  <c r="ER50" i="2" s="1"/>
  <c r="ES50" i="2" s="1"/>
  <c r="ET50" i="2" s="1"/>
  <c r="EU50" i="2" s="1"/>
  <c r="EV50" i="2" s="1"/>
  <c r="EW50" i="2" s="1"/>
  <c r="EX50" i="2" s="1"/>
  <c r="EY50" i="2" s="1"/>
  <c r="EZ50" i="2" s="1"/>
  <c r="FA50" i="2" s="1"/>
  <c r="FB50" i="2" s="1"/>
  <c r="FC50" i="2" s="1"/>
  <c r="FD50" i="2" s="1"/>
  <c r="FE50" i="2" s="1"/>
  <c r="FF50" i="2" s="1"/>
  <c r="FG50" i="2" s="1"/>
  <c r="FH50" i="2" s="1"/>
  <c r="FI50" i="2" s="1"/>
  <c r="FJ50" i="2" s="1"/>
  <c r="FK50" i="2" s="1"/>
  <c r="FL50" i="2" s="1"/>
  <c r="FM50" i="2" s="1"/>
  <c r="FN50" i="2" s="1"/>
  <c r="FO50" i="2" s="1"/>
  <c r="FP50" i="2" s="1"/>
  <c r="FQ50" i="2" s="1"/>
  <c r="FR50" i="2" s="1"/>
  <c r="FS50" i="2" s="1"/>
  <c r="FT50" i="2" s="1"/>
  <c r="FU50" i="2" s="1"/>
  <c r="FV50" i="2" s="1"/>
  <c r="FW50" i="2" s="1"/>
  <c r="FX50" i="2" s="1"/>
  <c r="FY50" i="2" s="1"/>
  <c r="FZ50" i="2" s="1"/>
  <c r="GA50" i="2" s="1"/>
  <c r="GB50" i="2" s="1"/>
  <c r="DW49" i="2" l="1"/>
  <c r="DW50" i="2"/>
  <c r="EA59" i="2" s="1"/>
  <c r="EA60" i="2" s="1"/>
  <c r="BZ40" i="2" l="1"/>
  <c r="BZ57" i="2" s="1"/>
  <c r="BZ42" i="2" l="1"/>
  <c r="BZ54" i="2" s="1"/>
  <c r="CD57" i="2"/>
  <c r="BZ46" i="2" l="1"/>
  <c r="BZ48" i="2" s="1"/>
  <c r="BZ55" i="2" s="1"/>
  <c r="BZ50" i="2" l="1"/>
  <c r="BZ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5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I15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6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6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6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DE16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7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7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7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G17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8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8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8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G18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N18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9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7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7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G27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2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2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C32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G32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DC34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G34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5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G35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G36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G38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9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9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G39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DE40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DC43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DD43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H43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DC44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DD44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H44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DD54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DC55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<sst xmlns="http://schemas.openxmlformats.org/spreadsheetml/2006/main" count="1087" uniqueCount="790">
  <si>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</si>
  <si>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</si>
  <si>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</si>
  <si>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</si>
  <si>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</si>
  <si>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</si>
  <si>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</si>
  <si>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</si>
  <si>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</si>
  <si>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</si>
  <si>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</si>
  <si>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</si>
  <si>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</si>
  <si>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</si>
  <si>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</si>
  <si>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</si>
  <si>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</si>
  <si>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</si>
  <si>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</si>
  <si>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</si>
  <si>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</si>
  <si>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</si>
  <si>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</si>
  <si>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</si>
  <si>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</si>
  <si>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</si>
  <si>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</si>
  <si>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</si>
  <si>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</si>
  <si>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</si>
  <si>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</si>
  <si>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</si>
  <si>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</si>
  <si>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</si>
  <si>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</si>
  <si>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</si>
  <si>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</si>
  <si>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</si>
  <si>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</si>
  <si>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</si>
  <si>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</si>
  <si>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</si>
  <si>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</si>
  <si>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</si>
  <si>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</si>
  <si>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</si>
  <si>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</si>
  <si>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</si>
  <si>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</si>
  <si>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</si>
  <si>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</si>
  <si>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</si>
  <si>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</si>
  <si>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</si>
  <si>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</si>
  <si>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</si>
  <si>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</si>
  <si>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</si>
  <si>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</si>
  <si>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</si>
  <si>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</si>
  <si>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</si>
  <si>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</si>
  <si>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</si>
  <si>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</si>
  <si>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</si>
  <si>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</si>
  <si>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</si>
  <si>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</si>
  <si>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</si>
  <si>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</si>
  <si>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</si>
  <si>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</si>
  <si>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</si>
  <si>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</si>
  <si>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</si>
  <si>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</si>
  <si>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</si>
  <si>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</si>
  <si>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</si>
  <si>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</si>
  <si>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</si>
  <si>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</si>
  <si>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</si>
  <si>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</si>
  <si>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</si>
  <si>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</si>
  <si>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</si>
  <si>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</si>
  <si>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</si>
  <si>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</si>
  <si>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</si>
  <si>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</si>
  <si>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</si>
  <si>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</si>
  <si>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</si>
  <si>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</si>
  <si>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</si>
  <si>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</si>
  <si>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</si>
  <si>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</si>
  <si>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</si>
  <si>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</si>
  <si>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</si>
  <si>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</si>
  <si>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</si>
  <si>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</si>
  <si>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</si>
  <si>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</si>
  <si>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</si>
  <si>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</si>
  <si>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</si>
  <si>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</si>
  <si>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</si>
  <si>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</si>
  <si>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</si>
  <si>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</si>
  <si>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</si>
  <si>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</si>
  <si>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</si>
  <si>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</si>
  <si>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</si>
  <si>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</si>
  <si>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</si>
  <si>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</si>
  <si>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</si>
  <si>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</si>
  <si>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</si>
  <si>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</si>
  <si>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</si>
  <si>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</si>
  <si>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</si>
  <si>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</si>
  <si>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</si>
  <si>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</si>
  <si>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</si>
  <si>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</si>
  <si>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</si>
  <si>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</si>
  <si>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</si>
  <si>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</si>
  <si>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</si>
  <si>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</si>
  <si>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</si>
  <si>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</si>
  <si>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</si>
  <si>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</si>
  <si>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</si>
  <si>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</si>
  <si>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</si>
  <si>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</si>
  <si>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</si>
  <si>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</si>
  <si>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</si>
  <si>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</si>
  <si>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</si>
  <si>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</si>
  <si>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</si>
  <si>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</si>
  <si>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</si>
  <si>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</si>
  <si>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</si>
  <si>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</si>
  <si>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</si>
  <si>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</si>
  <si>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</si>
  <si>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</si>
  <si>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</si>
  <si>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</si>
  <si>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</si>
  <si>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</si>
  <si>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</si>
  <si>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</si>
  <si>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</si>
  <si>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</si>
  <si>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</si>
  <si>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</si>
  <si>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</si>
  <si>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</si>
  <si>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</si>
  <si>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</si>
  <si>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</si>
  <si>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</si>
  <si>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</si>
  <si>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</si>
  <si>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</si>
  <si>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</si>
  <si>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</si>
  <si>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</si>
  <si>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</si>
  <si>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</si>
  <si>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</si>
  <si>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</si>
  <si>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</si>
  <si>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</si>
  <si>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</si>
  <si>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</si>
  <si>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</si>
  <si>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</si>
  <si>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</si>
  <si>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</si>
  <si>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</si>
  <si>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</si>
  <si>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</si>
  <si>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</si>
  <si>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</si>
  <si>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</si>
  <si>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</si>
  <si>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</si>
  <si>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</si>
  <si>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</si>
  <si>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</si>
  <si>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</si>
  <si>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</si>
  <si>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</si>
  <si>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</si>
  <si>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</si>
  <si>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</si>
  <si>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</si>
  <si>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</si>
  <si>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</si>
  <si>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</si>
  <si>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</si>
  <si>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</si>
  <si>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</si>
  <si>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</si>
  <si>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</si>
  <si>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</si>
  <si>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</si>
  <si>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</si>
  <si>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</si>
  <si>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</si>
  <si>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</si>
  <si>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</si>
  <si>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</si>
  <si>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</si>
  <si>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</si>
  <si>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</si>
  <si>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</si>
  <si>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</si>
  <si>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</si>
  <si>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</si>
  <si>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</si>
  <si>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</si>
  <si>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</si>
  <si>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</si>
  <si>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</si>
  <si>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</si>
  <si>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</si>
  <si>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</si>
  <si>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</si>
  <si>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</si>
  <si>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</si>
  <si>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</si>
  <si>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</si>
  <si>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</si>
  <si>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</si>
  <si>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</si>
  <si>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</si>
  <si>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</si>
  <si>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</si>
  <si>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</si>
  <si>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</si>
  <si>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</si>
  <si>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</si>
  <si>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</si>
  <si>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</si>
  <si>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</si>
  <si>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</si>
  <si>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</si>
  <si>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</si>
  <si>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</si>
  <si>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</si>
  <si>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</si>
  <si>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</si>
  <si>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</si>
  <si>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</si>
  <si>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</si>
  <si>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</si>
  <si>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</si>
  <si>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</si>
  <si>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</si>
  <si>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</si>
  <si>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</si>
  <si>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</si>
  <si>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</si>
  <si>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</si>
  <si>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</si>
  <si>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</si>
  <si>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</si>
  <si>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</si>
  <si>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</si>
  <si>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</si>
  <si>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</si>
  <si>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</si>
  <si>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</si>
  <si>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</si>
  <si>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</si>
  <si>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</si>
  <si>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</si>
  <si>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</si>
  <si>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</si>
  <si>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</si>
  <si>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</si>
  <si>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</si>
  <si>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</si>
  <si>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</si>
  <si>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</si>
  <si>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</si>
  <si>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</si>
  <si>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</si>
  <si>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</si>
  <si>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</si>
  <si>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</si>
  <si>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</si>
  <si>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</si>
  <si>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</si>
  <si>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</si>
  <si>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</si>
  <si>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</si>
  <si>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</si>
  <si>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</si>
  <si>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</si>
  <si>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</si>
  <si>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</si>
  <si>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</si>
  <si>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</si>
  <si>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</si>
  <si>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</si>
  <si>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</si>
  <si>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</si>
  <si>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</si>
  <si>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</si>
  <si>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</si>
  <si>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</si>
  <si>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</si>
  <si>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</si>
  <si>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</si>
  <si>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</si>
  <si>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</si>
  <si>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</si>
  <si>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</si>
  <si>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</si>
  <si>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</si>
  <si>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</si>
  <si>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</si>
  <si>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</si>
  <si>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</si>
  <si>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</si>
  <si>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</si>
  <si>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</si>
  <si>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</si>
  <si>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</si>
  <si>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</si>
  <si>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</si>
  <si>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</si>
  <si>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</si>
  <si>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</si>
  <si>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</si>
  <si>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</si>
  <si>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</si>
  <si>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</si>
  <si>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</si>
  <si>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</si>
  <si>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</si>
  <si>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</si>
  <si>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</si>
  <si>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</si>
  <si>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</si>
  <si>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</si>
  <si>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</si>
  <si>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</si>
  <si>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</si>
  <si>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</si>
  <si>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</si>
  <si>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</si>
  <si>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</si>
  <si>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</si>
  <si>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</si>
  <si>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</si>
  <si>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</si>
  <si>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</si>
  <si>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</si>
  <si>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</si>
  <si>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</si>
  <si>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</si>
  <si>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</si>
  <si>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</si>
  <si>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</si>
  <si>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</si>
  <si>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</si>
  <si>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</si>
  <si>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</si>
  <si>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</si>
  <si>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</si>
  <si>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</si>
  <si>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</si>
  <si>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</si>
  <si>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</si>
  <si>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</si>
  <si>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</si>
  <si>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</si>
  <si>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</si>
  <si>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</si>
  <si>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</si>
  <si>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</si>
  <si>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</si>
  <si>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</si>
  <si>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</si>
  <si>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</si>
  <si>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</si>
  <si>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</si>
  <si>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</si>
  <si>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</si>
  <si>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</si>
  <si>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</si>
  <si>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</si>
  <si>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</si>
  <si>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</si>
  <si>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</si>
  <si>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</si>
  <si>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</si>
  <si>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</si>
  <si>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</si>
  <si>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</si>
  <si>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</si>
  <si>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</si>
  <si>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</si>
  <si>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</si>
  <si>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</si>
  <si>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</si>
  <si>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</si>
  <si>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</si>
  <si>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</si>
  <si>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</si>
  <si>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</si>
  <si>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</si>
  <si>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</si>
  <si>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</si>
  <si>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</si>
  <si>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</si>
  <si>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</si>
  <si>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</si>
  <si>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</si>
  <si>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</si>
  <si>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</si>
  <si>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</si>
  <si>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</si>
  <si>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</si>
  <si>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</si>
  <si>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</si>
  <si>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</si>
  <si>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</si>
  <si>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</si>
  <si>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</si>
  <si>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</si>
  <si>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</si>
  <si>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</si>
  <si>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</si>
  <si>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</si>
  <si>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</si>
  <si>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</si>
  <si>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</si>
  <si>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</si>
  <si>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</si>
  <si>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</si>
  <si>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</si>
  <si>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</si>
  <si>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</si>
  <si>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</si>
  <si>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</si>
  <si>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</si>
  <si>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</si>
  <si>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</si>
  <si>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</si>
  <si>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</si>
  <si>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</si>
  <si>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</si>
  <si>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</si>
  <si>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</si>
  <si>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</si>
  <si>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</si>
  <si>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</si>
  <si>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</si>
  <si>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</si>
  <si>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</si>
  <si>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</si>
  <si>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</si>
  <si>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</si>
  <si>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</si>
  <si>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</si>
  <si>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</si>
  <si>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</si>
  <si>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</si>
  <si>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</si>
  <si>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</si>
  <si>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</si>
  <si>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</si>
  <si>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</si>
  <si>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</si>
  <si>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</si>
  <si>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</si>
  <si>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</si>
  <si>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</si>
  <si>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</si>
  <si>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</si>
  <si>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</si>
  <si>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</si>
  <si>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</si>
  <si>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</si>
  <si>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</si>
  <si>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</si>
  <si>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</si>
  <si>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</si>
  <si>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</si>
  <si>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</si>
  <si>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</si>
  <si>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</si>
  <si>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</si>
  <si>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</si>
  <si>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</si>
  <si>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</si>
  <si>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</si>
  <si>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</si>
  <si>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</si>
  <si>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</si>
  <si>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</si>
  <si>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</si>
  <si>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</si>
  <si>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</si>
  <si>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</si>
  <si>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</si>
  <si>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</si>
  <si>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</si>
  <si>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</si>
  <si>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</si>
  <si>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</si>
  <si>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</si>
  <si>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</si>
  <si>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</si>
  <si>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</si>
  <si>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</si>
  <si>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</si>
  <si>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</si>
  <si>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</si>
  <si>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</si>
  <si>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</si>
  <si>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</si>
  <si>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</si>
  <si>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</si>
  <si>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</si>
  <si>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</si>
  <si>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</si>
  <si>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</si>
  <si>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</si>
  <si>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</si>
  <si>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</si>
  <si>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</si>
  <si>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</si>
  <si>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</si>
  <si>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</si>
  <si>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</si>
  <si>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</si>
  <si>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</si>
  <si>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</si>
  <si>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</si>
  <si>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</si>
  <si>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</si>
  <si>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</si>
  <si>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</si>
  <si>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</si>
  <si>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</si>
  <si>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</si>
  <si>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</si>
  <si>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</si>
  <si>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</si>
  <si>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</si>
  <si>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</si>
  <si>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</si>
  <si>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</si>
  <si>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</si>
  <si>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</si>
  <si>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</si>
  <si>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</si>
  <si>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</si>
  <si>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</si>
  <si>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</si>
  <si>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</si>
  <si>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</si>
  <si>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</si>
  <si>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</si>
  <si>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</si>
  <si>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</si>
  <si>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</si>
  <si>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</si>
  <si>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</si>
  <si>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</si>
  <si>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</si>
  <si>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</si>
  <si>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</si>
  <si>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</si>
  <si>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</si>
  <si>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</si>
  <si>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</si>
  <si>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</si>
  <si>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</si>
  <si>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</si>
  <si>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</si>
  <si>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</si>
  <si>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</si>
  <si>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</si>
  <si>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</si>
  <si>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</si>
  <si>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</si>
  <si>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</si>
  <si>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</si>
  <si>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</si>
  <si>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</si>
  <si>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</si>
  <si>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</si>
  <si>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</si>
  <si>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</si>
  <si>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</si>
  <si>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</si>
  <si>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p3</t>
  </si>
  <si>
    <t>p3/file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</si>
  <si>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</si>
  <si>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</si>
  <si>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</si>
  <si>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</si>
  <si>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</si>
  <si>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</si>
  <si>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</si>
  <si>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</si>
  <si>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</si>
  <si>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</si>
  <si>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</si>
  <si>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</si>
  <si>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</si>
  <si>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</si>
  <si>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</si>
  <si>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</si>
  <si>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</si>
  <si>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</si>
  <si>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</si>
  <si>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</si>
  <si>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</si>
  <si>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</si>
  <si>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</si>
  <si>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</si>
  <si>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</si>
  <si>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</si>
  <si>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</si>
  <si>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</si>
  <si>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</si>
  <si>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</si>
  <si>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</si>
  <si>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</si>
  <si>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</si>
  <si>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</si>
  <si>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</si>
  <si>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</si>
  <si>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</si>
  <si>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</si>
  <si>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</si>
  <si>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</si>
  <si>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</si>
  <si>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</si>
  <si>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</si>
  <si>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</si>
  <si>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</si>
  <si>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</si>
  <si>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</si>
  <si>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</si>
  <si>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</si>
  <si>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</si>
  <si>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</si>
  <si>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</si>
  <si>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</si>
  <si>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</si>
  <si>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</si>
  <si>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</si>
  <si>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</si>
  <si>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</si>
  <si>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</si>
  <si>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</si>
  <si>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</si>
  <si>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</si>
  <si>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</si>
  <si>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</si>
  <si>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</si>
  <si>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</si>
  <si>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</si>
  <si>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</si>
  <si>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</si>
  <si>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</si>
  <si>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</si>
  <si>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</si>
  <si>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</si>
  <si>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</si>
  <si>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</si>
  <si>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</si>
  <si>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</si>
  <si>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</si>
  <si>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</si>
  <si>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</si>
  <si>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</si>
  <si>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</si>
  <si>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</si>
  <si>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</si>
  <si>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</si>
  <si>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</si>
  <si>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</si>
  <si>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</si>
  <si>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</si>
  <si>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</si>
  <si>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</si>
  <si>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</si>
  <si>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</si>
  <si>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</si>
  <si>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</si>
  <si>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</si>
  <si>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</si>
  <si>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</si>
  <si>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</si>
  <si>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</si>
  <si>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</si>
  <si>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</si>
  <si>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</si>
  <si>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</si>
  <si>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</si>
  <si>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</si>
  <si>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</si>
  <si>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</si>
  <si>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</si>
  <si>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</si>
  <si>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</si>
  <si>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</si>
  <si>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</si>
  <si>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</si>
  <si>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</si>
  <si>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</si>
  <si>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</si>
  <si>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</si>
  <si>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</si>
  <si>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</si>
  <si>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</si>
  <si>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</si>
  <si>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</si>
  <si>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</si>
  <si>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</si>
  <si>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</si>
  <si>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</si>
  <si>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</si>
  <si>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</si>
  <si>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</si>
  <si>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</si>
  <si>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</si>
  <si>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</si>
  <si>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</si>
  <si>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</si>
  <si>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</si>
  <si>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</si>
  <si>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</si>
  <si>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</si>
  <si>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</si>
  <si>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</si>
  <si>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</si>
  <si>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</si>
  <si>
    <t>Q124</t>
  </si>
  <si>
    <t>Q224</t>
  </si>
  <si>
    <t>Q324</t>
  </si>
  <si>
    <t>Q424</t>
  </si>
  <si>
    <t>Q125</t>
  </si>
  <si>
    <t>Q225</t>
  </si>
  <si>
    <t>Q325</t>
  </si>
  <si>
    <t>Q425</t>
  </si>
  <si>
    <t>lenacapavir</t>
  </si>
  <si>
    <t>Livdelzi (seladelpar)</t>
  </si>
  <si>
    <t>PBC</t>
  </si>
  <si>
    <t>Filed</t>
  </si>
  <si>
    <t>lencapavir</t>
  </si>
  <si>
    <t>Phase III "PURPOSE 1"</t>
  </si>
  <si>
    <t>Phase III "PURPOSE 2"</t>
  </si>
  <si>
    <t>twice-yearly</t>
  </si>
  <si>
    <t>anitocabtagene autoleucel</t>
  </si>
  <si>
    <t>Multiple Myeloma</t>
  </si>
  <si>
    <t>ACLX</t>
  </si>
  <si>
    <t>mBC, mUC, ES-SCLC</t>
  </si>
  <si>
    <t>CMO: Dietmar Berger, Merdad Parsey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</si>
</sst>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8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1" fillId="6" borderId="0" xfId="0" applyNumberFormat="1" applyFont="1" applyFill="1" applyAlignment="1">
      <alignment horizontal="right"/>
    </xf>
    <xf numFmtId="3" fontId="0" fillId="6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115C374-7F30-46B7-A3E1-3B53BBDFC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40523</xdr:colOff>
      <xdr:row>0</xdr:row>
      <xdr:rowOff>0</xdr:rowOff>
    </xdr:from>
    <xdr:to>
      <xdr:col>94</xdr:col>
      <xdr:colOff>40523</xdr:colOff>
      <xdr:row>117</xdr:row>
      <xdr:rowOff>19050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4755316" y="0"/>
          <a:ext cx="0" cy="184033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122</xdr:col>
      <xdr:colOff>4152</xdr:colOff>
      <xdr:row>0</xdr:row>
      <xdr:rowOff>0</xdr:rowOff>
    </xdr:from>
    <xdr:to>
      <xdr:col>122</xdr:col>
      <xdr:colOff>4152</xdr:colOff>
      <xdr:row>93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ColWidth="8.81640625" defaultRowHeight="12.5" x14ac:dyDescent="0.25"/>
  <cols>
    <col min="1" max="1" width="4.453125" bestFit="1" customWidth="1"/>
    <col min="2" max="2" width="13.453125" customWidth="1"/>
    <col min="3" max="3" width="19.26953125" customWidth="1"/>
    <col min="4" max="4" width="15" style="164" customWidth="1"/>
  </cols>
  <sheetData>
    <row r="1" spans="1:10" x14ac:dyDescent="0.25">
      <c r="A1" s="162" t="s">
        <v>139</v>
      </c>
    </row>
    <row r="2" spans="1:10" x14ac:dyDescent="0.25">
      <c r="A2" s="95"/>
      <c r="B2" s="95" t="s">
        <v>140</v>
      </c>
      <c r="C2" s="95" t="s">
        <v>141</v>
      </c>
      <c r="D2" s="164" t="s">
        <v>1</v>
      </c>
      <c r="E2" t="s">
        <v>2</v>
      </c>
      <c r="F2" s="95" t="s">
        <v>193</v>
      </c>
      <c r="G2" t="s">
        <v>711</v>
      </c>
      <c r="H2" t="s">
        <v>3</v>
      </c>
      <c r="I2" t="s">
        <v>712</v>
      </c>
      <c r="J2" t="s">
        <v>233</v>
      </c>
    </row>
    <row r="3" spans="1:10" x14ac:dyDescent="0.25">
      <c r="B3" s="162" t="s">
        <v>164</v>
      </c>
      <c r="C3" s="95" t="s">
        <v>165</v>
      </c>
      <c r="D3" s="164" t="s">
        <v>66</v>
      </c>
      <c r="E3" s="160">
        <v>1</v>
      </c>
      <c r="F3" s="161">
        <v>40231</v>
      </c>
      <c r="G3" s="89" t="s">
        <v>67</v>
      </c>
      <c r="H3" s="89" t="s">
        <v>169</v>
      </c>
    </row>
    <row r="4" spans="1:10" x14ac:dyDescent="0.25">
      <c r="B4" s="95" t="s">
        <v>679</v>
      </c>
      <c r="C4" s="95" t="s">
        <v>714</v>
      </c>
      <c r="D4" s="165" t="s">
        <v>15</v>
      </c>
      <c r="E4" s="160">
        <v>1</v>
      </c>
      <c r="F4" s="161"/>
      <c r="G4" s="89"/>
      <c r="H4" s="89"/>
    </row>
    <row r="5" spans="1:10" x14ac:dyDescent="0.25">
      <c r="B5" t="s">
        <v>264</v>
      </c>
      <c r="D5" s="164" t="s">
        <v>187</v>
      </c>
      <c r="E5" s="160" t="s">
        <v>43</v>
      </c>
      <c r="F5" s="89" t="s">
        <v>344</v>
      </c>
      <c r="G5" s="89"/>
      <c r="H5" s="89"/>
    </row>
    <row r="6" spans="1:10" x14ac:dyDescent="0.25">
      <c r="B6" t="s">
        <v>678</v>
      </c>
      <c r="C6" s="95" t="s">
        <v>708</v>
      </c>
      <c r="D6" s="165" t="s">
        <v>6</v>
      </c>
      <c r="E6" s="160"/>
      <c r="F6" s="89"/>
      <c r="G6" s="89"/>
      <c r="H6" s="89"/>
    </row>
    <row r="7" spans="1:10" x14ac:dyDescent="0.25">
      <c r="B7" s="163" t="s">
        <v>586</v>
      </c>
      <c r="C7" s="95" t="s">
        <v>707</v>
      </c>
      <c r="D7" s="166" t="s">
        <v>6</v>
      </c>
      <c r="E7" s="161"/>
      <c r="F7" s="89"/>
      <c r="G7" s="89"/>
    </row>
    <row r="8" spans="1:10" x14ac:dyDescent="0.25">
      <c r="B8" s="163" t="s">
        <v>709</v>
      </c>
      <c r="C8" s="95" t="s">
        <v>710</v>
      </c>
      <c r="D8" s="166" t="s">
        <v>713</v>
      </c>
      <c r="E8" s="161"/>
      <c r="F8" s="89"/>
      <c r="G8" s="89"/>
      <c r="H8">
        <v>203094</v>
      </c>
    </row>
    <row r="9" spans="1:10" x14ac:dyDescent="0.25">
      <c r="B9" s="95" t="s">
        <v>706</v>
      </c>
      <c r="C9" s="95" t="s">
        <v>617</v>
      </c>
      <c r="D9" s="165" t="s">
        <v>6</v>
      </c>
    </row>
    <row r="10" spans="1:10" x14ac:dyDescent="0.25">
      <c r="B10" s="95" t="s">
        <v>715</v>
      </c>
      <c r="C10" s="95" t="s">
        <v>716</v>
      </c>
      <c r="D10" s="165" t="s">
        <v>15</v>
      </c>
      <c r="E10" s="160">
        <v>1</v>
      </c>
    </row>
    <row r="11" spans="1:10" x14ac:dyDescent="0.25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25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5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25">
      <c r="B20" s="95" t="s">
        <v>503</v>
      </c>
      <c r="C20" s="95"/>
    </row>
    <row r="21" spans="2:7" x14ac:dyDescent="0.25">
      <c r="B21" s="95" t="s">
        <v>634</v>
      </c>
      <c r="C21" s="95"/>
    </row>
    <row r="22" spans="2:7" x14ac:dyDescent="0.25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  <row r="23" spans="2:7" x14ac:dyDescent="0.25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25">
      <c r="B24" s="96" t="s">
        <v>763</v>
      </c>
      <c r="C24" s="97" t="s">
        <v>15</v>
      </c>
      <c r="D24" s="98">
        <v>1</v>
      </c>
      <c r="E24" s="97" t="s">
        <v>317</v>
      </c>
      <c r="F24" s="97" t="s">
        <v>487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20" zoomScaleNormal="220" workbookViewId="0">
      <selection activeCell="C5" sqref="C5"/>
    </sheetView>
  </sheetViews>
  <sheetFormatPr defaultColWidth="8.81640625" defaultRowHeight="12.5" x14ac:dyDescent="0.25"/>
  <cols>
    <col min="1" max="1" width="5" bestFit="1" customWidth="1"/>
    <col min="2" max="2" width="10.26953125" bestFit="1" customWidth="1"/>
  </cols>
  <sheetData>
    <row r="1" spans="1:3" x14ac:dyDescent="0.25">
      <c r="A1" s="33" t="s">
        <v>139</v>
      </c>
    </row>
    <row r="2" spans="1:3" x14ac:dyDescent="0.25">
      <c r="B2" s="95" t="s">
        <v>54</v>
      </c>
      <c r="C2" s="95" t="s">
        <v>684</v>
      </c>
    </row>
    <row r="3" spans="1:3" x14ac:dyDescent="0.25">
      <c r="B3" s="95" t="s">
        <v>53</v>
      </c>
      <c r="C3" s="95" t="s">
        <v>756</v>
      </c>
    </row>
    <row r="4" spans="1:3" x14ac:dyDescent="0.25">
      <c r="B4" s="95" t="s">
        <v>1</v>
      </c>
      <c r="C4" s="95" t="s">
        <v>788</v>
      </c>
    </row>
    <row r="5" spans="1:3" x14ac:dyDescent="0.25">
      <c r="B5" s="95" t="s">
        <v>711</v>
      </c>
    </row>
    <row r="6" spans="1:3" x14ac:dyDescent="0.25">
      <c r="B6" s="95" t="s">
        <v>2</v>
      </c>
      <c r="C6" s="95" t="s">
        <v>757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5</v>
      </c>
    </row>
    <row r="3" spans="1:3" x14ac:dyDescent="0.25">
      <c r="B3" s="1" t="s">
        <v>141</v>
      </c>
    </row>
    <row r="4" spans="1:3" ht="13" x14ac:dyDescent="0.3">
      <c r="B4" s="1" t="s">
        <v>138</v>
      </c>
      <c r="C4" s="15" t="s">
        <v>350</v>
      </c>
    </row>
    <row r="5" spans="1:3" x14ac:dyDescent="0.25">
      <c r="B5" s="1" t="s">
        <v>143</v>
      </c>
      <c r="C5" s="1" t="s">
        <v>144</v>
      </c>
    </row>
    <row r="6" spans="1:3" x14ac:dyDescent="0.25">
      <c r="B6" s="1" t="s">
        <v>142</v>
      </c>
      <c r="C6" s="1" t="s">
        <v>170</v>
      </c>
    </row>
    <row r="7" spans="1:3" x14ac:dyDescent="0.25">
      <c r="C7" s="1" t="s">
        <v>171</v>
      </c>
    </row>
    <row r="8" spans="1:3" x14ac:dyDescent="0.25">
      <c r="C8" s="1" t="s">
        <v>172</v>
      </c>
    </row>
    <row r="9" spans="1:3" x14ac:dyDescent="0.25">
      <c r="C9" s="1" t="s">
        <v>173</v>
      </c>
    </row>
    <row r="11" spans="1:3" ht="13" x14ac:dyDescent="0.3">
      <c r="B11" s="34" t="s">
        <v>336</v>
      </c>
    </row>
    <row r="12" spans="1:3" x14ac:dyDescent="0.25">
      <c r="B12" s="16" t="s">
        <v>335</v>
      </c>
    </row>
    <row r="13" spans="1:3" ht="13" x14ac:dyDescent="0.3">
      <c r="B13" s="34"/>
    </row>
    <row r="14" spans="1:3" ht="13" x14ac:dyDescent="0.3">
      <c r="B14" s="34" t="s">
        <v>326</v>
      </c>
    </row>
    <row r="15" spans="1:3" x14ac:dyDescent="0.25">
      <c r="B15" s="1" t="s">
        <v>327</v>
      </c>
    </row>
    <row r="17" spans="2:11" ht="13" x14ac:dyDescent="0.3">
      <c r="B17" s="34" t="s">
        <v>328</v>
      </c>
    </row>
    <row r="19" spans="2:11" ht="13" x14ac:dyDescent="0.3">
      <c r="B19" s="34" t="s">
        <v>201</v>
      </c>
    </row>
    <row r="20" spans="2:11" x14ac:dyDescent="0.25">
      <c r="B20" s="1" t="s">
        <v>200</v>
      </c>
      <c r="J20" s="6" t="s">
        <v>222</v>
      </c>
      <c r="K20" s="6"/>
    </row>
    <row r="21" spans="2:11" x14ac:dyDescent="0.25">
      <c r="J21" s="6" t="s">
        <v>223</v>
      </c>
      <c r="K21" s="6" t="s">
        <v>225</v>
      </c>
    </row>
    <row r="22" spans="2:11" x14ac:dyDescent="0.25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5">
      <c r="I23" s="42">
        <v>39087</v>
      </c>
      <c r="J23" s="18">
        <v>17109</v>
      </c>
      <c r="K23" s="44">
        <v>0.22700000000000001</v>
      </c>
    </row>
    <row r="24" spans="2:11" x14ac:dyDescent="0.25">
      <c r="B24" s="1" t="s">
        <v>198</v>
      </c>
      <c r="J24" s="6"/>
      <c r="K24" s="6"/>
    </row>
    <row r="26" spans="2:11" x14ac:dyDescent="0.25">
      <c r="B26" s="1" t="s">
        <v>197</v>
      </c>
    </row>
    <row r="27" spans="2:11" x14ac:dyDescent="0.25">
      <c r="B27" s="1" t="s">
        <v>196</v>
      </c>
    </row>
    <row r="28" spans="2:11" x14ac:dyDescent="0.25">
      <c r="B28" s="1" t="s">
        <v>195</v>
      </c>
    </row>
    <row r="30" spans="2:11" x14ac:dyDescent="0.25">
      <c r="B30" s="1" t="s">
        <v>194</v>
      </c>
    </row>
    <row r="32" spans="2:11" ht="13" x14ac:dyDescent="0.3">
      <c r="B32" s="34" t="s">
        <v>348</v>
      </c>
    </row>
    <row r="33" spans="2:2" x14ac:dyDescent="0.25">
      <c r="B33" s="1" t="s">
        <v>346</v>
      </c>
    </row>
    <row r="34" spans="2:2" x14ac:dyDescent="0.25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1.453125" style="1" customWidth="1"/>
    <col min="4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7</v>
      </c>
    </row>
    <row r="3" spans="1:3" x14ac:dyDescent="0.25">
      <c r="B3" s="1" t="s">
        <v>141</v>
      </c>
      <c r="C3" s="1" t="s">
        <v>304</v>
      </c>
    </row>
    <row r="4" spans="1:3" x14ac:dyDescent="0.25">
      <c r="B4" s="1" t="s">
        <v>1</v>
      </c>
      <c r="C4" s="1" t="s">
        <v>260</v>
      </c>
    </row>
    <row r="5" spans="1:3" x14ac:dyDescent="0.25">
      <c r="C5" s="1" t="s">
        <v>277</v>
      </c>
    </row>
    <row r="6" spans="1:3" x14ac:dyDescent="0.25">
      <c r="C6" s="1" t="s">
        <v>305</v>
      </c>
    </row>
    <row r="7" spans="1:3" x14ac:dyDescent="0.25">
      <c r="B7" s="1" t="s">
        <v>138</v>
      </c>
      <c r="C7" s="39" t="s">
        <v>314</v>
      </c>
    </row>
    <row r="8" spans="1:3" x14ac:dyDescent="0.25">
      <c r="B8" s="1" t="s">
        <v>4</v>
      </c>
      <c r="C8" s="1" t="s">
        <v>352</v>
      </c>
    </row>
    <row r="9" spans="1:3" x14ac:dyDescent="0.25">
      <c r="B9" s="1" t="s">
        <v>142</v>
      </c>
    </row>
    <row r="10" spans="1:3" ht="13" x14ac:dyDescent="0.3">
      <c r="C10" s="34" t="s">
        <v>302</v>
      </c>
    </row>
    <row r="11" spans="1:3" x14ac:dyDescent="0.25">
      <c r="C11" s="1" t="s">
        <v>175</v>
      </c>
    </row>
    <row r="12" spans="1:3" x14ac:dyDescent="0.25">
      <c r="C12" s="1" t="s">
        <v>176</v>
      </c>
    </row>
    <row r="13" spans="1:3" x14ac:dyDescent="0.25">
      <c r="C13" s="1" t="s">
        <v>177</v>
      </c>
    </row>
    <row r="14" spans="1:3" x14ac:dyDescent="0.25">
      <c r="C14" s="1" t="s">
        <v>178</v>
      </c>
    </row>
    <row r="16" spans="1:3" ht="13" x14ac:dyDescent="0.3">
      <c r="C16" s="34" t="s">
        <v>303</v>
      </c>
    </row>
    <row r="20" spans="3:8" ht="13" x14ac:dyDescent="0.3">
      <c r="C20" s="34" t="s">
        <v>300</v>
      </c>
    </row>
    <row r="21" spans="3:8" x14ac:dyDescent="0.25">
      <c r="C21" s="1" t="s">
        <v>261</v>
      </c>
    </row>
    <row r="22" spans="3:8" x14ac:dyDescent="0.25">
      <c r="C22" s="1" t="s">
        <v>282</v>
      </c>
    </row>
    <row r="24" spans="3:8" ht="13" x14ac:dyDescent="0.3">
      <c r="C24" s="34" t="s">
        <v>301</v>
      </c>
    </row>
    <row r="25" spans="3:8" x14ac:dyDescent="0.25">
      <c r="C25" s="1" t="s">
        <v>283</v>
      </c>
    </row>
    <row r="26" spans="3:8" x14ac:dyDescent="0.25">
      <c r="C26" s="1" t="s">
        <v>284</v>
      </c>
    </row>
    <row r="29" spans="3:8" x14ac:dyDescent="0.25">
      <c r="D29" s="6" t="s">
        <v>222</v>
      </c>
      <c r="E29" s="6"/>
      <c r="G29" s="1" t="s">
        <v>32</v>
      </c>
      <c r="H29" s="1" t="s">
        <v>35</v>
      </c>
    </row>
    <row r="30" spans="3:8" x14ac:dyDescent="0.25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5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5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5">
      <c r="D33" s="6"/>
      <c r="E33" s="6"/>
    </row>
    <row r="36" spans="3:5" ht="13" x14ac:dyDescent="0.3">
      <c r="C36" s="34" t="s">
        <v>420</v>
      </c>
    </row>
    <row r="38" spans="3:5" ht="13" x14ac:dyDescent="0.3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1640625" defaultRowHeight="12.5" x14ac:dyDescent="0.25"/>
  <cols>
    <col min="1" max="1" width="4.453125" bestFit="1" customWidth="1"/>
    <col min="2" max="2" width="12.26953125" bestFit="1" customWidth="1"/>
  </cols>
  <sheetData>
    <row r="1" spans="1:3" x14ac:dyDescent="0.25">
      <c r="A1" s="33" t="s">
        <v>139</v>
      </c>
    </row>
    <row r="2" spans="1:3" x14ac:dyDescent="0.25">
      <c r="B2" s="95" t="s">
        <v>140</v>
      </c>
      <c r="C2" s="95" t="s">
        <v>368</v>
      </c>
    </row>
    <row r="3" spans="1:3" x14ac:dyDescent="0.25">
      <c r="B3" s="95" t="s">
        <v>141</v>
      </c>
      <c r="C3" s="95" t="s">
        <v>630</v>
      </c>
    </row>
    <row r="4" spans="1:3" x14ac:dyDescent="0.25">
      <c r="B4" s="95" t="s">
        <v>629</v>
      </c>
    </row>
    <row r="5" spans="1:3" ht="13" x14ac:dyDescent="0.3">
      <c r="C5" s="121" t="s">
        <v>631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8" width="9.1796875" style="1"/>
    <col min="9" max="9" width="9.453125" style="1" customWidth="1"/>
    <col min="10" max="13" width="9.1796875" style="6"/>
    <col min="14" max="16384" width="9.1796875" style="1"/>
  </cols>
  <sheetData>
    <row r="1" spans="1:13" x14ac:dyDescent="0.25">
      <c r="A1" s="12" t="s">
        <v>139</v>
      </c>
    </row>
    <row r="2" spans="1:13" x14ac:dyDescent="0.25">
      <c r="B2" s="1" t="s">
        <v>140</v>
      </c>
      <c r="C2" s="1" t="s">
        <v>145</v>
      </c>
    </row>
    <row r="3" spans="1:13" x14ac:dyDescent="0.25">
      <c r="B3" s="1" t="s">
        <v>141</v>
      </c>
      <c r="C3" s="1" t="s">
        <v>153</v>
      </c>
    </row>
    <row r="4" spans="1:13" x14ac:dyDescent="0.25">
      <c r="B4" s="1" t="s">
        <v>138</v>
      </c>
      <c r="C4" s="1" t="s">
        <v>154</v>
      </c>
    </row>
    <row r="5" spans="1:13" x14ac:dyDescent="0.25">
      <c r="B5" s="1" t="s">
        <v>142</v>
      </c>
      <c r="C5" s="1" t="s">
        <v>174</v>
      </c>
    </row>
    <row r="6" spans="1:13" x14ac:dyDescent="0.25">
      <c r="B6" s="1" t="s">
        <v>193</v>
      </c>
      <c r="C6" s="1" t="s">
        <v>308</v>
      </c>
    </row>
    <row r="7" spans="1:13" x14ac:dyDescent="0.25">
      <c r="C7" s="1" t="s">
        <v>315</v>
      </c>
    </row>
    <row r="8" spans="1:13" x14ac:dyDescent="0.25">
      <c r="B8" s="1" t="s">
        <v>138</v>
      </c>
      <c r="C8" s="1" t="s">
        <v>355</v>
      </c>
    </row>
    <row r="9" spans="1:13" x14ac:dyDescent="0.25">
      <c r="A9" s="92"/>
      <c r="J9" s="6" t="s">
        <v>222</v>
      </c>
    </row>
    <row r="10" spans="1:13" x14ac:dyDescent="0.25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5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5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5">
      <c r="B14" s="1" t="s">
        <v>205</v>
      </c>
    </row>
    <row r="15" spans="1:13" x14ac:dyDescent="0.25">
      <c r="B15" s="40" t="s">
        <v>204</v>
      </c>
      <c r="C15" s="9" t="s">
        <v>203</v>
      </c>
      <c r="D15" s="9" t="s">
        <v>202</v>
      </c>
    </row>
    <row r="16" spans="1:13" x14ac:dyDescent="0.25">
      <c r="B16" s="1" t="s">
        <v>5</v>
      </c>
      <c r="C16" s="41">
        <v>759</v>
      </c>
      <c r="D16" s="7">
        <f>C16/C18</f>
        <v>0.62009803921568629</v>
      </c>
    </row>
    <row r="17" spans="2:4" x14ac:dyDescent="0.25">
      <c r="B17" s="1" t="s">
        <v>33</v>
      </c>
      <c r="C17" s="41">
        <v>465</v>
      </c>
      <c r="D17" s="7">
        <f>C17/C18</f>
        <v>0.37990196078431371</v>
      </c>
    </row>
    <row r="18" spans="2:4" x14ac:dyDescent="0.25">
      <c r="B18" s="1" t="s">
        <v>34</v>
      </c>
      <c r="C18" s="41">
        <f>C17+C16</f>
        <v>1224</v>
      </c>
      <c r="D18" s="6"/>
    </row>
    <row r="19" spans="2:4" x14ac:dyDescent="0.25">
      <c r="B19" s="1" t="s">
        <v>349</v>
      </c>
    </row>
    <row r="21" spans="2:4" x14ac:dyDescent="0.25">
      <c r="B21" s="1" t="s">
        <v>220</v>
      </c>
    </row>
    <row r="22" spans="2:4" x14ac:dyDescent="0.25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5" t="s">
        <v>54</v>
      </c>
      <c r="C2" s="95" t="s">
        <v>702</v>
      </c>
    </row>
    <row r="3" spans="1:3" x14ac:dyDescent="0.25">
      <c r="B3" s="95" t="s">
        <v>53</v>
      </c>
      <c r="C3" s="95" t="s">
        <v>701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5" bestFit="1" customWidth="1"/>
  </cols>
  <sheetData>
    <row r="1" spans="1:8" x14ac:dyDescent="0.25">
      <c r="A1" s="33" t="s">
        <v>139</v>
      </c>
    </row>
    <row r="2" spans="1:8" x14ac:dyDescent="0.25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5">
      <c r="B3" s="14" t="s">
        <v>395</v>
      </c>
      <c r="C3" s="14"/>
      <c r="D3" s="14"/>
      <c r="E3" s="14"/>
      <c r="F3" s="14"/>
      <c r="G3" s="14"/>
      <c r="H3" s="14"/>
    </row>
    <row r="4" spans="1:8" x14ac:dyDescent="0.25">
      <c r="B4" s="14" t="s">
        <v>396</v>
      </c>
      <c r="C4" s="14"/>
      <c r="D4" s="14"/>
      <c r="E4" s="14"/>
      <c r="F4" s="14"/>
      <c r="G4" s="14"/>
      <c r="H4" s="14"/>
    </row>
    <row r="5" spans="1:8" x14ac:dyDescent="0.25">
      <c r="B5" s="14" t="s">
        <v>397</v>
      </c>
      <c r="C5" s="14"/>
      <c r="D5" s="14"/>
      <c r="E5" s="14"/>
      <c r="F5" s="14"/>
      <c r="G5" s="14"/>
      <c r="H5" s="14"/>
    </row>
    <row r="6" spans="1:8" x14ac:dyDescent="0.25">
      <c r="B6" s="14" t="s">
        <v>398</v>
      </c>
      <c r="C6" s="14"/>
      <c r="D6" s="14"/>
      <c r="E6" s="14"/>
      <c r="F6" s="14"/>
      <c r="G6" s="14"/>
      <c r="H6" s="14"/>
    </row>
    <row r="7" spans="1:8" x14ac:dyDescent="0.25">
      <c r="B7" s="14" t="s">
        <v>399</v>
      </c>
      <c r="C7" s="14"/>
      <c r="D7" s="14"/>
      <c r="E7" s="14"/>
      <c r="F7" s="14"/>
      <c r="G7" s="14"/>
      <c r="H7" s="14"/>
    </row>
    <row r="8" spans="1:8" x14ac:dyDescent="0.25">
      <c r="B8" s="14" t="s">
        <v>400</v>
      </c>
      <c r="C8" s="14"/>
      <c r="D8" s="14"/>
      <c r="E8" s="14"/>
      <c r="F8" s="14"/>
      <c r="G8" s="14"/>
      <c r="H8" s="14"/>
    </row>
    <row r="9" spans="1:8" x14ac:dyDescent="0.25">
      <c r="B9" s="14" t="s">
        <v>401</v>
      </c>
      <c r="C9" s="14"/>
      <c r="D9" s="14"/>
      <c r="E9" s="14"/>
      <c r="F9" s="14"/>
      <c r="G9" s="14"/>
      <c r="H9" s="14"/>
    </row>
    <row r="10" spans="1:8" x14ac:dyDescent="0.25">
      <c r="B10" s="14" t="s">
        <v>402</v>
      </c>
      <c r="C10" s="14"/>
      <c r="D10" s="14"/>
      <c r="E10" s="14"/>
      <c r="F10" s="14"/>
      <c r="G10" s="14"/>
      <c r="H10" s="14"/>
    </row>
    <row r="11" spans="1:8" x14ac:dyDescent="0.25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5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5">
      <c r="B13" s="14" t="s">
        <v>393</v>
      </c>
      <c r="C13" s="14"/>
      <c r="D13" s="14"/>
      <c r="E13" s="14"/>
      <c r="F13" s="14"/>
      <c r="G13" s="14"/>
      <c r="H13" s="14"/>
    </row>
    <row r="14" spans="1:8" x14ac:dyDescent="0.25">
      <c r="B14" s="14" t="s">
        <v>383</v>
      </c>
      <c r="C14" s="14"/>
      <c r="D14" s="14"/>
      <c r="E14" s="14"/>
      <c r="F14" s="14"/>
      <c r="G14" s="14"/>
      <c r="H14" s="14"/>
    </row>
    <row r="15" spans="1:8" x14ac:dyDescent="0.25">
      <c r="B15" s="14" t="s">
        <v>384</v>
      </c>
      <c r="C15" s="14"/>
      <c r="D15" s="14"/>
      <c r="E15" s="14"/>
      <c r="F15" s="14"/>
      <c r="G15" s="14"/>
      <c r="H15" s="14"/>
    </row>
    <row r="16" spans="1:8" x14ac:dyDescent="0.25">
      <c r="B16" s="14" t="s">
        <v>385</v>
      </c>
      <c r="C16" s="14"/>
      <c r="D16" s="14"/>
      <c r="E16" s="14"/>
      <c r="F16" s="14"/>
      <c r="G16" s="14"/>
      <c r="H16" s="14"/>
    </row>
    <row r="17" spans="2:8" x14ac:dyDescent="0.25">
      <c r="B17" s="14" t="s">
        <v>386</v>
      </c>
      <c r="C17" s="14"/>
      <c r="D17" s="14"/>
      <c r="E17" s="14"/>
      <c r="F17" s="14"/>
      <c r="G17" s="14"/>
      <c r="H17" s="14"/>
    </row>
    <row r="18" spans="2:8" x14ac:dyDescent="0.25">
      <c r="B18" s="14" t="s">
        <v>387</v>
      </c>
      <c r="C18" s="14"/>
      <c r="D18" s="14"/>
      <c r="E18" s="14"/>
      <c r="F18" s="14"/>
      <c r="G18" s="14"/>
      <c r="H18" s="14"/>
    </row>
    <row r="19" spans="2:8" x14ac:dyDescent="0.25">
      <c r="B19" s="14" t="s">
        <v>388</v>
      </c>
      <c r="C19" s="14"/>
      <c r="D19" s="14"/>
      <c r="E19" s="14"/>
      <c r="F19" s="14"/>
      <c r="G19" s="14"/>
      <c r="H19" s="14"/>
    </row>
    <row r="20" spans="2:8" x14ac:dyDescent="0.25">
      <c r="B20" s="14" t="s">
        <v>389</v>
      </c>
      <c r="C20" s="14"/>
      <c r="D20" s="14"/>
      <c r="E20" s="14"/>
      <c r="F20" s="14"/>
      <c r="G20" s="14"/>
      <c r="H20" s="14"/>
    </row>
    <row r="21" spans="2:8" x14ac:dyDescent="0.25">
      <c r="B21" s="14" t="s">
        <v>390</v>
      </c>
      <c r="C21" s="14"/>
      <c r="D21" s="14"/>
      <c r="E21" s="14"/>
      <c r="F21" s="14"/>
      <c r="G21" s="14"/>
      <c r="H21" s="14"/>
    </row>
    <row r="22" spans="2:8" x14ac:dyDescent="0.25">
      <c r="B22" s="14" t="s">
        <v>391</v>
      </c>
      <c r="C22" s="14"/>
      <c r="D22" s="14"/>
      <c r="E22" s="14"/>
      <c r="F22" s="14"/>
      <c r="G22" s="14"/>
      <c r="H22" s="14"/>
    </row>
    <row r="23" spans="2:8" x14ac:dyDescent="0.25">
      <c r="B23" s="14" t="s">
        <v>392</v>
      </c>
      <c r="C23" s="14"/>
      <c r="D23" s="14"/>
      <c r="E23" s="14"/>
      <c r="F23" s="14"/>
      <c r="G23" s="14"/>
      <c r="H23" s="14"/>
    </row>
    <row r="24" spans="2:8" x14ac:dyDescent="0.25">
      <c r="B24" s="14" t="s">
        <v>382</v>
      </c>
      <c r="C24" s="14"/>
      <c r="D24" s="14"/>
      <c r="E24" s="14"/>
      <c r="F24" s="14"/>
      <c r="G24" s="14"/>
      <c r="H24" s="14"/>
    </row>
    <row r="25" spans="2:8" x14ac:dyDescent="0.25">
      <c r="B25" s="14" t="s">
        <v>381</v>
      </c>
      <c r="C25" s="14"/>
      <c r="D25" s="14"/>
      <c r="E25" s="14"/>
      <c r="F25" s="14"/>
      <c r="G25" s="14"/>
      <c r="H25" s="14"/>
    </row>
    <row r="26" spans="2:8" x14ac:dyDescent="0.25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5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5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5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5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796875" defaultRowHeight="13" x14ac:dyDescent="0.3"/>
  <cols>
    <col min="1" max="1" width="9.1796875" style="55"/>
    <col min="2" max="2" width="9.1796875" style="72"/>
    <col min="3" max="3" width="3.26953125" style="55" customWidth="1"/>
    <col min="4" max="4" width="9.1796875" style="55"/>
    <col min="5" max="5" width="11" style="55" customWidth="1"/>
    <col min="6" max="6" width="12.7265625" style="55" customWidth="1"/>
    <col min="7" max="7" width="9.453125" style="56" bestFit="1" customWidth="1"/>
    <col min="8" max="8" width="9.1796875" style="55"/>
    <col min="9" max="16" width="9.1796875" style="7"/>
    <col min="17" max="18" width="9.1796875" style="55"/>
    <col min="19" max="19" width="8.1796875" style="55" bestFit="1" customWidth="1"/>
    <col min="20" max="20" width="11.1796875" style="56" bestFit="1" customWidth="1"/>
    <col min="21" max="21" width="9.1796875" style="55"/>
    <col min="22" max="22" width="9.1796875" style="7"/>
    <col min="23" max="30" width="9.1796875" style="55"/>
    <col min="31" max="31" width="7.453125" style="55" customWidth="1"/>
    <col min="32" max="32" width="11.1796875" style="56" bestFit="1" customWidth="1"/>
    <col min="33" max="33" width="10.26953125" style="56" bestFit="1" customWidth="1"/>
    <col min="34" max="34" width="9.1796875" style="7"/>
    <col min="35" max="40" width="10.26953125" style="56" customWidth="1"/>
    <col min="41" max="41" width="9.1796875" style="56"/>
    <col min="42" max="42" width="10.26953125" style="55" bestFit="1" customWidth="1"/>
    <col min="43" max="43" width="9.1796875" style="55"/>
    <col min="44" max="44" width="10.1796875" style="55" bestFit="1" customWidth="1"/>
    <col min="45" max="45" width="8" style="56" customWidth="1"/>
    <col min="46" max="46" width="9.1796875" style="55"/>
    <col min="47" max="47" width="9.1796875" style="7"/>
    <col min="48" max="16384" width="9.1796875" style="55"/>
  </cols>
  <sheetData>
    <row r="1" spans="1:53" x14ac:dyDescent="0.3">
      <c r="A1" s="67" t="s">
        <v>139</v>
      </c>
    </row>
    <row r="2" spans="1:53" x14ac:dyDescent="0.3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3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" x14ac:dyDescent="0.3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" x14ac:dyDescent="0.3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" x14ac:dyDescent="0.3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" x14ac:dyDescent="0.3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" x14ac:dyDescent="0.3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" x14ac:dyDescent="0.3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" x14ac:dyDescent="0.3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" x14ac:dyDescent="0.3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" x14ac:dyDescent="0.3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" x14ac:dyDescent="0.3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" x14ac:dyDescent="0.3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" x14ac:dyDescent="0.3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" x14ac:dyDescent="0.3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" x14ac:dyDescent="0.3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" x14ac:dyDescent="0.3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" x14ac:dyDescent="0.3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" x14ac:dyDescent="0.3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" x14ac:dyDescent="0.3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" x14ac:dyDescent="0.3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" x14ac:dyDescent="0.3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" x14ac:dyDescent="0.3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" x14ac:dyDescent="0.3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" x14ac:dyDescent="0.3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" x14ac:dyDescent="0.3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" x14ac:dyDescent="0.3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" x14ac:dyDescent="0.3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" x14ac:dyDescent="0.3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" x14ac:dyDescent="0.3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" x14ac:dyDescent="0.3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" x14ac:dyDescent="0.3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" x14ac:dyDescent="0.3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" x14ac:dyDescent="0.3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" x14ac:dyDescent="0.3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" x14ac:dyDescent="0.3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" x14ac:dyDescent="0.3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" x14ac:dyDescent="0.3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" x14ac:dyDescent="0.3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" x14ac:dyDescent="0.3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" x14ac:dyDescent="0.3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" x14ac:dyDescent="0.3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" x14ac:dyDescent="0.3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" x14ac:dyDescent="0.3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" x14ac:dyDescent="0.3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" x14ac:dyDescent="0.3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" x14ac:dyDescent="0.3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" x14ac:dyDescent="0.3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" x14ac:dyDescent="0.3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" x14ac:dyDescent="0.3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" x14ac:dyDescent="0.3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" x14ac:dyDescent="0.3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" x14ac:dyDescent="0.3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" x14ac:dyDescent="0.3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" x14ac:dyDescent="0.3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" x14ac:dyDescent="0.3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" x14ac:dyDescent="0.3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" x14ac:dyDescent="0.3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" x14ac:dyDescent="0.3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" x14ac:dyDescent="0.3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" x14ac:dyDescent="0.3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" x14ac:dyDescent="0.3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" x14ac:dyDescent="0.3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" x14ac:dyDescent="0.3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" x14ac:dyDescent="0.3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" x14ac:dyDescent="0.3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" x14ac:dyDescent="0.3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" x14ac:dyDescent="0.3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" x14ac:dyDescent="0.3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" x14ac:dyDescent="0.3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" x14ac:dyDescent="0.3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" x14ac:dyDescent="0.3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" x14ac:dyDescent="0.3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" x14ac:dyDescent="0.3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" x14ac:dyDescent="0.3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" x14ac:dyDescent="0.3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" x14ac:dyDescent="0.3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" x14ac:dyDescent="0.3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" x14ac:dyDescent="0.3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" x14ac:dyDescent="0.3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" x14ac:dyDescent="0.3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" x14ac:dyDescent="0.3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" x14ac:dyDescent="0.3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" x14ac:dyDescent="0.3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" x14ac:dyDescent="0.3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" x14ac:dyDescent="0.3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" x14ac:dyDescent="0.3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" x14ac:dyDescent="0.3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" x14ac:dyDescent="0.3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" x14ac:dyDescent="0.3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" x14ac:dyDescent="0.3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" x14ac:dyDescent="0.3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" x14ac:dyDescent="0.3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" x14ac:dyDescent="0.3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" x14ac:dyDescent="0.3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" x14ac:dyDescent="0.3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" x14ac:dyDescent="0.3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" x14ac:dyDescent="0.3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" x14ac:dyDescent="0.3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" x14ac:dyDescent="0.3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" x14ac:dyDescent="0.3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" x14ac:dyDescent="0.3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" x14ac:dyDescent="0.3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" x14ac:dyDescent="0.3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" x14ac:dyDescent="0.3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" x14ac:dyDescent="0.3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" x14ac:dyDescent="0.3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" x14ac:dyDescent="0.3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" x14ac:dyDescent="0.3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" x14ac:dyDescent="0.3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" x14ac:dyDescent="0.3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" x14ac:dyDescent="0.3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" x14ac:dyDescent="0.3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" x14ac:dyDescent="0.3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" x14ac:dyDescent="0.3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" x14ac:dyDescent="0.3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" x14ac:dyDescent="0.3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" x14ac:dyDescent="0.3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" x14ac:dyDescent="0.3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" x14ac:dyDescent="0.3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" x14ac:dyDescent="0.3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" x14ac:dyDescent="0.3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" x14ac:dyDescent="0.3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" x14ac:dyDescent="0.3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" x14ac:dyDescent="0.3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" x14ac:dyDescent="0.3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" x14ac:dyDescent="0.3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" x14ac:dyDescent="0.3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" x14ac:dyDescent="0.3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" x14ac:dyDescent="0.3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" x14ac:dyDescent="0.3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" x14ac:dyDescent="0.3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ht="12.5" x14ac:dyDescent="0.25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ht="12.5" x14ac:dyDescent="0.25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ht="12.5" x14ac:dyDescent="0.25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ht="12.5" x14ac:dyDescent="0.25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ht="12.5" x14ac:dyDescent="0.25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3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ht="12.5" x14ac:dyDescent="0.25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ht="12.5" x14ac:dyDescent="0.25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ht="12.5" x14ac:dyDescent="0.25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ht="12.5" x14ac:dyDescent="0.25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ht="12.5" x14ac:dyDescent="0.25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3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ht="12.5" x14ac:dyDescent="0.25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ht="12.5" x14ac:dyDescent="0.25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ht="12.5" x14ac:dyDescent="0.25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ht="12.5" x14ac:dyDescent="0.25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ht="12.5" x14ac:dyDescent="0.25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ht="12.5" x14ac:dyDescent="0.25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ht="12.5" x14ac:dyDescent="0.25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ht="12.5" x14ac:dyDescent="0.25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ht="12.5" x14ac:dyDescent="0.25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3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3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3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3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3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3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3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3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3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3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3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3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3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3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3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3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3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3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3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3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3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3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3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3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3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3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3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3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3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3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3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3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3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3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3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3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3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3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3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3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3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3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3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3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3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3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3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3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3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3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3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3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3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3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3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3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3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3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3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3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3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3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3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3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3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3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3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3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3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3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3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3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3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3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3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3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3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3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3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796875" defaultRowHeight="12.5" x14ac:dyDescent="0.25"/>
  <cols>
    <col min="1" max="1" width="5" style="1" bestFit="1" customWidth="1"/>
    <col min="2" max="2" width="10.1796875" style="1" bestFit="1" customWidth="1"/>
    <col min="3" max="3" width="10.1796875" style="1" customWidth="1"/>
    <col min="4" max="4" width="4.26953125" style="6" bestFit="1" customWidth="1"/>
    <col min="5" max="5" width="6.26953125" style="6" customWidth="1"/>
    <col min="6" max="6" width="5.453125" style="6" bestFit="1" customWidth="1"/>
    <col min="7" max="7" width="5.453125" style="6" customWidth="1"/>
    <col min="8" max="8" width="8.7265625" style="22" customWidth="1"/>
    <col min="9" max="9" width="7.26953125" style="1" customWidth="1"/>
    <col min="10" max="10" width="5.453125" style="1" bestFit="1" customWidth="1"/>
    <col min="11" max="11" width="9.1796875" style="1"/>
    <col min="12" max="12" width="5.81640625" style="1" customWidth="1"/>
    <col min="13" max="13" width="6.453125" style="1" customWidth="1"/>
    <col min="14" max="14" width="5.453125" style="1" bestFit="1" customWidth="1"/>
    <col min="15" max="15" width="7.453125" style="1" customWidth="1"/>
    <col min="16" max="16" width="4.26953125" style="1" bestFit="1" customWidth="1"/>
    <col min="17" max="17" width="9.1796875" style="1"/>
    <col min="18" max="18" width="5.453125" style="1" bestFit="1" customWidth="1"/>
    <col min="19" max="19" width="5.453125" style="1" customWidth="1"/>
    <col min="20" max="20" width="9.1796875" style="6"/>
    <col min="21" max="16384" width="9.1796875" style="1"/>
  </cols>
  <sheetData>
    <row r="1" spans="1:20" x14ac:dyDescent="0.25">
      <c r="A1" s="12" t="s">
        <v>139</v>
      </c>
    </row>
    <row r="2" spans="1:20" s="15" customFormat="1" ht="13" x14ac:dyDescent="0.3">
      <c r="D2" s="30"/>
      <c r="E2" s="183" t="s">
        <v>227</v>
      </c>
      <c r="F2" s="183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5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ht="13" x14ac:dyDescent="0.3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ht="13" x14ac:dyDescent="0.3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ht="13" x14ac:dyDescent="0.3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ht="13" x14ac:dyDescent="0.3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ht="13" x14ac:dyDescent="0.3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ht="13" x14ac:dyDescent="0.3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ht="13" x14ac:dyDescent="0.3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ht="13" x14ac:dyDescent="0.3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ht="13" x14ac:dyDescent="0.3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ht="13" x14ac:dyDescent="0.3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ht="13" x14ac:dyDescent="0.3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ht="13" x14ac:dyDescent="0.3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ht="13" x14ac:dyDescent="0.3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ht="13" x14ac:dyDescent="0.3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ht="13" x14ac:dyDescent="0.3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ht="13" x14ac:dyDescent="0.3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ht="13" x14ac:dyDescent="0.3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ht="13" x14ac:dyDescent="0.3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ht="13" x14ac:dyDescent="0.3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ht="13" x14ac:dyDescent="0.3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ht="13" x14ac:dyDescent="0.3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ht="13" x14ac:dyDescent="0.3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ht="13" x14ac:dyDescent="0.3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ht="13" x14ac:dyDescent="0.3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ht="13" x14ac:dyDescent="0.3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ht="13" x14ac:dyDescent="0.3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ht="13" x14ac:dyDescent="0.3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ht="13" x14ac:dyDescent="0.3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ht="13" x14ac:dyDescent="0.3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ht="13" x14ac:dyDescent="0.3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ht="13" x14ac:dyDescent="0.3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ht="13" x14ac:dyDescent="0.3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ht="13" x14ac:dyDescent="0.3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ht="13" x14ac:dyDescent="0.3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ht="13" x14ac:dyDescent="0.3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ht="13" x14ac:dyDescent="0.3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ht="13" x14ac:dyDescent="0.3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ht="13" x14ac:dyDescent="0.3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ht="13" x14ac:dyDescent="0.3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ht="13" x14ac:dyDescent="0.3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ht="13" x14ac:dyDescent="0.3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ht="13" x14ac:dyDescent="0.3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ht="13" x14ac:dyDescent="0.3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ht="13" x14ac:dyDescent="0.3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ht="13" x14ac:dyDescent="0.3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ht="13" x14ac:dyDescent="0.3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ht="13" x14ac:dyDescent="0.3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ht="13" x14ac:dyDescent="0.3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ht="13" x14ac:dyDescent="0.3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ht="13" x14ac:dyDescent="0.3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ht="13" x14ac:dyDescent="0.3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ht="13" x14ac:dyDescent="0.3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ht="13" x14ac:dyDescent="0.3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ht="13" x14ac:dyDescent="0.3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ht="13" x14ac:dyDescent="0.3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ht="13" x14ac:dyDescent="0.3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ht="13" x14ac:dyDescent="0.3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5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2" x14ac:dyDescent="0.25">
      <c r="A1" s="33" t="s">
        <v>139</v>
      </c>
    </row>
    <row r="2" spans="1:2" x14ac:dyDescent="0.25">
      <c r="B2" t="s">
        <v>47</v>
      </c>
    </row>
    <row r="3" spans="1:2" x14ac:dyDescent="0.25">
      <c r="B3" t="s">
        <v>163</v>
      </c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D1" zoomScale="115" zoomScaleNormal="115" workbookViewId="0">
      <selection activeCell="I12" sqref="I12"/>
    </sheetView>
  </sheetViews>
  <sheetFormatPr defaultColWidth="9.1796875" defaultRowHeight="12.5" x14ac:dyDescent="0.25"/>
  <cols>
    <col min="1" max="1" width="2.81640625" style="1" customWidth="1"/>
    <col min="2" max="2" width="32.81640625" style="1" customWidth="1"/>
    <col min="3" max="3" width="15.1796875" style="1" customWidth="1"/>
    <col min="4" max="5" width="15.453125" style="1" customWidth="1"/>
    <col min="6" max="6" width="25.453125" style="1" customWidth="1"/>
    <col min="7" max="7" width="24" style="1" customWidth="1"/>
    <col min="8" max="8" width="4.7265625" style="1" customWidth="1"/>
    <col min="9" max="9" width="7.453125" style="1" customWidth="1"/>
    <col min="10" max="10" width="8.1796875" style="1" customWidth="1"/>
    <col min="11" max="11" width="6.453125" style="1" customWidth="1"/>
    <col min="12" max="15" width="9.1796875" style="1"/>
    <col min="16" max="16" width="11.453125" style="1" bestFit="1" customWidth="1"/>
    <col min="17" max="16384" width="9.1796875" style="1"/>
  </cols>
  <sheetData>
    <row r="1" spans="1:16" x14ac:dyDescent="0.25">
      <c r="A1" s="92"/>
    </row>
    <row r="2" spans="1:16" x14ac:dyDescent="0.25">
      <c r="B2" s="2" t="s">
        <v>0</v>
      </c>
      <c r="C2" s="90" t="s">
        <v>1</v>
      </c>
      <c r="D2" s="3" t="s">
        <v>2</v>
      </c>
      <c r="E2" s="3" t="s">
        <v>188</v>
      </c>
      <c r="F2" s="168" t="s">
        <v>711</v>
      </c>
      <c r="G2" s="4" t="s">
        <v>4</v>
      </c>
      <c r="I2" s="1" t="s">
        <v>138</v>
      </c>
      <c r="J2" s="49">
        <v>111</v>
      </c>
    </row>
    <row r="3" spans="1:16" x14ac:dyDescent="0.25">
      <c r="B3" s="32" t="s">
        <v>703</v>
      </c>
      <c r="C3" s="94" t="s">
        <v>6</v>
      </c>
      <c r="D3" s="7">
        <v>1</v>
      </c>
      <c r="E3" s="35"/>
      <c r="F3" s="97" t="s">
        <v>705</v>
      </c>
      <c r="G3" s="8">
        <v>2033</v>
      </c>
      <c r="I3" s="1" t="s">
        <v>21</v>
      </c>
      <c r="J3" s="17">
        <v>1244.9920810000001</v>
      </c>
      <c r="K3" s="101" t="s">
        <v>770</v>
      </c>
    </row>
    <row r="4" spans="1:16" x14ac:dyDescent="0.25">
      <c r="B4" s="32" t="s">
        <v>734</v>
      </c>
      <c r="C4" s="94" t="s">
        <v>6</v>
      </c>
      <c r="D4" s="7">
        <v>1</v>
      </c>
      <c r="E4" s="35"/>
      <c r="F4" s="97" t="s">
        <v>705</v>
      </c>
      <c r="G4" s="8">
        <v>2027</v>
      </c>
      <c r="I4" s="1" t="s">
        <v>262</v>
      </c>
      <c r="J4" s="17">
        <f>J3*J2</f>
        <v>138194.120991</v>
      </c>
    </row>
    <row r="5" spans="1:16" x14ac:dyDescent="0.25">
      <c r="B5" s="32" t="s">
        <v>730</v>
      </c>
      <c r="C5" s="94" t="s">
        <v>6</v>
      </c>
      <c r="D5" s="7">
        <v>1</v>
      </c>
      <c r="E5" s="35"/>
      <c r="F5" s="97" t="s">
        <v>733</v>
      </c>
      <c r="G5" s="8">
        <v>2025</v>
      </c>
      <c r="I5" s="1" t="s">
        <v>46</v>
      </c>
      <c r="J5" s="17">
        <v>2772</v>
      </c>
      <c r="K5" s="101" t="s">
        <v>770</v>
      </c>
    </row>
    <row r="6" spans="1:16" x14ac:dyDescent="0.25">
      <c r="B6" s="32" t="s">
        <v>738</v>
      </c>
      <c r="C6" s="94" t="s">
        <v>6</v>
      </c>
      <c r="D6" s="7">
        <v>1</v>
      </c>
      <c r="E6" s="35"/>
      <c r="F6" s="97" t="s">
        <v>749</v>
      </c>
      <c r="G6" s="8"/>
      <c r="I6" s="1" t="s">
        <v>208</v>
      </c>
      <c r="J6" s="17">
        <v>23350</v>
      </c>
      <c r="K6" s="101" t="s">
        <v>770</v>
      </c>
    </row>
    <row r="7" spans="1:16" x14ac:dyDescent="0.25">
      <c r="B7" s="32" t="s">
        <v>573</v>
      </c>
      <c r="C7" s="94" t="s">
        <v>6</v>
      </c>
      <c r="D7" s="7">
        <v>1</v>
      </c>
      <c r="E7" s="35">
        <v>41148</v>
      </c>
      <c r="F7" s="97" t="s">
        <v>705</v>
      </c>
      <c r="G7" s="8">
        <v>2021</v>
      </c>
      <c r="I7" s="1" t="s">
        <v>263</v>
      </c>
      <c r="J7" s="17">
        <f>J4-J5+J6</f>
        <v>158772.120991</v>
      </c>
    </row>
    <row r="8" spans="1:16" x14ac:dyDescent="0.25">
      <c r="B8" s="32" t="s">
        <v>740</v>
      </c>
      <c r="C8" s="94" t="s">
        <v>741</v>
      </c>
      <c r="D8" s="7">
        <v>1</v>
      </c>
      <c r="E8" s="35"/>
      <c r="F8" s="97" t="s">
        <v>748</v>
      </c>
      <c r="G8" s="8"/>
    </row>
    <row r="9" spans="1:16" x14ac:dyDescent="0.25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9"/>
    </row>
    <row r="10" spans="1:16" x14ac:dyDescent="0.25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750</v>
      </c>
      <c r="G10" s="8" t="s">
        <v>324</v>
      </c>
      <c r="I10" s="1" t="s">
        <v>717</v>
      </c>
    </row>
    <row r="11" spans="1:16" ht="13" x14ac:dyDescent="0.3">
      <c r="B11" s="5" t="s">
        <v>147</v>
      </c>
      <c r="C11" s="89" t="s">
        <v>6</v>
      </c>
      <c r="D11" s="7">
        <v>1</v>
      </c>
      <c r="E11" s="35" t="s">
        <v>339</v>
      </c>
      <c r="F11" s="97" t="s">
        <v>748</v>
      </c>
      <c r="G11" s="8" t="s">
        <v>323</v>
      </c>
      <c r="I11" s="92" t="s">
        <v>789</v>
      </c>
      <c r="N11" s="15"/>
      <c r="P11" s="130"/>
    </row>
    <row r="12" spans="1:16" x14ac:dyDescent="0.25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9" t="s">
        <v>691</v>
      </c>
      <c r="N12" s="129"/>
    </row>
    <row r="13" spans="1:16" x14ac:dyDescent="0.25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751</v>
      </c>
      <c r="G13" s="8" t="s">
        <v>505</v>
      </c>
    </row>
    <row r="14" spans="1:16" x14ac:dyDescent="0.25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754</v>
      </c>
      <c r="G14" s="8"/>
    </row>
    <row r="15" spans="1:16" x14ac:dyDescent="0.25">
      <c r="B15" s="96" t="s">
        <v>682</v>
      </c>
      <c r="C15" s="6"/>
      <c r="D15" s="7"/>
      <c r="E15" s="35"/>
      <c r="F15" s="97"/>
      <c r="G15" s="8"/>
    </row>
    <row r="16" spans="1:16" x14ac:dyDescent="0.25">
      <c r="B16" s="96" t="s">
        <v>683</v>
      </c>
      <c r="C16" s="6"/>
      <c r="D16" s="7"/>
      <c r="E16" s="35"/>
      <c r="F16" s="97"/>
      <c r="G16" s="8"/>
    </row>
    <row r="17" spans="2:7" x14ac:dyDescent="0.25">
      <c r="B17" s="96" t="s">
        <v>759</v>
      </c>
      <c r="C17" s="6"/>
      <c r="D17" s="7"/>
      <c r="E17" s="35"/>
      <c r="F17" s="97"/>
      <c r="G17" s="8"/>
    </row>
    <row r="18" spans="2:7" x14ac:dyDescent="0.25">
      <c r="B18" s="96" t="s">
        <v>758</v>
      </c>
      <c r="C18" s="97" t="s">
        <v>6</v>
      </c>
      <c r="D18" s="7">
        <v>1</v>
      </c>
      <c r="E18" s="35">
        <v>44917</v>
      </c>
      <c r="F18" s="97"/>
      <c r="G18" s="8"/>
    </row>
    <row r="19" spans="2:7" x14ac:dyDescent="0.25">
      <c r="B19" s="96" t="s">
        <v>778</v>
      </c>
      <c r="C19" s="97" t="s">
        <v>779</v>
      </c>
      <c r="D19" s="7"/>
      <c r="E19" s="35"/>
      <c r="F19" s="97"/>
      <c r="G19" s="8"/>
    </row>
    <row r="20" spans="2:7" x14ac:dyDescent="0.25">
      <c r="B20" s="96" t="s">
        <v>591</v>
      </c>
      <c r="C20" s="22" t="s">
        <v>6</v>
      </c>
      <c r="D20" s="25" t="s">
        <v>379</v>
      </c>
      <c r="E20" s="97"/>
      <c r="F20" s="22"/>
      <c r="G20" s="29" t="s">
        <v>380</v>
      </c>
    </row>
    <row r="21" spans="2:7" x14ac:dyDescent="0.25">
      <c r="B21" s="32" t="s">
        <v>753</v>
      </c>
      <c r="C21" s="97" t="s">
        <v>755</v>
      </c>
      <c r="D21" s="25"/>
      <c r="E21" s="97"/>
      <c r="F21" s="22"/>
      <c r="G21" s="29"/>
    </row>
    <row r="22" spans="2:7" x14ac:dyDescent="0.25">
      <c r="B22" s="32" t="s">
        <v>693</v>
      </c>
      <c r="C22" s="97" t="s">
        <v>15</v>
      </c>
      <c r="D22" s="25">
        <v>1</v>
      </c>
      <c r="E22" s="97"/>
      <c r="F22" s="97"/>
      <c r="G22" s="116" t="s">
        <v>618</v>
      </c>
    </row>
    <row r="23" spans="2:7" x14ac:dyDescent="0.25">
      <c r="B23" s="32" t="s">
        <v>685</v>
      </c>
      <c r="C23" s="97" t="s">
        <v>612</v>
      </c>
      <c r="D23" s="25">
        <v>1</v>
      </c>
      <c r="E23" s="97" t="s">
        <v>610</v>
      </c>
      <c r="F23" s="22"/>
      <c r="G23" s="29"/>
    </row>
    <row r="24" spans="2:7" x14ac:dyDescent="0.25">
      <c r="B24" s="77" t="s">
        <v>12</v>
      </c>
      <c r="C24" s="9" t="s">
        <v>239</v>
      </c>
      <c r="D24" s="10" t="s">
        <v>257</v>
      </c>
      <c r="E24" s="36">
        <v>36460</v>
      </c>
      <c r="F24" s="9"/>
      <c r="G24" s="11"/>
    </row>
    <row r="25" spans="2:7" x14ac:dyDescent="0.25">
      <c r="B25" s="2"/>
      <c r="C25" s="3"/>
      <c r="D25" s="3"/>
      <c r="E25" s="3" t="s">
        <v>13</v>
      </c>
      <c r="F25" s="3" t="s">
        <v>57</v>
      </c>
      <c r="G25" s="4" t="s">
        <v>3</v>
      </c>
    </row>
    <row r="26" spans="2:7" x14ac:dyDescent="0.25">
      <c r="B26" s="175" t="s">
        <v>687</v>
      </c>
      <c r="C26" s="176"/>
      <c r="D26" s="177"/>
      <c r="E26" s="176" t="s">
        <v>322</v>
      </c>
      <c r="F26" s="176" t="s">
        <v>690</v>
      </c>
      <c r="G26" s="178"/>
    </row>
    <row r="27" spans="2:7" x14ac:dyDescent="0.25">
      <c r="B27" s="32" t="s">
        <v>777</v>
      </c>
      <c r="C27" s="97" t="s">
        <v>6</v>
      </c>
      <c r="D27" s="7">
        <v>1</v>
      </c>
      <c r="E27" s="97" t="s">
        <v>780</v>
      </c>
      <c r="F27" s="97"/>
      <c r="G27" s="8"/>
    </row>
    <row r="28" spans="2:7" x14ac:dyDescent="0.25">
      <c r="B28" s="96" t="s">
        <v>688</v>
      </c>
      <c r="C28" s="97"/>
      <c r="D28" s="7"/>
      <c r="E28" s="97" t="s">
        <v>322</v>
      </c>
      <c r="F28" s="97" t="s">
        <v>689</v>
      </c>
      <c r="G28" s="8"/>
    </row>
    <row r="29" spans="2:7" x14ac:dyDescent="0.25">
      <c r="B29" s="96" t="s">
        <v>785</v>
      </c>
      <c r="C29" s="97" t="s">
        <v>786</v>
      </c>
      <c r="D29" s="98" t="s">
        <v>787</v>
      </c>
      <c r="E29" s="97" t="s">
        <v>317</v>
      </c>
      <c r="F29" s="97"/>
      <c r="G29" s="8"/>
    </row>
    <row r="30" spans="2:7" x14ac:dyDescent="0.25">
      <c r="B30" s="96" t="s">
        <v>764</v>
      </c>
      <c r="C30" s="97" t="s">
        <v>765</v>
      </c>
      <c r="D30" s="98" t="s">
        <v>766</v>
      </c>
      <c r="E30" s="97" t="s">
        <v>317</v>
      </c>
      <c r="F30" s="97" t="s">
        <v>767</v>
      </c>
      <c r="G30" s="8"/>
    </row>
    <row r="31" spans="2:7" x14ac:dyDescent="0.25">
      <c r="B31" s="96" t="s">
        <v>762</v>
      </c>
      <c r="C31" s="97" t="s">
        <v>741</v>
      </c>
      <c r="G31" s="179"/>
    </row>
    <row r="32" spans="2:7" x14ac:dyDescent="0.25">
      <c r="B32" s="32" t="s">
        <v>622</v>
      </c>
      <c r="C32" s="97" t="s">
        <v>623</v>
      </c>
      <c r="D32" s="98">
        <v>1</v>
      </c>
      <c r="E32" s="97" t="s">
        <v>317</v>
      </c>
      <c r="F32" s="97" t="s">
        <v>627</v>
      </c>
      <c r="G32" s="116"/>
    </row>
    <row r="33" spans="2:7" x14ac:dyDescent="0.25">
      <c r="B33" s="96" t="s">
        <v>619</v>
      </c>
      <c r="C33" s="97" t="s">
        <v>620</v>
      </c>
      <c r="D33" s="98">
        <v>1</v>
      </c>
      <c r="E33" s="97" t="s">
        <v>317</v>
      </c>
      <c r="F33" s="97" t="s">
        <v>621</v>
      </c>
      <c r="G33" s="116"/>
    </row>
    <row r="34" spans="2:7" x14ac:dyDescent="0.25">
      <c r="B34" s="122" t="s">
        <v>488</v>
      </c>
      <c r="C34" s="94" t="s">
        <v>15</v>
      </c>
      <c r="D34" s="180">
        <v>1</v>
      </c>
      <c r="E34" s="94" t="s">
        <v>317</v>
      </c>
      <c r="F34" s="94" t="s">
        <v>506</v>
      </c>
      <c r="G34" s="123"/>
    </row>
    <row r="35" spans="2:7" x14ac:dyDescent="0.25">
      <c r="B35" s="122" t="s">
        <v>489</v>
      </c>
      <c r="C35" s="94" t="s">
        <v>15</v>
      </c>
      <c r="D35" s="180">
        <v>1</v>
      </c>
      <c r="E35" s="94" t="s">
        <v>507</v>
      </c>
      <c r="F35" s="94" t="s">
        <v>490</v>
      </c>
      <c r="G35" s="123"/>
    </row>
    <row r="36" spans="2:7" x14ac:dyDescent="0.25">
      <c r="B36" s="122" t="s">
        <v>632</v>
      </c>
      <c r="C36" s="111" t="s">
        <v>635</v>
      </c>
      <c r="D36" s="180">
        <v>1</v>
      </c>
      <c r="E36" s="94" t="s">
        <v>317</v>
      </c>
      <c r="F36" s="94" t="s">
        <v>636</v>
      </c>
      <c r="G36" s="125" t="s">
        <v>616</v>
      </c>
    </row>
    <row r="37" spans="2:7" x14ac:dyDescent="0.25">
      <c r="B37" s="88" t="s">
        <v>500</v>
      </c>
      <c r="C37" s="9" t="s">
        <v>501</v>
      </c>
      <c r="D37" s="10"/>
      <c r="E37" s="9" t="s">
        <v>322</v>
      </c>
      <c r="F37" s="9" t="s">
        <v>502</v>
      </c>
      <c r="G37" s="11"/>
    </row>
    <row r="39" spans="2:7" ht="13" x14ac:dyDescent="0.3">
      <c r="E39" s="21" t="s">
        <v>474</v>
      </c>
    </row>
    <row r="40" spans="2:7" ht="13" x14ac:dyDescent="0.3">
      <c r="E40" s="21" t="s">
        <v>472</v>
      </c>
    </row>
    <row r="41" spans="2:7" ht="13" x14ac:dyDescent="0.3">
      <c r="E41" s="21" t="s">
        <v>231</v>
      </c>
    </row>
    <row r="42" spans="2:7" ht="13" x14ac:dyDescent="0.3">
      <c r="E42" s="21" t="s">
        <v>473</v>
      </c>
    </row>
    <row r="43" spans="2:7" ht="13" x14ac:dyDescent="0.3">
      <c r="E43" s="21" t="s">
        <v>442</v>
      </c>
    </row>
    <row r="44" spans="2:7" ht="13" x14ac:dyDescent="0.3">
      <c r="E44" s="21" t="s">
        <v>475</v>
      </c>
    </row>
    <row r="45" spans="2:7" ht="13" x14ac:dyDescent="0.3">
      <c r="E45" s="21" t="s">
        <v>419</v>
      </c>
    </row>
    <row r="46" spans="2:7" ht="13" x14ac:dyDescent="0.3">
      <c r="E46" s="21" t="s">
        <v>418</v>
      </c>
    </row>
    <row r="47" spans="2:7" x14ac:dyDescent="0.25">
      <c r="E47" s="92" t="s">
        <v>588</v>
      </c>
    </row>
    <row r="48" spans="2:7" x14ac:dyDescent="0.25">
      <c r="E48" s="92" t="s">
        <v>600</v>
      </c>
    </row>
    <row r="49" spans="5:5" x14ac:dyDescent="0.25">
      <c r="E49" s="92" t="s">
        <v>598</v>
      </c>
    </row>
    <row r="50" spans="5:5" x14ac:dyDescent="0.25">
      <c r="E50" s="92" t="s">
        <v>599</v>
      </c>
    </row>
    <row r="51" spans="5:5" x14ac:dyDescent="0.25">
      <c r="E51" s="92" t="s">
        <v>601</v>
      </c>
    </row>
    <row r="52" spans="5:5" x14ac:dyDescent="0.25">
      <c r="E52" s="92" t="s">
        <v>602</v>
      </c>
    </row>
    <row r="53" spans="5:5" x14ac:dyDescent="0.25">
      <c r="E53" s="92" t="s">
        <v>603</v>
      </c>
    </row>
    <row r="54" spans="5:5" ht="13" x14ac:dyDescent="0.3">
      <c r="E54" s="21" t="s">
        <v>604</v>
      </c>
    </row>
    <row r="55" spans="5:5" ht="13" x14ac:dyDescent="0.3">
      <c r="E55" s="124" t="s">
        <v>633</v>
      </c>
    </row>
    <row r="57" spans="5:5" ht="13" x14ac:dyDescent="0.3">
      <c r="E57" s="15" t="s">
        <v>628</v>
      </c>
    </row>
    <row r="60" spans="5:5" ht="13" x14ac:dyDescent="0.3">
      <c r="E60" s="21" t="s">
        <v>686</v>
      </c>
    </row>
    <row r="62" spans="5:5" x14ac:dyDescent="0.25">
      <c r="E62" s="92" t="s">
        <v>739</v>
      </c>
    </row>
    <row r="63" spans="5:5" x14ac:dyDescent="0.25">
      <c r="E63" s="92" t="s">
        <v>752</v>
      </c>
    </row>
  </sheetData>
  <customSheetViews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4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32" location="'5806'!A1" display="GS5806" xr:uid="{00000000-0004-0000-0100-00000D000000}"/>
    <hyperlink ref="B22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1" location="Trodelvy!A1" display="Trodelvy (sacituzumab govitecan)" xr:uid="{E1DA42CE-651F-4365-A31D-B57C11B4139C}"/>
    <hyperlink ref="B27" location="lencapavir!A1" display="lenacapavir" xr:uid="{7177F557-0A29-431A-85C5-5DAE08A9F922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3.81640625" style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</row>
    <row r="3" spans="1:3" x14ac:dyDescent="0.25">
      <c r="B3" s="1" t="s">
        <v>141</v>
      </c>
      <c r="C3" s="1" t="s">
        <v>209</v>
      </c>
    </row>
    <row r="4" spans="1:3" x14ac:dyDescent="0.25">
      <c r="B4" s="1" t="s">
        <v>1</v>
      </c>
      <c r="C4" s="1" t="s">
        <v>330</v>
      </c>
    </row>
    <row r="5" spans="1:3" x14ac:dyDescent="0.25">
      <c r="B5" s="1" t="s">
        <v>253</v>
      </c>
      <c r="C5" s="1" t="s">
        <v>325</v>
      </c>
    </row>
    <row r="6" spans="1:3" x14ac:dyDescent="0.25">
      <c r="B6" s="1" t="s">
        <v>142</v>
      </c>
    </row>
    <row r="7" spans="1:3" ht="13" x14ac:dyDescent="0.3">
      <c r="C7" s="34" t="s">
        <v>331</v>
      </c>
    </row>
    <row r="8" spans="1:3" x14ac:dyDescent="0.25">
      <c r="C8" s="1" t="s">
        <v>265</v>
      </c>
    </row>
    <row r="9" spans="1:3" x14ac:dyDescent="0.25">
      <c r="C9" s="1" t="s">
        <v>306</v>
      </c>
    </row>
    <row r="11" spans="1:3" ht="13" x14ac:dyDescent="0.3">
      <c r="C11" s="34" t="s">
        <v>332</v>
      </c>
    </row>
    <row r="12" spans="1:3" x14ac:dyDescent="0.25">
      <c r="C12" s="1" t="s">
        <v>266</v>
      </c>
    </row>
    <row r="13" spans="1:3" x14ac:dyDescent="0.25">
      <c r="C13" s="1" t="s">
        <v>307</v>
      </c>
    </row>
    <row r="15" spans="1:3" ht="13" x14ac:dyDescent="0.3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3" width="9.81640625" style="6" customWidth="1"/>
    <col min="4" max="4" width="10" style="6" customWidth="1"/>
    <col min="5" max="6" width="9.26953125" style="6" bestFit="1" customWidth="1"/>
    <col min="7" max="8" width="9.7265625" style="6" bestFit="1" customWidth="1"/>
    <col min="9" max="10" width="10.81640625" style="6" bestFit="1" customWidth="1"/>
    <col min="11" max="12" width="10.7265625" style="6" bestFit="1" customWidth="1"/>
    <col min="13" max="16384" width="9.1796875" style="1"/>
  </cols>
  <sheetData>
    <row r="1" spans="1:13" x14ac:dyDescent="0.25">
      <c r="A1" s="12" t="s">
        <v>139</v>
      </c>
    </row>
    <row r="2" spans="1:13" x14ac:dyDescent="0.25">
      <c r="A2" s="12"/>
      <c r="B2" s="1" t="s">
        <v>140</v>
      </c>
      <c r="C2" s="1" t="s">
        <v>251</v>
      </c>
    </row>
    <row r="3" spans="1:13" x14ac:dyDescent="0.25">
      <c r="A3" s="12"/>
      <c r="B3" s="1" t="s">
        <v>141</v>
      </c>
      <c r="C3" s="1" t="s">
        <v>252</v>
      </c>
    </row>
    <row r="4" spans="1:13" x14ac:dyDescent="0.25">
      <c r="A4" s="12"/>
      <c r="B4" s="1" t="s">
        <v>1</v>
      </c>
      <c r="C4" s="1" t="s">
        <v>270</v>
      </c>
    </row>
    <row r="5" spans="1:13" x14ac:dyDescent="0.25">
      <c r="A5" s="12"/>
      <c r="C5" s="1" t="s">
        <v>271</v>
      </c>
    </row>
    <row r="6" spans="1:13" x14ac:dyDescent="0.25">
      <c r="A6" s="12"/>
      <c r="B6" s="1" t="s">
        <v>253</v>
      </c>
      <c r="C6" s="1" t="s">
        <v>254</v>
      </c>
    </row>
    <row r="7" spans="1:13" x14ac:dyDescent="0.25">
      <c r="A7" s="12"/>
      <c r="B7" s="1" t="s">
        <v>256</v>
      </c>
      <c r="C7" s="1" t="s">
        <v>269</v>
      </c>
    </row>
    <row r="8" spans="1:13" x14ac:dyDescent="0.25">
      <c r="A8" s="12"/>
      <c r="B8" s="1" t="s">
        <v>138</v>
      </c>
      <c r="C8" s="1" t="s">
        <v>259</v>
      </c>
    </row>
    <row r="9" spans="1:13" x14ac:dyDescent="0.25">
      <c r="A9" s="12"/>
      <c r="B9" s="1" t="s">
        <v>3</v>
      </c>
      <c r="C9" s="1" t="s">
        <v>268</v>
      </c>
    </row>
    <row r="10" spans="1:13" x14ac:dyDescent="0.25">
      <c r="A10" s="12"/>
      <c r="B10" s="1" t="s">
        <v>255</v>
      </c>
    </row>
    <row r="11" spans="1:13" x14ac:dyDescent="0.25">
      <c r="A11" s="12"/>
    </row>
    <row r="12" spans="1:13" x14ac:dyDescent="0.25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5">
      <c r="C13" s="1" t="s">
        <v>241</v>
      </c>
      <c r="D13" s="18">
        <v>50000</v>
      </c>
      <c r="M13" s="6"/>
    </row>
    <row r="14" spans="1:13" x14ac:dyDescent="0.25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5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5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5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ht="13" x14ac:dyDescent="0.3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ht="13" x14ac:dyDescent="0.3">
      <c r="C20" s="34" t="s">
        <v>245</v>
      </c>
    </row>
    <row r="24" spans="3:13" ht="13" x14ac:dyDescent="0.3">
      <c r="C24" s="34" t="s">
        <v>246</v>
      </c>
    </row>
    <row r="25" spans="3:13" x14ac:dyDescent="0.25">
      <c r="C25" s="1" t="s">
        <v>247</v>
      </c>
    </row>
    <row r="26" spans="3:13" x14ac:dyDescent="0.25">
      <c r="C26" s="1" t="s">
        <v>248</v>
      </c>
    </row>
    <row r="27" spans="3:13" x14ac:dyDescent="0.25">
      <c r="C27" s="1" t="s">
        <v>249</v>
      </c>
    </row>
    <row r="28" spans="3:13" x14ac:dyDescent="0.25">
      <c r="C28" s="1" t="s">
        <v>250</v>
      </c>
    </row>
    <row r="31" spans="3:13" ht="13" x14ac:dyDescent="0.3">
      <c r="C31" s="34" t="s">
        <v>258</v>
      </c>
    </row>
    <row r="33" spans="2:13" ht="13" x14ac:dyDescent="0.3">
      <c r="C33" s="34" t="s">
        <v>417</v>
      </c>
    </row>
    <row r="34" spans="2:13" ht="13" x14ac:dyDescent="0.3">
      <c r="C34" s="34"/>
    </row>
    <row r="36" spans="2:13" x14ac:dyDescent="0.25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5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5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5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5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5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5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5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5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5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5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5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5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9</v>
      </c>
    </row>
    <row r="3" spans="1:3" x14ac:dyDescent="0.25">
      <c r="B3" s="1" t="s">
        <v>141</v>
      </c>
      <c r="C3" s="1" t="s">
        <v>150</v>
      </c>
    </row>
    <row r="4" spans="1:3" x14ac:dyDescent="0.25">
      <c r="B4" s="1" t="s">
        <v>1</v>
      </c>
      <c r="C4" s="1" t="s">
        <v>280</v>
      </c>
    </row>
    <row r="5" spans="1:3" x14ac:dyDescent="0.25">
      <c r="B5" s="1" t="s">
        <v>3</v>
      </c>
      <c r="C5" s="1" t="s">
        <v>281</v>
      </c>
    </row>
    <row r="6" spans="1:3" x14ac:dyDescent="0.25">
      <c r="B6" s="1" t="s">
        <v>151</v>
      </c>
      <c r="C6" s="1" t="s">
        <v>152</v>
      </c>
    </row>
    <row r="7" spans="1:3" x14ac:dyDescent="0.25">
      <c r="B7" s="1" t="s">
        <v>138</v>
      </c>
      <c r="C7" s="1" t="s">
        <v>351</v>
      </c>
    </row>
    <row r="8" spans="1:3" x14ac:dyDescent="0.25">
      <c r="B8" s="1" t="s">
        <v>142</v>
      </c>
    </row>
    <row r="9" spans="1:3" ht="13" x14ac:dyDescent="0.3">
      <c r="C9" s="34" t="s">
        <v>278</v>
      </c>
    </row>
    <row r="12" spans="1:3" x14ac:dyDescent="0.25">
      <c r="B12" s="1" t="s">
        <v>279</v>
      </c>
    </row>
    <row r="13" spans="1:3" x14ac:dyDescent="0.25">
      <c r="C13" s="1" t="s">
        <v>223</v>
      </c>
    </row>
    <row r="14" spans="1:3" x14ac:dyDescent="0.25">
      <c r="B14" s="42">
        <v>39094</v>
      </c>
      <c r="C14" s="1">
        <v>3333</v>
      </c>
    </row>
    <row r="15" spans="1:3" x14ac:dyDescent="0.25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5" x14ac:dyDescent="0.25">
      <c r="A1" s="33" t="s">
        <v>139</v>
      </c>
    </row>
    <row r="2" spans="1:5" x14ac:dyDescent="0.25">
      <c r="B2" t="s">
        <v>82</v>
      </c>
    </row>
    <row r="3" spans="1:5" x14ac:dyDescent="0.25">
      <c r="C3" t="s">
        <v>83</v>
      </c>
    </row>
    <row r="4" spans="1:5" x14ac:dyDescent="0.25">
      <c r="C4" t="s">
        <v>84</v>
      </c>
    </row>
    <row r="5" spans="1:5" x14ac:dyDescent="0.25">
      <c r="C5" t="s">
        <v>79</v>
      </c>
    </row>
    <row r="6" spans="1:5" x14ac:dyDescent="0.25">
      <c r="D6" t="s">
        <v>81</v>
      </c>
    </row>
    <row r="7" spans="1:5" x14ac:dyDescent="0.25">
      <c r="D7" t="s">
        <v>85</v>
      </c>
    </row>
    <row r="8" spans="1:5" x14ac:dyDescent="0.25">
      <c r="E8" t="s">
        <v>86</v>
      </c>
    </row>
    <row r="9" spans="1:5" x14ac:dyDescent="0.25">
      <c r="E9" t="s">
        <v>87</v>
      </c>
    </row>
    <row r="11" spans="1:5" x14ac:dyDescent="0.25">
      <c r="B11" s="14" t="s">
        <v>366</v>
      </c>
    </row>
    <row r="12" spans="1:5" x14ac:dyDescent="0.25">
      <c r="C12" s="14" t="s">
        <v>365</v>
      </c>
    </row>
    <row r="13" spans="1:5" x14ac:dyDescent="0.25">
      <c r="C13" t="s">
        <v>361</v>
      </c>
    </row>
    <row r="14" spans="1:5" x14ac:dyDescent="0.25">
      <c r="C14" t="s">
        <v>405</v>
      </c>
    </row>
    <row r="16" spans="1:5" x14ac:dyDescent="0.25">
      <c r="B16" t="s">
        <v>137</v>
      </c>
    </row>
    <row r="17" spans="2:6" ht="13" x14ac:dyDescent="0.3">
      <c r="B17" s="13" t="s">
        <v>71</v>
      </c>
      <c r="F17" t="s">
        <v>92</v>
      </c>
    </row>
    <row r="18" spans="2:6" s="31" customFormat="1" ht="13" x14ac:dyDescent="0.3">
      <c r="B18" s="31" t="s">
        <v>121</v>
      </c>
    </row>
    <row r="19" spans="2:6" x14ac:dyDescent="0.25">
      <c r="B19" t="s">
        <v>99</v>
      </c>
      <c r="C19" t="s">
        <v>96</v>
      </c>
    </row>
    <row r="20" spans="2:6" x14ac:dyDescent="0.25">
      <c r="B20" t="s">
        <v>43</v>
      </c>
      <c r="C20" t="s">
        <v>354</v>
      </c>
    </row>
    <row r="21" spans="2:6" x14ac:dyDescent="0.25">
      <c r="D21" t="s">
        <v>117</v>
      </c>
    </row>
    <row r="22" spans="2:6" x14ac:dyDescent="0.25">
      <c r="D22" t="s">
        <v>97</v>
      </c>
    </row>
    <row r="23" spans="2:6" x14ac:dyDescent="0.25">
      <c r="D23" t="s">
        <v>98</v>
      </c>
    </row>
    <row r="24" spans="2:6" x14ac:dyDescent="0.25">
      <c r="B24" t="s">
        <v>44</v>
      </c>
      <c r="C24" t="s">
        <v>111</v>
      </c>
    </row>
    <row r="25" spans="2:6" x14ac:dyDescent="0.25">
      <c r="B25" t="s">
        <v>115</v>
      </c>
      <c r="C25" t="s">
        <v>114</v>
      </c>
    </row>
    <row r="26" spans="2:6" x14ac:dyDescent="0.25">
      <c r="D26" t="s">
        <v>116</v>
      </c>
    </row>
    <row r="27" spans="2:6" x14ac:dyDescent="0.25">
      <c r="B27" t="s">
        <v>44</v>
      </c>
      <c r="C27" t="s">
        <v>118</v>
      </c>
    </row>
    <row r="28" spans="2:6" x14ac:dyDescent="0.25">
      <c r="B28" t="s">
        <v>43</v>
      </c>
      <c r="C28" t="s">
        <v>119</v>
      </c>
    </row>
    <row r="29" spans="2:6" x14ac:dyDescent="0.25">
      <c r="B29" t="s">
        <v>42</v>
      </c>
      <c r="C29" t="s">
        <v>120</v>
      </c>
    </row>
    <row r="31" spans="2:6" ht="13" x14ac:dyDescent="0.3">
      <c r="B31" s="31" t="s">
        <v>122</v>
      </c>
    </row>
    <row r="32" spans="2:6" x14ac:dyDescent="0.25">
      <c r="B32" t="s">
        <v>42</v>
      </c>
      <c r="C32" t="s">
        <v>123</v>
      </c>
    </row>
    <row r="34" spans="2:3" ht="13" x14ac:dyDescent="0.3">
      <c r="C34" s="31" t="s">
        <v>124</v>
      </c>
    </row>
    <row r="35" spans="2:3" x14ac:dyDescent="0.25">
      <c r="B35" t="s">
        <v>126</v>
      </c>
      <c r="C35" s="14" t="s">
        <v>125</v>
      </c>
    </row>
    <row r="36" spans="2:3" x14ac:dyDescent="0.25">
      <c r="B36" t="s">
        <v>44</v>
      </c>
      <c r="C36" s="14" t="s">
        <v>127</v>
      </c>
    </row>
    <row r="37" spans="2:3" x14ac:dyDescent="0.25">
      <c r="B37" t="s">
        <v>129</v>
      </c>
      <c r="C37" s="14" t="s">
        <v>128</v>
      </c>
    </row>
    <row r="38" spans="2:3" ht="13" x14ac:dyDescent="0.3">
      <c r="B38" s="31"/>
    </row>
    <row r="39" spans="2:3" ht="13" x14ac:dyDescent="0.3">
      <c r="B39" s="13" t="s">
        <v>69</v>
      </c>
    </row>
    <row r="40" spans="2:3" x14ac:dyDescent="0.25">
      <c r="C40" t="s">
        <v>70</v>
      </c>
    </row>
    <row r="41" spans="2:3" x14ac:dyDescent="0.25">
      <c r="C41" t="s">
        <v>90</v>
      </c>
    </row>
    <row r="43" spans="2:3" x14ac:dyDescent="0.25">
      <c r="B43" t="s">
        <v>115</v>
      </c>
      <c r="C43" t="s">
        <v>72</v>
      </c>
    </row>
    <row r="44" spans="2:3" x14ac:dyDescent="0.25">
      <c r="B44" t="s">
        <v>101</v>
      </c>
      <c r="C44" t="s">
        <v>73</v>
      </c>
    </row>
    <row r="45" spans="2:3" x14ac:dyDescent="0.25">
      <c r="B45" t="s">
        <v>14</v>
      </c>
      <c r="C45" t="s">
        <v>74</v>
      </c>
    </row>
    <row r="46" spans="2:3" x14ac:dyDescent="0.25">
      <c r="B46" t="s">
        <v>129</v>
      </c>
      <c r="C46" t="s">
        <v>75</v>
      </c>
    </row>
    <row r="47" spans="2:3" x14ac:dyDescent="0.25">
      <c r="B47" t="s">
        <v>43</v>
      </c>
      <c r="C47" t="s">
        <v>76</v>
      </c>
    </row>
    <row r="48" spans="2:3" x14ac:dyDescent="0.25">
      <c r="B48" t="s">
        <v>101</v>
      </c>
      <c r="C48" t="s">
        <v>77</v>
      </c>
    </row>
    <row r="49" spans="2:4" x14ac:dyDescent="0.25">
      <c r="B49" t="s">
        <v>44</v>
      </c>
      <c r="C49" t="s">
        <v>78</v>
      </c>
    </row>
    <row r="51" spans="2:4" ht="13" x14ac:dyDescent="0.3">
      <c r="B51" s="13" t="s">
        <v>80</v>
      </c>
    </row>
    <row r="52" spans="2:4" ht="13" x14ac:dyDescent="0.3">
      <c r="B52" s="13"/>
      <c r="C52" t="s">
        <v>93</v>
      </c>
    </row>
    <row r="53" spans="2:4" s="14" customFormat="1" x14ac:dyDescent="0.25">
      <c r="B53" s="14" t="s">
        <v>89</v>
      </c>
    </row>
    <row r="54" spans="2:4" s="14" customFormat="1" x14ac:dyDescent="0.25"/>
    <row r="55" spans="2:4" ht="13" x14ac:dyDescent="0.3">
      <c r="B55" s="13" t="s">
        <v>88</v>
      </c>
    </row>
    <row r="56" spans="2:4" x14ac:dyDescent="0.25">
      <c r="C56" s="14" t="s">
        <v>91</v>
      </c>
    </row>
    <row r="57" spans="2:4" s="14" customFormat="1" x14ac:dyDescent="0.25">
      <c r="B57" s="14" t="s">
        <v>41</v>
      </c>
    </row>
    <row r="58" spans="2:4" s="14" customFormat="1" x14ac:dyDescent="0.25">
      <c r="B58" s="14" t="s">
        <v>130</v>
      </c>
    </row>
    <row r="59" spans="2:4" s="14" customFormat="1" x14ac:dyDescent="0.25"/>
    <row r="60" spans="2:4" s="14" customFormat="1" ht="13" x14ac:dyDescent="0.3">
      <c r="B60" s="13" t="s">
        <v>131</v>
      </c>
    </row>
    <row r="61" spans="2:4" s="14" customFormat="1" x14ac:dyDescent="0.25">
      <c r="B61" s="14" t="s">
        <v>132</v>
      </c>
    </row>
    <row r="62" spans="2:4" s="14" customFormat="1" x14ac:dyDescent="0.25"/>
    <row r="63" spans="2:4" s="14" customFormat="1" ht="13" x14ac:dyDescent="0.3">
      <c r="B63" s="13" t="s">
        <v>133</v>
      </c>
    </row>
    <row r="64" spans="2:4" s="14" customFormat="1" x14ac:dyDescent="0.25">
      <c r="B64" s="14" t="s">
        <v>134</v>
      </c>
      <c r="C64" s="14" t="s">
        <v>44</v>
      </c>
      <c r="D64" s="14" t="s">
        <v>135</v>
      </c>
    </row>
    <row r="65" spans="2:4" s="14" customFormat="1" x14ac:dyDescent="0.25"/>
    <row r="66" spans="2:4" s="14" customFormat="1" ht="13" x14ac:dyDescent="0.3">
      <c r="B66" s="13" t="s">
        <v>136</v>
      </c>
    </row>
    <row r="67" spans="2:4" s="14" customFormat="1" x14ac:dyDescent="0.25"/>
    <row r="68" spans="2:4" s="14" customFormat="1" x14ac:dyDescent="0.25"/>
    <row r="69" spans="2:4" s="14" customFormat="1" ht="13" x14ac:dyDescent="0.3">
      <c r="B69" s="13" t="s">
        <v>71</v>
      </c>
    </row>
    <row r="70" spans="2:4" x14ac:dyDescent="0.25">
      <c r="B70" t="s">
        <v>39</v>
      </c>
      <c r="C70" t="s">
        <v>43</v>
      </c>
      <c r="D70" t="s">
        <v>109</v>
      </c>
    </row>
    <row r="71" spans="2:4" x14ac:dyDescent="0.25">
      <c r="C71" t="s">
        <v>99</v>
      </c>
      <c r="D71" t="s">
        <v>109</v>
      </c>
    </row>
    <row r="72" spans="2:4" x14ac:dyDescent="0.25">
      <c r="B72" t="s">
        <v>38</v>
      </c>
      <c r="C72" t="s">
        <v>43</v>
      </c>
      <c r="D72" t="s">
        <v>110</v>
      </c>
    </row>
    <row r="73" spans="2:4" x14ac:dyDescent="0.25">
      <c r="B73" t="s">
        <v>40</v>
      </c>
      <c r="C73" t="s">
        <v>44</v>
      </c>
      <c r="D73" t="s">
        <v>113</v>
      </c>
    </row>
    <row r="77" spans="2:4" s="14" customFormat="1" ht="13" x14ac:dyDescent="0.3">
      <c r="B77" s="13" t="s">
        <v>108</v>
      </c>
    </row>
    <row r="78" spans="2:4" s="14" customFormat="1" x14ac:dyDescent="0.25">
      <c r="B78" s="14" t="s">
        <v>104</v>
      </c>
      <c r="C78" s="14" t="s">
        <v>102</v>
      </c>
      <c r="D78" s="14" t="s">
        <v>103</v>
      </c>
    </row>
    <row r="79" spans="2:4" s="14" customFormat="1" x14ac:dyDescent="0.25">
      <c r="B79" s="14" t="s">
        <v>32</v>
      </c>
      <c r="C79" s="14" t="s">
        <v>43</v>
      </c>
      <c r="D79" t="s">
        <v>94</v>
      </c>
    </row>
    <row r="80" spans="2:4" s="14" customFormat="1" x14ac:dyDescent="0.25">
      <c r="B80" s="14" t="s">
        <v>36</v>
      </c>
      <c r="C80" s="14" t="s">
        <v>43</v>
      </c>
      <c r="D80" s="14" t="s">
        <v>95</v>
      </c>
    </row>
    <row r="81" spans="2:4" x14ac:dyDescent="0.25">
      <c r="B81" s="14" t="s">
        <v>100</v>
      </c>
      <c r="C81" t="s">
        <v>101</v>
      </c>
      <c r="D81" s="14" t="s">
        <v>105</v>
      </c>
    </row>
    <row r="82" spans="2:4" x14ac:dyDescent="0.25">
      <c r="B82" s="14" t="s">
        <v>37</v>
      </c>
      <c r="C82" t="s">
        <v>43</v>
      </c>
      <c r="D82" s="14" t="s">
        <v>106</v>
      </c>
    </row>
    <row r="83" spans="2:4" x14ac:dyDescent="0.25">
      <c r="B83" s="14" t="s">
        <v>353</v>
      </c>
      <c r="C83" t="s">
        <v>43</v>
      </c>
      <c r="D83" s="14"/>
    </row>
    <row r="84" spans="2:4" x14ac:dyDescent="0.25">
      <c r="B84" s="14" t="s">
        <v>5</v>
      </c>
      <c r="C84" t="s">
        <v>42</v>
      </c>
      <c r="D84" s="14" t="s">
        <v>107</v>
      </c>
    </row>
    <row r="85" spans="2:4" x14ac:dyDescent="0.25">
      <c r="B85" s="14" t="s">
        <v>45</v>
      </c>
      <c r="C85" t="s">
        <v>42</v>
      </c>
      <c r="D85" s="14" t="s">
        <v>112</v>
      </c>
    </row>
    <row r="88" spans="2:4" x14ac:dyDescent="0.25">
      <c r="B88" t="s">
        <v>356</v>
      </c>
    </row>
    <row r="89" spans="2:4" x14ac:dyDescent="0.25">
      <c r="B89" t="s">
        <v>357</v>
      </c>
    </row>
  </sheetData>
  <customSheetViews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406</v>
      </c>
    </row>
    <row r="3" spans="1:3" x14ac:dyDescent="0.25">
      <c r="B3" s="1" t="s">
        <v>57</v>
      </c>
      <c r="C3" s="1" t="s">
        <v>407</v>
      </c>
    </row>
    <row r="4" spans="1:3" x14ac:dyDescent="0.25">
      <c r="B4" s="1" t="s">
        <v>1</v>
      </c>
      <c r="C4" s="1" t="s">
        <v>6</v>
      </c>
    </row>
    <row r="5" spans="1:3" x14ac:dyDescent="0.25">
      <c r="B5" s="1" t="s">
        <v>3</v>
      </c>
      <c r="C5" s="1" t="s">
        <v>161</v>
      </c>
    </row>
    <row r="6" spans="1:3" x14ac:dyDescent="0.25">
      <c r="B6" s="1" t="s">
        <v>233</v>
      </c>
      <c r="C6" s="1" t="s">
        <v>234</v>
      </c>
    </row>
    <row r="7" spans="1:3" x14ac:dyDescent="0.25">
      <c r="B7" s="16" t="s">
        <v>377</v>
      </c>
      <c r="C7" s="16" t="s">
        <v>378</v>
      </c>
    </row>
    <row r="8" spans="1:3" x14ac:dyDescent="0.25">
      <c r="B8" s="16" t="s">
        <v>253</v>
      </c>
      <c r="C8" s="16" t="s">
        <v>408</v>
      </c>
    </row>
    <row r="9" spans="1:3" x14ac:dyDescent="0.25">
      <c r="B9" s="1" t="s">
        <v>142</v>
      </c>
    </row>
    <row r="10" spans="1:3" ht="13" x14ac:dyDescent="0.3">
      <c r="C10" s="34" t="s">
        <v>313</v>
      </c>
    </row>
    <row r="11" spans="1:3" x14ac:dyDescent="0.25">
      <c r="C11" s="16" t="s">
        <v>312</v>
      </c>
    </row>
    <row r="12" spans="1:3" x14ac:dyDescent="0.25">
      <c r="C12" s="16"/>
    </row>
    <row r="14" spans="1:3" ht="13" x14ac:dyDescent="0.3">
      <c r="C14" s="34" t="s">
        <v>236</v>
      </c>
    </row>
    <row r="15" spans="1:3" x14ac:dyDescent="0.25">
      <c r="C15" s="16" t="s">
        <v>237</v>
      </c>
    </row>
    <row r="16" spans="1:3" x14ac:dyDescent="0.25">
      <c r="C16" s="1" t="s">
        <v>156</v>
      </c>
    </row>
    <row r="17" spans="3:3" x14ac:dyDescent="0.25">
      <c r="C17" s="1" t="s">
        <v>232</v>
      </c>
    </row>
    <row r="18" spans="3:3" ht="13" x14ac:dyDescent="0.3">
      <c r="C18" s="15" t="s">
        <v>238</v>
      </c>
    </row>
    <row r="19" spans="3:3" x14ac:dyDescent="0.25">
      <c r="C19" s="1" t="s">
        <v>235</v>
      </c>
    </row>
    <row r="22" spans="3:3" ht="13" x14ac:dyDescent="0.3">
      <c r="C22" s="34" t="s">
        <v>184</v>
      </c>
    </row>
    <row r="23" spans="3:3" x14ac:dyDescent="0.25">
      <c r="C23" s="1" t="s">
        <v>183</v>
      </c>
    </row>
    <row r="25" spans="3:3" ht="13" x14ac:dyDescent="0.3">
      <c r="C25" s="34" t="s">
        <v>179</v>
      </c>
    </row>
    <row r="26" spans="3:3" x14ac:dyDescent="0.25">
      <c r="C26" s="1" t="s">
        <v>180</v>
      </c>
    </row>
    <row r="27" spans="3:3" x14ac:dyDescent="0.25">
      <c r="C27" s="1" t="s">
        <v>181</v>
      </c>
    </row>
    <row r="28" spans="3:3" ht="13" x14ac:dyDescent="0.3">
      <c r="C28" s="20" t="s">
        <v>182</v>
      </c>
    </row>
    <row r="30" spans="3:3" ht="13" x14ac:dyDescent="0.3">
      <c r="C30" s="34" t="s">
        <v>185</v>
      </c>
    </row>
    <row r="31" spans="3:3" x14ac:dyDescent="0.25">
      <c r="C31" s="1" t="s">
        <v>186</v>
      </c>
    </row>
    <row r="33" spans="3:3" x14ac:dyDescent="0.25">
      <c r="C33" s="1" t="s">
        <v>157</v>
      </c>
    </row>
    <row r="34" spans="3:3" x14ac:dyDescent="0.25">
      <c r="C34" s="1" t="s">
        <v>159</v>
      </c>
    </row>
    <row r="35" spans="3:3" x14ac:dyDescent="0.25">
      <c r="C35" s="1" t="s">
        <v>158</v>
      </c>
    </row>
    <row r="36" spans="3:3" x14ac:dyDescent="0.25">
      <c r="C36" s="1" t="s">
        <v>160</v>
      </c>
    </row>
  </sheetData>
  <customSheetViews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796875" defaultRowHeight="12.5" x14ac:dyDescent="0.25"/>
  <cols>
    <col min="1" max="1" width="5" style="1" bestFit="1" customWidth="1"/>
    <col min="2" max="2" width="11.4531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54</v>
      </c>
    </row>
    <row r="3" spans="1:3" x14ac:dyDescent="0.25">
      <c r="B3" s="1" t="s">
        <v>53</v>
      </c>
      <c r="C3" s="1" t="s">
        <v>52</v>
      </c>
    </row>
    <row r="4" spans="1:3" x14ac:dyDescent="0.25">
      <c r="B4" s="1" t="s">
        <v>55</v>
      </c>
      <c r="C4" s="1" t="s">
        <v>56</v>
      </c>
    </row>
    <row r="5" spans="1:3" x14ac:dyDescent="0.25">
      <c r="B5" s="1" t="s">
        <v>57</v>
      </c>
      <c r="C5" s="1" t="s">
        <v>64</v>
      </c>
    </row>
    <row r="6" spans="1:3" x14ac:dyDescent="0.25">
      <c r="B6" s="1" t="s">
        <v>58</v>
      </c>
      <c r="C6" s="1" t="s">
        <v>59</v>
      </c>
    </row>
    <row r="7" spans="1:3" x14ac:dyDescent="0.25">
      <c r="B7" s="1" t="s">
        <v>61</v>
      </c>
      <c r="C7" s="1" t="s">
        <v>62</v>
      </c>
    </row>
    <row r="8" spans="1:3" x14ac:dyDescent="0.25">
      <c r="B8" s="1" t="s">
        <v>60</v>
      </c>
      <c r="C8" s="1" t="s">
        <v>63</v>
      </c>
    </row>
    <row r="9" spans="1:3" x14ac:dyDescent="0.25">
      <c r="B9" s="1" t="s">
        <v>3</v>
      </c>
      <c r="C9" s="1" t="s">
        <v>65</v>
      </c>
    </row>
    <row r="10" spans="1:3" x14ac:dyDescent="0.25">
      <c r="B10" s="1" t="s">
        <v>142</v>
      </c>
      <c r="C10" s="1" t="s">
        <v>162</v>
      </c>
    </row>
  </sheetData>
  <customSheetViews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267</v>
      </c>
    </row>
    <row r="3" spans="1:3" x14ac:dyDescent="0.25">
      <c r="B3" s="1" t="s">
        <v>1</v>
      </c>
      <c r="C3" s="1" t="s">
        <v>56</v>
      </c>
    </row>
    <row r="4" spans="1:3" x14ac:dyDescent="0.25">
      <c r="B4" s="1" t="s">
        <v>57</v>
      </c>
      <c r="C4" s="1" t="s">
        <v>286</v>
      </c>
    </row>
    <row r="5" spans="1:3" x14ac:dyDescent="0.25">
      <c r="B5" s="1" t="s">
        <v>256</v>
      </c>
      <c r="C5" s="1" t="s">
        <v>285</v>
      </c>
    </row>
    <row r="6" spans="1:3" x14ac:dyDescent="0.25">
      <c r="B6" s="1" t="s">
        <v>142</v>
      </c>
    </row>
    <row r="7" spans="1:3" ht="13" x14ac:dyDescent="0.3">
      <c r="C7" s="34" t="s">
        <v>311</v>
      </c>
    </row>
    <row r="8" spans="1:3" x14ac:dyDescent="0.25">
      <c r="C8" s="1" t="s">
        <v>334</v>
      </c>
    </row>
    <row r="10" spans="1:3" ht="13" x14ac:dyDescent="0.3">
      <c r="C10" s="34" t="s">
        <v>309</v>
      </c>
    </row>
    <row r="11" spans="1:3" x14ac:dyDescent="0.25">
      <c r="C11" s="1" t="s">
        <v>310</v>
      </c>
    </row>
    <row r="14" spans="1:3" x14ac:dyDescent="0.25">
      <c r="B14" s="92" t="s">
        <v>491</v>
      </c>
    </row>
    <row r="15" spans="1:3" x14ac:dyDescent="0.25">
      <c r="B15" s="92" t="s">
        <v>492</v>
      </c>
    </row>
    <row r="16" spans="1:3" x14ac:dyDescent="0.25">
      <c r="B16" s="92" t="s">
        <v>493</v>
      </c>
    </row>
    <row r="17" spans="2:2" x14ac:dyDescent="0.25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796875" defaultRowHeight="12.5" x14ac:dyDescent="0.25"/>
  <cols>
    <col min="1" max="1" width="5" style="109" bestFit="1" customWidth="1"/>
    <col min="2" max="2" width="12.26953125" style="109" bestFit="1" customWidth="1"/>
    <col min="3" max="16384" width="9.1796875" style="109"/>
  </cols>
  <sheetData>
    <row r="1" spans="1:4" x14ac:dyDescent="0.25">
      <c r="A1" s="112" t="s">
        <v>139</v>
      </c>
    </row>
    <row r="2" spans="1:4" x14ac:dyDescent="0.25">
      <c r="A2" s="112"/>
      <c r="B2" s="109" t="s">
        <v>140</v>
      </c>
      <c r="C2" s="109" t="s">
        <v>569</v>
      </c>
    </row>
    <row r="3" spans="1:4" x14ac:dyDescent="0.25">
      <c r="A3" s="112"/>
      <c r="B3" s="109" t="s">
        <v>141</v>
      </c>
      <c r="C3" s="109" t="s">
        <v>570</v>
      </c>
    </row>
    <row r="4" spans="1:4" x14ac:dyDescent="0.25">
      <c r="A4" s="112"/>
      <c r="B4" s="111" t="s">
        <v>549</v>
      </c>
      <c r="C4" s="111" t="s">
        <v>548</v>
      </c>
    </row>
    <row r="5" spans="1:4" x14ac:dyDescent="0.25">
      <c r="B5" s="109" t="s">
        <v>142</v>
      </c>
    </row>
    <row r="6" spans="1:4" ht="13" x14ac:dyDescent="0.3">
      <c r="C6" s="110" t="s">
        <v>545</v>
      </c>
    </row>
    <row r="7" spans="1:4" x14ac:dyDescent="0.25">
      <c r="C7" s="111" t="s">
        <v>546</v>
      </c>
    </row>
    <row r="8" spans="1:4" x14ac:dyDescent="0.25">
      <c r="C8" s="111" t="s">
        <v>553</v>
      </c>
    </row>
    <row r="9" spans="1:4" x14ac:dyDescent="0.25">
      <c r="C9" s="111"/>
    </row>
    <row r="10" spans="1:4" x14ac:dyDescent="0.25">
      <c r="C10" s="111" t="s">
        <v>550</v>
      </c>
    </row>
    <row r="11" spans="1:4" x14ac:dyDescent="0.25">
      <c r="C11" s="111"/>
      <c r="D11" s="111" t="s">
        <v>557</v>
      </c>
    </row>
    <row r="12" spans="1:4" x14ac:dyDescent="0.25">
      <c r="C12" s="111"/>
      <c r="D12" s="111" t="s">
        <v>555</v>
      </c>
    </row>
    <row r="13" spans="1:4" x14ac:dyDescent="0.25">
      <c r="C13" s="111"/>
      <c r="D13" s="111" t="s">
        <v>556</v>
      </c>
    </row>
    <row r="14" spans="1:4" x14ac:dyDescent="0.25">
      <c r="C14" s="111"/>
      <c r="D14" s="111" t="s">
        <v>558</v>
      </c>
    </row>
    <row r="15" spans="1:4" x14ac:dyDescent="0.25">
      <c r="C15" s="111"/>
      <c r="D15" s="111" t="s">
        <v>559</v>
      </c>
    </row>
    <row r="16" spans="1:4" x14ac:dyDescent="0.25">
      <c r="C16" s="111" t="s">
        <v>554</v>
      </c>
    </row>
    <row r="17" spans="3:5" x14ac:dyDescent="0.25">
      <c r="C17" s="111"/>
      <c r="D17" s="111" t="s">
        <v>516</v>
      </c>
      <c r="E17" s="111" t="s">
        <v>517</v>
      </c>
    </row>
    <row r="18" spans="3:5" x14ac:dyDescent="0.25">
      <c r="C18" s="111"/>
      <c r="E18" s="111" t="s">
        <v>518</v>
      </c>
    </row>
    <row r="19" spans="3:5" x14ac:dyDescent="0.25">
      <c r="C19" s="111"/>
      <c r="D19" s="111" t="s">
        <v>557</v>
      </c>
      <c r="E19" s="111"/>
    </row>
    <row r="20" spans="3:5" x14ac:dyDescent="0.25">
      <c r="C20" s="111"/>
      <c r="D20" s="111" t="s">
        <v>560</v>
      </c>
      <c r="E20" s="111"/>
    </row>
    <row r="21" spans="3:5" x14ac:dyDescent="0.25">
      <c r="C21" s="111"/>
      <c r="D21" s="111" t="s">
        <v>561</v>
      </c>
      <c r="E21" s="111"/>
    </row>
    <row r="22" spans="3:5" x14ac:dyDescent="0.25">
      <c r="C22" s="111" t="s">
        <v>551</v>
      </c>
    </row>
    <row r="23" spans="3:5" x14ac:dyDescent="0.25">
      <c r="C23" s="111" t="s">
        <v>552</v>
      </c>
    </row>
    <row r="24" spans="3:5" x14ac:dyDescent="0.25">
      <c r="C24" s="111"/>
      <c r="D24" s="111" t="s">
        <v>562</v>
      </c>
    </row>
    <row r="25" spans="3:5" x14ac:dyDescent="0.25">
      <c r="C25" s="111"/>
      <c r="D25" s="111" t="s">
        <v>547</v>
      </c>
    </row>
    <row r="26" spans="3:5" x14ac:dyDescent="0.25">
      <c r="C26" s="111"/>
    </row>
    <row r="29" spans="3:5" x14ac:dyDescent="0.25">
      <c r="D29" s="111"/>
    </row>
    <row r="31" spans="3:5" x14ac:dyDescent="0.25">
      <c r="D31" s="111"/>
    </row>
    <row r="32" spans="3:5" ht="13" x14ac:dyDescent="0.3">
      <c r="C32" s="110" t="s">
        <v>519</v>
      </c>
    </row>
    <row r="33" spans="3:4" ht="13" x14ac:dyDescent="0.3">
      <c r="C33" s="110"/>
    </row>
    <row r="34" spans="3:4" x14ac:dyDescent="0.25">
      <c r="C34" s="111" t="s">
        <v>521</v>
      </c>
    </row>
    <row r="35" spans="3:4" x14ac:dyDescent="0.25">
      <c r="D35" s="111" t="s">
        <v>520</v>
      </c>
    </row>
    <row r="36" spans="3:4" x14ac:dyDescent="0.25">
      <c r="D36" s="113" t="s">
        <v>527</v>
      </c>
    </row>
    <row r="37" spans="3:4" x14ac:dyDescent="0.25">
      <c r="D37" s="113" t="s">
        <v>528</v>
      </c>
    </row>
    <row r="38" spans="3:4" ht="13" x14ac:dyDescent="0.3">
      <c r="D38" s="114" t="s">
        <v>523</v>
      </c>
    </row>
    <row r="39" spans="3:4" x14ac:dyDescent="0.25">
      <c r="D39" s="113" t="s">
        <v>529</v>
      </c>
    </row>
    <row r="40" spans="3:4" x14ac:dyDescent="0.25">
      <c r="C40" s="111" t="s">
        <v>522</v>
      </c>
    </row>
    <row r="41" spans="3:4" x14ac:dyDescent="0.25">
      <c r="C41" s="111" t="s">
        <v>524</v>
      </c>
    </row>
    <row r="42" spans="3:4" x14ac:dyDescent="0.25">
      <c r="C42" s="111" t="s">
        <v>525</v>
      </c>
    </row>
    <row r="43" spans="3:4" x14ac:dyDescent="0.25">
      <c r="C43" s="111" t="s">
        <v>526</v>
      </c>
    </row>
    <row r="44" spans="3:4" x14ac:dyDescent="0.25">
      <c r="C44" s="111"/>
    </row>
    <row r="45" spans="3:4" x14ac:dyDescent="0.25">
      <c r="C45" s="111" t="s">
        <v>514</v>
      </c>
    </row>
    <row r="46" spans="3:4" x14ac:dyDescent="0.25">
      <c r="C46" s="111" t="s">
        <v>513</v>
      </c>
    </row>
    <row r="47" spans="3:4" x14ac:dyDescent="0.25">
      <c r="D47" s="111" t="s">
        <v>515</v>
      </c>
    </row>
    <row r="49" spans="3:4" ht="13" x14ac:dyDescent="0.3">
      <c r="C49" s="110" t="s">
        <v>530</v>
      </c>
    </row>
    <row r="50" spans="3:4" x14ac:dyDescent="0.25">
      <c r="C50" s="111" t="s">
        <v>538</v>
      </c>
    </row>
    <row r="51" spans="3:4" x14ac:dyDescent="0.25">
      <c r="C51" s="111"/>
      <c r="D51" s="111" t="s">
        <v>563</v>
      </c>
    </row>
    <row r="52" spans="3:4" x14ac:dyDescent="0.25">
      <c r="C52" s="111"/>
      <c r="D52" s="111" t="s">
        <v>564</v>
      </c>
    </row>
    <row r="53" spans="3:4" x14ac:dyDescent="0.25">
      <c r="C53" s="111"/>
      <c r="D53" s="111" t="s">
        <v>565</v>
      </c>
    </row>
    <row r="54" spans="3:4" x14ac:dyDescent="0.25">
      <c r="C54" s="111"/>
      <c r="D54" s="111" t="s">
        <v>566</v>
      </c>
    </row>
    <row r="55" spans="3:4" x14ac:dyDescent="0.25">
      <c r="C55" s="111"/>
      <c r="D55" s="111" t="s">
        <v>567</v>
      </c>
    </row>
    <row r="56" spans="3:4" x14ac:dyDescent="0.25">
      <c r="C56" s="111" t="s">
        <v>537</v>
      </c>
    </row>
    <row r="57" spans="3:4" x14ac:dyDescent="0.25">
      <c r="C57" s="111" t="s">
        <v>539</v>
      </c>
    </row>
    <row r="58" spans="3:4" x14ac:dyDescent="0.25">
      <c r="C58" s="111" t="s">
        <v>540</v>
      </c>
    </row>
    <row r="59" spans="3:4" x14ac:dyDescent="0.25">
      <c r="C59" s="111" t="s">
        <v>544</v>
      </c>
    </row>
    <row r="60" spans="3:4" x14ac:dyDescent="0.25">
      <c r="C60" s="111" t="s">
        <v>541</v>
      </c>
    </row>
    <row r="61" spans="3:4" x14ac:dyDescent="0.25">
      <c r="C61" s="111" t="s">
        <v>543</v>
      </c>
    </row>
    <row r="62" spans="3:4" x14ac:dyDescent="0.25">
      <c r="C62" s="111"/>
    </row>
    <row r="63" spans="3:4" x14ac:dyDescent="0.25">
      <c r="D63" s="115" t="s">
        <v>542</v>
      </c>
    </row>
    <row r="64" spans="3:4" x14ac:dyDescent="0.25">
      <c r="D64" s="111" t="s">
        <v>531</v>
      </c>
    </row>
    <row r="65" spans="4:4" x14ac:dyDescent="0.25">
      <c r="D65" s="111" t="s">
        <v>532</v>
      </c>
    </row>
    <row r="66" spans="4:4" x14ac:dyDescent="0.25">
      <c r="D66" s="111" t="s">
        <v>533</v>
      </c>
    </row>
    <row r="67" spans="4:4" x14ac:dyDescent="0.25">
      <c r="D67" s="111" t="s">
        <v>534</v>
      </c>
    </row>
    <row r="68" spans="4:4" x14ac:dyDescent="0.25">
      <c r="D68" s="111" t="s">
        <v>535</v>
      </c>
    </row>
    <row r="69" spans="4:4" x14ac:dyDescent="0.25">
      <c r="D69" s="111" t="s">
        <v>536</v>
      </c>
    </row>
    <row r="70" spans="4:4" x14ac:dyDescent="0.25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ColWidth="8.81640625" defaultRowHeight="12.5" x14ac:dyDescent="0.25"/>
  <cols>
    <col min="1" max="1" width="4.453125" bestFit="1" customWidth="1"/>
    <col min="2" max="2" width="13.26953125" customWidth="1"/>
    <col min="3" max="3" width="12.81640625" customWidth="1"/>
  </cols>
  <sheetData>
    <row r="1" spans="1:3" x14ac:dyDescent="0.25">
      <c r="A1" s="33" t="s">
        <v>139</v>
      </c>
    </row>
    <row r="2" spans="1:3" x14ac:dyDescent="0.25">
      <c r="B2" s="95" t="s">
        <v>140</v>
      </c>
      <c r="C2" s="95" t="s">
        <v>607</v>
      </c>
    </row>
    <row r="3" spans="1:3" x14ac:dyDescent="0.25">
      <c r="B3" s="95" t="s">
        <v>141</v>
      </c>
      <c r="C3" s="95" t="s">
        <v>590</v>
      </c>
    </row>
    <row r="4" spans="1:3" x14ac:dyDescent="0.25">
      <c r="B4" s="95" t="s">
        <v>1</v>
      </c>
      <c r="C4" s="95" t="s">
        <v>613</v>
      </c>
    </row>
    <row r="5" spans="1:3" x14ac:dyDescent="0.25">
      <c r="B5" s="95" t="s">
        <v>2</v>
      </c>
    </row>
    <row r="6" spans="1:3" x14ac:dyDescent="0.25">
      <c r="B6" s="95" t="s">
        <v>608</v>
      </c>
      <c r="C6" s="95" t="s">
        <v>609</v>
      </c>
    </row>
    <row r="7" spans="1:3" x14ac:dyDescent="0.25">
      <c r="B7" s="95" t="s">
        <v>319</v>
      </c>
      <c r="C7" s="95" t="s">
        <v>611</v>
      </c>
    </row>
    <row r="8" spans="1:3" x14ac:dyDescent="0.25">
      <c r="B8" s="95" t="s">
        <v>57</v>
      </c>
    </row>
    <row r="9" spans="1:3" x14ac:dyDescent="0.25">
      <c r="B9" s="95" t="s">
        <v>606</v>
      </c>
    </row>
    <row r="10" spans="1:3" x14ac:dyDescent="0.25">
      <c r="B10" s="95" t="s">
        <v>142</v>
      </c>
    </row>
    <row r="11" spans="1:3" ht="13" x14ac:dyDescent="0.3">
      <c r="C11" s="121" t="s">
        <v>615</v>
      </c>
    </row>
    <row r="13" spans="1:3" ht="13" x14ac:dyDescent="0.3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ColWidth="8.81640625" defaultRowHeight="12.5" x14ac:dyDescent="0.25"/>
  <sheetData>
    <row r="1" spans="1:2" x14ac:dyDescent="0.25">
      <c r="A1" s="12" t="s">
        <v>139</v>
      </c>
    </row>
    <row r="3" spans="1:2" x14ac:dyDescent="0.25">
      <c r="B3" s="95" t="s">
        <v>476</v>
      </c>
    </row>
    <row r="4" spans="1:2" x14ac:dyDescent="0.25">
      <c r="B4" s="95" t="s">
        <v>495</v>
      </c>
    </row>
    <row r="5" spans="1:2" x14ac:dyDescent="0.25">
      <c r="B5" s="95" t="s">
        <v>496</v>
      </c>
    </row>
    <row r="6" spans="1:2" x14ac:dyDescent="0.25">
      <c r="B6" s="95" t="s">
        <v>497</v>
      </c>
    </row>
    <row r="7" spans="1:2" x14ac:dyDescent="0.25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B103"/>
  <sheetViews>
    <sheetView tabSelected="1" zoomScale="115" zoomScaleNormal="115" workbookViewId="0">
      <pane xSplit="2" ySplit="2" topLeftCell="DW25" activePane="bottomRight" state="frozen"/>
      <selection pane="topRight" activeCell="B1" sqref="B1"/>
      <selection pane="bottomLeft" activeCell="A2" sqref="A2"/>
      <selection pane="bottomRight" activeCell="ED48" sqref="ED48"/>
    </sheetView>
  </sheetViews>
  <sheetFormatPr defaultColWidth="9.1796875" defaultRowHeight="12.5" x14ac:dyDescent="0.25"/>
  <cols>
    <col min="1" max="1" width="5.1796875" style="1" bestFit="1" customWidth="1"/>
    <col min="2" max="2" width="27.7265625" style="1" bestFit="1" customWidth="1"/>
    <col min="3" max="18" width="7.453125" style="76" hidden="1" customWidth="1"/>
    <col min="19" max="30" width="7.1796875" style="76" hidden="1" customWidth="1"/>
    <col min="31" max="36" width="7.1796875" style="76" customWidth="1"/>
    <col min="37" max="37" width="8.81640625" style="76" bestFit="1" customWidth="1"/>
    <col min="38" max="38" width="7.1796875" style="76" customWidth="1"/>
    <col min="39" max="42" width="7.453125" style="76" customWidth="1"/>
    <col min="43" max="74" width="7.1796875" style="76" customWidth="1"/>
    <col min="75" max="98" width="7.1796875" style="141" customWidth="1"/>
    <col min="99" max="99" width="4.453125" customWidth="1"/>
    <col min="100" max="102" width="6.453125" customWidth="1"/>
    <col min="103" max="105" width="5.7265625" customWidth="1"/>
    <col min="106" max="106" width="5.7265625" style="1" customWidth="1"/>
    <col min="107" max="107" width="5.7265625" style="76" customWidth="1"/>
    <col min="108" max="109" width="6.453125" style="76" customWidth="1"/>
    <col min="110" max="111" width="8" style="135" customWidth="1"/>
    <col min="112" max="115" width="8" style="76" customWidth="1"/>
    <col min="116" max="117" width="7.7265625" style="76" customWidth="1"/>
    <col min="118" max="121" width="7.453125" style="141" customWidth="1"/>
    <col min="122" max="123" width="8.1796875" style="141" customWidth="1"/>
    <col min="124" max="126" width="8.1796875" customWidth="1"/>
    <col min="130" max="136" width="7.453125" customWidth="1"/>
    <col min="137" max="16384" width="9.1796875" style="1"/>
  </cols>
  <sheetData>
    <row r="1" spans="1:136" x14ac:dyDescent="0.25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O1" s="138"/>
      <c r="DR1" s="138"/>
    </row>
    <row r="2" spans="1:136" s="92" customFormat="1" x14ac:dyDescent="0.25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646</v>
      </c>
      <c r="BD2" s="101" t="s">
        <v>647</v>
      </c>
      <c r="BE2" s="101" t="s">
        <v>648</v>
      </c>
      <c r="BF2" s="101" t="s">
        <v>649</v>
      </c>
      <c r="BG2" s="101" t="s">
        <v>650</v>
      </c>
      <c r="BH2" s="101" t="s">
        <v>651</v>
      </c>
      <c r="BI2" s="101" t="s">
        <v>652</v>
      </c>
      <c r="BJ2" s="101" t="s">
        <v>653</v>
      </c>
      <c r="BK2" s="101" t="s">
        <v>654</v>
      </c>
      <c r="BL2" s="101" t="s">
        <v>655</v>
      </c>
      <c r="BM2" s="101" t="s">
        <v>656</v>
      </c>
      <c r="BN2" s="101" t="s">
        <v>657</v>
      </c>
      <c r="BO2" s="101" t="s">
        <v>658</v>
      </c>
      <c r="BP2" s="101" t="s">
        <v>659</v>
      </c>
      <c r="BQ2" s="101" t="s">
        <v>660</v>
      </c>
      <c r="BR2" s="101" t="s">
        <v>661</v>
      </c>
      <c r="BS2" s="101" t="s">
        <v>662</v>
      </c>
      <c r="BT2" s="101" t="s">
        <v>663</v>
      </c>
      <c r="BU2" s="101" t="s">
        <v>664</v>
      </c>
      <c r="BV2" s="101" t="s">
        <v>665</v>
      </c>
      <c r="BW2" s="138" t="s">
        <v>666</v>
      </c>
      <c r="BX2" s="138" t="s">
        <v>667</v>
      </c>
      <c r="BY2" s="138" t="s">
        <v>668</v>
      </c>
      <c r="BZ2" s="138" t="s">
        <v>669</v>
      </c>
      <c r="CA2" s="138" t="s">
        <v>670</v>
      </c>
      <c r="CB2" s="138" t="s">
        <v>671</v>
      </c>
      <c r="CC2" s="138" t="s">
        <v>672</v>
      </c>
      <c r="CD2" s="138" t="s">
        <v>673</v>
      </c>
      <c r="CE2" s="138" t="s">
        <v>645</v>
      </c>
      <c r="CF2" s="138" t="s">
        <v>674</v>
      </c>
      <c r="CG2" s="138" t="s">
        <v>675</v>
      </c>
      <c r="CH2" s="138" t="s">
        <v>676</v>
      </c>
      <c r="CI2" s="138" t="s">
        <v>694</v>
      </c>
      <c r="CJ2" s="138" t="s">
        <v>695</v>
      </c>
      <c r="CK2" s="138" t="s">
        <v>696</v>
      </c>
      <c r="CL2" s="138" t="s">
        <v>697</v>
      </c>
      <c r="CM2" s="138" t="s">
        <v>769</v>
      </c>
      <c r="CN2" s="138" t="s">
        <v>770</v>
      </c>
      <c r="CO2" s="138" t="s">
        <v>771</v>
      </c>
      <c r="CP2" s="138" t="s">
        <v>772</v>
      </c>
      <c r="CQ2" s="138" t="s">
        <v>773</v>
      </c>
      <c r="CR2" s="138" t="s">
        <v>774</v>
      </c>
      <c r="CS2" s="138" t="s">
        <v>775</v>
      </c>
      <c r="CT2" s="138" t="s">
        <v>776</v>
      </c>
      <c r="CU2" s="95"/>
      <c r="CV2" s="138">
        <v>1999</v>
      </c>
      <c r="CW2" s="138">
        <v>2000</v>
      </c>
      <c r="CX2" s="138">
        <v>2001</v>
      </c>
      <c r="CY2" s="138">
        <v>2002</v>
      </c>
      <c r="CZ2" s="138">
        <v>2003</v>
      </c>
      <c r="DA2" s="138">
        <v>2004</v>
      </c>
      <c r="DB2" s="101">
        <v>2005</v>
      </c>
      <c r="DC2" s="101">
        <v>2006</v>
      </c>
      <c r="DD2" s="101">
        <v>2007</v>
      </c>
      <c r="DE2" s="101">
        <v>2008</v>
      </c>
      <c r="DF2" s="134">
        <v>2009</v>
      </c>
      <c r="DG2" s="134">
        <v>2010</v>
      </c>
      <c r="DH2" s="101">
        <v>2011</v>
      </c>
      <c r="DI2" s="101">
        <v>2012</v>
      </c>
      <c r="DJ2" s="101">
        <v>2013</v>
      </c>
      <c r="DK2" s="101">
        <v>2014</v>
      </c>
      <c r="DL2" s="101">
        <v>2015</v>
      </c>
      <c r="DM2" s="101">
        <v>2016</v>
      </c>
      <c r="DN2" s="138">
        <v>2017</v>
      </c>
      <c r="DO2" s="138">
        <v>2018</v>
      </c>
      <c r="DP2" s="138">
        <v>2019</v>
      </c>
      <c r="DQ2" s="138">
        <v>2020</v>
      </c>
      <c r="DR2" s="138">
        <v>2021</v>
      </c>
      <c r="DS2" s="138">
        <v>2022</v>
      </c>
      <c r="DT2" s="95">
        <v>2023</v>
      </c>
      <c r="DU2" s="95">
        <v>2024</v>
      </c>
      <c r="DV2" s="95">
        <v>2025</v>
      </c>
      <c r="DW2" s="95">
        <f>+DV2+1</f>
        <v>2026</v>
      </c>
      <c r="DX2" s="95">
        <f t="shared" ref="DX2:EA2" si="0">+DW2+1</f>
        <v>2027</v>
      </c>
      <c r="DY2" s="95">
        <f t="shared" si="0"/>
        <v>2028</v>
      </c>
      <c r="DZ2" s="95">
        <f t="shared" si="0"/>
        <v>2029</v>
      </c>
      <c r="EA2" s="95">
        <f t="shared" si="0"/>
        <v>2030</v>
      </c>
      <c r="EB2" s="95">
        <f t="shared" ref="EB2" si="1">+EA2+1</f>
        <v>2031</v>
      </c>
      <c r="EC2" s="95">
        <f t="shared" ref="EC2" si="2">+EB2+1</f>
        <v>2032</v>
      </c>
      <c r="ED2" s="95">
        <f t="shared" ref="ED2" si="3">+EC2+1</f>
        <v>2033</v>
      </c>
      <c r="EE2" s="95">
        <f t="shared" ref="EE2" si="4">+ED2+1</f>
        <v>2034</v>
      </c>
      <c r="EF2" s="95">
        <f t="shared" ref="EF2" si="5">+EE2+1</f>
        <v>2035</v>
      </c>
    </row>
    <row r="3" spans="1:136" s="92" customFormat="1" x14ac:dyDescent="0.25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39">
        <f t="shared" ref="BA3:BM3" si="6">SUM(BA9:BA18)+BA28</f>
        <v>2704</v>
      </c>
      <c r="BB3" s="139">
        <f t="shared" si="6"/>
        <v>2866</v>
      </c>
      <c r="BC3" s="139">
        <f t="shared" si="6"/>
        <v>2415</v>
      </c>
      <c r="BD3" s="139">
        <f t="shared" si="6"/>
        <v>2716</v>
      </c>
      <c r="BE3" s="139">
        <f t="shared" si="6"/>
        <v>2889</v>
      </c>
      <c r="BF3" s="139">
        <f t="shared" si="6"/>
        <v>2978</v>
      </c>
      <c r="BG3" s="139">
        <f t="shared" si="6"/>
        <v>2861</v>
      </c>
      <c r="BH3" s="139">
        <f t="shared" si="6"/>
        <v>3120</v>
      </c>
      <c r="BI3" s="139">
        <f t="shared" si="6"/>
        <v>3497</v>
      </c>
      <c r="BJ3" s="139">
        <f t="shared" si="6"/>
        <v>3350</v>
      </c>
      <c r="BK3" s="139">
        <f t="shared" si="6"/>
        <v>3235</v>
      </c>
      <c r="BL3" s="139">
        <f t="shared" si="6"/>
        <v>3535</v>
      </c>
      <c r="BM3" s="139">
        <f t="shared" si="6"/>
        <v>3590</v>
      </c>
      <c r="BN3" s="139">
        <f>SUM(BN9:BN18)+BN28</f>
        <v>3643</v>
      </c>
      <c r="BO3" s="139">
        <f>SUM(BO9:BO18)+BO28</f>
        <v>3247</v>
      </c>
      <c r="BP3" s="139">
        <f>SUM(BP9:BP18)+BP28</f>
        <v>3728</v>
      </c>
      <c r="BQ3" s="139">
        <f>SUM(BQ9:BQ18)+BQ28</f>
        <v>3783</v>
      </c>
      <c r="BR3" s="139">
        <f>SUM(BR9:BR18)+BR28</f>
        <v>4108</v>
      </c>
      <c r="BS3" s="139">
        <f t="shared" ref="BS3:CN3" si="7">SUM(BS9:BS18)+BS28</f>
        <v>3673</v>
      </c>
      <c r="BT3" s="139">
        <f t="shared" si="7"/>
        <v>4101</v>
      </c>
      <c r="BU3" s="139">
        <f t="shared" si="7"/>
        <v>4254</v>
      </c>
      <c r="BV3" s="139">
        <f t="shared" si="7"/>
        <v>4606</v>
      </c>
      <c r="BW3" s="139">
        <f t="shared" si="7"/>
        <v>4166</v>
      </c>
      <c r="BX3" s="139">
        <f t="shared" si="7"/>
        <v>4037</v>
      </c>
      <c r="BY3" s="139">
        <f t="shared" si="7"/>
        <v>4566</v>
      </c>
      <c r="BZ3" s="139">
        <f t="shared" si="7"/>
        <v>4296</v>
      </c>
      <c r="CA3" s="139">
        <f t="shared" si="7"/>
        <v>3633</v>
      </c>
      <c r="CB3" s="139">
        <f t="shared" si="7"/>
        <v>3955</v>
      </c>
      <c r="CC3" s="139">
        <f t="shared" si="7"/>
        <v>4208</v>
      </c>
      <c r="CD3" s="139">
        <f t="shared" si="7"/>
        <v>4522</v>
      </c>
      <c r="CE3" s="139">
        <f t="shared" si="7"/>
        <v>3715</v>
      </c>
      <c r="CF3" s="139">
        <f t="shared" si="7"/>
        <v>4233</v>
      </c>
      <c r="CG3" s="139">
        <f t="shared" si="7"/>
        <v>4497</v>
      </c>
      <c r="CH3" s="139">
        <f t="shared" si="7"/>
        <v>4783</v>
      </c>
      <c r="CI3" s="139">
        <f t="shared" si="7"/>
        <v>4200</v>
      </c>
      <c r="CJ3" s="139">
        <f t="shared" si="7"/>
        <v>4626</v>
      </c>
      <c r="CK3" s="139">
        <f t="shared" si="7"/>
        <v>4667</v>
      </c>
      <c r="CL3" s="139">
        <f t="shared" si="7"/>
        <v>4693</v>
      </c>
      <c r="CM3" s="139">
        <f t="shared" si="7"/>
        <v>4226</v>
      </c>
      <c r="CN3" s="139">
        <f t="shared" si="7"/>
        <v>4640</v>
      </c>
      <c r="CO3" s="139"/>
      <c r="CP3" s="139"/>
      <c r="CQ3" s="139"/>
      <c r="CR3" s="139"/>
      <c r="CS3" s="138"/>
      <c r="CT3" s="138"/>
      <c r="CU3" s="95"/>
      <c r="CV3" s="138"/>
      <c r="CW3" s="138"/>
      <c r="CX3" s="138"/>
      <c r="CY3" s="138"/>
      <c r="CZ3" s="138"/>
      <c r="DA3" s="138"/>
      <c r="DB3" s="101"/>
      <c r="DC3" s="101"/>
      <c r="DD3" s="101"/>
      <c r="DE3" s="101"/>
      <c r="DF3" s="134"/>
      <c r="DG3" s="134"/>
      <c r="DH3" s="139">
        <f t="shared" ref="DH3:DP3" si="8">+DH15+DH16+DH17+DH18+DH27+DH28+DH9+DH10+DH11+DH12+DH13</f>
        <v>6904.6130000000003</v>
      </c>
      <c r="DI3" s="139">
        <f t="shared" si="8"/>
        <v>8033.4750000000004</v>
      </c>
      <c r="DJ3" s="139">
        <f t="shared" si="8"/>
        <v>9119.3490000000002</v>
      </c>
      <c r="DK3" s="139">
        <f t="shared" si="8"/>
        <v>10306.804</v>
      </c>
      <c r="DL3" s="139">
        <f t="shared" si="8"/>
        <v>10814.63535</v>
      </c>
      <c r="DM3" s="139">
        <f t="shared" si="8"/>
        <v>11678.668672500002</v>
      </c>
      <c r="DN3" s="139">
        <f t="shared" si="8"/>
        <v>0</v>
      </c>
      <c r="DO3" s="139">
        <f t="shared" si="8"/>
        <v>0</v>
      </c>
      <c r="DP3" s="139">
        <f t="shared" si="8"/>
        <v>0</v>
      </c>
      <c r="DQ3" s="139">
        <f>+DQ15+DQ16+DQ17+DQ18+DQ27+DQ28+DQ9+DQ10+DQ11+DQ12+DQ13</f>
        <v>17065</v>
      </c>
      <c r="DR3" s="139">
        <f t="shared" ref="DR3:EF3" si="9">+DR15+DR16+DR17+DR18+DR27+DR28+DR9+DR10+DR11+DR12+DR13</f>
        <v>16318</v>
      </c>
      <c r="DS3" s="139">
        <f t="shared" si="9"/>
        <v>17228</v>
      </c>
      <c r="DT3" s="139">
        <f t="shared" si="9"/>
        <v>18186</v>
      </c>
      <c r="DU3" s="139">
        <f t="shared" si="9"/>
        <v>19178</v>
      </c>
      <c r="DV3" s="139">
        <f t="shared" si="9"/>
        <v>19958.850000000002</v>
      </c>
      <c r="DW3" s="139">
        <f t="shared" si="9"/>
        <v>15981.610000000002</v>
      </c>
      <c r="DX3" s="139">
        <f t="shared" si="9"/>
        <v>13655.711750000002</v>
      </c>
      <c r="DY3" s="139">
        <f t="shared" si="9"/>
        <v>12798.932387499999</v>
      </c>
      <c r="DZ3" s="139">
        <f t="shared" si="9"/>
        <v>12122.405590625</v>
      </c>
      <c r="EA3" s="139">
        <f t="shared" si="9"/>
        <v>11495.364573343748</v>
      </c>
      <c r="EB3" s="139">
        <f t="shared" si="9"/>
        <v>10902.967822901559</v>
      </c>
      <c r="EC3" s="139">
        <f t="shared" si="9"/>
        <v>10342.073776378984</v>
      </c>
      <c r="ED3" s="139">
        <f t="shared" si="9"/>
        <v>5284.2968881434917</v>
      </c>
      <c r="EE3" s="139">
        <f t="shared" si="9"/>
        <v>732.29895947034925</v>
      </c>
      <c r="EF3" s="139">
        <f t="shared" si="9"/>
        <v>256.71223953743498</v>
      </c>
    </row>
    <row r="4" spans="1:136" s="92" customFormat="1" x14ac:dyDescent="0.25">
      <c r="B4" s="92" t="s">
        <v>760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01"/>
      <c r="BP4" s="101"/>
      <c r="BQ4" s="101"/>
      <c r="BR4" s="101"/>
      <c r="BS4" s="101"/>
      <c r="BT4" s="101"/>
      <c r="BU4" s="101"/>
      <c r="BV4" s="101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95"/>
      <c r="CV4" s="138"/>
      <c r="CW4" s="138"/>
      <c r="CX4" s="138"/>
      <c r="CY4" s="138"/>
      <c r="CZ4" s="138"/>
      <c r="DA4" s="138"/>
      <c r="DB4" s="101"/>
      <c r="DC4" s="101"/>
      <c r="DD4" s="101"/>
      <c r="DE4" s="101"/>
      <c r="DF4" s="134"/>
      <c r="DG4" s="134"/>
      <c r="DH4" s="93"/>
      <c r="DI4" s="93"/>
      <c r="DJ4" s="93"/>
      <c r="DK4" s="93"/>
      <c r="DL4" s="93"/>
      <c r="DM4" s="93"/>
      <c r="DN4" s="139"/>
      <c r="DO4" s="139"/>
      <c r="DP4" s="139"/>
      <c r="DQ4" s="139"/>
      <c r="DR4"/>
      <c r="DS4"/>
      <c r="DT4"/>
      <c r="DU4"/>
      <c r="DV4"/>
      <c r="DW4" s="95"/>
      <c r="DX4" s="95"/>
      <c r="DY4" s="95"/>
      <c r="DZ4" s="95"/>
      <c r="EA4" s="95"/>
      <c r="EB4" s="95"/>
      <c r="EC4" s="95"/>
      <c r="ED4" s="95"/>
      <c r="EE4" s="95"/>
      <c r="EF4" s="95"/>
    </row>
    <row r="5" spans="1:136" s="92" customFormat="1" x14ac:dyDescent="0.25">
      <c r="B5" s="92" t="s">
        <v>761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01"/>
      <c r="BP5" s="101"/>
      <c r="BQ5" s="101"/>
      <c r="BR5" s="101"/>
      <c r="BS5" s="101"/>
      <c r="BT5" s="101"/>
      <c r="BU5" s="101"/>
      <c r="BV5" s="101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95"/>
      <c r="CV5" s="138"/>
      <c r="CW5" s="138"/>
      <c r="CX5" s="138"/>
      <c r="CY5" s="138"/>
      <c r="CZ5" s="138"/>
      <c r="DA5" s="138"/>
      <c r="DB5" s="101"/>
      <c r="DC5" s="101"/>
      <c r="DD5" s="101"/>
      <c r="DE5" s="101"/>
      <c r="DF5" s="134"/>
      <c r="DG5" s="134"/>
      <c r="DH5" s="93"/>
      <c r="DI5" s="93"/>
      <c r="DJ5" s="93"/>
      <c r="DK5" s="93"/>
      <c r="DL5" s="93"/>
      <c r="DM5" s="93"/>
      <c r="DN5" s="139"/>
      <c r="DO5" s="139"/>
      <c r="DP5" s="139"/>
      <c r="DQ5" s="139"/>
      <c r="DR5"/>
      <c r="DS5"/>
      <c r="DT5"/>
      <c r="DU5"/>
      <c r="DV5"/>
      <c r="DW5" s="95"/>
      <c r="DX5" s="95"/>
      <c r="DY5" s="95"/>
      <c r="DZ5" s="95"/>
      <c r="EA5" s="95"/>
      <c r="EB5" s="95"/>
      <c r="EC5" s="95"/>
      <c r="ED5" s="95"/>
      <c r="EE5" s="95"/>
      <c r="EF5" s="95"/>
    </row>
    <row r="6" spans="1:136" s="92" customFormat="1" x14ac:dyDescent="0.25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01"/>
      <c r="BP6" s="101"/>
      <c r="BQ6" s="101"/>
      <c r="BR6" s="101"/>
      <c r="BS6" s="101"/>
      <c r="BT6" s="101"/>
      <c r="BU6" s="101"/>
      <c r="BV6" s="101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95"/>
      <c r="CV6" s="138"/>
      <c r="CW6" s="138"/>
      <c r="CX6" s="138"/>
      <c r="CY6" s="138"/>
      <c r="CZ6" s="138"/>
      <c r="DA6" s="138"/>
      <c r="DB6" s="101"/>
      <c r="DC6" s="101"/>
      <c r="DD6" s="101"/>
      <c r="DE6" s="101"/>
      <c r="DF6" s="134"/>
      <c r="DG6" s="134"/>
      <c r="DH6" s="93"/>
      <c r="DI6" s="93"/>
      <c r="DJ6" s="93"/>
      <c r="DK6" s="93"/>
      <c r="DL6" s="93"/>
      <c r="DM6" s="93"/>
      <c r="DN6" s="139"/>
      <c r="DO6" s="139"/>
      <c r="DP6" s="139"/>
      <c r="DQ6" s="139"/>
      <c r="DR6"/>
      <c r="DS6"/>
      <c r="DT6"/>
      <c r="DU6"/>
      <c r="DV6"/>
      <c r="DW6" s="95"/>
      <c r="DX6" s="95"/>
      <c r="DY6" s="95"/>
      <c r="DZ6" s="95"/>
      <c r="EA6" s="95"/>
      <c r="EB6" s="95"/>
      <c r="EC6" s="95"/>
      <c r="ED6" s="95"/>
      <c r="EE6" s="95"/>
      <c r="EF6" s="95"/>
    </row>
    <row r="7" spans="1:136" s="92" customFormat="1" x14ac:dyDescent="0.25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01"/>
      <c r="BP7" s="101"/>
      <c r="BQ7" s="101"/>
      <c r="BR7" s="101"/>
      <c r="BS7" s="101"/>
      <c r="BT7" s="101"/>
      <c r="BU7" s="101"/>
      <c r="BV7" s="101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95"/>
      <c r="CV7" s="138"/>
      <c r="CW7" s="138"/>
      <c r="CX7" s="138"/>
      <c r="CY7" s="138"/>
      <c r="CZ7" s="138"/>
      <c r="DA7" s="138"/>
      <c r="DB7" s="101"/>
      <c r="DC7" s="101"/>
      <c r="DD7" s="101"/>
      <c r="DE7" s="101"/>
      <c r="DF7" s="134"/>
      <c r="DG7" s="134"/>
      <c r="DH7" s="93"/>
      <c r="DI7" s="93"/>
      <c r="DJ7" s="93"/>
      <c r="DK7" s="93"/>
      <c r="DL7" s="93"/>
      <c r="DM7" s="93"/>
      <c r="DN7" s="139"/>
      <c r="DO7" s="139"/>
      <c r="DP7" s="139"/>
      <c r="DQ7" s="139"/>
      <c r="DR7"/>
      <c r="DS7"/>
      <c r="DT7"/>
      <c r="DU7"/>
      <c r="DV7"/>
      <c r="DW7" s="95"/>
      <c r="DX7" s="95"/>
      <c r="DY7" s="95"/>
      <c r="DZ7" s="95"/>
      <c r="EA7" s="95"/>
      <c r="EB7" s="95"/>
      <c r="EC7" s="95"/>
      <c r="ED7" s="95"/>
      <c r="EE7" s="95"/>
      <c r="EF7" s="95"/>
    </row>
    <row r="8" spans="1:136" s="92" customFormat="1" x14ac:dyDescent="0.25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01"/>
      <c r="BP8" s="101"/>
      <c r="BQ8" s="101"/>
      <c r="BR8" s="101"/>
      <c r="BS8" s="101"/>
      <c r="BT8" s="101"/>
      <c r="BU8" s="101"/>
      <c r="BV8" s="101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95"/>
      <c r="CV8" s="138"/>
      <c r="CW8" s="138"/>
      <c r="CX8" s="138"/>
      <c r="CY8" s="138"/>
      <c r="CZ8" s="138"/>
      <c r="DA8" s="138"/>
      <c r="DB8" s="101"/>
      <c r="DC8" s="101"/>
      <c r="DD8" s="101"/>
      <c r="DE8" s="101"/>
      <c r="DF8" s="134"/>
      <c r="DG8" s="134"/>
      <c r="DH8" s="93"/>
      <c r="DI8" s="93"/>
      <c r="DJ8" s="93"/>
      <c r="DK8" s="93"/>
      <c r="DL8" s="93"/>
      <c r="DM8" s="93"/>
      <c r="DN8" s="139"/>
      <c r="DO8" s="139"/>
      <c r="DP8" s="139"/>
      <c r="DQ8" s="139"/>
      <c r="DR8"/>
      <c r="DS8"/>
      <c r="DT8"/>
      <c r="DU8"/>
      <c r="DV8"/>
      <c r="DW8" s="95"/>
      <c r="DX8" s="95"/>
      <c r="DY8" s="95"/>
      <c r="DZ8" s="95"/>
      <c r="EA8" s="95"/>
      <c r="EB8" s="95"/>
      <c r="EC8" s="95"/>
      <c r="ED8" s="95"/>
      <c r="EE8" s="95"/>
      <c r="EF8" s="95"/>
    </row>
    <row r="9" spans="1:136" s="100" customFormat="1" x14ac:dyDescent="0.25">
      <c r="B9" s="100" t="s">
        <v>720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39">
        <v>0</v>
      </c>
      <c r="BO9" s="93">
        <v>35</v>
      </c>
      <c r="BP9" s="93">
        <v>185</v>
      </c>
      <c r="BQ9" s="93">
        <v>386</v>
      </c>
      <c r="BR9" s="93">
        <v>578</v>
      </c>
      <c r="BS9" s="139">
        <v>793</v>
      </c>
      <c r="BT9" s="139">
        <v>1116</v>
      </c>
      <c r="BU9" s="139">
        <v>1259</v>
      </c>
      <c r="BV9" s="139">
        <v>1570</v>
      </c>
      <c r="BW9" s="139">
        <v>1693</v>
      </c>
      <c r="BX9" s="139">
        <v>1604</v>
      </c>
      <c r="BY9" s="139">
        <v>1891</v>
      </c>
      <c r="BZ9" s="139">
        <v>2071</v>
      </c>
      <c r="CA9" s="139">
        <v>1824</v>
      </c>
      <c r="CB9" s="139">
        <v>1994</v>
      </c>
      <c r="CC9" s="139">
        <v>2276</v>
      </c>
      <c r="CD9" s="139">
        <v>2530</v>
      </c>
      <c r="CE9" s="139">
        <v>2151</v>
      </c>
      <c r="CF9" s="139">
        <v>2556</v>
      </c>
      <c r="CG9" s="139">
        <v>2766</v>
      </c>
      <c r="CH9" s="139">
        <v>2918</v>
      </c>
      <c r="CI9" s="139">
        <v>2677</v>
      </c>
      <c r="CJ9" s="139">
        <v>2979</v>
      </c>
      <c r="CK9" s="139">
        <v>3085</v>
      </c>
      <c r="CL9" s="139">
        <v>3109</v>
      </c>
      <c r="CM9" s="139">
        <v>2946</v>
      </c>
      <c r="CN9" s="139">
        <v>3232</v>
      </c>
      <c r="CO9" s="139">
        <v>3472</v>
      </c>
      <c r="CP9" s="139">
        <v>3774</v>
      </c>
      <c r="CQ9" s="139">
        <f>+CM9*1.1</f>
        <v>3240.6000000000004</v>
      </c>
      <c r="CR9" s="139">
        <f>+CN9*1.1</f>
        <v>3555.2000000000003</v>
      </c>
      <c r="CS9" s="139">
        <f>+CO9*1.05</f>
        <v>3645.6000000000004</v>
      </c>
      <c r="CT9" s="139">
        <f>+CP9*1.05</f>
        <v>3962.7000000000003</v>
      </c>
      <c r="CU9" s="153"/>
      <c r="CV9" s="139"/>
      <c r="CW9" s="139"/>
      <c r="CX9" s="139"/>
      <c r="CY9" s="139"/>
      <c r="CZ9" s="139"/>
      <c r="DA9" s="139"/>
      <c r="DB9" s="93"/>
      <c r="DC9" s="93"/>
      <c r="DD9" s="93"/>
      <c r="DE9" s="93"/>
      <c r="DF9" s="103"/>
      <c r="DG9" s="103"/>
      <c r="DH9" s="93"/>
      <c r="DI9" s="93"/>
      <c r="DJ9" s="93"/>
      <c r="DK9" s="93"/>
      <c r="DL9" s="93"/>
      <c r="DM9" s="93"/>
      <c r="DN9" s="139"/>
      <c r="DO9" s="139"/>
      <c r="DP9" s="139"/>
      <c r="DQ9" s="139">
        <f>SUM(BW9:BZ9)</f>
        <v>7259</v>
      </c>
      <c r="DR9" s="79">
        <f>SUM(CA9:CD9)</f>
        <v>8624</v>
      </c>
      <c r="DS9" s="79">
        <f>SUM(CE9:CH9)</f>
        <v>10391</v>
      </c>
      <c r="DT9" s="79">
        <f>SUM(CI9:CL9)</f>
        <v>11850</v>
      </c>
      <c r="DU9" s="79">
        <f>SUM(CM9:CP9)</f>
        <v>13424</v>
      </c>
      <c r="DV9" s="79">
        <f>SUM(CQ9:CT9)</f>
        <v>14404.100000000002</v>
      </c>
      <c r="DW9" s="79">
        <f t="shared" ref="DV9:EC9" si="10">+DV9*0.95</f>
        <v>13683.895000000002</v>
      </c>
      <c r="DX9" s="79">
        <f t="shared" si="10"/>
        <v>12999.700250000002</v>
      </c>
      <c r="DY9" s="79">
        <f t="shared" si="10"/>
        <v>12349.715237500001</v>
      </c>
      <c r="DZ9" s="79">
        <f t="shared" si="10"/>
        <v>11732.229475624999</v>
      </c>
      <c r="EA9" s="79">
        <f t="shared" si="10"/>
        <v>11145.618001843748</v>
      </c>
      <c r="EB9" s="79">
        <f t="shared" si="10"/>
        <v>10588.33710175156</v>
      </c>
      <c r="EC9" s="79">
        <f t="shared" si="10"/>
        <v>10058.920246663982</v>
      </c>
      <c r="ED9" s="79">
        <f>+EC9*0.5</f>
        <v>5029.4601233319909</v>
      </c>
      <c r="EE9" s="79">
        <f>+ED9*0.1</f>
        <v>502.94601233319912</v>
      </c>
      <c r="EF9" s="79">
        <f>+EE9*0.1</f>
        <v>50.294601233319916</v>
      </c>
    </row>
    <row r="10" spans="1:136" s="100" customFormat="1" x14ac:dyDescent="0.25">
      <c r="B10" s="100" t="s">
        <v>725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93">
        <v>0</v>
      </c>
      <c r="BH10" s="93">
        <v>61</v>
      </c>
      <c r="BI10" s="93">
        <v>88</v>
      </c>
      <c r="BJ10" s="93">
        <v>149</v>
      </c>
      <c r="BK10" s="139">
        <v>251</v>
      </c>
      <c r="BL10" s="139">
        <v>286</v>
      </c>
      <c r="BM10" s="93">
        <v>316</v>
      </c>
      <c r="BN10" s="139">
        <v>365</v>
      </c>
      <c r="BO10" s="93">
        <v>361</v>
      </c>
      <c r="BP10" s="93">
        <v>403</v>
      </c>
      <c r="BQ10" s="93">
        <v>406</v>
      </c>
      <c r="BR10" s="93">
        <v>411</v>
      </c>
      <c r="BS10" s="139">
        <v>342</v>
      </c>
      <c r="BT10" s="139">
        <v>358</v>
      </c>
      <c r="BU10" s="139">
        <v>363</v>
      </c>
      <c r="BV10" s="139">
        <v>437</v>
      </c>
      <c r="BW10" s="139">
        <v>458</v>
      </c>
      <c r="BX10" s="139">
        <v>417</v>
      </c>
      <c r="BY10" s="139">
        <v>508</v>
      </c>
      <c r="BZ10" s="139">
        <v>478</v>
      </c>
      <c r="CA10" s="139">
        <v>359</v>
      </c>
      <c r="CB10" s="139">
        <v>435</v>
      </c>
      <c r="CC10" s="139">
        <v>433</v>
      </c>
      <c r="CD10" s="139">
        <v>473</v>
      </c>
      <c r="CE10" s="139">
        <v>374</v>
      </c>
      <c r="CF10" s="139">
        <v>460</v>
      </c>
      <c r="CG10" s="139">
        <v>500</v>
      </c>
      <c r="CH10" s="139">
        <v>537</v>
      </c>
      <c r="CI10" s="139">
        <v>449</v>
      </c>
      <c r="CJ10" s="139">
        <v>516</v>
      </c>
      <c r="CK10" s="139">
        <v>511</v>
      </c>
      <c r="CL10" s="139">
        <v>509</v>
      </c>
      <c r="CM10" s="139">
        <v>426</v>
      </c>
      <c r="CN10" s="139">
        <v>485</v>
      </c>
      <c r="CO10" s="139">
        <v>586</v>
      </c>
      <c r="CP10" s="139">
        <v>616</v>
      </c>
      <c r="CQ10" s="139">
        <f>+CM10*1.05</f>
        <v>447.3</v>
      </c>
      <c r="CR10" s="139">
        <f>+CN10*1.05</f>
        <v>509.25</v>
      </c>
      <c r="CS10" s="139">
        <f t="shared" ref="CS10:CT10" si="11">+CO10*1.05</f>
        <v>615.30000000000007</v>
      </c>
      <c r="CT10" s="139">
        <f t="shared" si="11"/>
        <v>646.80000000000007</v>
      </c>
      <c r="CU10" s="153"/>
      <c r="CV10" s="139"/>
      <c r="CW10" s="139"/>
      <c r="CX10" s="139"/>
      <c r="CY10" s="139"/>
      <c r="CZ10" s="139"/>
      <c r="DA10" s="139"/>
      <c r="DB10" s="93"/>
      <c r="DC10" s="93"/>
      <c r="DD10" s="93"/>
      <c r="DE10" s="93"/>
      <c r="DF10" s="103"/>
      <c r="DG10" s="103"/>
      <c r="DH10" s="93"/>
      <c r="DI10" s="93"/>
      <c r="DJ10" s="93"/>
      <c r="DK10" s="93"/>
      <c r="DL10" s="93"/>
      <c r="DM10" s="93"/>
      <c r="DN10" s="139"/>
      <c r="DO10" s="139"/>
      <c r="DP10" s="139"/>
      <c r="DQ10" s="139">
        <f t="shared" ref="DQ10:DQ39" si="12">SUM(BW10:BZ10)</f>
        <v>1861</v>
      </c>
      <c r="DR10" s="79">
        <f t="shared" ref="DR10:DR39" si="13">SUM(CA10:CD10)</f>
        <v>1700</v>
      </c>
      <c r="DS10" s="79">
        <f t="shared" ref="DS10:DS39" si="14">SUM(CE10:CH10)</f>
        <v>1871</v>
      </c>
      <c r="DT10" s="79">
        <f t="shared" ref="DT10:DT39" si="15">SUM(CI10:CL10)</f>
        <v>1985</v>
      </c>
      <c r="DU10" s="79">
        <f t="shared" ref="DU10:DU21" si="16">SUM(CM10:CP10)</f>
        <v>2113</v>
      </c>
      <c r="DV10" s="79">
        <f t="shared" ref="DV10:DV21" si="17">SUM(CQ10:CT10)</f>
        <v>2218.65</v>
      </c>
      <c r="DW10" s="79">
        <f>+DV10*0.1</f>
        <v>221.86500000000001</v>
      </c>
      <c r="DX10" s="79">
        <f t="shared" ref="DX10:EF10" si="18">+DW10*0.1</f>
        <v>22.186500000000002</v>
      </c>
      <c r="DY10" s="79">
        <f t="shared" si="18"/>
        <v>2.2186500000000002</v>
      </c>
      <c r="DZ10" s="79">
        <f t="shared" si="18"/>
        <v>0.22186500000000003</v>
      </c>
      <c r="EA10" s="79">
        <f t="shared" si="18"/>
        <v>2.2186500000000005E-2</v>
      </c>
      <c r="EB10" s="79">
        <f t="shared" si="18"/>
        <v>2.2186500000000004E-3</v>
      </c>
      <c r="EC10" s="79">
        <f t="shared" si="18"/>
        <v>2.2186500000000005E-4</v>
      </c>
      <c r="ED10" s="79">
        <f t="shared" si="18"/>
        <v>2.2186500000000005E-5</v>
      </c>
      <c r="EE10" s="79">
        <f t="shared" si="18"/>
        <v>2.2186500000000008E-6</v>
      </c>
      <c r="EF10" s="79">
        <f t="shared" si="18"/>
        <v>2.2186500000000009E-7</v>
      </c>
    </row>
    <row r="11" spans="1:136" s="100" customFormat="1" x14ac:dyDescent="0.25">
      <c r="B11" s="100" t="s">
        <v>735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93">
        <v>45</v>
      </c>
      <c r="BG11" s="93">
        <v>158</v>
      </c>
      <c r="BH11" s="93">
        <v>302</v>
      </c>
      <c r="BI11" s="93">
        <v>461</v>
      </c>
      <c r="BJ11" s="93">
        <v>563</v>
      </c>
      <c r="BK11" s="139">
        <v>769</v>
      </c>
      <c r="BL11" s="139">
        <v>857</v>
      </c>
      <c r="BM11" s="93">
        <v>988</v>
      </c>
      <c r="BN11" s="139">
        <v>1060</v>
      </c>
      <c r="BO11" s="93">
        <v>1082</v>
      </c>
      <c r="BP11" s="93">
        <v>1160</v>
      </c>
      <c r="BQ11" s="93">
        <v>1176</v>
      </c>
      <c r="BR11" s="93">
        <v>1206</v>
      </c>
      <c r="BS11" s="93">
        <v>1015</v>
      </c>
      <c r="BT11" s="93">
        <v>980</v>
      </c>
      <c r="BU11" s="93">
        <v>978</v>
      </c>
      <c r="BV11" s="93">
        <v>958</v>
      </c>
      <c r="BW11" s="139">
        <v>824</v>
      </c>
      <c r="BX11" s="139">
        <v>816</v>
      </c>
      <c r="BY11" s="139">
        <v>846</v>
      </c>
      <c r="BZ11" s="139">
        <v>852</v>
      </c>
      <c r="CA11" s="139">
        <v>673</v>
      </c>
      <c r="CB11" s="139">
        <v>706</v>
      </c>
      <c r="CC11" s="139">
        <v>744</v>
      </c>
      <c r="CD11" s="139">
        <v>756</v>
      </c>
      <c r="CE11" s="139">
        <v>582</v>
      </c>
      <c r="CF11" s="139">
        <v>582</v>
      </c>
      <c r="CG11" s="139">
        <v>600</v>
      </c>
      <c r="CH11" s="139">
        <v>640</v>
      </c>
      <c r="CI11" s="139">
        <v>501</v>
      </c>
      <c r="CJ11" s="139">
        <v>540</v>
      </c>
      <c r="CK11" s="139">
        <v>503</v>
      </c>
      <c r="CL11" s="139">
        <v>517</v>
      </c>
      <c r="CM11" s="139">
        <v>403</v>
      </c>
      <c r="CN11" s="139">
        <v>440</v>
      </c>
      <c r="CO11" s="139">
        <v>449</v>
      </c>
      <c r="CP11" s="139">
        <v>470</v>
      </c>
      <c r="CQ11" s="139">
        <f>+CM11*0.9</f>
        <v>362.7</v>
      </c>
      <c r="CR11" s="139">
        <f>+CN11*0.9</f>
        <v>396</v>
      </c>
      <c r="CS11" s="139">
        <f t="shared" ref="CS11:CT12" si="19">+CO11*0.9</f>
        <v>404.1</v>
      </c>
      <c r="CT11" s="139">
        <f t="shared" si="19"/>
        <v>423</v>
      </c>
      <c r="CU11" s="153"/>
      <c r="CV11" s="139"/>
      <c r="CW11" s="139"/>
      <c r="CX11" s="139"/>
      <c r="CY11" s="139"/>
      <c r="CZ11" s="139"/>
      <c r="DA11" s="139"/>
      <c r="DB11" s="93"/>
      <c r="DC11" s="93"/>
      <c r="DD11" s="93"/>
      <c r="DE11" s="93"/>
      <c r="DF11" s="103"/>
      <c r="DG11" s="103"/>
      <c r="DH11" s="93"/>
      <c r="DI11" s="93"/>
      <c r="DJ11" s="93"/>
      <c r="DK11" s="93"/>
      <c r="DL11" s="93"/>
      <c r="DM11" s="93"/>
      <c r="DN11" s="139"/>
      <c r="DO11" s="139"/>
      <c r="DP11" s="139"/>
      <c r="DQ11" s="139">
        <f t="shared" si="12"/>
        <v>3338</v>
      </c>
      <c r="DR11" s="79">
        <f t="shared" si="13"/>
        <v>2879</v>
      </c>
      <c r="DS11" s="79">
        <f t="shared" si="14"/>
        <v>2404</v>
      </c>
      <c r="DT11" s="79">
        <f t="shared" si="15"/>
        <v>2061</v>
      </c>
      <c r="DU11" s="79">
        <f t="shared" si="16"/>
        <v>1762</v>
      </c>
      <c r="DV11" s="79">
        <f t="shared" si="17"/>
        <v>1585.8000000000002</v>
      </c>
      <c r="DW11" s="79">
        <f t="shared" ref="DV11:DW11" si="20">+DV11*0.9</f>
        <v>1427.2200000000003</v>
      </c>
      <c r="DX11" s="79">
        <f>+DW11*0.1</f>
        <v>142.72200000000004</v>
      </c>
      <c r="DY11" s="79">
        <f t="shared" ref="DY11:EF11" si="21">+DX11*0.1</f>
        <v>14.272200000000005</v>
      </c>
      <c r="DZ11" s="79">
        <f t="shared" si="21"/>
        <v>1.4272200000000006</v>
      </c>
      <c r="EA11" s="79">
        <f t="shared" si="21"/>
        <v>0.14272200000000007</v>
      </c>
      <c r="EB11" s="79">
        <f t="shared" si="21"/>
        <v>1.4272200000000007E-2</v>
      </c>
      <c r="EC11" s="79">
        <f t="shared" si="21"/>
        <v>1.4272200000000007E-3</v>
      </c>
      <c r="ED11" s="79">
        <f t="shared" si="21"/>
        <v>1.4272200000000007E-4</v>
      </c>
      <c r="EE11" s="79">
        <f t="shared" si="21"/>
        <v>1.4272200000000009E-5</v>
      </c>
      <c r="EF11" s="79">
        <f t="shared" si="21"/>
        <v>1.427220000000001E-6</v>
      </c>
    </row>
    <row r="12" spans="1:136" s="100" customFormat="1" x14ac:dyDescent="0.25">
      <c r="B12" s="100" t="s">
        <v>736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>
        <v>58</v>
      </c>
      <c r="BI12" s="93">
        <v>105</v>
      </c>
      <c r="BJ12" s="93">
        <v>155</v>
      </c>
      <c r="BK12" s="139">
        <v>227</v>
      </c>
      <c r="BL12" s="139">
        <v>258</v>
      </c>
      <c r="BM12" s="93">
        <v>296</v>
      </c>
      <c r="BN12" s="139">
        <v>325</v>
      </c>
      <c r="BO12" s="93">
        <v>342</v>
      </c>
      <c r="BP12" s="93">
        <v>385</v>
      </c>
      <c r="BQ12" s="93">
        <v>423</v>
      </c>
      <c r="BR12" s="93">
        <v>448</v>
      </c>
      <c r="BS12" s="93">
        <v>397</v>
      </c>
      <c r="BT12" s="93">
        <v>387</v>
      </c>
      <c r="BU12" s="93">
        <v>436</v>
      </c>
      <c r="BV12" s="93">
        <v>435</v>
      </c>
      <c r="BW12" s="139">
        <v>409</v>
      </c>
      <c r="BX12" s="139">
        <v>382</v>
      </c>
      <c r="BY12" s="139">
        <v>437</v>
      </c>
      <c r="BZ12" s="139">
        <v>444</v>
      </c>
      <c r="CA12" s="139">
        <v>367</v>
      </c>
      <c r="CB12" s="139">
        <v>382</v>
      </c>
      <c r="CC12" s="139">
        <v>399</v>
      </c>
      <c r="CD12" s="139">
        <v>420</v>
      </c>
      <c r="CE12" s="139">
        <v>339</v>
      </c>
      <c r="CF12" s="139">
        <v>364</v>
      </c>
      <c r="CG12" s="139">
        <v>374</v>
      </c>
      <c r="CH12" s="139">
        <v>392</v>
      </c>
      <c r="CI12" s="139">
        <v>317</v>
      </c>
      <c r="CJ12" s="139">
        <v>351</v>
      </c>
      <c r="CK12" s="139">
        <v>343</v>
      </c>
      <c r="CL12" s="139">
        <v>340</v>
      </c>
      <c r="CM12" s="139">
        <v>310</v>
      </c>
      <c r="CN12" s="139">
        <v>315</v>
      </c>
      <c r="CO12" s="139">
        <v>326</v>
      </c>
      <c r="CP12" s="139">
        <v>336</v>
      </c>
      <c r="CQ12" s="139">
        <f>+CM12*0.9</f>
        <v>279</v>
      </c>
      <c r="CR12" s="139">
        <f>+CN12*0.9</f>
        <v>283.5</v>
      </c>
      <c r="CS12" s="139">
        <f t="shared" si="19"/>
        <v>293.40000000000003</v>
      </c>
      <c r="CT12" s="139">
        <f t="shared" si="19"/>
        <v>302.40000000000003</v>
      </c>
      <c r="CU12" s="153"/>
      <c r="CV12" s="139"/>
      <c r="CW12" s="139"/>
      <c r="CX12" s="139"/>
      <c r="CY12" s="139"/>
      <c r="CZ12" s="139"/>
      <c r="DA12" s="139"/>
      <c r="DB12" s="93"/>
      <c r="DC12" s="93"/>
      <c r="DD12" s="93"/>
      <c r="DE12" s="93"/>
      <c r="DF12" s="103"/>
      <c r="DG12" s="103"/>
      <c r="DH12" s="93"/>
      <c r="DI12" s="93"/>
      <c r="DJ12" s="93"/>
      <c r="DK12" s="93"/>
      <c r="DL12" s="93"/>
      <c r="DM12" s="93"/>
      <c r="DN12" s="139"/>
      <c r="DO12" s="139"/>
      <c r="DP12" s="139"/>
      <c r="DQ12" s="139">
        <f t="shared" si="12"/>
        <v>1672</v>
      </c>
      <c r="DR12" s="79">
        <f t="shared" si="13"/>
        <v>1568</v>
      </c>
      <c r="DS12" s="79">
        <f t="shared" si="14"/>
        <v>1469</v>
      </c>
      <c r="DT12" s="79">
        <f t="shared" si="15"/>
        <v>1351</v>
      </c>
      <c r="DU12" s="79">
        <f t="shared" si="16"/>
        <v>1287</v>
      </c>
      <c r="DV12" s="79">
        <f t="shared" si="17"/>
        <v>1158.3000000000002</v>
      </c>
      <c r="DW12" s="153">
        <f>+DV12*0.1</f>
        <v>115.83000000000003</v>
      </c>
      <c r="DX12" s="153">
        <f t="shared" ref="DX12:EF12" si="22">+DW12*0.1</f>
        <v>11.583000000000004</v>
      </c>
      <c r="DY12" s="153">
        <f t="shared" si="22"/>
        <v>1.1583000000000003</v>
      </c>
      <c r="DZ12" s="153">
        <f t="shared" si="22"/>
        <v>0.11583000000000004</v>
      </c>
      <c r="EA12" s="153">
        <f t="shared" si="22"/>
        <v>1.1583000000000005E-2</v>
      </c>
      <c r="EB12" s="153">
        <f t="shared" si="22"/>
        <v>1.1583000000000006E-3</v>
      </c>
      <c r="EC12" s="153">
        <f t="shared" si="22"/>
        <v>1.1583000000000006E-4</v>
      </c>
      <c r="ED12" s="153">
        <f t="shared" si="22"/>
        <v>1.1583000000000008E-5</v>
      </c>
      <c r="EE12" s="153">
        <f t="shared" si="22"/>
        <v>1.1583000000000008E-6</v>
      </c>
      <c r="EF12" s="153">
        <f t="shared" si="22"/>
        <v>1.1583000000000009E-7</v>
      </c>
    </row>
    <row r="13" spans="1:136" s="100" customFormat="1" x14ac:dyDescent="0.25">
      <c r="B13" s="100" t="s">
        <v>737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39">
        <v>0</v>
      </c>
      <c r="BO13" s="93">
        <v>0</v>
      </c>
      <c r="BP13" s="93">
        <v>13</v>
      </c>
      <c r="BQ13" s="93">
        <v>22</v>
      </c>
      <c r="BR13" s="93">
        <v>37</v>
      </c>
      <c r="BS13" s="93">
        <v>66</v>
      </c>
      <c r="BT13" s="93">
        <v>84</v>
      </c>
      <c r="BU13" s="93">
        <v>104</v>
      </c>
      <c r="BV13" s="93">
        <v>125</v>
      </c>
      <c r="BW13" s="139">
        <v>112</v>
      </c>
      <c r="BX13" s="139">
        <v>132</v>
      </c>
      <c r="BY13" s="139">
        <v>118</v>
      </c>
      <c r="BZ13" s="139">
        <v>126</v>
      </c>
      <c r="CA13" s="139">
        <v>135</v>
      </c>
      <c r="CB13" s="139">
        <v>129</v>
      </c>
      <c r="CC13" s="139">
        <v>130</v>
      </c>
      <c r="CD13" s="139">
        <v>137</v>
      </c>
      <c r="CE13" s="139">
        <v>132</v>
      </c>
      <c r="CF13" s="139">
        <v>126</v>
      </c>
      <c r="CG13" s="139">
        <v>130</v>
      </c>
      <c r="CH13" s="139">
        <v>142</v>
      </c>
      <c r="CI13" s="139">
        <v>138</v>
      </c>
      <c r="CJ13" s="139">
        <v>120</v>
      </c>
      <c r="CK13" s="139">
        <v>131</v>
      </c>
      <c r="CL13" s="139">
        <v>139</v>
      </c>
      <c r="CM13" s="139">
        <v>141</v>
      </c>
      <c r="CN13" s="139">
        <v>168</v>
      </c>
      <c r="CO13" s="139">
        <v>139</v>
      </c>
      <c r="CP13" s="139">
        <v>144</v>
      </c>
      <c r="CQ13" s="139">
        <f>+CM13</f>
        <v>141</v>
      </c>
      <c r="CR13" s="139">
        <f>+CN13</f>
        <v>168</v>
      </c>
      <c r="CS13" s="139">
        <f t="shared" ref="CS13:CT13" si="23">+CO13</f>
        <v>139</v>
      </c>
      <c r="CT13" s="139">
        <f t="shared" si="23"/>
        <v>144</v>
      </c>
      <c r="CU13" s="153"/>
      <c r="CV13" s="139"/>
      <c r="CW13" s="139"/>
      <c r="CX13" s="139"/>
      <c r="CY13" s="139"/>
      <c r="CZ13" s="139"/>
      <c r="DA13" s="139"/>
      <c r="DB13" s="93"/>
      <c r="DC13" s="93"/>
      <c r="DD13" s="93"/>
      <c r="DE13" s="93"/>
      <c r="DF13" s="103"/>
      <c r="DG13" s="103"/>
      <c r="DH13" s="93"/>
      <c r="DI13" s="93"/>
      <c r="DJ13" s="93"/>
      <c r="DK13" s="93"/>
      <c r="DL13" s="93"/>
      <c r="DM13" s="93"/>
      <c r="DN13" s="139"/>
      <c r="DO13" s="139"/>
      <c r="DP13" s="139"/>
      <c r="DQ13" s="139">
        <f t="shared" si="12"/>
        <v>488</v>
      </c>
      <c r="DR13" s="79">
        <f t="shared" si="13"/>
        <v>531</v>
      </c>
      <c r="DS13" s="79">
        <f t="shared" si="14"/>
        <v>530</v>
      </c>
      <c r="DT13" s="79">
        <f t="shared" si="15"/>
        <v>528</v>
      </c>
      <c r="DU13" s="79">
        <f t="shared" si="16"/>
        <v>592</v>
      </c>
      <c r="DV13" s="79">
        <f t="shared" si="17"/>
        <v>592</v>
      </c>
      <c r="DW13" s="79">
        <f t="shared" ref="DV13:EF13" si="24">+DV13*0.9</f>
        <v>532.80000000000007</v>
      </c>
      <c r="DX13" s="79">
        <f t="shared" si="24"/>
        <v>479.5200000000001</v>
      </c>
      <c r="DY13" s="79">
        <f t="shared" si="24"/>
        <v>431.5680000000001</v>
      </c>
      <c r="DZ13" s="79">
        <f t="shared" si="24"/>
        <v>388.41120000000012</v>
      </c>
      <c r="EA13" s="79">
        <f t="shared" si="24"/>
        <v>349.57008000000013</v>
      </c>
      <c r="EB13" s="79">
        <f t="shared" si="24"/>
        <v>314.6130720000001</v>
      </c>
      <c r="EC13" s="79">
        <f t="shared" si="24"/>
        <v>283.15176480000008</v>
      </c>
      <c r="ED13" s="79">
        <f t="shared" si="24"/>
        <v>254.83658832000009</v>
      </c>
      <c r="EE13" s="79">
        <f t="shared" si="24"/>
        <v>229.35292948800009</v>
      </c>
      <c r="EF13" s="79">
        <f t="shared" si="24"/>
        <v>206.41763653920009</v>
      </c>
    </row>
    <row r="14" spans="1:136" s="100" customFormat="1" x14ac:dyDescent="0.25">
      <c r="B14" s="100" t="s">
        <v>781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39"/>
      <c r="BO14" s="93"/>
      <c r="BP14" s="93"/>
      <c r="BQ14" s="93"/>
      <c r="BR14" s="93"/>
      <c r="BS14" s="93"/>
      <c r="BT14" s="93"/>
      <c r="BU14" s="93"/>
      <c r="BV14" s="93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>
        <v>100</v>
      </c>
      <c r="CT14" s="139">
        <v>300</v>
      </c>
      <c r="CU14" s="153"/>
      <c r="CV14" s="139"/>
      <c r="CW14" s="139"/>
      <c r="CX14" s="139"/>
      <c r="CY14" s="139"/>
      <c r="CZ14" s="139"/>
      <c r="DA14" s="139"/>
      <c r="DB14" s="93"/>
      <c r="DC14" s="93"/>
      <c r="DD14" s="93"/>
      <c r="DE14" s="93"/>
      <c r="DF14" s="103"/>
      <c r="DG14" s="103"/>
      <c r="DH14" s="93"/>
      <c r="DI14" s="93"/>
      <c r="DJ14" s="93"/>
      <c r="DK14" s="93"/>
      <c r="DL14" s="93"/>
      <c r="DM14" s="93"/>
      <c r="DN14" s="139"/>
      <c r="DO14" s="139"/>
      <c r="DP14" s="139"/>
      <c r="DQ14" s="139"/>
      <c r="DR14" s="79"/>
      <c r="DS14" s="79"/>
      <c r="DT14" s="79"/>
      <c r="DU14" s="79">
        <f t="shared" si="16"/>
        <v>0</v>
      </c>
      <c r="DV14" s="79">
        <f t="shared" si="17"/>
        <v>400</v>
      </c>
      <c r="DW14" s="79">
        <v>2500</v>
      </c>
      <c r="DX14" s="79">
        <v>5000</v>
      </c>
      <c r="DY14" s="79">
        <v>7500</v>
      </c>
      <c r="DZ14" s="79">
        <v>10000</v>
      </c>
      <c r="EA14" s="79">
        <v>12500</v>
      </c>
      <c r="EB14" s="79">
        <v>15000</v>
      </c>
      <c r="EC14" s="79">
        <f>+EB14*1.1</f>
        <v>16500</v>
      </c>
      <c r="ED14" s="79">
        <f>+EC14*1.1</f>
        <v>18150</v>
      </c>
      <c r="EE14" s="79">
        <f>+ED14*1.1</f>
        <v>19965</v>
      </c>
      <c r="EF14" s="79">
        <f>+EE14*1.1</f>
        <v>21961.5</v>
      </c>
    </row>
    <row r="15" spans="1:136" s="15" customFormat="1" ht="13" x14ac:dyDescent="0.3">
      <c r="B15" s="92" t="s">
        <v>723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102"/>
      <c r="AF15" s="102"/>
      <c r="AG15" s="102"/>
      <c r="AH15" s="102"/>
      <c r="AI15" s="102"/>
      <c r="AJ15" s="102"/>
      <c r="AK15" s="102"/>
      <c r="AL15" s="102"/>
      <c r="AM15" s="126">
        <v>0</v>
      </c>
      <c r="AN15" s="126">
        <v>0</v>
      </c>
      <c r="AO15" s="93">
        <v>0</v>
      </c>
      <c r="AP15" s="93">
        <v>0</v>
      </c>
      <c r="AQ15" s="93">
        <v>0</v>
      </c>
      <c r="AR15" s="93">
        <v>0</v>
      </c>
      <c r="AS15" s="93">
        <v>17.510999999999999</v>
      </c>
      <c r="AT15" s="93">
        <v>40.024999999999999</v>
      </c>
      <c r="AU15" s="93">
        <v>92.147999999999996</v>
      </c>
      <c r="AV15" s="93">
        <v>99.394000000000005</v>
      </c>
      <c r="AW15" s="93">
        <v>143.953</v>
      </c>
      <c r="AX15" s="93">
        <v>203.761</v>
      </c>
      <c r="AY15" s="93">
        <v>215.27099999999999</v>
      </c>
      <c r="AZ15" s="126">
        <v>269.52</v>
      </c>
      <c r="BA15" s="93">
        <v>327</v>
      </c>
      <c r="BB15" s="93">
        <v>385</v>
      </c>
      <c r="BC15" s="93">
        <v>356</v>
      </c>
      <c r="BD15" s="93">
        <v>447</v>
      </c>
      <c r="BE15" s="93">
        <v>511</v>
      </c>
      <c r="BF15" s="93">
        <v>511</v>
      </c>
      <c r="BG15" s="93">
        <v>477</v>
      </c>
      <c r="BH15" s="93">
        <v>429</v>
      </c>
      <c r="BI15" s="93">
        <v>621</v>
      </c>
      <c r="BJ15" s="93">
        <v>387</v>
      </c>
      <c r="BK15" s="139">
        <v>309</v>
      </c>
      <c r="BL15" s="139">
        <v>293</v>
      </c>
      <c r="BM15" s="93">
        <v>229</v>
      </c>
      <c r="BN15" s="139">
        <v>222</v>
      </c>
      <c r="BO15" s="93">
        <v>174</v>
      </c>
      <c r="BP15" s="93">
        <v>187</v>
      </c>
      <c r="BQ15" s="93">
        <v>146</v>
      </c>
      <c r="BR15" s="93">
        <v>137</v>
      </c>
      <c r="BS15" s="93">
        <v>96</v>
      </c>
      <c r="BT15" s="93">
        <v>108</v>
      </c>
      <c r="BU15" s="93">
        <v>94</v>
      </c>
      <c r="BV15" s="93">
        <v>71</v>
      </c>
      <c r="BW15" s="139">
        <v>53</v>
      </c>
      <c r="BX15" s="139">
        <v>59</v>
      </c>
      <c r="BY15" s="139">
        <v>42</v>
      </c>
      <c r="BZ15" s="139">
        <v>42</v>
      </c>
      <c r="CA15" s="139">
        <v>46</v>
      </c>
      <c r="CB15" s="139">
        <v>51</v>
      </c>
      <c r="CC15" s="139">
        <v>42</v>
      </c>
      <c r="CD15" s="139">
        <v>50</v>
      </c>
      <c r="CE15" s="139">
        <v>32</v>
      </c>
      <c r="CF15" s="139">
        <v>33</v>
      </c>
      <c r="CG15" s="139">
        <v>32</v>
      </c>
      <c r="CH15" s="139">
        <v>29</v>
      </c>
      <c r="CI15" s="139">
        <v>28</v>
      </c>
      <c r="CJ15" s="139">
        <v>26</v>
      </c>
      <c r="CK15" s="139">
        <v>25</v>
      </c>
      <c r="CL15" s="139">
        <v>22</v>
      </c>
      <c r="CM15" s="139"/>
      <c r="CN15" s="139"/>
      <c r="CO15" s="139"/>
      <c r="CP15" s="139"/>
      <c r="CQ15" s="139"/>
      <c r="CR15" s="139"/>
      <c r="CS15" s="139"/>
      <c r="CT15" s="139"/>
      <c r="CU15" s="13"/>
      <c r="CV15" s="154"/>
      <c r="CW15" s="154"/>
      <c r="CX15" s="154"/>
      <c r="CY15" s="154"/>
      <c r="CZ15" s="154"/>
      <c r="DA15" s="154"/>
      <c r="DB15" s="85"/>
      <c r="DC15" s="93"/>
      <c r="DD15" s="93"/>
      <c r="DE15" s="93"/>
      <c r="DF15" s="103"/>
      <c r="DG15" s="103"/>
      <c r="DH15" s="93">
        <f>SUM(AM15:AP15)</f>
        <v>0</v>
      </c>
      <c r="DI15" s="93">
        <f>SUM(AQ15:AT15)</f>
        <v>57.536000000000001</v>
      </c>
      <c r="DJ15" s="83">
        <f>SUM(AU15:AX15)</f>
        <v>539.25599999999997</v>
      </c>
      <c r="DK15" s="93">
        <f>SUM(AY15:BB15)</f>
        <v>1196.7909999999999</v>
      </c>
      <c r="DL15" s="93">
        <f>+DK15*1.5</f>
        <v>1795.1864999999998</v>
      </c>
      <c r="DM15" s="93">
        <f>+DL15*1.5</f>
        <v>2692.7797499999997</v>
      </c>
      <c r="DN15" s="139"/>
      <c r="DO15" s="139"/>
      <c r="DP15" s="139"/>
      <c r="DQ15" s="139">
        <f t="shared" si="12"/>
        <v>196</v>
      </c>
      <c r="DR15" s="79">
        <f t="shared" si="13"/>
        <v>189</v>
      </c>
      <c r="DS15" s="79">
        <f t="shared" si="14"/>
        <v>126</v>
      </c>
      <c r="DT15" s="79">
        <f t="shared" si="15"/>
        <v>101</v>
      </c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</row>
    <row r="16" spans="1:136" s="16" customFormat="1" x14ac:dyDescent="0.25">
      <c r="B16" s="92" t="s">
        <v>724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>
        <v>68.373000000000005</v>
      </c>
      <c r="V16" s="83">
        <v>137.39599999999999</v>
      </c>
      <c r="W16" s="82">
        <v>190.13300000000001</v>
      </c>
      <c r="X16" s="82" t="e">
        <f>#REF!+#REF!</f>
        <v>#REF!</v>
      </c>
      <c r="Y16" s="82">
        <v>241.101</v>
      </c>
      <c r="Z16" s="82">
        <v>259.71300000000002</v>
      </c>
      <c r="AA16" s="82">
        <v>324.21699999999998</v>
      </c>
      <c r="AB16" s="82" t="e">
        <f>#REF!+#REF!</f>
        <v>#REF!</v>
      </c>
      <c r="AC16" s="82" t="e">
        <f>+#REF!+#REF!</f>
        <v>#REF!</v>
      </c>
      <c r="AD16" s="82" t="e">
        <f>+#REF!+#REF!</f>
        <v>#REF!</v>
      </c>
      <c r="AE16" s="104">
        <v>509.88300000000004</v>
      </c>
      <c r="AF16" s="104">
        <v>569.14200000000005</v>
      </c>
      <c r="AG16" s="104">
        <v>605.29899999999998</v>
      </c>
      <c r="AH16" s="104">
        <v>697.78899999999999</v>
      </c>
      <c r="AI16" s="104"/>
      <c r="AJ16" s="127">
        <v>715.80399999999997</v>
      </c>
      <c r="AK16" s="104">
        <v>742.7</v>
      </c>
      <c r="AL16" s="104"/>
      <c r="AM16" s="127">
        <v>744.51199999999994</v>
      </c>
      <c r="AN16" s="127">
        <v>821.99199999999996</v>
      </c>
      <c r="AO16" s="82">
        <v>794.7</v>
      </c>
      <c r="AP16" s="82">
        <v>863.31500000000005</v>
      </c>
      <c r="AQ16" s="82">
        <v>887.596</v>
      </c>
      <c r="AR16" s="82">
        <v>904.02300000000002</v>
      </c>
      <c r="AS16" s="82">
        <v>865.37800000000004</v>
      </c>
      <c r="AT16" s="82">
        <v>917.48599999999999</v>
      </c>
      <c r="AU16" s="82">
        <v>877.07299999999998</v>
      </c>
      <c r="AV16" s="82">
        <v>938.10799999999995</v>
      </c>
      <c r="AW16" s="82">
        <v>899.66899999999998</v>
      </c>
      <c r="AX16" s="82">
        <v>933.64599999999996</v>
      </c>
      <c r="AY16" s="82">
        <v>779.59400000000005</v>
      </c>
      <c r="AZ16" s="127">
        <v>870.70799999999997</v>
      </c>
      <c r="BA16" s="82">
        <v>895</v>
      </c>
      <c r="BB16" s="82">
        <v>925</v>
      </c>
      <c r="BC16" s="82">
        <v>734</v>
      </c>
      <c r="BD16" s="82">
        <v>782</v>
      </c>
      <c r="BE16" s="82">
        <v>818</v>
      </c>
      <c r="BF16" s="82">
        <v>800</v>
      </c>
      <c r="BG16" s="82">
        <v>675</v>
      </c>
      <c r="BH16" s="82">
        <v>673</v>
      </c>
      <c r="BI16" s="82">
        <v>650</v>
      </c>
      <c r="BJ16" s="82">
        <v>607</v>
      </c>
      <c r="BK16" s="140">
        <v>452</v>
      </c>
      <c r="BL16" s="140">
        <v>475</v>
      </c>
      <c r="BM16" s="82">
        <v>439</v>
      </c>
      <c r="BN16" s="140">
        <v>440</v>
      </c>
      <c r="BO16" s="82">
        <v>314</v>
      </c>
      <c r="BP16" s="82">
        <v>349</v>
      </c>
      <c r="BQ16" s="82">
        <v>258</v>
      </c>
      <c r="BR16" s="82">
        <v>285</v>
      </c>
      <c r="BS16" s="82">
        <v>171</v>
      </c>
      <c r="BT16" s="82">
        <v>152</v>
      </c>
      <c r="BU16" s="82">
        <v>149</v>
      </c>
      <c r="BV16" s="82">
        <v>128</v>
      </c>
      <c r="BW16" s="140">
        <v>95</v>
      </c>
      <c r="BX16" s="140">
        <v>103</v>
      </c>
      <c r="BY16" s="140">
        <v>113</v>
      </c>
      <c r="BZ16" s="140">
        <v>38</v>
      </c>
      <c r="CA16" s="104"/>
      <c r="CB16" s="140">
        <v>60</v>
      </c>
      <c r="CC16" s="140">
        <v>27</v>
      </c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"/>
      <c r="CV16" s="14"/>
      <c r="CW16" s="14"/>
      <c r="CX16" s="14"/>
      <c r="CY16" s="14"/>
      <c r="CZ16" s="14"/>
      <c r="DA16" s="14"/>
      <c r="DC16" s="83">
        <f>V16+U16</f>
        <v>205.76900000000001</v>
      </c>
      <c r="DD16" s="83">
        <v>903.38099999999997</v>
      </c>
      <c r="DE16" s="83">
        <v>1572.4549999999999</v>
      </c>
      <c r="DF16" s="108">
        <f>SUM(AE16:AH16)</f>
        <v>2382.1130000000003</v>
      </c>
      <c r="DG16" s="108">
        <v>2926.1129999999998</v>
      </c>
      <c r="DH16" s="93">
        <f t="shared" ref="DH16" si="25">SUM(AM16:AP16)</f>
        <v>3224.5189999999998</v>
      </c>
      <c r="DI16" s="93">
        <f t="shared" ref="DI16" si="26">SUM(AQ16:AT16)</f>
        <v>3574.4830000000002</v>
      </c>
      <c r="DJ16" s="93">
        <f t="shared" ref="DJ16" si="27">SUM(AU16:AX16)</f>
        <v>3648.4960000000001</v>
      </c>
      <c r="DK16" s="93">
        <f>SUM(AY16:BB16)</f>
        <v>3470.3020000000001</v>
      </c>
      <c r="DL16" s="83">
        <f t="shared" ref="DL16:DM16" si="28">DK16*1.05</f>
        <v>3643.8171000000002</v>
      </c>
      <c r="DM16" s="83">
        <f t="shared" si="28"/>
        <v>3826.0079550000005</v>
      </c>
      <c r="DN16" s="142"/>
      <c r="DO16" s="142"/>
      <c r="DP16" s="142"/>
      <c r="DQ16" s="139">
        <f t="shared" si="12"/>
        <v>349</v>
      </c>
      <c r="DR16" s="79">
        <f t="shared" si="13"/>
        <v>87</v>
      </c>
      <c r="DS16" s="79">
        <f>SUM(CE16:CH16)</f>
        <v>0</v>
      </c>
      <c r="DT16" s="79">
        <f t="shared" si="15"/>
        <v>0</v>
      </c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</row>
    <row r="17" spans="2:136" s="17" customFormat="1" x14ac:dyDescent="0.25">
      <c r="B17" s="100" t="s">
        <v>722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>
        <v>18.2</v>
      </c>
      <c r="N17" s="82">
        <v>49.7</v>
      </c>
      <c r="O17" s="82">
        <v>91.2</v>
      </c>
      <c r="P17" s="82">
        <v>123.1</v>
      </c>
      <c r="Q17" s="82">
        <v>162.4</v>
      </c>
      <c r="R17" s="82">
        <v>191.1</v>
      </c>
      <c r="S17" s="82">
        <v>248.9</v>
      </c>
      <c r="T17" s="82">
        <v>299.3</v>
      </c>
      <c r="U17" s="82">
        <v>309.03300000000002</v>
      </c>
      <c r="V17" s="82">
        <v>337.05700000000002</v>
      </c>
      <c r="W17" s="82">
        <v>345.93799999999999</v>
      </c>
      <c r="X17" s="82" t="e">
        <f>#REF!+#REF!</f>
        <v>#REF!</v>
      </c>
      <c r="Y17" s="82">
        <v>409.084</v>
      </c>
      <c r="Z17" s="82">
        <v>448.84699999999998</v>
      </c>
      <c r="AA17" s="82">
        <v>479.38499999999999</v>
      </c>
      <c r="AB17" s="82" t="e">
        <f>#REF!+#REF!</f>
        <v>#REF!</v>
      </c>
      <c r="AC17" s="82" t="e">
        <f>#REF!+#REF!</f>
        <v>#REF!</v>
      </c>
      <c r="AD17" s="82" t="e">
        <f>#REF!+#REF!</f>
        <v>#REF!</v>
      </c>
      <c r="AE17" s="104">
        <v>590.35300000000007</v>
      </c>
      <c r="AF17" s="104">
        <v>608.07899999999995</v>
      </c>
      <c r="AG17" s="104">
        <v>620.56400000000008</v>
      </c>
      <c r="AH17" s="104">
        <v>670.68600000000004</v>
      </c>
      <c r="AI17" s="104"/>
      <c r="AJ17" s="127">
        <v>641.68200000000002</v>
      </c>
      <c r="AK17" s="104">
        <v>668.7</v>
      </c>
      <c r="AL17" s="104"/>
      <c r="AM17" s="127">
        <v>673.11099999999999</v>
      </c>
      <c r="AN17" s="127">
        <v>711.30100000000004</v>
      </c>
      <c r="AO17" s="82">
        <v>744.3</v>
      </c>
      <c r="AP17" s="82">
        <v>746.00199999999995</v>
      </c>
      <c r="AQ17" s="82">
        <v>758.26300000000003</v>
      </c>
      <c r="AR17" s="82">
        <v>785.93299999999999</v>
      </c>
      <c r="AS17" s="82">
        <v>804.19</v>
      </c>
      <c r="AT17" s="82">
        <v>832.72400000000005</v>
      </c>
      <c r="AU17" s="82">
        <v>700.24199999999996</v>
      </c>
      <c r="AV17" s="82">
        <v>807.779</v>
      </c>
      <c r="AW17" s="82">
        <v>813.65200000000004</v>
      </c>
      <c r="AX17" s="82">
        <v>814.09799999999996</v>
      </c>
      <c r="AY17" s="82">
        <v>759.7</v>
      </c>
      <c r="AZ17" s="127">
        <v>806.61</v>
      </c>
      <c r="BA17" s="82">
        <v>877</v>
      </c>
      <c r="BB17" s="82">
        <v>897</v>
      </c>
      <c r="BC17" s="82">
        <v>771</v>
      </c>
      <c r="BD17" s="93">
        <v>849</v>
      </c>
      <c r="BE17" s="82">
        <v>903</v>
      </c>
      <c r="BF17" s="82">
        <v>936</v>
      </c>
      <c r="BG17" s="82">
        <v>898</v>
      </c>
      <c r="BH17" s="82">
        <v>942</v>
      </c>
      <c r="BI17" s="82">
        <v>858</v>
      </c>
      <c r="BJ17" s="82">
        <v>868</v>
      </c>
      <c r="BK17" s="140">
        <v>714</v>
      </c>
      <c r="BL17" s="140">
        <v>812</v>
      </c>
      <c r="BM17" s="82">
        <v>811</v>
      </c>
      <c r="BN17" s="140">
        <v>797</v>
      </c>
      <c r="BO17" s="82">
        <v>652</v>
      </c>
      <c r="BP17" s="82">
        <v>765</v>
      </c>
      <c r="BQ17" s="82">
        <v>757</v>
      </c>
      <c r="BR17" s="82">
        <v>823</v>
      </c>
      <c r="BS17" s="82">
        <v>606</v>
      </c>
      <c r="BT17" s="82">
        <v>718</v>
      </c>
      <c r="BU17" s="82">
        <v>721</v>
      </c>
      <c r="BV17" s="82">
        <v>768</v>
      </c>
      <c r="BW17" s="140">
        <v>406</v>
      </c>
      <c r="BX17" s="140">
        <v>387</v>
      </c>
      <c r="BY17" s="140">
        <v>509</v>
      </c>
      <c r="BZ17" s="140">
        <v>146</v>
      </c>
      <c r="CA17" s="140">
        <v>135</v>
      </c>
      <c r="CB17" s="140">
        <v>108</v>
      </c>
      <c r="CC17" s="140">
        <v>67</v>
      </c>
      <c r="CD17" s="140">
        <v>61</v>
      </c>
      <c r="CE17" s="140">
        <v>38</v>
      </c>
      <c r="CF17" s="140">
        <v>34</v>
      </c>
      <c r="CG17" s="140">
        <v>30</v>
      </c>
      <c r="CH17" s="140">
        <v>45</v>
      </c>
      <c r="CI17" s="140">
        <v>32</v>
      </c>
      <c r="CJ17" s="140">
        <v>42</v>
      </c>
      <c r="CK17" s="140">
        <v>22</v>
      </c>
      <c r="CL17" s="140">
        <v>18</v>
      </c>
      <c r="CM17" s="140"/>
      <c r="CN17" s="140"/>
      <c r="CO17" s="140"/>
      <c r="CP17" s="140"/>
      <c r="CQ17" s="140"/>
      <c r="CR17" s="140"/>
      <c r="CS17" s="140"/>
      <c r="CT17" s="140"/>
      <c r="CU17" s="79"/>
      <c r="CV17" s="79"/>
      <c r="CW17" s="79"/>
      <c r="CX17" s="79"/>
      <c r="CY17" s="79"/>
      <c r="CZ17" s="79"/>
      <c r="DA17" s="79">
        <v>67.962426450334931</v>
      </c>
      <c r="DB17" s="17">
        <v>567.79999999999995</v>
      </c>
      <c r="DC17" s="82">
        <f>SUM(S17:V17)</f>
        <v>1194.29</v>
      </c>
      <c r="DD17" s="82"/>
      <c r="DE17" s="82"/>
      <c r="DF17" s="105">
        <f>SUM(AE17:AH17)</f>
        <v>2489.6820000000002</v>
      </c>
      <c r="DG17" s="105">
        <f>SUM(AI17:AL17)</f>
        <v>1310.3820000000001</v>
      </c>
      <c r="DH17" s="93">
        <f>SUM(AM17:AP17)</f>
        <v>2874.7139999999999</v>
      </c>
      <c r="DI17" s="93">
        <f>SUM(AQ17:AT17)</f>
        <v>3181.11</v>
      </c>
      <c r="DJ17" s="83">
        <f>SUM(AU17:AX17)</f>
        <v>3135.7709999999997</v>
      </c>
      <c r="DK17" s="93">
        <f>SUM(AY17:BB17)</f>
        <v>3340.31</v>
      </c>
      <c r="DL17" s="82">
        <f>+DK17*0.9</f>
        <v>3006.279</v>
      </c>
      <c r="DM17" s="82">
        <f t="shared" ref="DM17" si="29">+DL17*0.9</f>
        <v>2705.6511</v>
      </c>
      <c r="DN17" s="140"/>
      <c r="DO17" s="140"/>
      <c r="DP17" s="140"/>
      <c r="DQ17" s="139">
        <f t="shared" si="12"/>
        <v>1448</v>
      </c>
      <c r="DR17" s="79">
        <f t="shared" si="13"/>
        <v>371</v>
      </c>
      <c r="DS17" s="79">
        <f t="shared" si="14"/>
        <v>147</v>
      </c>
      <c r="DT17" s="79">
        <f t="shared" si="15"/>
        <v>114</v>
      </c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</row>
    <row r="18" spans="2:136" s="17" customFormat="1" x14ac:dyDescent="0.25">
      <c r="B18" s="100" t="s">
        <v>721</v>
      </c>
      <c r="C18" s="82">
        <v>27.164999999999999</v>
      </c>
      <c r="D18" s="82">
        <v>44.734000000000002</v>
      </c>
      <c r="E18" s="82">
        <v>68.933000000000007</v>
      </c>
      <c r="F18" s="82">
        <v>84.95</v>
      </c>
      <c r="G18" s="82">
        <v>107.3</v>
      </c>
      <c r="H18" s="82">
        <v>167</v>
      </c>
      <c r="I18" s="82">
        <v>115.4</v>
      </c>
      <c r="J18" s="82">
        <v>176.8</v>
      </c>
      <c r="K18" s="82">
        <v>193.096</v>
      </c>
      <c r="L18" s="82">
        <v>197.16200000000001</v>
      </c>
      <c r="M18" s="82">
        <v>193.9</v>
      </c>
      <c r="N18" s="82">
        <v>198.8</v>
      </c>
      <c r="O18" s="82">
        <v>197.8</v>
      </c>
      <c r="P18" s="82">
        <v>209.1</v>
      </c>
      <c r="Q18" s="82">
        <v>189.4</v>
      </c>
      <c r="R18" s="82">
        <v>182.4</v>
      </c>
      <c r="S18" s="82">
        <v>191.8</v>
      </c>
      <c r="T18" s="82">
        <v>167.4</v>
      </c>
      <c r="U18" s="82">
        <v>170.624</v>
      </c>
      <c r="V18" s="82">
        <v>159.51499999999999</v>
      </c>
      <c r="W18" s="82">
        <v>160.673</v>
      </c>
      <c r="X18" s="82">
        <v>154.89699999999999</v>
      </c>
      <c r="Y18" s="82">
        <v>149.108</v>
      </c>
      <c r="Z18" s="82">
        <v>148.48599999999999</v>
      </c>
      <c r="AA18" s="82">
        <v>152.667</v>
      </c>
      <c r="AB18" s="82">
        <v>150.68100000000001</v>
      </c>
      <c r="AC18" s="82">
        <v>155.958</v>
      </c>
      <c r="AD18" s="82">
        <v>161.881</v>
      </c>
      <c r="AE18" s="104">
        <v>160.60499999999999</v>
      </c>
      <c r="AF18" s="104">
        <v>158.92500000000001</v>
      </c>
      <c r="AG18" s="104">
        <v>169.71100000000001</v>
      </c>
      <c r="AH18" s="104">
        <v>178.3</v>
      </c>
      <c r="AI18" s="104"/>
      <c r="AJ18" s="127">
        <v>176.172</v>
      </c>
      <c r="AK18" s="104">
        <v>184.2</v>
      </c>
      <c r="AL18" s="104"/>
      <c r="AM18" s="127">
        <v>168.39500000000001</v>
      </c>
      <c r="AN18" s="127">
        <v>185.71700000000001</v>
      </c>
      <c r="AO18" s="82">
        <v>192.9</v>
      </c>
      <c r="AP18" s="82">
        <v>190.86799999999999</v>
      </c>
      <c r="AQ18" s="82">
        <v>191.69300000000001</v>
      </c>
      <c r="AR18" s="82">
        <v>215.41399999999999</v>
      </c>
      <c r="AS18" s="82">
        <v>214.90899999999999</v>
      </c>
      <c r="AT18" s="82">
        <v>226.68100000000001</v>
      </c>
      <c r="AU18" s="82">
        <v>210.33199999999999</v>
      </c>
      <c r="AV18" s="82">
        <v>250.18799999999999</v>
      </c>
      <c r="AW18" s="82">
        <v>231.55500000000001</v>
      </c>
      <c r="AX18" s="82">
        <v>266.89400000000001</v>
      </c>
      <c r="AY18" s="82">
        <v>210.625</v>
      </c>
      <c r="AZ18" s="127">
        <v>260.73399999999998</v>
      </c>
      <c r="BA18" s="82">
        <v>275</v>
      </c>
      <c r="BB18" s="82">
        <v>311</v>
      </c>
      <c r="BC18" s="82">
        <v>234</v>
      </c>
      <c r="BD18" s="82">
        <v>271</v>
      </c>
      <c r="BE18" s="82">
        <v>297</v>
      </c>
      <c r="BF18" s="82">
        <v>306</v>
      </c>
      <c r="BG18" s="82">
        <v>272</v>
      </c>
      <c r="BH18" s="82">
        <v>287</v>
      </c>
      <c r="BI18" s="82">
        <v>303</v>
      </c>
      <c r="BJ18" s="82">
        <v>324</v>
      </c>
      <c r="BK18" s="140">
        <v>260</v>
      </c>
      <c r="BL18" s="140">
        <v>300</v>
      </c>
      <c r="BM18" s="82">
        <v>274</v>
      </c>
      <c r="BN18" s="140">
        <v>212</v>
      </c>
      <c r="BO18" s="82">
        <v>97</v>
      </c>
      <c r="BP18" s="82">
        <v>82</v>
      </c>
      <c r="BQ18" s="82">
        <v>70</v>
      </c>
      <c r="BR18" s="82">
        <v>58</v>
      </c>
      <c r="BS18" s="82">
        <v>72</v>
      </c>
      <c r="BT18" s="82">
        <v>75</v>
      </c>
      <c r="BU18" s="82">
        <v>57</v>
      </c>
      <c r="BV18" s="82">
        <v>39</v>
      </c>
      <c r="BW18" s="140">
        <v>40</v>
      </c>
      <c r="BX18" s="140">
        <v>65</v>
      </c>
      <c r="BY18" s="140">
        <v>32</v>
      </c>
      <c r="BZ18" s="140">
        <v>48</v>
      </c>
      <c r="CA18" s="140">
        <v>31</v>
      </c>
      <c r="CB18" s="140">
        <v>28</v>
      </c>
      <c r="CC18" s="140">
        <v>26</v>
      </c>
      <c r="CD18" s="140">
        <v>26</v>
      </c>
      <c r="CE18" s="140">
        <v>23</v>
      </c>
      <c r="CF18" s="140">
        <v>24</v>
      </c>
      <c r="CG18" s="140">
        <v>22</v>
      </c>
      <c r="CH18" s="140">
        <v>22</v>
      </c>
      <c r="CI18" s="140">
        <v>19</v>
      </c>
      <c r="CJ18" s="140">
        <v>20</v>
      </c>
      <c r="CK18" s="140">
        <v>13</v>
      </c>
      <c r="CL18" s="140">
        <v>15</v>
      </c>
      <c r="CM18" s="140"/>
      <c r="CN18" s="140"/>
      <c r="CO18" s="140"/>
      <c r="CP18" s="140"/>
      <c r="CQ18" s="140"/>
      <c r="CR18" s="140"/>
      <c r="CS18" s="140"/>
      <c r="CT18" s="140"/>
      <c r="CU18" s="79"/>
      <c r="CV18" s="79"/>
      <c r="CW18" s="79"/>
      <c r="CX18" s="79">
        <v>15.586</v>
      </c>
      <c r="CY18" s="79">
        <v>225.78199999999998</v>
      </c>
      <c r="CZ18" s="79">
        <v>566.5</v>
      </c>
      <c r="DA18" s="79">
        <v>782.97351970781381</v>
      </c>
      <c r="DB18" s="17">
        <v>778.7</v>
      </c>
      <c r="DC18" s="82">
        <f>SUM(S18:V18)</f>
        <v>689.33900000000006</v>
      </c>
      <c r="DD18" s="82">
        <f>SUM(W18:Z18)</f>
        <v>613.16399999999999</v>
      </c>
      <c r="DE18" s="82">
        <f>SUM(AA18:AD18)</f>
        <v>621.18700000000001</v>
      </c>
      <c r="DF18" s="105">
        <f>SUM(AE18:AH18)</f>
        <v>667.54099999999994</v>
      </c>
      <c r="DG18" s="105"/>
      <c r="DH18" s="93">
        <f>SUM(AM18:AP18)</f>
        <v>737.88000000000011</v>
      </c>
      <c r="DI18" s="93">
        <f>SUM(AQ18:AT18)</f>
        <v>848.697</v>
      </c>
      <c r="DJ18" s="83">
        <f>SUM(AU18:AX18)</f>
        <v>958.96900000000005</v>
      </c>
      <c r="DK18" s="93">
        <f>SUM(AY18:BB18)</f>
        <v>1057.3589999999999</v>
      </c>
      <c r="DL18" s="82">
        <f t="shared" ref="DL18:DM18" si="30">DK18*0.95</f>
        <v>1004.4910499999999</v>
      </c>
      <c r="DM18" s="82">
        <f t="shared" si="30"/>
        <v>954.26649749999979</v>
      </c>
      <c r="DN18" s="140"/>
      <c r="DO18" s="139"/>
      <c r="DP18" s="139"/>
      <c r="DQ18" s="139">
        <f t="shared" si="12"/>
        <v>185</v>
      </c>
      <c r="DR18" s="79">
        <f t="shared" si="13"/>
        <v>111</v>
      </c>
      <c r="DS18" s="79">
        <f t="shared" si="14"/>
        <v>91</v>
      </c>
      <c r="DT18" s="79">
        <f t="shared" si="15"/>
        <v>67</v>
      </c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</row>
    <row r="19" spans="2:136" s="15" customFormat="1" ht="13" x14ac:dyDescent="0.3">
      <c r="B19" s="92" t="s">
        <v>587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6">
        <v>0</v>
      </c>
      <c r="AN19" s="126">
        <v>0</v>
      </c>
      <c r="AO19" s="93">
        <v>0</v>
      </c>
      <c r="AP19" s="93">
        <v>0</v>
      </c>
      <c r="AQ19" s="93">
        <v>0</v>
      </c>
      <c r="AR19" s="93">
        <v>0</v>
      </c>
      <c r="AS19" s="93">
        <v>0</v>
      </c>
      <c r="AT19" s="93">
        <v>0</v>
      </c>
      <c r="AU19" s="93">
        <v>0</v>
      </c>
      <c r="AV19" s="93">
        <v>0</v>
      </c>
      <c r="AW19" s="93">
        <v>0</v>
      </c>
      <c r="AX19" s="93">
        <v>139.435</v>
      </c>
      <c r="AY19" s="93">
        <v>2274.3490000000002</v>
      </c>
      <c r="AZ19" s="126">
        <v>3480.326</v>
      </c>
      <c r="BA19" s="93">
        <v>2796</v>
      </c>
      <c r="BB19" s="93">
        <v>1732</v>
      </c>
      <c r="BC19" s="93">
        <v>972</v>
      </c>
      <c r="BD19" s="93">
        <v>1291</v>
      </c>
      <c r="BE19" s="93">
        <v>1466</v>
      </c>
      <c r="BF19" s="93">
        <v>1547</v>
      </c>
      <c r="BG19" s="93">
        <v>1277</v>
      </c>
      <c r="BH19" s="93">
        <v>1358</v>
      </c>
      <c r="BI19" s="93">
        <v>825</v>
      </c>
      <c r="BJ19" s="93">
        <v>541</v>
      </c>
      <c r="BK19" s="139">
        <v>313</v>
      </c>
      <c r="BL19" s="139">
        <v>315</v>
      </c>
      <c r="BM19" s="93">
        <v>219</v>
      </c>
      <c r="BN19" s="139">
        <v>117</v>
      </c>
      <c r="BO19" s="93"/>
      <c r="BP19" s="93"/>
      <c r="BQ19" s="93"/>
      <c r="BR19" s="93"/>
      <c r="BS19" s="93"/>
      <c r="BT19" s="93"/>
      <c r="BU19" s="93"/>
      <c r="BV19" s="93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"/>
      <c r="CV19" s="154"/>
      <c r="CW19" s="154"/>
      <c r="CX19" s="154"/>
      <c r="CY19" s="154"/>
      <c r="CZ19" s="154"/>
      <c r="DA19" s="154"/>
      <c r="DB19" s="85"/>
      <c r="DC19" s="93"/>
      <c r="DD19" s="93"/>
      <c r="DE19" s="93"/>
      <c r="DF19" s="103"/>
      <c r="DG19" s="103"/>
      <c r="DH19" s="93">
        <f>SUM(AM19:AP19)</f>
        <v>0</v>
      </c>
      <c r="DI19" s="93">
        <f>SUM(AQ19:AT19)</f>
        <v>0</v>
      </c>
      <c r="DJ19" s="83">
        <f>SUM(AU19:AX19)</f>
        <v>139.435</v>
      </c>
      <c r="DK19" s="93">
        <f t="shared" ref="DK19:DK39" si="31">SUM(AY19:BB19)</f>
        <v>10282.674999999999</v>
      </c>
      <c r="DL19" s="93">
        <f>+DK19*1.2</f>
        <v>12339.21</v>
      </c>
      <c r="DM19" s="93">
        <f>+DL19*1.01</f>
        <v>12462.6021</v>
      </c>
      <c r="DN19" s="139"/>
      <c r="DO19" s="139"/>
      <c r="DP19" s="139"/>
      <c r="DQ19" s="139">
        <f t="shared" si="12"/>
        <v>0</v>
      </c>
      <c r="DR19" s="79">
        <f t="shared" si="13"/>
        <v>0</v>
      </c>
      <c r="DS19" s="79">
        <f t="shared" si="14"/>
        <v>0</v>
      </c>
      <c r="DT19" s="79">
        <f t="shared" si="15"/>
        <v>0</v>
      </c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</row>
    <row r="20" spans="2:136" s="15" customFormat="1" ht="13" x14ac:dyDescent="0.3">
      <c r="B20" s="92" t="s">
        <v>626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6">
        <v>0</v>
      </c>
      <c r="AN20" s="126">
        <v>0</v>
      </c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6"/>
      <c r="BA20" s="93">
        <v>0</v>
      </c>
      <c r="BB20" s="93"/>
      <c r="BC20" s="93"/>
      <c r="BD20" s="93"/>
      <c r="BE20" s="93"/>
      <c r="BF20" s="93"/>
      <c r="BG20" s="93"/>
      <c r="BH20" s="93"/>
      <c r="BI20" s="93"/>
      <c r="BJ20" s="93"/>
      <c r="BK20" s="139"/>
      <c r="BL20" s="139"/>
      <c r="BM20" s="93"/>
      <c r="BN20" s="139"/>
      <c r="BO20" s="93"/>
      <c r="BP20" s="93"/>
      <c r="BQ20" s="93"/>
      <c r="BR20" s="93"/>
      <c r="BS20" s="93"/>
      <c r="BT20" s="93"/>
      <c r="BU20" s="93"/>
      <c r="BV20" s="93"/>
      <c r="BW20" s="139"/>
      <c r="BX20" s="139"/>
      <c r="BY20" s="139"/>
      <c r="BZ20" s="139"/>
      <c r="CA20" s="139"/>
      <c r="CB20" s="139"/>
      <c r="CC20" s="139"/>
      <c r="CD20" s="139"/>
      <c r="CE20" s="139"/>
      <c r="CF20" s="139"/>
      <c r="CG20" s="139"/>
      <c r="CH20" s="139"/>
      <c r="CI20" s="139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"/>
      <c r="CV20" s="154"/>
      <c r="CW20" s="154"/>
      <c r="CX20" s="154"/>
      <c r="CY20" s="154"/>
      <c r="CZ20" s="154"/>
      <c r="DA20" s="154"/>
      <c r="DB20" s="85"/>
      <c r="DC20" s="93"/>
      <c r="DD20" s="93"/>
      <c r="DE20" s="93"/>
      <c r="DF20" s="103"/>
      <c r="DG20" s="103"/>
      <c r="DH20" s="93">
        <f t="shared" ref="DH20" si="32">SUM(AM20:AP20)</f>
        <v>0</v>
      </c>
      <c r="DI20" s="93">
        <f t="shared" ref="DI20" si="33">SUM(AQ20:AT20)</f>
        <v>0</v>
      </c>
      <c r="DJ20" s="83">
        <f t="shared" ref="DJ20" si="34">SUM(AU20:AX20)</f>
        <v>0</v>
      </c>
      <c r="DK20" s="93">
        <f t="shared" si="31"/>
        <v>0</v>
      </c>
      <c r="DL20" s="93">
        <v>2000</v>
      </c>
      <c r="DM20" s="93">
        <v>2500</v>
      </c>
      <c r="DN20" s="139"/>
      <c r="DO20" s="139"/>
      <c r="DP20" s="139"/>
      <c r="DQ20" s="139">
        <f t="shared" si="12"/>
        <v>0</v>
      </c>
      <c r="DR20" s="79">
        <f t="shared" si="13"/>
        <v>0</v>
      </c>
      <c r="DS20" s="79">
        <f t="shared" si="14"/>
        <v>0</v>
      </c>
      <c r="DT20" s="79">
        <f t="shared" si="15"/>
        <v>0</v>
      </c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</row>
    <row r="21" spans="2:136" s="15" customFormat="1" ht="13" x14ac:dyDescent="0.3">
      <c r="B21" s="92" t="s">
        <v>693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6"/>
      <c r="AN21" s="126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6">
        <v>0</v>
      </c>
      <c r="BA21" s="93">
        <v>20</v>
      </c>
      <c r="BB21" s="93">
        <v>2107</v>
      </c>
      <c r="BC21" s="93">
        <v>3579</v>
      </c>
      <c r="BD21" s="93">
        <v>3608</v>
      </c>
      <c r="BE21" s="93">
        <v>3332</v>
      </c>
      <c r="BF21" s="93">
        <v>3345</v>
      </c>
      <c r="BG21" s="93">
        <v>3017</v>
      </c>
      <c r="BH21" s="93">
        <v>2564</v>
      </c>
      <c r="BI21" s="93">
        <v>1860</v>
      </c>
      <c r="BJ21" s="93">
        <v>1640</v>
      </c>
      <c r="BK21" s="139">
        <v>1371</v>
      </c>
      <c r="BL21" s="139">
        <v>1382</v>
      </c>
      <c r="BM21" s="93">
        <v>973</v>
      </c>
      <c r="BN21" s="139">
        <v>644</v>
      </c>
      <c r="BO21" s="93">
        <v>348</v>
      </c>
      <c r="BP21" s="93">
        <v>331</v>
      </c>
      <c r="BQ21" s="93">
        <v>311</v>
      </c>
      <c r="BR21" s="93">
        <v>232</v>
      </c>
      <c r="BS21" s="93">
        <v>225</v>
      </c>
      <c r="BT21" s="93">
        <v>193</v>
      </c>
      <c r="BU21" s="93">
        <v>124</v>
      </c>
      <c r="BV21" s="93">
        <v>101</v>
      </c>
      <c r="BW21" s="139">
        <v>112</v>
      </c>
      <c r="BX21" s="139">
        <v>67</v>
      </c>
      <c r="BY21" s="139">
        <v>84</v>
      </c>
      <c r="BZ21" s="139">
        <v>9</v>
      </c>
      <c r="CA21" s="139">
        <v>56</v>
      </c>
      <c r="CB21" s="139">
        <v>62</v>
      </c>
      <c r="CC21" s="139">
        <v>45</v>
      </c>
      <c r="CD21" s="139">
        <v>49</v>
      </c>
      <c r="CE21" s="139">
        <v>35</v>
      </c>
      <c r="CF21" s="139">
        <v>23</v>
      </c>
      <c r="CG21" s="139">
        <v>25</v>
      </c>
      <c r="CH21" s="139">
        <v>31</v>
      </c>
      <c r="CI21" s="139">
        <v>15</v>
      </c>
      <c r="CJ21" s="139">
        <v>15</v>
      </c>
      <c r="CK21" s="139">
        <v>23</v>
      </c>
      <c r="CL21" s="139">
        <v>17</v>
      </c>
      <c r="CM21" s="139"/>
      <c r="CN21" s="139"/>
      <c r="CO21" s="139"/>
      <c r="CP21" s="139"/>
      <c r="CQ21" s="139"/>
      <c r="CR21" s="139"/>
      <c r="CS21" s="139"/>
      <c r="CT21" s="139"/>
      <c r="CU21" s="13"/>
      <c r="CV21" s="154"/>
      <c r="CW21" s="154"/>
      <c r="CX21" s="154"/>
      <c r="CY21" s="154"/>
      <c r="CZ21" s="154"/>
      <c r="DA21" s="154"/>
      <c r="DB21" s="85"/>
      <c r="DC21" s="93"/>
      <c r="DD21" s="93"/>
      <c r="DE21" s="93"/>
      <c r="DF21" s="103"/>
      <c r="DG21" s="103"/>
      <c r="DH21" s="93"/>
      <c r="DI21" s="93"/>
      <c r="DJ21" s="83"/>
      <c r="DK21" s="93"/>
      <c r="DL21" s="93"/>
      <c r="DM21" s="93"/>
      <c r="DN21" s="139"/>
      <c r="DO21" s="139"/>
      <c r="DP21" s="139"/>
      <c r="DQ21" s="139">
        <f t="shared" si="12"/>
        <v>272</v>
      </c>
      <c r="DR21" s="79">
        <f t="shared" si="13"/>
        <v>212</v>
      </c>
      <c r="DS21" s="79">
        <f t="shared" si="14"/>
        <v>114</v>
      </c>
      <c r="DT21" s="79">
        <f t="shared" si="15"/>
        <v>70</v>
      </c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</row>
    <row r="22" spans="2:136" s="15" customFormat="1" ht="13" x14ac:dyDescent="0.3">
      <c r="B22" s="92" t="s">
        <v>742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6"/>
      <c r="AN22" s="126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6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139">
        <v>11</v>
      </c>
      <c r="BL22" s="139">
        <v>22</v>
      </c>
      <c r="BM22" s="93"/>
      <c r="BN22" s="139"/>
      <c r="BO22" s="93">
        <v>58</v>
      </c>
      <c r="BP22" s="93">
        <v>76</v>
      </c>
      <c r="BQ22" s="93">
        <v>87</v>
      </c>
      <c r="BR22" s="93">
        <v>100</v>
      </c>
      <c r="BS22" s="93">
        <v>101</v>
      </c>
      <c r="BT22" s="93">
        <v>116</v>
      </c>
      <c r="BU22" s="93">
        <v>134</v>
      </c>
      <c r="BV22" s="93">
        <v>137</v>
      </c>
      <c r="BW22" s="139">
        <v>136</v>
      </c>
      <c r="BX22" s="139">
        <v>151</v>
      </c>
      <c r="BY22" s="139">
        <v>177</v>
      </c>
      <c r="BZ22" s="139">
        <v>193</v>
      </c>
      <c r="CA22" s="139">
        <v>181</v>
      </c>
      <c r="CB22" s="139">
        <v>200</v>
      </c>
      <c r="CC22" s="139">
        <v>208</v>
      </c>
      <c r="CD22" s="139">
        <v>225</v>
      </c>
      <c r="CE22" s="139">
        <v>200</v>
      </c>
      <c r="CF22" s="139">
        <v>195</v>
      </c>
      <c r="CG22" s="139">
        <v>228</v>
      </c>
      <c r="CH22" s="139">
        <v>220</v>
      </c>
      <c r="CI22" s="139">
        <v>199</v>
      </c>
      <c r="CJ22" s="139">
        <v>219</v>
      </c>
      <c r="CK22" s="139">
        <v>228</v>
      </c>
      <c r="CL22" s="139">
        <v>217</v>
      </c>
      <c r="CM22" s="139">
        <v>225</v>
      </c>
      <c r="CN22" s="139">
        <v>243</v>
      </c>
      <c r="CO22" s="139">
        <v>232</v>
      </c>
      <c r="CP22" s="139">
        <v>260</v>
      </c>
      <c r="CQ22" s="139">
        <f>+CM22</f>
        <v>225</v>
      </c>
      <c r="CR22" s="139">
        <f>+CN22</f>
        <v>243</v>
      </c>
      <c r="CS22" s="139">
        <f>+CO22</f>
        <v>232</v>
      </c>
      <c r="CT22" s="139">
        <f>+CP22</f>
        <v>260</v>
      </c>
      <c r="CU22" s="13"/>
      <c r="CV22" s="154"/>
      <c r="CW22" s="154"/>
      <c r="CX22" s="154"/>
      <c r="CY22" s="154"/>
      <c r="CZ22" s="154"/>
      <c r="DA22" s="154"/>
      <c r="DB22" s="85"/>
      <c r="DC22" s="93"/>
      <c r="DD22" s="93"/>
      <c r="DE22" s="93"/>
      <c r="DF22" s="103"/>
      <c r="DG22" s="103"/>
      <c r="DH22" s="93"/>
      <c r="DI22" s="93"/>
      <c r="DJ22" s="83"/>
      <c r="DK22" s="93"/>
      <c r="DL22" s="93"/>
      <c r="DM22" s="93"/>
      <c r="DN22" s="139"/>
      <c r="DO22" s="139"/>
      <c r="DP22" s="139"/>
      <c r="DQ22" s="139">
        <f t="shared" si="12"/>
        <v>657</v>
      </c>
      <c r="DR22" s="79">
        <f t="shared" si="13"/>
        <v>814</v>
      </c>
      <c r="DS22" s="79">
        <f t="shared" si="14"/>
        <v>843</v>
      </c>
      <c r="DT22" s="79">
        <f t="shared" si="15"/>
        <v>863</v>
      </c>
      <c r="DU22" s="79">
        <f t="shared" ref="DU15:DU22" si="35">SUM(CM22:CP22)</f>
        <v>960</v>
      </c>
      <c r="DV22" s="79">
        <f t="shared" ref="DV22" si="36">SUM(CQ22:CT22)</f>
        <v>960</v>
      </c>
      <c r="DW22" s="79">
        <f t="shared" ref="DW22:EF22" si="37">+DV22*0.5</f>
        <v>480</v>
      </c>
      <c r="DX22" s="79">
        <f t="shared" si="37"/>
        <v>240</v>
      </c>
      <c r="DY22" s="79">
        <f t="shared" si="37"/>
        <v>120</v>
      </c>
      <c r="DZ22" s="79">
        <f t="shared" si="37"/>
        <v>60</v>
      </c>
      <c r="EA22" s="79">
        <f t="shared" si="37"/>
        <v>30</v>
      </c>
      <c r="EB22" s="79">
        <f t="shared" si="37"/>
        <v>15</v>
      </c>
      <c r="EC22" s="79">
        <f t="shared" si="37"/>
        <v>7.5</v>
      </c>
      <c r="ED22" s="79">
        <f t="shared" si="37"/>
        <v>3.75</v>
      </c>
      <c r="EE22" s="79">
        <f t="shared" si="37"/>
        <v>1.875</v>
      </c>
      <c r="EF22" s="79">
        <f t="shared" si="37"/>
        <v>0.9375</v>
      </c>
    </row>
    <row r="23" spans="2:136" s="15" customFormat="1" ht="13" x14ac:dyDescent="0.3">
      <c r="B23" s="92" t="s">
        <v>692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6"/>
      <c r="AN23" s="126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6"/>
      <c r="BA23" s="93"/>
      <c r="BB23" s="93"/>
      <c r="BC23" s="93"/>
      <c r="BD23" s="93"/>
      <c r="BE23" s="93">
        <v>0</v>
      </c>
      <c r="BF23" s="93"/>
      <c r="BG23" s="93"/>
      <c r="BH23" s="93">
        <v>64</v>
      </c>
      <c r="BI23" s="93">
        <v>640</v>
      </c>
      <c r="BJ23" s="93">
        <v>1048</v>
      </c>
      <c r="BK23" s="139">
        <v>892</v>
      </c>
      <c r="BL23" s="139">
        <v>1171</v>
      </c>
      <c r="BM23" s="93">
        <v>882</v>
      </c>
      <c r="BN23" s="139">
        <v>565</v>
      </c>
      <c r="BO23" s="93">
        <v>536</v>
      </c>
      <c r="BP23" s="93">
        <v>500</v>
      </c>
      <c r="BQ23" s="93">
        <v>477</v>
      </c>
      <c r="BR23" s="93">
        <v>453</v>
      </c>
      <c r="BS23" s="93">
        <v>491</v>
      </c>
      <c r="BT23" s="93">
        <v>493</v>
      </c>
      <c r="BU23" s="93">
        <v>516</v>
      </c>
      <c r="BV23" s="93">
        <v>465</v>
      </c>
      <c r="BW23" s="139">
        <v>564</v>
      </c>
      <c r="BX23" s="139">
        <v>335</v>
      </c>
      <c r="BY23" s="139">
        <v>330</v>
      </c>
      <c r="BZ23" s="139">
        <v>370</v>
      </c>
      <c r="CA23" s="139">
        <v>381</v>
      </c>
      <c r="CB23" s="139">
        <v>442</v>
      </c>
      <c r="CC23" s="139">
        <v>332</v>
      </c>
      <c r="CD23" s="139">
        <v>307</v>
      </c>
      <c r="CE23" s="139">
        <v>330</v>
      </c>
      <c r="CF23" s="139">
        <v>376</v>
      </c>
      <c r="CG23" s="139">
        <v>455</v>
      </c>
      <c r="CH23" s="139">
        <v>369</v>
      </c>
      <c r="CI23" s="139">
        <v>385</v>
      </c>
      <c r="CJ23" s="139">
        <v>397</v>
      </c>
      <c r="CK23" s="139">
        <v>377</v>
      </c>
      <c r="CL23" s="139">
        <v>378</v>
      </c>
      <c r="CM23" s="139">
        <v>405</v>
      </c>
      <c r="CN23" s="139">
        <v>476</v>
      </c>
      <c r="CO23" s="139">
        <v>385</v>
      </c>
      <c r="CP23" s="139">
        <v>330</v>
      </c>
      <c r="CQ23" s="139">
        <f t="shared" ref="CQ23:CT23" si="38">+CM23</f>
        <v>405</v>
      </c>
      <c r="CR23" s="139">
        <f t="shared" si="38"/>
        <v>476</v>
      </c>
      <c r="CS23" s="139">
        <f t="shared" si="38"/>
        <v>385</v>
      </c>
      <c r="CT23" s="139">
        <f t="shared" si="38"/>
        <v>330</v>
      </c>
      <c r="CU23" s="13"/>
      <c r="CV23" s="154"/>
      <c r="CW23" s="154"/>
      <c r="CX23" s="154"/>
      <c r="CY23" s="154"/>
      <c r="CZ23" s="154"/>
      <c r="DA23" s="154"/>
      <c r="DB23" s="85"/>
      <c r="DC23" s="93"/>
      <c r="DD23" s="93"/>
      <c r="DE23" s="93"/>
      <c r="DF23" s="103"/>
      <c r="DG23" s="103"/>
      <c r="DH23" s="93"/>
      <c r="DI23" s="93"/>
      <c r="DJ23" s="83"/>
      <c r="DK23" s="93"/>
      <c r="DL23" s="93"/>
      <c r="DM23" s="93"/>
      <c r="DN23" s="139"/>
      <c r="DO23" s="139"/>
      <c r="DP23" s="139"/>
      <c r="DQ23" s="139">
        <f t="shared" si="12"/>
        <v>1599</v>
      </c>
      <c r="DR23" s="79">
        <f t="shared" si="13"/>
        <v>1462</v>
      </c>
      <c r="DS23" s="79">
        <f t="shared" si="14"/>
        <v>1530</v>
      </c>
      <c r="DT23" s="79">
        <f t="shared" si="15"/>
        <v>1537</v>
      </c>
      <c r="DU23" s="79">
        <f t="shared" ref="DU23:DU39" si="39">SUM(CM23:CP23)</f>
        <v>1596</v>
      </c>
      <c r="DV23" s="79">
        <f t="shared" ref="DV23:DW39" si="40">SUM(CQ23:CT23)</f>
        <v>1596</v>
      </c>
      <c r="DW23" s="79">
        <f>+DV23*0.8</f>
        <v>1276.8000000000002</v>
      </c>
      <c r="DX23" s="79">
        <f t="shared" ref="DX23:EF23" si="41">+DW23*0.8</f>
        <v>1021.4400000000002</v>
      </c>
      <c r="DY23" s="79">
        <f t="shared" si="41"/>
        <v>817.15200000000016</v>
      </c>
      <c r="DZ23" s="79">
        <f t="shared" si="41"/>
        <v>653.72160000000019</v>
      </c>
      <c r="EA23" s="79">
        <f t="shared" si="41"/>
        <v>522.97728000000018</v>
      </c>
      <c r="EB23" s="79">
        <f t="shared" si="41"/>
        <v>418.38182400000017</v>
      </c>
      <c r="EC23" s="79">
        <f t="shared" si="41"/>
        <v>334.70545920000018</v>
      </c>
      <c r="ED23" s="79">
        <f t="shared" si="41"/>
        <v>267.76436736000016</v>
      </c>
      <c r="EE23" s="79">
        <f t="shared" si="41"/>
        <v>214.21149388800015</v>
      </c>
      <c r="EF23" s="79">
        <f t="shared" si="41"/>
        <v>171.36919511040014</v>
      </c>
    </row>
    <row r="24" spans="2:136" s="15" customFormat="1" ht="13" x14ac:dyDescent="0.3">
      <c r="B24" s="92" t="s">
        <v>715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102"/>
      <c r="AF24" s="102"/>
      <c r="AG24" s="102"/>
      <c r="AH24" s="102"/>
      <c r="AI24" s="102"/>
      <c r="AJ24" s="102"/>
      <c r="AK24" s="102"/>
      <c r="AL24" s="102"/>
      <c r="AM24" s="126"/>
      <c r="AN24" s="126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126"/>
      <c r="BA24" s="93"/>
      <c r="BB24" s="93"/>
      <c r="BC24" s="93"/>
      <c r="BD24" s="93"/>
      <c r="BE24" s="93"/>
      <c r="BF24" s="93"/>
      <c r="BG24" s="93"/>
      <c r="BH24" s="93">
        <v>0</v>
      </c>
      <c r="BI24" s="93">
        <v>0</v>
      </c>
      <c r="BJ24" s="93">
        <v>0</v>
      </c>
      <c r="BK24" s="139">
        <v>0</v>
      </c>
      <c r="BL24" s="139">
        <v>0</v>
      </c>
      <c r="BM24" s="93">
        <v>123</v>
      </c>
      <c r="BN24" s="139">
        <v>170</v>
      </c>
      <c r="BO24" s="93">
        <v>107</v>
      </c>
      <c r="BP24" s="93">
        <v>109</v>
      </c>
      <c r="BQ24" s="93">
        <v>103</v>
      </c>
      <c r="BR24" s="93">
        <v>77</v>
      </c>
      <c r="BS24" s="93">
        <v>63</v>
      </c>
      <c r="BT24" s="93">
        <v>75</v>
      </c>
      <c r="BU24" s="93">
        <v>63</v>
      </c>
      <c r="BV24" s="93">
        <v>56</v>
      </c>
      <c r="BW24" s="139">
        <v>48</v>
      </c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"/>
      <c r="CV24" s="154"/>
      <c r="CW24" s="154"/>
      <c r="CX24" s="154"/>
      <c r="CY24" s="154"/>
      <c r="CZ24" s="154"/>
      <c r="DA24" s="154"/>
      <c r="DB24" s="85"/>
      <c r="DC24" s="93"/>
      <c r="DD24" s="93"/>
      <c r="DE24" s="93"/>
      <c r="DF24" s="103"/>
      <c r="DG24" s="103"/>
      <c r="DH24" s="93"/>
      <c r="DI24" s="93"/>
      <c r="DJ24" s="83"/>
      <c r="DK24" s="93"/>
      <c r="DL24" s="93"/>
      <c r="DM24" s="93"/>
      <c r="DN24" s="139"/>
      <c r="DO24" s="139"/>
      <c r="DP24" s="139"/>
      <c r="DQ24" s="139">
        <f t="shared" si="12"/>
        <v>48</v>
      </c>
      <c r="DR24" s="79">
        <f t="shared" si="13"/>
        <v>0</v>
      </c>
      <c r="DS24" s="79">
        <f t="shared" si="14"/>
        <v>0</v>
      </c>
      <c r="DT24" s="79">
        <f t="shared" si="15"/>
        <v>0</v>
      </c>
      <c r="DU24" s="79"/>
      <c r="DV24" s="79"/>
      <c r="DW24" s="13"/>
      <c r="DX24" s="13"/>
      <c r="DY24" s="13"/>
      <c r="DZ24" s="13"/>
      <c r="EA24" s="13"/>
      <c r="EB24" s="13"/>
      <c r="EC24" s="13"/>
      <c r="ED24" s="13"/>
      <c r="EE24" s="13"/>
      <c r="EF24" s="13"/>
    </row>
    <row r="25" spans="2:136" s="17" customFormat="1" x14ac:dyDescent="0.25">
      <c r="B25" s="100" t="s">
        <v>680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7"/>
      <c r="AK25" s="104"/>
      <c r="AL25" s="104"/>
      <c r="AM25" s="127"/>
      <c r="AN25" s="127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7"/>
      <c r="BA25" s="82"/>
      <c r="BB25" s="82"/>
      <c r="BC25" s="82"/>
      <c r="BD25" s="82"/>
      <c r="BE25" s="82"/>
      <c r="BF25" s="82"/>
      <c r="BG25" s="82"/>
      <c r="BH25" s="93">
        <v>0</v>
      </c>
      <c r="BI25" s="93">
        <v>0</v>
      </c>
      <c r="BJ25" s="93">
        <v>0</v>
      </c>
      <c r="BK25" s="139">
        <v>0</v>
      </c>
      <c r="BL25" s="139">
        <v>0</v>
      </c>
      <c r="BM25" s="82">
        <v>0</v>
      </c>
      <c r="BN25" s="140">
        <v>0</v>
      </c>
      <c r="BO25" s="82">
        <v>0</v>
      </c>
      <c r="BP25" s="82">
        <v>0</v>
      </c>
      <c r="BQ25" s="82">
        <v>0</v>
      </c>
      <c r="BR25" s="82">
        <v>0</v>
      </c>
      <c r="BS25" s="82">
        <v>0</v>
      </c>
      <c r="BT25" s="82">
        <v>0</v>
      </c>
      <c r="BU25" s="82">
        <v>0</v>
      </c>
      <c r="BV25" s="82">
        <v>0</v>
      </c>
      <c r="BW25" s="140">
        <v>0</v>
      </c>
      <c r="BX25" s="140">
        <v>3</v>
      </c>
      <c r="BY25" s="140">
        <v>2</v>
      </c>
      <c r="BZ25" s="140">
        <v>3</v>
      </c>
      <c r="CA25" s="140">
        <v>8</v>
      </c>
      <c r="CB25" s="140">
        <v>9</v>
      </c>
      <c r="CC25" s="140">
        <v>13</v>
      </c>
      <c r="CD25" s="140">
        <v>14</v>
      </c>
      <c r="CE25" s="140">
        <v>13</v>
      </c>
      <c r="CF25" s="140">
        <v>16</v>
      </c>
      <c r="CG25" s="140">
        <v>14</v>
      </c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79"/>
      <c r="CV25" s="79"/>
      <c r="CW25" s="79"/>
      <c r="CX25" s="79"/>
      <c r="CY25" s="79"/>
      <c r="CZ25" s="79"/>
      <c r="DA25" s="79"/>
      <c r="DC25" s="82"/>
      <c r="DD25" s="82"/>
      <c r="DE25" s="82"/>
      <c r="DF25" s="105"/>
      <c r="DG25" s="105"/>
      <c r="DH25" s="93"/>
      <c r="DI25" s="93"/>
      <c r="DJ25" s="83"/>
      <c r="DK25" s="93"/>
      <c r="DL25" s="82"/>
      <c r="DM25" s="82"/>
      <c r="DN25" s="140"/>
      <c r="DO25" s="139"/>
      <c r="DP25" s="139"/>
      <c r="DQ25" s="139">
        <f t="shared" si="12"/>
        <v>8</v>
      </c>
      <c r="DR25" s="79">
        <f t="shared" si="13"/>
        <v>44</v>
      </c>
      <c r="DS25" s="79">
        <f t="shared" si="14"/>
        <v>43</v>
      </c>
      <c r="DT25" s="79">
        <f t="shared" si="15"/>
        <v>0</v>
      </c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2:136" s="17" customFormat="1" x14ac:dyDescent="0.25">
      <c r="B26" s="100" t="s">
        <v>681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104"/>
      <c r="AF26" s="104"/>
      <c r="AG26" s="104"/>
      <c r="AH26" s="104"/>
      <c r="AI26" s="104"/>
      <c r="AJ26" s="127"/>
      <c r="AK26" s="104"/>
      <c r="AL26" s="104"/>
      <c r="AM26" s="127"/>
      <c r="AN26" s="127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127"/>
      <c r="BA26" s="82"/>
      <c r="BB26" s="82"/>
      <c r="BC26" s="82"/>
      <c r="BD26" s="82"/>
      <c r="BE26" s="82"/>
      <c r="BF26" s="82"/>
      <c r="BG26" s="82"/>
      <c r="BH26" s="93">
        <v>0</v>
      </c>
      <c r="BI26" s="93">
        <v>0</v>
      </c>
      <c r="BJ26" s="93">
        <v>0</v>
      </c>
      <c r="BK26" s="139">
        <v>0</v>
      </c>
      <c r="BL26" s="139">
        <v>0</v>
      </c>
      <c r="BM26" s="82">
        <v>0</v>
      </c>
      <c r="BN26" s="140">
        <v>0</v>
      </c>
      <c r="BO26" s="82">
        <v>0</v>
      </c>
      <c r="BP26" s="82">
        <v>0</v>
      </c>
      <c r="BQ26" s="82">
        <v>0</v>
      </c>
      <c r="BR26" s="82">
        <v>0</v>
      </c>
      <c r="BS26" s="140">
        <v>0</v>
      </c>
      <c r="BT26" s="140">
        <v>0</v>
      </c>
      <c r="BU26" s="140">
        <v>0</v>
      </c>
      <c r="BV26" s="140">
        <v>0</v>
      </c>
      <c r="BW26" s="140">
        <v>0</v>
      </c>
      <c r="BX26" s="140">
        <v>0</v>
      </c>
      <c r="BY26" s="140">
        <v>873</v>
      </c>
      <c r="BZ26" s="140">
        <v>1938</v>
      </c>
      <c r="CA26" s="140">
        <v>1456</v>
      </c>
      <c r="CB26" s="140">
        <v>829</v>
      </c>
      <c r="CC26" s="140">
        <v>1923</v>
      </c>
      <c r="CD26" s="140">
        <v>1357</v>
      </c>
      <c r="CE26" s="140">
        <v>1535</v>
      </c>
      <c r="CF26" s="140">
        <v>445</v>
      </c>
      <c r="CG26" s="140">
        <v>925</v>
      </c>
      <c r="CH26" s="140">
        <v>1000</v>
      </c>
      <c r="CI26" s="140">
        <v>573</v>
      </c>
      <c r="CJ26" s="140">
        <v>256</v>
      </c>
      <c r="CK26" s="140">
        <v>636</v>
      </c>
      <c r="CL26" s="140">
        <v>720</v>
      </c>
      <c r="CM26" s="140">
        <v>555</v>
      </c>
      <c r="CN26" s="140">
        <v>214</v>
      </c>
      <c r="CO26" s="140">
        <v>692</v>
      </c>
      <c r="CP26" s="140">
        <v>337</v>
      </c>
      <c r="CQ26" s="139">
        <f>+CM26*0.5</f>
        <v>277.5</v>
      </c>
      <c r="CR26" s="139">
        <f>+CN26*0.5</f>
        <v>107</v>
      </c>
      <c r="CS26" s="139">
        <f>+CO26*0.5</f>
        <v>346</v>
      </c>
      <c r="CT26" s="139">
        <f>+CP26*0.5</f>
        <v>168.5</v>
      </c>
      <c r="CU26" s="79"/>
      <c r="CV26" s="79"/>
      <c r="CW26" s="79"/>
      <c r="CX26" s="79"/>
      <c r="CY26" s="79"/>
      <c r="CZ26" s="79"/>
      <c r="DA26" s="79"/>
      <c r="DC26" s="82"/>
      <c r="DD26" s="82"/>
      <c r="DE26" s="82"/>
      <c r="DF26" s="105"/>
      <c r="DG26" s="105"/>
      <c r="DH26" s="93"/>
      <c r="DI26" s="93"/>
      <c r="DJ26" s="83"/>
      <c r="DK26" s="93"/>
      <c r="DL26" s="82"/>
      <c r="DM26" s="82"/>
      <c r="DN26" s="140"/>
      <c r="DO26" s="139"/>
      <c r="DP26" s="139"/>
      <c r="DQ26" s="139">
        <f t="shared" si="12"/>
        <v>2811</v>
      </c>
      <c r="DR26" s="79">
        <f t="shared" si="13"/>
        <v>5565</v>
      </c>
      <c r="DS26" s="79">
        <f t="shared" si="14"/>
        <v>3905</v>
      </c>
      <c r="DT26" s="79">
        <f t="shared" si="15"/>
        <v>2185</v>
      </c>
      <c r="DU26" s="79">
        <f t="shared" si="39"/>
        <v>1798</v>
      </c>
      <c r="DV26" s="79">
        <f t="shared" si="40"/>
        <v>899</v>
      </c>
      <c r="DW26" s="79">
        <f>+DV26*0.5</f>
        <v>449.5</v>
      </c>
      <c r="DX26" s="79">
        <f t="shared" ref="DX26:EF26" si="42">+DW26*0.5</f>
        <v>224.75</v>
      </c>
      <c r="DY26" s="79">
        <f t="shared" si="42"/>
        <v>112.375</v>
      </c>
      <c r="DZ26" s="79">
        <f t="shared" si="42"/>
        <v>56.1875</v>
      </c>
      <c r="EA26" s="79">
        <f t="shared" si="42"/>
        <v>28.09375</v>
      </c>
      <c r="EB26" s="79">
        <f t="shared" si="42"/>
        <v>14.046875</v>
      </c>
      <c r="EC26" s="79">
        <f t="shared" si="42"/>
        <v>7.0234375</v>
      </c>
      <c r="ED26" s="79">
        <f t="shared" si="42"/>
        <v>3.51171875</v>
      </c>
      <c r="EE26" s="79">
        <f t="shared" si="42"/>
        <v>1.755859375</v>
      </c>
      <c r="EF26" s="79">
        <f t="shared" si="42"/>
        <v>0.8779296875</v>
      </c>
    </row>
    <row r="27" spans="2:136" s="17" customFormat="1" x14ac:dyDescent="0.25">
      <c r="B27" s="17" t="s">
        <v>23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6</v>
      </c>
      <c r="J27" s="82">
        <v>4</v>
      </c>
      <c r="K27" s="82">
        <v>12</v>
      </c>
      <c r="L27" s="82">
        <v>16.5</v>
      </c>
      <c r="M27" s="82">
        <v>16</v>
      </c>
      <c r="N27" s="82">
        <v>13.2</v>
      </c>
      <c r="O27" s="82">
        <v>12.4</v>
      </c>
      <c r="P27" s="82">
        <v>12.1</v>
      </c>
      <c r="Q27" s="82">
        <v>11.7</v>
      </c>
      <c r="R27" s="82">
        <v>11.2</v>
      </c>
      <c r="S27" s="82">
        <v>10</v>
      </c>
      <c r="T27" s="82">
        <v>8.6999999999999993</v>
      </c>
      <c r="U27" s="82">
        <v>9.2720000000000002</v>
      </c>
      <c r="V27" s="82">
        <v>8.5</v>
      </c>
      <c r="W27" s="82">
        <v>8.3230000000000004</v>
      </c>
      <c r="X27" s="82">
        <v>9.6039999999999992</v>
      </c>
      <c r="Y27" s="82">
        <v>6.4610000000000003</v>
      </c>
      <c r="Z27" s="82">
        <v>7.1050000000000004</v>
      </c>
      <c r="AA27" s="82">
        <v>8.3889999999999993</v>
      </c>
      <c r="AB27" s="82">
        <v>8.0879999999999992</v>
      </c>
      <c r="AC27" s="82">
        <v>7.6340000000000003</v>
      </c>
      <c r="AD27" s="82">
        <v>6.9690000000000003</v>
      </c>
      <c r="AE27" s="104">
        <v>7.234</v>
      </c>
      <c r="AF27" s="104">
        <v>7.0960000000000001</v>
      </c>
      <c r="AG27" s="104">
        <v>6.7290000000000001</v>
      </c>
      <c r="AH27" s="104">
        <v>7</v>
      </c>
      <c r="AI27" s="104"/>
      <c r="AJ27" s="127">
        <v>6.7450000000000001</v>
      </c>
      <c r="AK27" s="104">
        <v>6.7</v>
      </c>
      <c r="AL27" s="104"/>
      <c r="AM27" s="127">
        <v>6.5759999999999996</v>
      </c>
      <c r="AN27" s="127">
        <v>6.7320000000000002</v>
      </c>
      <c r="AO27" s="82">
        <v>7.7</v>
      </c>
      <c r="AP27" s="82">
        <v>7.7889999999999997</v>
      </c>
      <c r="AQ27" s="82">
        <v>6.7770000000000001</v>
      </c>
      <c r="AR27" s="82">
        <v>7.8129999999999997</v>
      </c>
      <c r="AS27" s="82">
        <v>7.2290000000000001</v>
      </c>
      <c r="AT27" s="82">
        <v>7.63</v>
      </c>
      <c r="AU27" s="82">
        <v>6.6710000000000003</v>
      </c>
      <c r="AV27" s="82">
        <v>6.6390000000000002</v>
      </c>
      <c r="AW27" s="82">
        <v>6.8460000000000001</v>
      </c>
      <c r="AX27" s="82">
        <v>7.2489999999999997</v>
      </c>
      <c r="AY27" s="82">
        <v>6.5019999999999998</v>
      </c>
      <c r="AZ27" s="127">
        <v>7.343</v>
      </c>
      <c r="BA27" s="82"/>
      <c r="BB27" s="82"/>
      <c r="BC27" s="82"/>
      <c r="BD27" s="82"/>
      <c r="BE27" s="82"/>
      <c r="BF27" s="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82"/>
      <c r="BW27" s="182"/>
      <c r="BX27" s="182"/>
      <c r="BY27" s="182"/>
      <c r="BZ27" s="182"/>
      <c r="CA27" s="182"/>
      <c r="CB27" s="182"/>
      <c r="CC27" s="182"/>
      <c r="CD27" s="182"/>
      <c r="CE27" s="182"/>
      <c r="CF27" s="182"/>
      <c r="CG27" s="182"/>
      <c r="CH27" s="182"/>
      <c r="CI27" s="182"/>
      <c r="CJ27" s="182"/>
      <c r="CK27" s="182"/>
      <c r="CL27" s="182"/>
      <c r="CM27" s="182"/>
      <c r="CN27" s="182"/>
      <c r="CO27" s="182"/>
      <c r="CP27" s="182"/>
      <c r="CQ27" s="182"/>
      <c r="CR27" s="182"/>
      <c r="CS27" s="182"/>
      <c r="CT27" s="182"/>
      <c r="CU27" s="79"/>
      <c r="CV27" s="79"/>
      <c r="CW27" s="79"/>
      <c r="CX27" s="79"/>
      <c r="CY27" s="79"/>
      <c r="CZ27" s="79">
        <v>10</v>
      </c>
      <c r="DA27" s="79">
        <v>57.779492890373753</v>
      </c>
      <c r="DB27" s="17">
        <v>47.4</v>
      </c>
      <c r="DC27" s="82">
        <f>SUM(S27:V27)</f>
        <v>36.472000000000001</v>
      </c>
      <c r="DD27" s="82">
        <f>SUM(W27:Z27)</f>
        <v>31.492999999999999</v>
      </c>
      <c r="DE27" s="82">
        <f>SUM(AA27:AD27)</f>
        <v>31.08</v>
      </c>
      <c r="DF27" s="105">
        <f>SUM(AE27:AH27)</f>
        <v>28.059000000000001</v>
      </c>
      <c r="DG27" s="105">
        <f t="shared" ref="DG27:DG38" si="43">SUM(AI27:AL27)</f>
        <v>13.445</v>
      </c>
      <c r="DH27" s="93">
        <f t="shared" ref="DH27:DH39" si="44">SUM(AM27:AP27)</f>
        <v>28.796999999999997</v>
      </c>
      <c r="DI27" s="93">
        <f t="shared" ref="DI27:DI39" si="45">SUM(AQ27:AT27)</f>
        <v>29.448999999999998</v>
      </c>
      <c r="DJ27" s="83">
        <f t="shared" ref="DJ27:DJ39" si="46">SUM(AU27:AX27)</f>
        <v>27.404999999999998</v>
      </c>
      <c r="DK27" s="93">
        <f t="shared" si="31"/>
        <v>13.844999999999999</v>
      </c>
      <c r="DL27" s="82">
        <f t="shared" ref="DL27:DM32" si="47">DK27</f>
        <v>13.844999999999999</v>
      </c>
      <c r="DM27" s="82">
        <f t="shared" si="47"/>
        <v>13.844999999999999</v>
      </c>
      <c r="DN27" s="140"/>
      <c r="DO27" s="139"/>
      <c r="DP27" s="139"/>
      <c r="DQ27" s="139">
        <f t="shared" si="12"/>
        <v>0</v>
      </c>
      <c r="DR27" s="79">
        <f t="shared" si="13"/>
        <v>0</v>
      </c>
      <c r="DS27" s="79">
        <f t="shared" si="14"/>
        <v>0</v>
      </c>
      <c r="DT27" s="79">
        <f t="shared" si="15"/>
        <v>0</v>
      </c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2:136" s="17" customFormat="1" x14ac:dyDescent="0.25">
      <c r="B28" s="100" t="s">
        <v>643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7">
        <v>0</v>
      </c>
      <c r="AK28" s="104"/>
      <c r="AL28" s="104"/>
      <c r="AM28" s="127">
        <v>0</v>
      </c>
      <c r="AN28" s="127">
        <v>0</v>
      </c>
      <c r="AO28" s="82">
        <v>19</v>
      </c>
      <c r="AP28" s="82">
        <v>19.702999999999999</v>
      </c>
      <c r="AQ28" s="82">
        <v>52.18</v>
      </c>
      <c r="AR28" s="82">
        <v>72.909000000000006</v>
      </c>
      <c r="AS28" s="82">
        <v>99.296999999999997</v>
      </c>
      <c r="AT28" s="82">
        <v>117.81399999999999</v>
      </c>
      <c r="AU28" s="82">
        <v>148.18899999999999</v>
      </c>
      <c r="AV28" s="82">
        <v>188.68299999999999</v>
      </c>
      <c r="AW28" s="82">
        <v>210.73599999999999</v>
      </c>
      <c r="AX28" s="82">
        <v>261.84399999999999</v>
      </c>
      <c r="AY28" s="82">
        <v>250.733</v>
      </c>
      <c r="AZ28" s="127">
        <v>299.464</v>
      </c>
      <c r="BA28" s="82">
        <v>330</v>
      </c>
      <c r="BB28" s="82">
        <v>348</v>
      </c>
      <c r="BC28" s="82">
        <v>320</v>
      </c>
      <c r="BD28" s="82">
        <v>367</v>
      </c>
      <c r="BE28" s="82">
        <v>360</v>
      </c>
      <c r="BF28" s="82">
        <v>380</v>
      </c>
      <c r="BG28" s="82">
        <v>381</v>
      </c>
      <c r="BH28" s="82">
        <v>368</v>
      </c>
      <c r="BI28" s="82">
        <v>411</v>
      </c>
      <c r="BJ28" s="82">
        <v>297</v>
      </c>
      <c r="BK28" s="140">
        <v>253</v>
      </c>
      <c r="BL28" s="140">
        <v>254</v>
      </c>
      <c r="BM28" s="82">
        <v>237</v>
      </c>
      <c r="BN28" s="140">
        <v>222</v>
      </c>
      <c r="BO28" s="82">
        <v>190</v>
      </c>
      <c r="BP28" s="82">
        <v>199</v>
      </c>
      <c r="BQ28" s="82">
        <v>139</v>
      </c>
      <c r="BR28" s="82">
        <v>125</v>
      </c>
      <c r="BS28" s="82">
        <v>115</v>
      </c>
      <c r="BT28" s="82">
        <v>123</v>
      </c>
      <c r="BU28" s="82">
        <v>93</v>
      </c>
      <c r="BV28" s="82">
        <v>75</v>
      </c>
      <c r="BW28" s="140">
        <v>76</v>
      </c>
      <c r="BX28" s="140">
        <v>72</v>
      </c>
      <c r="BY28" s="140">
        <v>70</v>
      </c>
      <c r="BZ28" s="140">
        <v>51</v>
      </c>
      <c r="CA28" s="140">
        <v>63</v>
      </c>
      <c r="CB28" s="140">
        <v>62</v>
      </c>
      <c r="CC28" s="140">
        <v>64</v>
      </c>
      <c r="CD28" s="140">
        <v>69</v>
      </c>
      <c r="CE28" s="140">
        <v>44</v>
      </c>
      <c r="CF28" s="140">
        <v>54</v>
      </c>
      <c r="CG28" s="140">
        <v>43</v>
      </c>
      <c r="CH28" s="140">
        <v>58</v>
      </c>
      <c r="CI28" s="140">
        <v>39</v>
      </c>
      <c r="CJ28" s="140">
        <v>32</v>
      </c>
      <c r="CK28" s="140">
        <v>34</v>
      </c>
      <c r="CL28" s="140">
        <v>24</v>
      </c>
      <c r="CM28" s="140"/>
      <c r="CN28" s="140"/>
      <c r="CO28" s="140"/>
      <c r="CP28" s="140"/>
      <c r="CQ28" s="140"/>
      <c r="CR28" s="140"/>
      <c r="CS28" s="140"/>
      <c r="CT28" s="140"/>
      <c r="CU28" s="79"/>
      <c r="CV28" s="79"/>
      <c r="CW28" s="79"/>
      <c r="CX28" s="79"/>
      <c r="CY28" s="79"/>
      <c r="CZ28" s="79"/>
      <c r="DA28" s="79"/>
      <c r="DC28" s="82"/>
      <c r="DD28" s="82"/>
      <c r="DE28" s="82"/>
      <c r="DF28" s="105"/>
      <c r="DG28" s="105"/>
      <c r="DH28" s="93">
        <f t="shared" si="44"/>
        <v>38.703000000000003</v>
      </c>
      <c r="DI28" s="93">
        <f t="shared" si="45"/>
        <v>342.2</v>
      </c>
      <c r="DJ28" s="83">
        <f t="shared" si="46"/>
        <v>809.452</v>
      </c>
      <c r="DK28" s="93">
        <f t="shared" si="31"/>
        <v>1228.1970000000001</v>
      </c>
      <c r="DL28" s="82">
        <f>+DK28*1.1</f>
        <v>1351.0167000000001</v>
      </c>
      <c r="DM28" s="82">
        <f t="shared" ref="DM28" si="48">+DL28*1.1</f>
        <v>1486.1183700000004</v>
      </c>
      <c r="DN28" s="140"/>
      <c r="DO28" s="140"/>
      <c r="DP28" s="140"/>
      <c r="DQ28" s="139">
        <f t="shared" si="12"/>
        <v>269</v>
      </c>
      <c r="DR28" s="79">
        <f t="shared" si="13"/>
        <v>258</v>
      </c>
      <c r="DS28" s="79">
        <f t="shared" si="14"/>
        <v>199</v>
      </c>
      <c r="DT28" s="79">
        <f t="shared" si="15"/>
        <v>129</v>
      </c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2:136" s="17" customFormat="1" x14ac:dyDescent="0.25">
      <c r="B29" s="100" t="s">
        <v>682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7"/>
      <c r="AK29" s="104"/>
      <c r="AL29" s="104"/>
      <c r="AM29" s="127"/>
      <c r="AN29" s="127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7"/>
      <c r="BA29" s="82"/>
      <c r="BB29" s="82"/>
      <c r="BC29" s="82"/>
      <c r="BD29" s="82"/>
      <c r="BE29" s="82"/>
      <c r="BF29" s="82"/>
      <c r="BG29" s="82"/>
      <c r="BH29" s="82">
        <v>0</v>
      </c>
      <c r="BI29" s="82">
        <v>0</v>
      </c>
      <c r="BJ29" s="82">
        <v>0</v>
      </c>
      <c r="BK29" s="140">
        <v>0</v>
      </c>
      <c r="BL29" s="140">
        <v>0</v>
      </c>
      <c r="BM29" s="82">
        <v>0</v>
      </c>
      <c r="BN29" s="140">
        <v>0</v>
      </c>
      <c r="BO29" s="82">
        <v>0</v>
      </c>
      <c r="BP29" s="82">
        <v>0</v>
      </c>
      <c r="BQ29" s="82">
        <v>0</v>
      </c>
      <c r="BR29" s="82">
        <v>0</v>
      </c>
      <c r="BS29" s="82">
        <v>0</v>
      </c>
      <c r="BT29" s="82">
        <v>0</v>
      </c>
      <c r="BU29" s="82">
        <v>0</v>
      </c>
      <c r="BV29" s="82">
        <v>0</v>
      </c>
      <c r="BW29" s="140">
        <v>0</v>
      </c>
      <c r="BX29" s="140">
        <v>1</v>
      </c>
      <c r="BY29" s="140">
        <v>9</v>
      </c>
      <c r="BZ29" s="140">
        <v>34</v>
      </c>
      <c r="CA29" s="140">
        <v>31</v>
      </c>
      <c r="CB29" s="140">
        <v>41</v>
      </c>
      <c r="CC29" s="140">
        <v>47</v>
      </c>
      <c r="CD29" s="140">
        <v>57</v>
      </c>
      <c r="CE29" s="140">
        <v>63</v>
      </c>
      <c r="CF29" s="140">
        <v>73</v>
      </c>
      <c r="CG29" s="140">
        <v>81</v>
      </c>
      <c r="CH29" s="140">
        <v>82</v>
      </c>
      <c r="CI29" s="140">
        <v>89</v>
      </c>
      <c r="CJ29" s="140">
        <v>88</v>
      </c>
      <c r="CK29" s="140">
        <v>96</v>
      </c>
      <c r="CL29" s="140">
        <v>98</v>
      </c>
      <c r="CM29" s="140">
        <v>100</v>
      </c>
      <c r="CN29" s="140">
        <v>107</v>
      </c>
      <c r="CO29" s="140">
        <v>98</v>
      </c>
      <c r="CP29" s="140">
        <v>98</v>
      </c>
      <c r="CQ29" s="140">
        <f>+CM29</f>
        <v>100</v>
      </c>
      <c r="CR29" s="140">
        <f t="shared" ref="CR29:CR31" si="49">+CN29</f>
        <v>107</v>
      </c>
      <c r="CS29" s="140">
        <f t="shared" ref="CS29:CS31" si="50">+CO29</f>
        <v>98</v>
      </c>
      <c r="CT29" s="140">
        <f t="shared" ref="CT29:CT31" si="51">+CP29</f>
        <v>98</v>
      </c>
      <c r="CU29" s="79"/>
      <c r="CV29" s="79"/>
      <c r="CW29" s="79"/>
      <c r="CX29" s="79"/>
      <c r="CY29" s="79"/>
      <c r="CZ29" s="79"/>
      <c r="DA29" s="79"/>
      <c r="DC29" s="82"/>
      <c r="DD29" s="82"/>
      <c r="DE29" s="82"/>
      <c r="DF29" s="105"/>
      <c r="DG29" s="105"/>
      <c r="DH29" s="93"/>
      <c r="DI29" s="93"/>
      <c r="DJ29" s="83"/>
      <c r="DK29" s="93"/>
      <c r="DL29" s="82"/>
      <c r="DM29" s="82"/>
      <c r="DN29" s="140"/>
      <c r="DO29" s="140"/>
      <c r="DP29" s="140"/>
      <c r="DQ29" s="139">
        <f t="shared" si="12"/>
        <v>44</v>
      </c>
      <c r="DR29" s="79">
        <f t="shared" si="13"/>
        <v>176</v>
      </c>
      <c r="DS29" s="79">
        <f t="shared" si="14"/>
        <v>299</v>
      </c>
      <c r="DT29" s="79">
        <f t="shared" si="15"/>
        <v>371</v>
      </c>
      <c r="DU29" s="79">
        <f t="shared" si="39"/>
        <v>403</v>
      </c>
      <c r="DV29" s="79">
        <f t="shared" si="40"/>
        <v>403</v>
      </c>
      <c r="DW29" s="79">
        <f>+DV29*0.95</f>
        <v>382.84999999999997</v>
      </c>
      <c r="DX29" s="79">
        <f t="shared" ref="DX29:EF29" si="52">+DW29*0.95</f>
        <v>363.70749999999992</v>
      </c>
      <c r="DY29" s="79">
        <f t="shared" si="52"/>
        <v>345.5221249999999</v>
      </c>
      <c r="DZ29" s="79">
        <f t="shared" si="52"/>
        <v>328.24601874999991</v>
      </c>
      <c r="EA29" s="79">
        <f t="shared" si="52"/>
        <v>311.83371781249991</v>
      </c>
      <c r="EB29" s="79">
        <f t="shared" si="52"/>
        <v>296.24203192187491</v>
      </c>
      <c r="EC29" s="79">
        <f t="shared" si="52"/>
        <v>281.42993032578113</v>
      </c>
      <c r="ED29" s="79">
        <f t="shared" si="52"/>
        <v>267.35843380949206</v>
      </c>
      <c r="EE29" s="79">
        <f t="shared" si="52"/>
        <v>253.99051211901744</v>
      </c>
      <c r="EF29" s="79">
        <f t="shared" si="52"/>
        <v>241.29098651306654</v>
      </c>
    </row>
    <row r="30" spans="2:136" s="17" customFormat="1" x14ac:dyDescent="0.25">
      <c r="B30" s="100" t="s">
        <v>683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7"/>
      <c r="AK30" s="104"/>
      <c r="AL30" s="104"/>
      <c r="AM30" s="127"/>
      <c r="AN30" s="127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7"/>
      <c r="BA30" s="82"/>
      <c r="BB30" s="82"/>
      <c r="BC30" s="82"/>
      <c r="BD30" s="82"/>
      <c r="BE30" s="82"/>
      <c r="BF30" s="82"/>
      <c r="BG30" s="82"/>
      <c r="BH30" s="82">
        <v>0</v>
      </c>
      <c r="BI30" s="82">
        <v>0</v>
      </c>
      <c r="BJ30" s="82">
        <v>0</v>
      </c>
      <c r="BK30" s="140">
        <v>0</v>
      </c>
      <c r="BL30" s="140">
        <v>0</v>
      </c>
      <c r="BM30" s="82">
        <v>0</v>
      </c>
      <c r="BN30" s="140">
        <v>0</v>
      </c>
      <c r="BO30" s="82">
        <v>40</v>
      </c>
      <c r="BP30" s="82">
        <v>68</v>
      </c>
      <c r="BQ30" s="82">
        <v>75</v>
      </c>
      <c r="BR30" s="82">
        <v>81</v>
      </c>
      <c r="BS30" s="82">
        <v>96</v>
      </c>
      <c r="BT30" s="82">
        <v>120</v>
      </c>
      <c r="BU30" s="82">
        <v>118</v>
      </c>
      <c r="BV30" s="82">
        <v>122</v>
      </c>
      <c r="BW30" s="140">
        <v>140</v>
      </c>
      <c r="BX30" s="140">
        <v>156</v>
      </c>
      <c r="BY30" s="140">
        <v>138</v>
      </c>
      <c r="BZ30" s="140">
        <v>129</v>
      </c>
      <c r="CA30" s="140">
        <v>160</v>
      </c>
      <c r="CB30" s="140">
        <v>178</v>
      </c>
      <c r="CC30" s="140">
        <v>175</v>
      </c>
      <c r="CD30" s="140">
        <v>182</v>
      </c>
      <c r="CE30" s="140">
        <v>211</v>
      </c>
      <c r="CF30" s="140">
        <v>295</v>
      </c>
      <c r="CG30" s="140">
        <v>317</v>
      </c>
      <c r="CH30" s="140">
        <v>337</v>
      </c>
      <c r="CI30" s="140">
        <v>359</v>
      </c>
      <c r="CJ30" s="140">
        <v>380</v>
      </c>
      <c r="CK30" s="140">
        <v>391</v>
      </c>
      <c r="CL30" s="140">
        <v>368</v>
      </c>
      <c r="CM30" s="140">
        <v>380</v>
      </c>
      <c r="CN30" s="140">
        <v>414</v>
      </c>
      <c r="CO30" s="140">
        <v>387</v>
      </c>
      <c r="CP30" s="140">
        <v>390</v>
      </c>
      <c r="CQ30" s="140">
        <f t="shared" ref="CQ30:CQ31" si="53">+CM30</f>
        <v>380</v>
      </c>
      <c r="CR30" s="140">
        <f t="shared" si="49"/>
        <v>414</v>
      </c>
      <c r="CS30" s="140">
        <f t="shared" si="50"/>
        <v>387</v>
      </c>
      <c r="CT30" s="140">
        <f t="shared" si="51"/>
        <v>390</v>
      </c>
      <c r="CU30" s="79"/>
      <c r="CV30" s="79"/>
      <c r="CW30" s="79"/>
      <c r="CX30" s="79"/>
      <c r="CY30" s="79"/>
      <c r="CZ30" s="79"/>
      <c r="DA30" s="79"/>
      <c r="DC30" s="82"/>
      <c r="DD30" s="82"/>
      <c r="DE30" s="82"/>
      <c r="DF30" s="105"/>
      <c r="DG30" s="105"/>
      <c r="DH30" s="93"/>
      <c r="DI30" s="93"/>
      <c r="DJ30" s="83"/>
      <c r="DK30" s="93"/>
      <c r="DL30" s="82"/>
      <c r="DM30" s="82"/>
      <c r="DN30" s="140"/>
      <c r="DO30" s="140"/>
      <c r="DP30" s="140"/>
      <c r="DQ30" s="139">
        <f t="shared" si="12"/>
        <v>563</v>
      </c>
      <c r="DR30" s="79">
        <f t="shared" si="13"/>
        <v>695</v>
      </c>
      <c r="DS30" s="79">
        <f t="shared" si="14"/>
        <v>1160</v>
      </c>
      <c r="DT30" s="79">
        <f t="shared" si="15"/>
        <v>1498</v>
      </c>
      <c r="DU30" s="79">
        <f t="shared" si="39"/>
        <v>1571</v>
      </c>
      <c r="DV30" s="79">
        <f t="shared" si="40"/>
        <v>1571</v>
      </c>
      <c r="DW30" s="79">
        <f t="shared" ref="DW30:EF30" si="54">+DV30*0.95</f>
        <v>1492.4499999999998</v>
      </c>
      <c r="DX30" s="79">
        <f t="shared" si="54"/>
        <v>1417.8274999999999</v>
      </c>
      <c r="DY30" s="79">
        <f t="shared" si="54"/>
        <v>1346.9361249999997</v>
      </c>
      <c r="DZ30" s="79">
        <f t="shared" si="54"/>
        <v>1279.5893187499996</v>
      </c>
      <c r="EA30" s="79">
        <f t="shared" si="54"/>
        <v>1215.6098528124996</v>
      </c>
      <c r="EB30" s="79">
        <f t="shared" si="54"/>
        <v>1154.8293601718747</v>
      </c>
      <c r="EC30" s="79">
        <f t="shared" si="54"/>
        <v>1097.0878921632809</v>
      </c>
      <c r="ED30" s="79">
        <f t="shared" si="54"/>
        <v>1042.2334975551169</v>
      </c>
      <c r="EE30" s="79">
        <f t="shared" si="54"/>
        <v>990.12182267736091</v>
      </c>
      <c r="EF30" s="79">
        <f t="shared" si="54"/>
        <v>940.61573154349287</v>
      </c>
    </row>
    <row r="31" spans="2:136" s="17" customFormat="1" x14ac:dyDescent="0.25">
      <c r="B31" s="100" t="s">
        <v>684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104"/>
      <c r="AF31" s="104"/>
      <c r="AG31" s="104"/>
      <c r="AH31" s="104"/>
      <c r="AI31" s="104"/>
      <c r="AJ31" s="127"/>
      <c r="AK31" s="104"/>
      <c r="AL31" s="104"/>
      <c r="AM31" s="127"/>
      <c r="AN31" s="127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127"/>
      <c r="BA31" s="82"/>
      <c r="BB31" s="82"/>
      <c r="BC31" s="82"/>
      <c r="BD31" s="82"/>
      <c r="BE31" s="82"/>
      <c r="BF31" s="82"/>
      <c r="BG31" s="82"/>
      <c r="BH31" s="82">
        <v>0</v>
      </c>
      <c r="BI31" s="82">
        <v>0</v>
      </c>
      <c r="BJ31" s="82">
        <v>0</v>
      </c>
      <c r="BK31" s="140">
        <v>0</v>
      </c>
      <c r="BL31" s="140">
        <v>0</v>
      </c>
      <c r="BM31" s="82">
        <v>0</v>
      </c>
      <c r="BN31" s="140">
        <v>0</v>
      </c>
      <c r="BO31" s="82">
        <v>0</v>
      </c>
      <c r="BP31" s="82">
        <v>0</v>
      </c>
      <c r="BQ31" s="82">
        <v>0</v>
      </c>
      <c r="BR31" s="82">
        <v>0</v>
      </c>
      <c r="BS31" s="140">
        <v>0</v>
      </c>
      <c r="BT31" s="140">
        <v>0</v>
      </c>
      <c r="BU31" s="140">
        <v>0</v>
      </c>
      <c r="BV31" s="140">
        <v>0</v>
      </c>
      <c r="BW31" s="140">
        <v>0</v>
      </c>
      <c r="BX31" s="140">
        <v>0</v>
      </c>
      <c r="BY31" s="140">
        <v>0</v>
      </c>
      <c r="BZ31" s="140">
        <v>49</v>
      </c>
      <c r="CA31" s="140">
        <v>72</v>
      </c>
      <c r="CB31" s="140">
        <v>89</v>
      </c>
      <c r="CC31" s="140">
        <v>101</v>
      </c>
      <c r="CD31" s="140">
        <v>118</v>
      </c>
      <c r="CE31" s="140">
        <v>146</v>
      </c>
      <c r="CF31" s="140">
        <v>159</v>
      </c>
      <c r="CG31" s="140">
        <v>180</v>
      </c>
      <c r="CH31" s="140">
        <v>195</v>
      </c>
      <c r="CI31" s="140">
        <v>222</v>
      </c>
      <c r="CJ31" s="140">
        <v>260</v>
      </c>
      <c r="CK31" s="140">
        <v>283</v>
      </c>
      <c r="CL31" s="140">
        <v>299</v>
      </c>
      <c r="CM31" s="140">
        <v>309</v>
      </c>
      <c r="CN31" s="140">
        <v>320</v>
      </c>
      <c r="CO31" s="140">
        <v>332</v>
      </c>
      <c r="CP31" s="140">
        <v>355</v>
      </c>
      <c r="CQ31" s="140">
        <f>+CP31+50</f>
        <v>405</v>
      </c>
      <c r="CR31" s="140">
        <f>+CQ31+50</f>
        <v>455</v>
      </c>
      <c r="CS31" s="140">
        <f>+CR31+50</f>
        <v>505</v>
      </c>
      <c r="CT31" s="140">
        <f>+CS31+50</f>
        <v>555</v>
      </c>
      <c r="CU31" s="79"/>
      <c r="CV31" s="79"/>
      <c r="CW31" s="79"/>
      <c r="CX31" s="79"/>
      <c r="CY31" s="79"/>
      <c r="CZ31" s="79"/>
      <c r="DA31" s="79"/>
      <c r="DC31" s="82"/>
      <c r="DD31" s="82"/>
      <c r="DE31" s="82"/>
      <c r="DF31" s="105"/>
      <c r="DG31" s="105"/>
      <c r="DH31" s="93"/>
      <c r="DI31" s="93"/>
      <c r="DJ31" s="83"/>
      <c r="DK31" s="93"/>
      <c r="DL31" s="82"/>
      <c r="DM31" s="82"/>
      <c r="DN31" s="140"/>
      <c r="DO31" s="140"/>
      <c r="DP31" s="140"/>
      <c r="DQ31" s="139">
        <f t="shared" si="12"/>
        <v>49</v>
      </c>
      <c r="DR31" s="79">
        <f t="shared" si="13"/>
        <v>380</v>
      </c>
      <c r="DS31" s="79">
        <f t="shared" si="14"/>
        <v>680</v>
      </c>
      <c r="DT31" s="79">
        <f t="shared" si="15"/>
        <v>1064</v>
      </c>
      <c r="DU31" s="79">
        <f t="shared" si="39"/>
        <v>1316</v>
      </c>
      <c r="DV31" s="79">
        <f t="shared" si="40"/>
        <v>1920</v>
      </c>
      <c r="DW31" s="79">
        <f>+DV31*1.2</f>
        <v>2304</v>
      </c>
      <c r="DX31" s="79">
        <f t="shared" ref="DX31:EA31" si="55">+DW31*1.2</f>
        <v>2764.7999999999997</v>
      </c>
      <c r="DY31" s="79">
        <f>+DX31*1.1</f>
        <v>3041.2799999999997</v>
      </c>
      <c r="DZ31" s="79">
        <f t="shared" ref="DZ31:EA31" si="56">+DY31*1.1</f>
        <v>3345.4079999999999</v>
      </c>
      <c r="EA31" s="79">
        <f t="shared" si="56"/>
        <v>3679.9488000000001</v>
      </c>
      <c r="EB31" s="79">
        <f>+EA31*1.05</f>
        <v>3863.9462400000002</v>
      </c>
      <c r="EC31" s="79">
        <f t="shared" ref="EC31:EF31" si="57">+EB31*1.05</f>
        <v>4057.1435520000005</v>
      </c>
      <c r="ED31" s="79">
        <f t="shared" si="57"/>
        <v>4260.0007296000003</v>
      </c>
      <c r="EE31" s="79">
        <f t="shared" si="57"/>
        <v>4473.0007660800002</v>
      </c>
      <c r="EF31" s="79">
        <f t="shared" si="57"/>
        <v>4696.6508043840004</v>
      </c>
    </row>
    <row r="32" spans="2:136" s="17" customFormat="1" x14ac:dyDescent="0.25">
      <c r="B32" s="17" t="s">
        <v>9</v>
      </c>
      <c r="C32" s="82">
        <v>0</v>
      </c>
      <c r="D32" s="82">
        <v>0</v>
      </c>
      <c r="E32" s="82">
        <v>0</v>
      </c>
      <c r="F32" s="82">
        <v>4.6790000000000003</v>
      </c>
      <c r="G32" s="82">
        <v>5.8</v>
      </c>
      <c r="H32" s="82">
        <v>12.4</v>
      </c>
      <c r="I32" s="82">
        <v>16.399999999999999</v>
      </c>
      <c r="J32" s="82">
        <v>15.8</v>
      </c>
      <c r="K32" s="82">
        <v>18.899999999999999</v>
      </c>
      <c r="L32" s="82">
        <v>28</v>
      </c>
      <c r="M32" s="82">
        <v>29.7</v>
      </c>
      <c r="N32" s="82">
        <v>35.9</v>
      </c>
      <c r="O32" s="82">
        <v>42.7</v>
      </c>
      <c r="P32" s="82">
        <v>45.8</v>
      </c>
      <c r="Q32" s="82">
        <v>46.9</v>
      </c>
      <c r="R32" s="82">
        <v>51.2</v>
      </c>
      <c r="S32" s="82">
        <v>52.7</v>
      </c>
      <c r="T32" s="82">
        <v>56.8</v>
      </c>
      <c r="U32" s="82">
        <v>55.113</v>
      </c>
      <c r="V32" s="82">
        <v>65.918999999999997</v>
      </c>
      <c r="W32" s="82">
        <v>71.343999999999994</v>
      </c>
      <c r="X32" s="82">
        <v>75.173000000000002</v>
      </c>
      <c r="Y32" s="82">
        <v>79.272999999999996</v>
      </c>
      <c r="Z32" s="82">
        <v>76.932000000000002</v>
      </c>
      <c r="AA32" s="82">
        <v>83.022000000000006</v>
      </c>
      <c r="AB32" s="82">
        <v>90.364999999999995</v>
      </c>
      <c r="AC32" s="82">
        <v>91.216999999999999</v>
      </c>
      <c r="AD32" s="82">
        <v>76.418999999999997</v>
      </c>
      <c r="AE32" s="104">
        <v>72.713999999999999</v>
      </c>
      <c r="AF32" s="104">
        <v>67.073999999999998</v>
      </c>
      <c r="AG32" s="104">
        <v>67.927999999999997</v>
      </c>
      <c r="AH32" s="104">
        <v>63</v>
      </c>
      <c r="AI32" s="104"/>
      <c r="AJ32" s="127">
        <v>51.334000000000003</v>
      </c>
      <c r="AK32" s="104">
        <v>47.5</v>
      </c>
      <c r="AL32" s="104"/>
      <c r="AM32" s="127">
        <v>38.095999999999997</v>
      </c>
      <c r="AN32" s="127">
        <v>38.655999999999999</v>
      </c>
      <c r="AO32" s="82">
        <v>36.6</v>
      </c>
      <c r="AP32" s="82">
        <v>32.295999999999999</v>
      </c>
      <c r="AQ32" s="82">
        <v>29.297000000000001</v>
      </c>
      <c r="AR32" s="82">
        <v>26.190999999999999</v>
      </c>
      <c r="AS32" s="82">
        <v>27.318999999999999</v>
      </c>
      <c r="AT32" s="82">
        <v>25.507999999999999</v>
      </c>
      <c r="AU32" s="82">
        <v>26.422999999999998</v>
      </c>
      <c r="AV32" s="82">
        <v>21.456</v>
      </c>
      <c r="AW32" s="82">
        <v>20.315999999999999</v>
      </c>
      <c r="AX32" s="82">
        <v>12.9</v>
      </c>
      <c r="AY32" s="82">
        <v>11.723000000000001</v>
      </c>
      <c r="AZ32" s="127">
        <v>17</v>
      </c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140"/>
      <c r="BL32" s="140"/>
      <c r="BM32" s="82"/>
      <c r="BN32" s="140"/>
      <c r="BO32" s="82"/>
      <c r="BP32" s="82"/>
      <c r="BQ32" s="82"/>
      <c r="BR32" s="82"/>
      <c r="BS32" s="82"/>
      <c r="BT32" s="82"/>
      <c r="BU32" s="82"/>
      <c r="BV32" s="82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79"/>
      <c r="CV32" s="79">
        <v>0</v>
      </c>
      <c r="CW32" s="79">
        <v>0</v>
      </c>
      <c r="CX32" s="79">
        <v>0</v>
      </c>
      <c r="CY32" s="79">
        <v>4.6790000000000003</v>
      </c>
      <c r="CZ32" s="79">
        <v>50.4</v>
      </c>
      <c r="DA32" s="79">
        <v>112.5</v>
      </c>
      <c r="DB32" s="17">
        <v>186.6</v>
      </c>
      <c r="DC32" s="82">
        <f>SUM(S32:V32)</f>
        <v>230.53199999999998</v>
      </c>
      <c r="DD32" s="82">
        <f>SUM(W32:Z32)</f>
        <v>302.72199999999998</v>
      </c>
      <c r="DE32" s="82">
        <f>SUM(AA32:AD32)</f>
        <v>341.02299999999997</v>
      </c>
      <c r="DF32" s="105">
        <f>SUM(AE32:AH32)</f>
        <v>270.71600000000001</v>
      </c>
      <c r="DG32" s="105">
        <f t="shared" si="43"/>
        <v>98.834000000000003</v>
      </c>
      <c r="DH32" s="93">
        <f t="shared" si="44"/>
        <v>145.648</v>
      </c>
      <c r="DI32" s="93">
        <f t="shared" si="45"/>
        <v>108.315</v>
      </c>
      <c r="DJ32" s="83">
        <f t="shared" si="46"/>
        <v>81.094999999999999</v>
      </c>
      <c r="DK32" s="93">
        <f t="shared" si="31"/>
        <v>28.722999999999999</v>
      </c>
      <c r="DL32" s="82">
        <f t="shared" si="47"/>
        <v>28.722999999999999</v>
      </c>
      <c r="DM32" s="82">
        <f t="shared" si="47"/>
        <v>28.722999999999999</v>
      </c>
      <c r="DN32" s="140"/>
      <c r="DO32" s="139"/>
      <c r="DP32" s="139"/>
      <c r="DQ32" s="139">
        <f t="shared" si="12"/>
        <v>0</v>
      </c>
      <c r="DR32" s="79">
        <f t="shared" si="13"/>
        <v>0</v>
      </c>
      <c r="DS32" s="79">
        <f t="shared" si="14"/>
        <v>0</v>
      </c>
      <c r="DT32" s="79">
        <f t="shared" si="15"/>
        <v>0</v>
      </c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</row>
    <row r="33" spans="2:136" s="92" customFormat="1" x14ac:dyDescent="0.25">
      <c r="B33" s="92" t="s">
        <v>605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126"/>
      <c r="AN33" s="126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126"/>
      <c r="BA33" s="93">
        <v>6</v>
      </c>
      <c r="BB33" s="93">
        <v>17</v>
      </c>
      <c r="BC33" s="93">
        <v>26</v>
      </c>
      <c r="BD33" s="93">
        <v>30</v>
      </c>
      <c r="BE33" s="93">
        <v>36</v>
      </c>
      <c r="BF33" s="93">
        <v>40</v>
      </c>
      <c r="BG33" s="93">
        <v>49</v>
      </c>
      <c r="BH33" s="93">
        <v>41</v>
      </c>
      <c r="BI33" s="93">
        <v>39</v>
      </c>
      <c r="BJ33" s="93">
        <v>39</v>
      </c>
      <c r="BK33" s="139">
        <v>35</v>
      </c>
      <c r="BL33" s="93">
        <v>35</v>
      </c>
      <c r="BM33" s="93">
        <v>40</v>
      </c>
      <c r="BN33" s="139">
        <v>39</v>
      </c>
      <c r="BO33" s="93">
        <v>33</v>
      </c>
      <c r="BP33" s="93">
        <v>39</v>
      </c>
      <c r="BQ33" s="93">
        <v>20</v>
      </c>
      <c r="BR33" s="93">
        <v>41</v>
      </c>
      <c r="BS33" s="93">
        <v>27</v>
      </c>
      <c r="BT33" s="93">
        <v>26</v>
      </c>
      <c r="BU33" s="93">
        <v>26</v>
      </c>
      <c r="BV33" s="93">
        <v>24</v>
      </c>
      <c r="BW33" s="139">
        <v>20</v>
      </c>
      <c r="BX33" s="139">
        <v>18</v>
      </c>
      <c r="BY33" s="139"/>
      <c r="BZ33" s="139">
        <v>17</v>
      </c>
      <c r="CA33" s="139"/>
      <c r="CB33" s="139">
        <v>22</v>
      </c>
      <c r="CC33" s="139"/>
      <c r="CD33" s="139"/>
      <c r="CE33" s="139"/>
      <c r="CF33" s="139"/>
      <c r="CG33" s="139"/>
      <c r="CH33" s="139"/>
      <c r="CI33" s="139"/>
      <c r="CJ33" s="139"/>
      <c r="CK33" s="139"/>
      <c r="CL33" s="139"/>
      <c r="CM33" s="139"/>
      <c r="CN33" s="139"/>
      <c r="CO33" s="139"/>
      <c r="CP33" s="139"/>
      <c r="CQ33" s="139"/>
      <c r="CR33" s="139"/>
      <c r="CS33" s="139"/>
      <c r="CT33" s="139"/>
      <c r="CU33" s="95"/>
      <c r="CV33" s="153"/>
      <c r="CW33" s="153"/>
      <c r="CX33" s="153"/>
      <c r="CY33" s="153"/>
      <c r="CZ33" s="153"/>
      <c r="DA33" s="153"/>
      <c r="DB33" s="100"/>
      <c r="DC33" s="93"/>
      <c r="DD33" s="93"/>
      <c r="DE33" s="93"/>
      <c r="DF33" s="103"/>
      <c r="DG33" s="103"/>
      <c r="DH33" s="93">
        <f t="shared" si="44"/>
        <v>0</v>
      </c>
      <c r="DI33" s="93">
        <f t="shared" si="45"/>
        <v>0</v>
      </c>
      <c r="DJ33" s="83">
        <f t="shared" si="46"/>
        <v>0</v>
      </c>
      <c r="DK33" s="93">
        <f t="shared" si="31"/>
        <v>23</v>
      </c>
      <c r="DL33" s="103">
        <v>100</v>
      </c>
      <c r="DM33" s="103">
        <v>150</v>
      </c>
      <c r="DN33" s="139"/>
      <c r="DO33" s="139"/>
      <c r="DP33" s="139"/>
      <c r="DQ33" s="139">
        <f t="shared" si="12"/>
        <v>55</v>
      </c>
      <c r="DR33" s="79">
        <f t="shared" si="13"/>
        <v>22</v>
      </c>
      <c r="DS33" s="79">
        <f t="shared" si="14"/>
        <v>0</v>
      </c>
      <c r="DT33" s="79">
        <f t="shared" si="15"/>
        <v>0</v>
      </c>
      <c r="DU33" s="79"/>
      <c r="DV33" s="79"/>
      <c r="DW33" s="95"/>
      <c r="DX33" s="95"/>
      <c r="DY33" s="95"/>
      <c r="DZ33" s="95"/>
      <c r="EA33" s="95"/>
      <c r="EB33" s="95"/>
      <c r="EC33" s="95"/>
      <c r="ED33" s="95"/>
      <c r="EE33" s="95"/>
      <c r="EF33" s="95"/>
    </row>
    <row r="34" spans="2:136" s="17" customFormat="1" x14ac:dyDescent="0.25">
      <c r="B34" s="17" t="s">
        <v>22</v>
      </c>
      <c r="C34" s="82">
        <v>39.756999999999998</v>
      </c>
      <c r="D34" s="82">
        <v>47.698999999999998</v>
      </c>
      <c r="E34" s="82">
        <v>48.585000000000001</v>
      </c>
      <c r="F34" s="82">
        <v>49.55</v>
      </c>
      <c r="G34" s="82">
        <v>41.1</v>
      </c>
      <c r="H34" s="82">
        <v>51.2</v>
      </c>
      <c r="I34" s="82">
        <v>51.6</v>
      </c>
      <c r="J34" s="82">
        <v>54.5</v>
      </c>
      <c r="K34" s="82">
        <v>51.872999999999998</v>
      </c>
      <c r="L34" s="82">
        <v>54.965000000000003</v>
      </c>
      <c r="M34" s="82">
        <v>49.8</v>
      </c>
      <c r="N34" s="82">
        <v>55</v>
      </c>
      <c r="O34" s="82">
        <v>54.2</v>
      </c>
      <c r="P34" s="82">
        <v>56.2</v>
      </c>
      <c r="Q34" s="82">
        <v>54.7</v>
      </c>
      <c r="R34" s="82">
        <v>55.6</v>
      </c>
      <c r="S34" s="82">
        <v>53.8</v>
      </c>
      <c r="T34" s="82">
        <v>55.6</v>
      </c>
      <c r="U34" s="82">
        <v>55.313000000000002</v>
      </c>
      <c r="V34" s="82">
        <v>58.290999999999997</v>
      </c>
      <c r="W34" s="82">
        <v>61.502000000000002</v>
      </c>
      <c r="X34" s="82">
        <v>64.754000000000005</v>
      </c>
      <c r="Y34" s="82">
        <v>68.507999999999996</v>
      </c>
      <c r="Z34" s="82">
        <v>67.807000000000002</v>
      </c>
      <c r="AA34" s="82">
        <v>71.028000000000006</v>
      </c>
      <c r="AB34" s="82">
        <v>69.768000000000001</v>
      </c>
      <c r="AC34" s="82">
        <v>72.884</v>
      </c>
      <c r="AD34" s="82">
        <v>75.971000000000004</v>
      </c>
      <c r="AE34" s="104">
        <v>64.271000000000001</v>
      </c>
      <c r="AF34" s="104">
        <v>73.31</v>
      </c>
      <c r="AG34" s="104">
        <v>77.063999999999993</v>
      </c>
      <c r="AH34" s="104">
        <v>83.951999999999998</v>
      </c>
      <c r="AI34" s="104"/>
      <c r="AJ34" s="127">
        <v>78.174000000000007</v>
      </c>
      <c r="AK34" s="104">
        <v>75.099999999999994</v>
      </c>
      <c r="AL34" s="104"/>
      <c r="AM34" s="127">
        <v>78.506</v>
      </c>
      <c r="AN34" s="127">
        <v>88.625</v>
      </c>
      <c r="AO34" s="82">
        <v>82.2</v>
      </c>
      <c r="AP34" s="82">
        <v>80.784000000000006</v>
      </c>
      <c r="AQ34" s="82">
        <v>84.763999999999996</v>
      </c>
      <c r="AR34" s="82">
        <v>83.653000000000006</v>
      </c>
      <c r="AS34" s="82">
        <v>87.447999999999993</v>
      </c>
      <c r="AT34" s="82">
        <v>90.781000000000006</v>
      </c>
      <c r="AU34" s="82">
        <v>85.275000000000006</v>
      </c>
      <c r="AV34" s="82">
        <v>75.137</v>
      </c>
      <c r="AW34" s="82">
        <v>97.811999999999998</v>
      </c>
      <c r="AX34" s="82">
        <v>93.602999999999994</v>
      </c>
      <c r="AY34" s="82">
        <v>92.093000000000004</v>
      </c>
      <c r="AZ34" s="127">
        <v>94.793999999999997</v>
      </c>
      <c r="BA34" s="82">
        <v>98</v>
      </c>
      <c r="BB34" s="82">
        <v>104</v>
      </c>
      <c r="BC34" s="82">
        <v>85</v>
      </c>
      <c r="BD34" s="82">
        <v>103</v>
      </c>
      <c r="BE34" s="82">
        <v>88</v>
      </c>
      <c r="BF34" s="82">
        <v>74</v>
      </c>
      <c r="BG34" s="82">
        <v>86</v>
      </c>
      <c r="BH34" s="82">
        <v>85</v>
      </c>
      <c r="BI34" s="82">
        <v>91</v>
      </c>
      <c r="BJ34" s="82">
        <v>94</v>
      </c>
      <c r="BK34" s="140">
        <v>92</v>
      </c>
      <c r="BL34" s="82">
        <v>92</v>
      </c>
      <c r="BM34" s="82">
        <v>92</v>
      </c>
      <c r="BN34" s="140">
        <v>90</v>
      </c>
      <c r="BO34" s="82">
        <v>107</v>
      </c>
      <c r="BP34" s="82">
        <v>103</v>
      </c>
      <c r="BQ34" s="82">
        <v>102</v>
      </c>
      <c r="BR34" s="82">
        <v>108</v>
      </c>
      <c r="BS34" s="82">
        <v>93</v>
      </c>
      <c r="BT34" s="82">
        <v>105</v>
      </c>
      <c r="BU34" s="82">
        <v>99</v>
      </c>
      <c r="BV34" s="82">
        <v>110</v>
      </c>
      <c r="BW34" s="140">
        <v>119</v>
      </c>
      <c r="BX34" s="140">
        <v>95</v>
      </c>
      <c r="BY34" s="140">
        <v>111</v>
      </c>
      <c r="BZ34" s="140">
        <v>111</v>
      </c>
      <c r="CA34" s="140">
        <v>121</v>
      </c>
      <c r="CB34" s="140">
        <v>156</v>
      </c>
      <c r="CC34" s="140">
        <v>143</v>
      </c>
      <c r="CD34" s="140">
        <v>120</v>
      </c>
      <c r="CE34" s="140">
        <v>144</v>
      </c>
      <c r="CF34" s="140">
        <v>132</v>
      </c>
      <c r="CG34" s="140">
        <v>105</v>
      </c>
      <c r="CH34" s="140">
        <v>117</v>
      </c>
      <c r="CI34" s="140">
        <v>116</v>
      </c>
      <c r="CJ34" s="140">
        <v>151</v>
      </c>
      <c r="CK34" s="140">
        <v>115</v>
      </c>
      <c r="CL34" s="140">
        <v>111</v>
      </c>
      <c r="CM34" s="140">
        <v>144</v>
      </c>
      <c r="CN34" s="140">
        <v>151</v>
      </c>
      <c r="CO34" s="140">
        <v>130</v>
      </c>
      <c r="CP34" s="140">
        <v>109</v>
      </c>
      <c r="CQ34" s="140">
        <f>+CM34</f>
        <v>144</v>
      </c>
      <c r="CR34" s="140">
        <f>+CN34</f>
        <v>151</v>
      </c>
      <c r="CS34" s="140">
        <f>+CO34</f>
        <v>130</v>
      </c>
      <c r="CT34" s="140">
        <f>+CP34</f>
        <v>109</v>
      </c>
      <c r="CU34" s="79"/>
      <c r="CV34" s="79">
        <v>129.17699999999999</v>
      </c>
      <c r="CW34" s="79">
        <v>141.11799999999999</v>
      </c>
      <c r="CX34" s="79">
        <v>164.53299999999999</v>
      </c>
      <c r="CY34" s="79">
        <v>185.59100000000001</v>
      </c>
      <c r="CZ34" s="79">
        <v>198.4</v>
      </c>
      <c r="DA34" s="79">
        <v>211.63799999999998</v>
      </c>
      <c r="DB34" s="17">
        <v>220.7</v>
      </c>
      <c r="DC34" s="82">
        <f>SUM(S34:V34)</f>
        <v>223.00400000000002</v>
      </c>
      <c r="DD34" s="82">
        <f>SUM(W34:Z34)</f>
        <v>262.57100000000003</v>
      </c>
      <c r="DE34" s="82">
        <f>SUM(AA34:AD34)</f>
        <v>289.65100000000001</v>
      </c>
      <c r="DF34" s="105">
        <f>SUM(AE34:AH34)</f>
        <v>298.59699999999998</v>
      </c>
      <c r="DG34" s="105">
        <f>SUM(AI34:AL34)</f>
        <v>153.274</v>
      </c>
      <c r="DH34" s="93">
        <f t="shared" si="44"/>
        <v>330.11500000000001</v>
      </c>
      <c r="DI34" s="93">
        <f t="shared" si="45"/>
        <v>346.64600000000002</v>
      </c>
      <c r="DJ34" s="83">
        <f t="shared" si="46"/>
        <v>351.827</v>
      </c>
      <c r="DK34" s="93">
        <f t="shared" si="31"/>
        <v>388.887</v>
      </c>
      <c r="DL34" s="82">
        <f t="shared" ref="DL34:DM34" si="58">DK34</f>
        <v>388.887</v>
      </c>
      <c r="DM34" s="82">
        <f t="shared" si="58"/>
        <v>388.887</v>
      </c>
      <c r="DN34" s="140"/>
      <c r="DO34" s="139"/>
      <c r="DP34" s="139"/>
      <c r="DQ34" s="139">
        <f t="shared" si="12"/>
        <v>436</v>
      </c>
      <c r="DR34" s="79">
        <f t="shared" si="13"/>
        <v>540</v>
      </c>
      <c r="DS34" s="79">
        <f t="shared" si="14"/>
        <v>498</v>
      </c>
      <c r="DT34" s="79">
        <f t="shared" si="15"/>
        <v>493</v>
      </c>
      <c r="DU34" s="79">
        <f t="shared" si="39"/>
        <v>534</v>
      </c>
      <c r="DV34" s="79">
        <f t="shared" si="40"/>
        <v>534</v>
      </c>
      <c r="DW34" s="79">
        <f>+DV34*0.9</f>
        <v>480.6</v>
      </c>
      <c r="DX34" s="79">
        <f t="shared" ref="DX34:EF34" si="59">+DW34*0.9</f>
        <v>432.54</v>
      </c>
      <c r="DY34" s="79">
        <f t="shared" si="59"/>
        <v>389.286</v>
      </c>
      <c r="DZ34" s="79">
        <f t="shared" si="59"/>
        <v>350.35739999999998</v>
      </c>
      <c r="EA34" s="79">
        <f t="shared" si="59"/>
        <v>315.32166000000001</v>
      </c>
      <c r="EB34" s="79">
        <f t="shared" si="59"/>
        <v>283.78949399999999</v>
      </c>
      <c r="EC34" s="79">
        <f t="shared" si="59"/>
        <v>255.41054460000001</v>
      </c>
      <c r="ED34" s="79">
        <f t="shared" si="59"/>
        <v>229.86949014000001</v>
      </c>
      <c r="EE34" s="79">
        <f t="shared" si="59"/>
        <v>206.88254112600001</v>
      </c>
      <c r="EF34" s="79">
        <f t="shared" si="59"/>
        <v>186.19428701340001</v>
      </c>
    </row>
    <row r="35" spans="2:136" s="17" customFormat="1" x14ac:dyDescent="0.25">
      <c r="B35" s="100" t="s">
        <v>240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>
        <v>8.3960000000000008</v>
      </c>
      <c r="Z35" s="82">
        <v>17.004999999999999</v>
      </c>
      <c r="AA35" s="82">
        <v>20</v>
      </c>
      <c r="AB35" s="82">
        <v>24.686</v>
      </c>
      <c r="AC35" s="82">
        <v>31.655999999999999</v>
      </c>
      <c r="AD35" s="82">
        <v>36.176000000000002</v>
      </c>
      <c r="AE35" s="104">
        <v>39.58</v>
      </c>
      <c r="AF35" s="104">
        <v>44.128</v>
      </c>
      <c r="AG35" s="104">
        <v>48.073</v>
      </c>
      <c r="AH35" s="104">
        <v>52.167999999999999</v>
      </c>
      <c r="AI35" s="104"/>
      <c r="AJ35" s="127">
        <v>60.347999999999999</v>
      </c>
      <c r="AK35" s="104">
        <v>60.4</v>
      </c>
      <c r="AL35" s="104"/>
      <c r="AM35" s="127">
        <v>62.173999999999999</v>
      </c>
      <c r="AN35" s="127">
        <v>73.637</v>
      </c>
      <c r="AO35" s="82">
        <v>79</v>
      </c>
      <c r="AP35" s="82">
        <v>78.661000000000001</v>
      </c>
      <c r="AQ35" s="82">
        <v>87.287999999999997</v>
      </c>
      <c r="AR35" s="82">
        <v>101.634</v>
      </c>
      <c r="AS35" s="82">
        <v>105.054</v>
      </c>
      <c r="AT35" s="82">
        <v>116.078</v>
      </c>
      <c r="AU35" s="82">
        <v>118.107</v>
      </c>
      <c r="AV35" s="82">
        <v>128.25700000000001</v>
      </c>
      <c r="AW35" s="82">
        <v>135.072</v>
      </c>
      <c r="AX35" s="82">
        <v>138.53</v>
      </c>
      <c r="AY35" s="82">
        <v>122.88500000000001</v>
      </c>
      <c r="AZ35" s="127">
        <v>144.71600000000001</v>
      </c>
      <c r="BA35" s="82">
        <v>146</v>
      </c>
      <c r="BB35" s="82">
        <v>181</v>
      </c>
      <c r="BC35" s="82">
        <v>151</v>
      </c>
      <c r="BD35" s="82">
        <v>176</v>
      </c>
      <c r="BE35" s="82">
        <v>181</v>
      </c>
      <c r="BF35" s="82">
        <v>192</v>
      </c>
      <c r="BG35" s="82">
        <v>175</v>
      </c>
      <c r="BH35" s="82">
        <v>203</v>
      </c>
      <c r="BI35" s="82">
        <v>215</v>
      </c>
      <c r="BJ35" s="82">
        <v>226</v>
      </c>
      <c r="BK35" s="140">
        <v>211</v>
      </c>
      <c r="BL35" s="82">
        <v>230</v>
      </c>
      <c r="BM35" s="82">
        <v>213</v>
      </c>
      <c r="BN35" s="140">
        <v>233</v>
      </c>
      <c r="BO35" s="82">
        <v>204</v>
      </c>
      <c r="BP35" s="82">
        <v>244</v>
      </c>
      <c r="BQ35" s="82">
        <v>241</v>
      </c>
      <c r="BR35" s="82">
        <v>254</v>
      </c>
      <c r="BS35" s="82">
        <v>197</v>
      </c>
      <c r="BT35" s="82">
        <v>204</v>
      </c>
      <c r="BU35" s="82">
        <v>121</v>
      </c>
      <c r="BV35" s="82">
        <v>96</v>
      </c>
      <c r="BW35" s="140">
        <v>83</v>
      </c>
      <c r="BX35" s="140">
        <v>80</v>
      </c>
      <c r="BY35" s="140">
        <v>78</v>
      </c>
      <c r="BZ35" s="140">
        <v>73</v>
      </c>
      <c r="CA35" s="140">
        <v>54</v>
      </c>
      <c r="CB35" s="140">
        <v>57</v>
      </c>
      <c r="CC35" s="140">
        <v>46</v>
      </c>
      <c r="CD35" s="140">
        <v>49</v>
      </c>
      <c r="CE35" s="140">
        <v>43</v>
      </c>
      <c r="CF35" s="140">
        <v>49</v>
      </c>
      <c r="CG35" s="140">
        <v>43</v>
      </c>
      <c r="CH35" s="140">
        <v>60</v>
      </c>
      <c r="CI35" s="140">
        <v>32</v>
      </c>
      <c r="CJ35" s="140">
        <v>39</v>
      </c>
      <c r="CK35" s="140">
        <v>36</v>
      </c>
      <c r="CL35" s="140">
        <v>36</v>
      </c>
      <c r="CM35" s="140"/>
      <c r="CN35" s="140"/>
      <c r="CO35" s="140"/>
      <c r="CP35" s="140"/>
      <c r="CQ35" s="140"/>
      <c r="CR35" s="140"/>
      <c r="CS35" s="140"/>
      <c r="CT35" s="140"/>
      <c r="CU35" s="79"/>
      <c r="CV35" s="79"/>
      <c r="CW35" s="79"/>
      <c r="CX35" s="79"/>
      <c r="CY35" s="79"/>
      <c r="CZ35" s="79"/>
      <c r="DA35" s="79"/>
      <c r="DC35" s="82"/>
      <c r="DD35" s="82">
        <f>SUM(W35:Z35)</f>
        <v>25.401</v>
      </c>
      <c r="DE35" s="82">
        <f>SUM(AA35:AD35)</f>
        <v>112.518</v>
      </c>
      <c r="DF35" s="105">
        <f>SUM(AE35:AH35)</f>
        <v>183.94900000000001</v>
      </c>
      <c r="DG35" s="104">
        <f t="shared" si="43"/>
        <v>120.74799999999999</v>
      </c>
      <c r="DH35" s="93">
        <f t="shared" si="44"/>
        <v>293.47199999999998</v>
      </c>
      <c r="DI35" s="93">
        <f t="shared" si="45"/>
        <v>410.05399999999997</v>
      </c>
      <c r="DJ35" s="83">
        <f t="shared" si="46"/>
        <v>519.96600000000001</v>
      </c>
      <c r="DK35" s="93">
        <f t="shared" si="31"/>
        <v>594.601</v>
      </c>
      <c r="DL35" s="82">
        <f t="shared" ref="DL35:DM35" si="60">DK35*1.05</f>
        <v>624.33105</v>
      </c>
      <c r="DM35" s="82">
        <f t="shared" si="60"/>
        <v>655.54760250000004</v>
      </c>
      <c r="DN35" s="140"/>
      <c r="DO35" s="139"/>
      <c r="DP35" s="139"/>
      <c r="DQ35" s="139">
        <f t="shared" si="12"/>
        <v>314</v>
      </c>
      <c r="DR35" s="79">
        <f t="shared" si="13"/>
        <v>206</v>
      </c>
      <c r="DS35" s="79">
        <f t="shared" si="14"/>
        <v>195</v>
      </c>
      <c r="DT35" s="79">
        <f t="shared" si="15"/>
        <v>143</v>
      </c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2:136" s="17" customFormat="1" x14ac:dyDescent="0.25">
      <c r="B36" s="75" t="s">
        <v>368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>
        <v>0</v>
      </c>
      <c r="AE36" s="104">
        <v>0</v>
      </c>
      <c r="AF36" s="104">
        <v>36.064999999999998</v>
      </c>
      <c r="AG36" s="104">
        <v>49.005000000000003</v>
      </c>
      <c r="AH36" s="104">
        <v>45.991999999999997</v>
      </c>
      <c r="AI36" s="104"/>
      <c r="AJ36" s="127">
        <v>60.46</v>
      </c>
      <c r="AK36" s="104">
        <v>60.3</v>
      </c>
      <c r="AL36" s="104"/>
      <c r="AM36" s="127">
        <v>68.293000000000006</v>
      </c>
      <c r="AN36" s="127">
        <v>86.076999999999998</v>
      </c>
      <c r="AO36" s="82">
        <v>82</v>
      </c>
      <c r="AP36" s="82">
        <v>83.650999999999996</v>
      </c>
      <c r="AQ36" s="82">
        <v>83.200999999999993</v>
      </c>
      <c r="AR36" s="82">
        <v>95.555000000000007</v>
      </c>
      <c r="AS36" s="82">
        <v>95.066000000000003</v>
      </c>
      <c r="AT36" s="82">
        <v>99.126999999999995</v>
      </c>
      <c r="AU36" s="82">
        <v>96.286000000000001</v>
      </c>
      <c r="AV36" s="82">
        <v>106.59699999999999</v>
      </c>
      <c r="AW36" s="82">
        <v>115.815</v>
      </c>
      <c r="AX36" s="82">
        <v>129.92599999999999</v>
      </c>
      <c r="AY36" s="82">
        <v>111.61799999999999</v>
      </c>
      <c r="AZ36" s="127">
        <v>121.956</v>
      </c>
      <c r="BA36" s="82">
        <v>132</v>
      </c>
      <c r="BB36" s="82">
        <v>144</v>
      </c>
      <c r="BC36" s="82">
        <v>117</v>
      </c>
      <c r="BD36" s="82">
        <v>141</v>
      </c>
      <c r="BE36" s="82">
        <v>161</v>
      </c>
      <c r="BF36" s="82">
        <v>169</v>
      </c>
      <c r="BG36" s="82">
        <v>144</v>
      </c>
      <c r="BH36" s="82">
        <v>153</v>
      </c>
      <c r="BI36" s="82">
        <v>170</v>
      </c>
      <c r="BJ36" s="82">
        <v>210</v>
      </c>
      <c r="BK36" s="140">
        <v>153</v>
      </c>
      <c r="BL36" s="82">
        <v>200</v>
      </c>
      <c r="BM36" s="82">
        <v>164</v>
      </c>
      <c r="BN36" s="140">
        <v>200</v>
      </c>
      <c r="BO36" s="82">
        <v>195</v>
      </c>
      <c r="BP36" s="82">
        <v>208</v>
      </c>
      <c r="BQ36" s="82">
        <v>178</v>
      </c>
      <c r="BR36" s="82">
        <v>177</v>
      </c>
      <c r="BS36" s="82">
        <v>155</v>
      </c>
      <c r="BT36" s="82">
        <v>19</v>
      </c>
      <c r="BU36" s="82">
        <v>31</v>
      </c>
      <c r="BV36" s="82">
        <v>11</v>
      </c>
      <c r="BW36" s="140">
        <v>8</v>
      </c>
      <c r="BX36" s="140">
        <v>1</v>
      </c>
      <c r="BY36" s="140">
        <v>0</v>
      </c>
      <c r="BZ36" s="140">
        <v>0</v>
      </c>
      <c r="CA36" s="140">
        <v>0</v>
      </c>
      <c r="CB36" s="140">
        <v>2</v>
      </c>
      <c r="CC36" s="140">
        <v>0</v>
      </c>
      <c r="CD36" s="140">
        <v>5</v>
      </c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79"/>
      <c r="CV36" s="79"/>
      <c r="CW36" s="79"/>
      <c r="CX36" s="79"/>
      <c r="CY36" s="79"/>
      <c r="CZ36" s="79"/>
      <c r="DA36" s="79"/>
      <c r="DC36" s="82"/>
      <c r="DD36" s="82"/>
      <c r="DE36" s="82"/>
      <c r="DF36" s="105">
        <f>SUM(AE36:AH36)</f>
        <v>131.06199999999998</v>
      </c>
      <c r="DG36" s="104">
        <f t="shared" si="43"/>
        <v>120.75999999999999</v>
      </c>
      <c r="DH36" s="93">
        <f t="shared" si="44"/>
        <v>320.02100000000002</v>
      </c>
      <c r="DI36" s="93">
        <f t="shared" si="45"/>
        <v>372.94900000000001</v>
      </c>
      <c r="DJ36" s="83">
        <f t="shared" si="46"/>
        <v>448.62399999999997</v>
      </c>
      <c r="DK36" s="93">
        <f t="shared" si="31"/>
        <v>509.57400000000001</v>
      </c>
      <c r="DL36" s="82">
        <f t="shared" ref="DL36:DM36" si="61">DK36*1.1</f>
        <v>560.53140000000008</v>
      </c>
      <c r="DM36" s="82">
        <f t="shared" si="61"/>
        <v>616.58454000000017</v>
      </c>
      <c r="DN36" s="140"/>
      <c r="DO36" s="139"/>
      <c r="DP36" s="139"/>
      <c r="DQ36" s="139">
        <f t="shared" si="12"/>
        <v>9</v>
      </c>
      <c r="DR36" s="79">
        <f t="shared" si="13"/>
        <v>7</v>
      </c>
      <c r="DS36" s="79">
        <f t="shared" si="14"/>
        <v>0</v>
      </c>
      <c r="DT36" s="79">
        <f t="shared" si="15"/>
        <v>0</v>
      </c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2:136" s="17" customFormat="1" x14ac:dyDescent="0.25">
      <c r="B37" s="100" t="s">
        <v>622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104"/>
      <c r="AF37" s="104"/>
      <c r="AG37" s="104"/>
      <c r="AH37" s="104"/>
      <c r="AI37" s="104"/>
      <c r="AJ37" s="104"/>
      <c r="AK37" s="104"/>
      <c r="AL37" s="104"/>
      <c r="AM37" s="127"/>
      <c r="AN37" s="127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127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140"/>
      <c r="BL37" s="82"/>
      <c r="BM37" s="82"/>
      <c r="BN37" s="140"/>
      <c r="BO37" s="82"/>
      <c r="BP37" s="82"/>
      <c r="BQ37" s="82"/>
      <c r="BR37" s="82"/>
      <c r="BS37" s="82"/>
      <c r="BT37" s="82"/>
      <c r="BU37" s="82"/>
      <c r="BV37" s="82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79"/>
      <c r="CV37" s="79"/>
      <c r="CW37" s="79"/>
      <c r="CX37" s="79"/>
      <c r="CY37" s="79"/>
      <c r="CZ37" s="79"/>
      <c r="DA37" s="79"/>
      <c r="DC37" s="82"/>
      <c r="DD37" s="82"/>
      <c r="DE37" s="82"/>
      <c r="DF37" s="105"/>
      <c r="DG37" s="104"/>
      <c r="DH37" s="93">
        <f t="shared" si="44"/>
        <v>0</v>
      </c>
      <c r="DI37" s="93">
        <f t="shared" si="45"/>
        <v>0</v>
      </c>
      <c r="DJ37" s="83">
        <f t="shared" si="46"/>
        <v>0</v>
      </c>
      <c r="DK37" s="93">
        <f t="shared" si="31"/>
        <v>0</v>
      </c>
      <c r="DL37" s="93" t="s">
        <v>624</v>
      </c>
      <c r="DM37" s="93" t="s">
        <v>625</v>
      </c>
      <c r="DN37" s="140"/>
      <c r="DO37" s="139"/>
      <c r="DP37" s="139"/>
      <c r="DQ37" s="139">
        <f t="shared" si="12"/>
        <v>0</v>
      </c>
      <c r="DR37" s="79">
        <f t="shared" si="13"/>
        <v>0</v>
      </c>
      <c r="DS37" s="79">
        <f t="shared" si="14"/>
        <v>0</v>
      </c>
      <c r="DT37" s="79">
        <f t="shared" si="15"/>
        <v>0</v>
      </c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2:136" s="17" customFormat="1" x14ac:dyDescent="0.25">
      <c r="B38" s="17" t="s">
        <v>16</v>
      </c>
      <c r="C38" s="82">
        <v>3.7890000000000001</v>
      </c>
      <c r="D38" s="82">
        <v>1.355</v>
      </c>
      <c r="E38" s="82">
        <v>2.6829999999999998</v>
      </c>
      <c r="F38" s="82">
        <v>0</v>
      </c>
      <c r="G38" s="82">
        <v>1.764</v>
      </c>
      <c r="H38" s="82">
        <v>6.8000000000000005E-2</v>
      </c>
      <c r="I38" s="82">
        <v>4.6749999999999998</v>
      </c>
      <c r="J38" s="82">
        <v>4.5339999999999998</v>
      </c>
      <c r="K38" s="82">
        <v>0.71599999999999997</v>
      </c>
      <c r="L38" s="82">
        <v>2.6320000000000001</v>
      </c>
      <c r="M38" s="82">
        <v>3.12700000000001</v>
      </c>
      <c r="N38" s="82">
        <v>3</v>
      </c>
      <c r="O38" s="82">
        <v>1.9109999999999772</v>
      </c>
      <c r="P38" s="82">
        <v>2.1580000000001593</v>
      </c>
      <c r="Q38" s="82">
        <v>2.1</v>
      </c>
      <c r="R38" s="82">
        <v>2</v>
      </c>
      <c r="S38" s="82">
        <v>2.2149999999999999</v>
      </c>
      <c r="T38" s="82">
        <v>2.9</v>
      </c>
      <c r="U38" s="82">
        <v>2.3319999999999999</v>
      </c>
      <c r="V38" s="82">
        <v>1.4610000000000001</v>
      </c>
      <c r="W38" s="82">
        <v>2.2570000000000001</v>
      </c>
      <c r="X38" s="82">
        <v>2.8860000000000001</v>
      </c>
      <c r="Y38" s="82"/>
      <c r="Z38" s="82"/>
      <c r="AA38" s="82">
        <f>22.598-AA35</f>
        <v>2.597999999999999</v>
      </c>
      <c r="AB38" s="82">
        <v>2.3780000000000001</v>
      </c>
      <c r="AC38" s="82">
        <v>2.4289999999999998</v>
      </c>
      <c r="AD38" s="82">
        <v>2.79</v>
      </c>
      <c r="AE38" s="104">
        <v>2.94</v>
      </c>
      <c r="AF38" s="104">
        <v>4.5590000000000002</v>
      </c>
      <c r="AG38" s="104">
        <v>4.5819999999999999</v>
      </c>
      <c r="AH38" s="104">
        <v>5</v>
      </c>
      <c r="AI38" s="104"/>
      <c r="AJ38" s="127">
        <v>15.342000000000001</v>
      </c>
      <c r="AK38" s="104">
        <v>19.8</v>
      </c>
      <c r="AL38" s="104"/>
      <c r="AM38" s="127"/>
      <c r="AN38" s="127">
        <v>26.850999999999999</v>
      </c>
      <c r="AO38" s="82">
        <v>28</v>
      </c>
      <c r="AP38" s="82">
        <v>30.265000000000001</v>
      </c>
      <c r="AQ38" s="82">
        <v>27.283000000000001</v>
      </c>
      <c r="AR38" s="82">
        <v>28.114999999999998</v>
      </c>
      <c r="AS38" s="82">
        <v>34.576999999999998</v>
      </c>
      <c r="AT38" s="82">
        <v>36.957000000000001</v>
      </c>
      <c r="AU38" s="82">
        <v>32.822000000000003</v>
      </c>
      <c r="AV38" s="82">
        <v>35.046999999999997</v>
      </c>
      <c r="AW38" s="82">
        <v>34.225999999999999</v>
      </c>
      <c r="AX38" s="82">
        <v>41.304000000000002</v>
      </c>
      <c r="AY38" s="82">
        <v>35.881</v>
      </c>
      <c r="AZ38" s="127">
        <v>39.326999999999998</v>
      </c>
      <c r="BA38" s="82">
        <f>24+42</f>
        <v>66</v>
      </c>
      <c r="BB38" s="93">
        <f>21+50</f>
        <v>71</v>
      </c>
      <c r="BC38" s="82">
        <f>38+22</f>
        <v>60</v>
      </c>
      <c r="BD38" s="82">
        <f>16+45</f>
        <v>61</v>
      </c>
      <c r="BE38" s="82">
        <f>43+15</f>
        <v>58</v>
      </c>
      <c r="BF38" s="82">
        <f>48+16</f>
        <v>64</v>
      </c>
      <c r="BG38" s="82">
        <f>44+28</f>
        <v>72</v>
      </c>
      <c r="BH38" s="82">
        <f>20+43</f>
        <v>63</v>
      </c>
      <c r="BI38" s="82">
        <f>49+19</f>
        <v>68</v>
      </c>
      <c r="BJ38" s="82">
        <f>52+16</f>
        <v>68</v>
      </c>
      <c r="BK38" s="82">
        <f>45+30-BK22</f>
        <v>64</v>
      </c>
      <c r="BL38" s="82">
        <f>36+50-BL22</f>
        <v>64</v>
      </c>
      <c r="BM38" s="82">
        <f>50+56</f>
        <v>106</v>
      </c>
      <c r="BN38" s="140">
        <f>62+74</f>
        <v>136</v>
      </c>
      <c r="BO38" s="93">
        <f>47+79</f>
        <v>126</v>
      </c>
      <c r="BP38" s="82">
        <f>115+19</f>
        <v>134</v>
      </c>
      <c r="BQ38" s="82">
        <f>64+14</f>
        <v>78</v>
      </c>
      <c r="BR38" s="82">
        <f>35+15</f>
        <v>50</v>
      </c>
      <c r="BS38" s="82">
        <f>17+62</f>
        <v>79</v>
      </c>
      <c r="BT38" s="82">
        <f>140+15</f>
        <v>155</v>
      </c>
      <c r="BU38" s="82">
        <f>5+25</f>
        <v>30</v>
      </c>
      <c r="BV38" s="82">
        <f>58+10</f>
        <v>68</v>
      </c>
      <c r="BW38" s="140">
        <f>63+8</f>
        <v>71</v>
      </c>
      <c r="BX38" s="140">
        <f>49+46+28</f>
        <v>123</v>
      </c>
      <c r="BY38" s="140">
        <f>45+13+50+17</f>
        <v>125</v>
      </c>
      <c r="BZ38" s="140">
        <f>44+9+56-3</f>
        <v>106</v>
      </c>
      <c r="CA38" s="140">
        <f>48+73+66</f>
        <v>187</v>
      </c>
      <c r="CB38" s="140">
        <f>54+45+11</f>
        <v>110</v>
      </c>
      <c r="CC38" s="140">
        <f>43+7+52+13</f>
        <v>115</v>
      </c>
      <c r="CD38" s="140">
        <f>37+64+53</f>
        <v>154</v>
      </c>
      <c r="CE38" s="140">
        <f>14+34+50</f>
        <v>98</v>
      </c>
      <c r="CF38" s="140">
        <f>18+49+76</f>
        <v>143</v>
      </c>
      <c r="CG38" s="139">
        <f>52+44+12</f>
        <v>108</v>
      </c>
      <c r="CH38" s="140">
        <f>12+39+13+75</f>
        <v>139</v>
      </c>
      <c r="CI38" s="140">
        <f>9+45+11+51</f>
        <v>116</v>
      </c>
      <c r="CJ38" s="140">
        <f>40+21+20+53</f>
        <v>134</v>
      </c>
      <c r="CK38" s="140">
        <f>38+21+20+65</f>
        <v>144</v>
      </c>
      <c r="CL38" s="140">
        <f>54+22+37+21</f>
        <v>134</v>
      </c>
      <c r="CM38" s="140">
        <f>117+107+80</f>
        <v>304</v>
      </c>
      <c r="CN38" s="140">
        <f>105+113+130</f>
        <v>348</v>
      </c>
      <c r="CO38" s="140">
        <f>100+116+71</f>
        <v>287</v>
      </c>
      <c r="CP38" s="140">
        <f>111+130+76</f>
        <v>317</v>
      </c>
      <c r="CQ38" s="140">
        <f>+CM38</f>
        <v>304</v>
      </c>
      <c r="CR38" s="140">
        <f>+CN38</f>
        <v>348</v>
      </c>
      <c r="CS38" s="140">
        <f>+CO38</f>
        <v>287</v>
      </c>
      <c r="CT38" s="140">
        <f>+CP38</f>
        <v>317</v>
      </c>
      <c r="CU38" s="79"/>
      <c r="CV38" s="79">
        <v>10.712999999999999</v>
      </c>
      <c r="CW38" s="79">
        <v>8.5909999999999993</v>
      </c>
      <c r="CX38" s="79">
        <v>10.851000000000001</v>
      </c>
      <c r="CY38" s="79">
        <v>7.827</v>
      </c>
      <c r="CZ38" s="79">
        <v>11.041</v>
      </c>
      <c r="DA38" s="79">
        <v>9.4750000000000103</v>
      </c>
      <c r="DB38" s="17">
        <v>8.1690000000001373</v>
      </c>
      <c r="DC38" s="82"/>
      <c r="DD38" s="82">
        <f>SUM(W38:Z38)</f>
        <v>5.1430000000000007</v>
      </c>
      <c r="DE38" s="82">
        <f>SUM(AA38:AD38)</f>
        <v>10.195</v>
      </c>
      <c r="DF38" s="105">
        <f>SUM(AE38:AH38)</f>
        <v>17.081</v>
      </c>
      <c r="DG38" s="104">
        <f t="shared" si="43"/>
        <v>35.142000000000003</v>
      </c>
      <c r="DH38" s="93">
        <f t="shared" si="44"/>
        <v>85.116</v>
      </c>
      <c r="DI38" s="93">
        <f t="shared" si="45"/>
        <v>126.93199999999999</v>
      </c>
      <c r="DJ38" s="83">
        <f t="shared" si="46"/>
        <v>143.399</v>
      </c>
      <c r="DK38" s="93">
        <f t="shared" si="31"/>
        <v>212.208</v>
      </c>
      <c r="DL38" s="82">
        <f t="shared" ref="DL38:DM38" si="62">+DK38</f>
        <v>212.208</v>
      </c>
      <c r="DM38" s="82">
        <f t="shared" si="62"/>
        <v>212.208</v>
      </c>
      <c r="DN38" s="140"/>
      <c r="DO38" s="140"/>
      <c r="DP38" s="140"/>
      <c r="DQ38" s="139">
        <f t="shared" si="12"/>
        <v>425</v>
      </c>
      <c r="DR38" s="79">
        <f t="shared" si="13"/>
        <v>566</v>
      </c>
      <c r="DS38" s="79">
        <f t="shared" si="14"/>
        <v>488</v>
      </c>
      <c r="DT38" s="79">
        <f t="shared" si="15"/>
        <v>528</v>
      </c>
      <c r="DU38" s="79">
        <f t="shared" si="39"/>
        <v>1256</v>
      </c>
      <c r="DV38" s="79">
        <f t="shared" si="40"/>
        <v>1256</v>
      </c>
      <c r="DW38" s="79">
        <f>+DV38*0.9</f>
        <v>1130.4000000000001</v>
      </c>
      <c r="DX38" s="79">
        <f t="shared" ref="DX38:EF39" si="63">+DW38*0.9</f>
        <v>1017.3600000000001</v>
      </c>
      <c r="DY38" s="79">
        <f t="shared" si="63"/>
        <v>915.62400000000014</v>
      </c>
      <c r="DZ38" s="79">
        <f t="shared" si="63"/>
        <v>824.06160000000011</v>
      </c>
      <c r="EA38" s="79">
        <f t="shared" si="63"/>
        <v>741.65544000000011</v>
      </c>
      <c r="EB38" s="79">
        <f t="shared" si="63"/>
        <v>667.48989600000016</v>
      </c>
      <c r="EC38" s="79">
        <f t="shared" si="63"/>
        <v>600.7409064000002</v>
      </c>
      <c r="ED38" s="79">
        <f t="shared" si="63"/>
        <v>540.66681576000019</v>
      </c>
      <c r="EE38" s="79">
        <f t="shared" si="63"/>
        <v>486.60013418400018</v>
      </c>
      <c r="EF38" s="79">
        <f t="shared" si="63"/>
        <v>437.94012076560017</v>
      </c>
    </row>
    <row r="39" spans="2:136" s="17" customFormat="1" x14ac:dyDescent="0.25">
      <c r="B39" s="17" t="s">
        <v>24</v>
      </c>
      <c r="C39" s="82">
        <v>5.3769999999999998</v>
      </c>
      <c r="D39" s="82">
        <v>6.7370000000000001</v>
      </c>
      <c r="E39" s="82">
        <v>4.3819999999999997</v>
      </c>
      <c r="F39" s="82">
        <v>3.91</v>
      </c>
      <c r="G39" s="82">
        <v>7.3840000000000003</v>
      </c>
      <c r="H39" s="82">
        <v>7.0350000000000001</v>
      </c>
      <c r="I39" s="82">
        <v>4.875</v>
      </c>
      <c r="J39" s="82">
        <v>5.9249999999999998</v>
      </c>
      <c r="K39" s="82">
        <v>32.542000000000002</v>
      </c>
      <c r="L39" s="82">
        <v>20.39</v>
      </c>
      <c r="M39" s="82">
        <v>15.46</v>
      </c>
      <c r="N39" s="82">
        <v>14.058000000000122</v>
      </c>
      <c r="O39" s="82">
        <v>30.202999999999999</v>
      </c>
      <c r="P39" s="82">
        <v>46.811</v>
      </c>
      <c r="Q39" s="82">
        <v>26.2</v>
      </c>
      <c r="R39" s="82">
        <v>115.8</v>
      </c>
      <c r="S39" s="82">
        <v>133.52500000000001</v>
      </c>
      <c r="T39" s="82">
        <f>73.3+21.3</f>
        <v>94.6</v>
      </c>
      <c r="U39" s="82">
        <v>78.673000000000002</v>
      </c>
      <c r="V39" s="82">
        <v>131.13300000000001</v>
      </c>
      <c r="W39" s="82">
        <v>188.20500000000001</v>
      </c>
      <c r="X39" s="82">
        <v>143.03100000000001</v>
      </c>
      <c r="Y39" s="82">
        <f>91.003+5.869</f>
        <v>96.872</v>
      </c>
      <c r="Z39" s="82">
        <v>68.828000000000003</v>
      </c>
      <c r="AA39" s="82">
        <f>109.452+7.394</f>
        <v>116.846</v>
      </c>
      <c r="AB39" s="82">
        <v>60.908999999999999</v>
      </c>
      <c r="AC39" s="82">
        <v>32.776000000000003</v>
      </c>
      <c r="AD39" s="82">
        <v>40.433</v>
      </c>
      <c r="AE39" s="104">
        <v>82.88</v>
      </c>
      <c r="AF39" s="104">
        <v>78.777000000000001</v>
      </c>
      <c r="AG39" s="104">
        <v>152.434</v>
      </c>
      <c r="AH39" s="104">
        <v>227.98099999999999</v>
      </c>
      <c r="AI39" s="104">
        <v>297.79000000000002</v>
      </c>
      <c r="AJ39" s="104">
        <v>121.163</v>
      </c>
      <c r="AK39" s="104">
        <v>72.096999999999994</v>
      </c>
      <c r="AL39" s="104">
        <v>68.448999999999998</v>
      </c>
      <c r="AM39" s="127">
        <v>62.515999999999998</v>
      </c>
      <c r="AN39" s="127">
        <v>97.665000000000006</v>
      </c>
      <c r="AO39" s="82">
        <f>51.6+4.2</f>
        <v>55.800000000000004</v>
      </c>
      <c r="AP39" s="82">
        <v>67.043999999999997</v>
      </c>
      <c r="AQ39" s="82">
        <v>74.106999999999999</v>
      </c>
      <c r="AR39" s="82">
        <v>83.945999999999998</v>
      </c>
      <c r="AS39" s="82">
        <v>68.619</v>
      </c>
      <c r="AT39" s="82">
        <v>77.474000000000004</v>
      </c>
      <c r="AU39" s="82">
        <v>138.06700000000001</v>
      </c>
      <c r="AV39" s="82">
        <v>110.10899999999999</v>
      </c>
      <c r="AW39" s="82">
        <v>73.180999999999997</v>
      </c>
      <c r="AX39" s="82">
        <v>76.635999999999996</v>
      </c>
      <c r="AY39" s="82">
        <v>127.982</v>
      </c>
      <c r="AZ39" s="82">
        <v>122.006</v>
      </c>
      <c r="BA39" s="82">
        <v>74</v>
      </c>
      <c r="BB39" s="82">
        <v>92</v>
      </c>
      <c r="BC39" s="82">
        <v>189</v>
      </c>
      <c r="BD39" s="82">
        <v>118</v>
      </c>
      <c r="BE39" s="82">
        <v>84</v>
      </c>
      <c r="BF39" s="82">
        <v>97</v>
      </c>
      <c r="BG39" s="82">
        <v>113</v>
      </c>
      <c r="BH39" s="82">
        <v>125</v>
      </c>
      <c r="BI39" s="82">
        <v>95</v>
      </c>
      <c r="BJ39" s="82">
        <v>104</v>
      </c>
      <c r="BK39" s="82">
        <v>128</v>
      </c>
      <c r="BL39" s="82">
        <v>95</v>
      </c>
      <c r="BM39" s="82">
        <v>110</v>
      </c>
      <c r="BN39" s="140">
        <v>112</v>
      </c>
      <c r="BO39" s="82">
        <v>87</v>
      </c>
      <c r="BP39" s="82">
        <v>108</v>
      </c>
      <c r="BQ39" s="82">
        <v>141</v>
      </c>
      <c r="BR39" s="82">
        <v>114</v>
      </c>
      <c r="BS39" s="82">
        <v>81</v>
      </c>
      <c r="BT39" s="82">
        <v>78</v>
      </c>
      <c r="BU39" s="82">
        <v>88</v>
      </c>
      <c r="BV39" s="82">
        <v>83</v>
      </c>
      <c r="BW39" s="140">
        <v>81</v>
      </c>
      <c r="BX39" s="140">
        <v>76</v>
      </c>
      <c r="BY39" s="140">
        <v>84</v>
      </c>
      <c r="BZ39" s="140">
        <v>93</v>
      </c>
      <c r="CA39" s="140">
        <v>83</v>
      </c>
      <c r="CB39" s="140">
        <v>65</v>
      </c>
      <c r="CC39" s="140">
        <v>65</v>
      </c>
      <c r="CD39" s="140">
        <v>84</v>
      </c>
      <c r="CE39" s="140">
        <v>56</v>
      </c>
      <c r="CF39" s="140">
        <v>122</v>
      </c>
      <c r="CG39" s="140">
        <v>64</v>
      </c>
      <c r="CH39" s="140">
        <v>56</v>
      </c>
      <c r="CI39" s="140">
        <v>46</v>
      </c>
      <c r="CJ39" s="140">
        <v>35</v>
      </c>
      <c r="CK39" s="140">
        <v>56</v>
      </c>
      <c r="CL39" s="140">
        <v>45</v>
      </c>
      <c r="CM39" s="140">
        <v>39</v>
      </c>
      <c r="CN39" s="140">
        <v>41</v>
      </c>
      <c r="CO39" s="140">
        <v>30</v>
      </c>
      <c r="CP39" s="140">
        <v>33</v>
      </c>
      <c r="CQ39" s="140">
        <f>+CM39</f>
        <v>39</v>
      </c>
      <c r="CR39" s="140">
        <f>+CN39</f>
        <v>41</v>
      </c>
      <c r="CS39" s="140">
        <f>+CO39</f>
        <v>30</v>
      </c>
      <c r="CT39" s="140">
        <f>+CP39</f>
        <v>33</v>
      </c>
      <c r="CU39" s="79"/>
      <c r="CV39" s="79">
        <v>10.430999999999999</v>
      </c>
      <c r="CW39" s="79">
        <v>24.591000000000001</v>
      </c>
      <c r="CX39" s="79">
        <v>22.969000000000001</v>
      </c>
      <c r="CY39" s="79">
        <v>20.406000000000002</v>
      </c>
      <c r="CZ39" s="79">
        <v>25.219000000000001</v>
      </c>
      <c r="DA39" s="79">
        <v>82.450000000000117</v>
      </c>
      <c r="DB39" s="17">
        <v>219.01400000000001</v>
      </c>
      <c r="DC39" s="82">
        <f>SUM(S39:V39)</f>
        <v>437.93100000000004</v>
      </c>
      <c r="DD39" s="82">
        <f>SUM(W39:Z39)</f>
        <v>496.93600000000004</v>
      </c>
      <c r="DE39" s="82">
        <f>SUM(AA39:AD39)</f>
        <v>250.964</v>
      </c>
      <c r="DF39" s="105">
        <f>SUM(AE39:AH39)</f>
        <v>542.072</v>
      </c>
      <c r="DG39" s="104">
        <f>SUM(AI39:AL39)</f>
        <v>559.49900000000002</v>
      </c>
      <c r="DH39" s="93">
        <f t="shared" si="44"/>
        <v>283.02500000000003</v>
      </c>
      <c r="DI39" s="93">
        <f t="shared" si="45"/>
        <v>304.14600000000002</v>
      </c>
      <c r="DJ39" s="83">
        <f t="shared" si="46"/>
        <v>397.99299999999994</v>
      </c>
      <c r="DK39" s="93">
        <f t="shared" si="31"/>
        <v>415.988</v>
      </c>
      <c r="DL39" s="82">
        <f t="shared" ref="DL39:DM39" si="64">DK39*0.9</f>
        <v>374.38920000000002</v>
      </c>
      <c r="DM39" s="82">
        <f t="shared" si="64"/>
        <v>336.95028000000002</v>
      </c>
      <c r="DN39" s="140"/>
      <c r="DO39" s="140"/>
      <c r="DP39" s="140"/>
      <c r="DQ39" s="139">
        <f t="shared" si="12"/>
        <v>334</v>
      </c>
      <c r="DR39" s="79">
        <f t="shared" si="13"/>
        <v>297</v>
      </c>
      <c r="DS39" s="79">
        <f t="shared" si="14"/>
        <v>298</v>
      </c>
      <c r="DT39" s="79">
        <f t="shared" si="15"/>
        <v>182</v>
      </c>
      <c r="DU39" s="79">
        <f t="shared" si="39"/>
        <v>143</v>
      </c>
      <c r="DV39" s="79">
        <f t="shared" si="40"/>
        <v>143</v>
      </c>
      <c r="DW39" s="79">
        <f>+DV39*0.9</f>
        <v>128.70000000000002</v>
      </c>
      <c r="DX39" s="79">
        <f t="shared" si="63"/>
        <v>115.83000000000001</v>
      </c>
      <c r="DY39" s="79">
        <f t="shared" si="63"/>
        <v>104.24700000000001</v>
      </c>
      <c r="DZ39" s="79">
        <f t="shared" si="63"/>
        <v>93.822300000000013</v>
      </c>
      <c r="EA39" s="79">
        <f t="shared" si="63"/>
        <v>84.44007000000002</v>
      </c>
      <c r="EB39" s="79">
        <f t="shared" si="63"/>
        <v>75.996063000000021</v>
      </c>
      <c r="EC39" s="79">
        <f t="shared" si="63"/>
        <v>68.396456700000016</v>
      </c>
      <c r="ED39" s="79">
        <f t="shared" si="63"/>
        <v>61.556811030000013</v>
      </c>
      <c r="EE39" s="79">
        <f t="shared" si="63"/>
        <v>55.401129927000014</v>
      </c>
      <c r="EF39" s="79">
        <f t="shared" si="63"/>
        <v>49.861016934300011</v>
      </c>
    </row>
    <row r="40" spans="2:136" s="85" customFormat="1" ht="13" x14ac:dyDescent="0.3">
      <c r="B40" s="85" t="s">
        <v>48</v>
      </c>
      <c r="C40" s="80">
        <f t="shared" ref="C40:J40" si="65">SUM(C39:C39)</f>
        <v>5.3769999999999998</v>
      </c>
      <c r="D40" s="80">
        <f t="shared" si="65"/>
        <v>6.7370000000000001</v>
      </c>
      <c r="E40" s="80">
        <f t="shared" si="65"/>
        <v>4.3819999999999997</v>
      </c>
      <c r="F40" s="80">
        <f t="shared" si="65"/>
        <v>3.91</v>
      </c>
      <c r="G40" s="80">
        <f t="shared" si="65"/>
        <v>7.3840000000000003</v>
      </c>
      <c r="H40" s="80">
        <f t="shared" si="65"/>
        <v>7.0350000000000001</v>
      </c>
      <c r="I40" s="80">
        <f t="shared" si="65"/>
        <v>4.875</v>
      </c>
      <c r="J40" s="80">
        <f t="shared" si="65"/>
        <v>5.9249999999999998</v>
      </c>
      <c r="K40" s="80" t="e">
        <f>#REF!+K39</f>
        <v>#REF!</v>
      </c>
      <c r="L40" s="80" t="e">
        <f>#REF!+L39</f>
        <v>#REF!</v>
      </c>
      <c r="M40" s="80" t="e">
        <f>#REF!+M39</f>
        <v>#REF!</v>
      </c>
      <c r="N40" s="80" t="e">
        <f>#REF!+N39</f>
        <v>#REF!</v>
      </c>
      <c r="O40" s="80" t="e">
        <f>#REF!+O39</f>
        <v>#REF!</v>
      </c>
      <c r="P40" s="80" t="e">
        <f>#REF!+P39</f>
        <v>#REF!</v>
      </c>
      <c r="Q40" s="80" t="e">
        <f>#REF!+Q39</f>
        <v>#REF!</v>
      </c>
      <c r="R40" s="80" t="e">
        <f>#REF!+R39</f>
        <v>#REF!</v>
      </c>
      <c r="S40" s="80" t="e">
        <f>#REF!+S39</f>
        <v>#REF!</v>
      </c>
      <c r="T40" s="80" t="e">
        <f>#REF!+T39</f>
        <v>#REF!</v>
      </c>
      <c r="U40" s="80" t="e">
        <f>#REF!+U39</f>
        <v>#REF!</v>
      </c>
      <c r="V40" s="80" t="e">
        <f>#REF!+V39</f>
        <v>#REF!</v>
      </c>
      <c r="W40" s="80" t="e">
        <f>#REF!+W39</f>
        <v>#REF!</v>
      </c>
      <c r="X40" s="80" t="e">
        <f>#REF!+X39</f>
        <v>#REF!</v>
      </c>
      <c r="Y40" s="80" t="e">
        <f>#REF!+Y39</f>
        <v>#REF!</v>
      </c>
      <c r="Z40" s="80" t="e">
        <f>#REF!+Z39</f>
        <v>#REF!</v>
      </c>
      <c r="AA40" s="80" t="e">
        <f>#REF!+AA39</f>
        <v>#REF!</v>
      </c>
      <c r="AB40" s="80" t="e">
        <f>#REF!+AB39</f>
        <v>#REF!</v>
      </c>
      <c r="AC40" s="80" t="e">
        <f>#REF!+AC39</f>
        <v>#REF!</v>
      </c>
      <c r="AD40" s="80" t="e">
        <f>#REF!+AD39</f>
        <v>#REF!</v>
      </c>
      <c r="AE40" s="80">
        <f t="shared" ref="AE40:BD40" si="66">SUM(AE15:AE39)</f>
        <v>1530.46</v>
      </c>
      <c r="AF40" s="80">
        <f t="shared" si="66"/>
        <v>1647.155</v>
      </c>
      <c r="AG40" s="80">
        <f t="shared" si="66"/>
        <v>1801.3890000000006</v>
      </c>
      <c r="AH40" s="80">
        <f t="shared" si="66"/>
        <v>2031.8679999999997</v>
      </c>
      <c r="AI40" s="80">
        <f t="shared" si="66"/>
        <v>297.79000000000002</v>
      </c>
      <c r="AJ40" s="80">
        <f t="shared" si="66"/>
        <v>1927.2239999999999</v>
      </c>
      <c r="AK40" s="80">
        <f t="shared" si="66"/>
        <v>1937.4970000000001</v>
      </c>
      <c r="AL40" s="80">
        <f t="shared" si="66"/>
        <v>68.448999999999998</v>
      </c>
      <c r="AM40" s="80">
        <f t="shared" si="66"/>
        <v>1902.1790000000001</v>
      </c>
      <c r="AN40" s="80">
        <f t="shared" si="66"/>
        <v>2137.2530000000002</v>
      </c>
      <c r="AO40" s="80">
        <f t="shared" si="66"/>
        <v>2122.2000000000003</v>
      </c>
      <c r="AP40" s="80">
        <f t="shared" si="66"/>
        <v>2200.3779999999997</v>
      </c>
      <c r="AQ40" s="80">
        <f t="shared" si="66"/>
        <v>2282.4489999999996</v>
      </c>
      <c r="AR40" s="80">
        <f t="shared" si="66"/>
        <v>2405.1859999999997</v>
      </c>
      <c r="AS40" s="80">
        <f t="shared" si="66"/>
        <v>2426.5970000000002</v>
      </c>
      <c r="AT40" s="80">
        <f t="shared" si="66"/>
        <v>2588.2849999999999</v>
      </c>
      <c r="AU40" s="80">
        <f t="shared" si="66"/>
        <v>2531.6350000000002</v>
      </c>
      <c r="AV40" s="80">
        <f t="shared" si="66"/>
        <v>2767.3940000000007</v>
      </c>
      <c r="AW40" s="80">
        <f t="shared" si="66"/>
        <v>2782.8330000000001</v>
      </c>
      <c r="AX40" s="80">
        <f t="shared" si="66"/>
        <v>3119.826</v>
      </c>
      <c r="AY40" s="80">
        <f t="shared" si="66"/>
        <v>4998.9560000000019</v>
      </c>
      <c r="AZ40" s="80">
        <f t="shared" si="66"/>
        <v>6534.5040000000008</v>
      </c>
      <c r="BA40" s="80">
        <f t="shared" si="66"/>
        <v>6042</v>
      </c>
      <c r="BB40" s="80">
        <f t="shared" si="66"/>
        <v>7314</v>
      </c>
      <c r="BC40" s="80">
        <f>SUM(BC9:BC39)</f>
        <v>7594</v>
      </c>
      <c r="BD40" s="80">
        <f t="shared" si="66"/>
        <v>8244</v>
      </c>
      <c r="BE40" s="80">
        <f>SUM(BE8:BE39)</f>
        <v>8295</v>
      </c>
      <c r="BF40" s="80">
        <f>SUM(BF4:BF39)</f>
        <v>8506</v>
      </c>
      <c r="BG40" s="80">
        <f t="shared" ref="BG40:BP40" si="67">SUM(BG9:BG39)</f>
        <v>7794</v>
      </c>
      <c r="BH40" s="80">
        <f t="shared" si="67"/>
        <v>7776</v>
      </c>
      <c r="BI40" s="167">
        <f t="shared" si="67"/>
        <v>7500</v>
      </c>
      <c r="BJ40" s="167">
        <f t="shared" si="67"/>
        <v>7320</v>
      </c>
      <c r="BK40" s="167">
        <f t="shared" si="67"/>
        <v>6505</v>
      </c>
      <c r="BL40" s="167">
        <f t="shared" si="67"/>
        <v>7141</v>
      </c>
      <c r="BM40" s="167">
        <f t="shared" si="67"/>
        <v>6512</v>
      </c>
      <c r="BN40" s="167">
        <f t="shared" si="67"/>
        <v>5949</v>
      </c>
      <c r="BO40" s="167">
        <f t="shared" si="67"/>
        <v>5088</v>
      </c>
      <c r="BP40" s="167">
        <f t="shared" si="67"/>
        <v>5648</v>
      </c>
      <c r="BQ40" s="167">
        <f t="shared" ref="BQ40:CH40" si="68">SUM(BQ9:BQ39)</f>
        <v>5596</v>
      </c>
      <c r="BR40" s="167">
        <f t="shared" si="68"/>
        <v>5795</v>
      </c>
      <c r="BS40" s="167">
        <f t="shared" si="68"/>
        <v>5281</v>
      </c>
      <c r="BT40" s="167">
        <f>SUM(BT9:BT39)</f>
        <v>5685</v>
      </c>
      <c r="BU40" s="167">
        <f t="shared" si="68"/>
        <v>5604</v>
      </c>
      <c r="BV40" s="167">
        <f t="shared" si="68"/>
        <v>5879</v>
      </c>
      <c r="BW40" s="167">
        <f t="shared" si="68"/>
        <v>5548</v>
      </c>
      <c r="BX40" s="167">
        <f t="shared" si="68"/>
        <v>5143</v>
      </c>
      <c r="BY40" s="167">
        <f t="shared" si="68"/>
        <v>6577</v>
      </c>
      <c r="BZ40" s="167">
        <f t="shared" si="68"/>
        <v>7421</v>
      </c>
      <c r="CA40" s="167">
        <f t="shared" si="68"/>
        <v>6423</v>
      </c>
      <c r="CB40" s="167">
        <f t="shared" si="68"/>
        <v>6217</v>
      </c>
      <c r="CC40" s="167">
        <f t="shared" si="68"/>
        <v>7421</v>
      </c>
      <c r="CD40" s="167">
        <f t="shared" si="68"/>
        <v>7243</v>
      </c>
      <c r="CE40" s="167">
        <f t="shared" si="68"/>
        <v>6589</v>
      </c>
      <c r="CF40" s="167">
        <f t="shared" si="68"/>
        <v>6261</v>
      </c>
      <c r="CG40" s="167">
        <f t="shared" si="68"/>
        <v>7042</v>
      </c>
      <c r="CH40" s="167">
        <f t="shared" si="68"/>
        <v>7389</v>
      </c>
      <c r="CI40" s="167">
        <f t="shared" ref="CI40" si="69">SUM(CI9:CI39)</f>
        <v>6352</v>
      </c>
      <c r="CJ40" s="167">
        <f t="shared" ref="CJ40" si="70">SUM(CJ9:CJ39)</f>
        <v>6600</v>
      </c>
      <c r="CK40" s="167">
        <f t="shared" ref="CK40" si="71">SUM(CK9:CK39)</f>
        <v>7052</v>
      </c>
      <c r="CL40" s="167">
        <f t="shared" ref="CL40:CT40" si="72">SUM(CL9:CL39)</f>
        <v>7116</v>
      </c>
      <c r="CM40" s="167">
        <f t="shared" si="72"/>
        <v>6687</v>
      </c>
      <c r="CN40" s="167">
        <f t="shared" si="72"/>
        <v>6954</v>
      </c>
      <c r="CO40" s="167">
        <f t="shared" si="72"/>
        <v>7545</v>
      </c>
      <c r="CP40" s="167">
        <f t="shared" si="72"/>
        <v>7569</v>
      </c>
      <c r="CQ40" s="167">
        <f t="shared" si="72"/>
        <v>6750.1</v>
      </c>
      <c r="CR40" s="167">
        <f t="shared" si="72"/>
        <v>7253.9500000000007</v>
      </c>
      <c r="CS40" s="167">
        <f t="shared" si="72"/>
        <v>7597.4000000000005</v>
      </c>
      <c r="CT40" s="167">
        <f t="shared" si="72"/>
        <v>8039.4</v>
      </c>
      <c r="CU40" s="154"/>
      <c r="CV40" s="154">
        <f t="shared" ref="CV40:DD40" si="73">SUM(CV3:CV39)</f>
        <v>150.321</v>
      </c>
      <c r="CW40" s="154">
        <f t="shared" si="73"/>
        <v>174.3</v>
      </c>
      <c r="CX40" s="154">
        <f t="shared" si="73"/>
        <v>213.93899999999999</v>
      </c>
      <c r="CY40" s="154">
        <f t="shared" si="73"/>
        <v>444.28500000000003</v>
      </c>
      <c r="CZ40" s="154">
        <f t="shared" si="73"/>
        <v>861.56000000000006</v>
      </c>
      <c r="DA40" s="154">
        <f t="shared" si="73"/>
        <v>1324.7784390485224</v>
      </c>
      <c r="DB40" s="85">
        <f t="shared" si="73"/>
        <v>2028.3830000000003</v>
      </c>
      <c r="DC40" s="85">
        <f t="shared" si="73"/>
        <v>3017.3370000000004</v>
      </c>
      <c r="DD40" s="85">
        <f t="shared" si="73"/>
        <v>2640.8110000000001</v>
      </c>
      <c r="DE40" s="80">
        <f>SUM(DE39:DE39)</f>
        <v>250.964</v>
      </c>
      <c r="DF40" s="102">
        <f t="shared" ref="DF40:DV40" si="74">SUM(DF15:DF39)</f>
        <v>7010.8720000000003</v>
      </c>
      <c r="DG40" s="102">
        <f t="shared" si="74"/>
        <v>5338.1969999999992</v>
      </c>
      <c r="DH40" s="80">
        <f t="shared" si="74"/>
        <v>8362.01</v>
      </c>
      <c r="DI40" s="80">
        <f t="shared" si="74"/>
        <v>9702.5170000000016</v>
      </c>
      <c r="DJ40" s="80">
        <f t="shared" si="74"/>
        <v>11201.687999999998</v>
      </c>
      <c r="DK40" s="80">
        <f t="shared" si="74"/>
        <v>22762.46</v>
      </c>
      <c r="DL40" s="80">
        <f t="shared" si="74"/>
        <v>27442.915000000005</v>
      </c>
      <c r="DM40" s="80">
        <f t="shared" si="74"/>
        <v>29030.171195000003</v>
      </c>
      <c r="DN40" s="167">
        <f t="shared" si="74"/>
        <v>0</v>
      </c>
      <c r="DO40" s="167">
        <f t="shared" si="74"/>
        <v>0</v>
      </c>
      <c r="DP40" s="167">
        <f t="shared" si="74"/>
        <v>0</v>
      </c>
      <c r="DQ40" s="154">
        <f t="shared" ref="DQ40:DT40" si="75">SUM(DQ9:DQ39)</f>
        <v>24689</v>
      </c>
      <c r="DR40" s="154">
        <f t="shared" si="75"/>
        <v>27304</v>
      </c>
      <c r="DS40" s="154">
        <f t="shared" si="75"/>
        <v>27281</v>
      </c>
      <c r="DT40" s="154">
        <f t="shared" si="75"/>
        <v>27120</v>
      </c>
      <c r="DU40" s="154">
        <f>SUM(DU9:DU39)</f>
        <v>28755</v>
      </c>
      <c r="DV40" s="154">
        <f>SUM(DV9:DV39)</f>
        <v>29640.850000000002</v>
      </c>
      <c r="DW40" s="154">
        <f t="shared" ref="DW40:EF40" si="76">SUM(DW9:DW39)</f>
        <v>26606.91</v>
      </c>
      <c r="DX40" s="154">
        <f t="shared" si="76"/>
        <v>26253.966750000003</v>
      </c>
      <c r="DY40" s="154">
        <f t="shared" si="76"/>
        <v>27491.354637499997</v>
      </c>
      <c r="DZ40" s="154">
        <f t="shared" si="76"/>
        <v>29113.799328125002</v>
      </c>
      <c r="EA40" s="154">
        <f t="shared" si="76"/>
        <v>30925.24514396875</v>
      </c>
      <c r="EB40" s="154">
        <f t="shared" si="76"/>
        <v>32692.689606995311</v>
      </c>
      <c r="EC40" s="154">
        <f t="shared" si="76"/>
        <v>33551.511955268048</v>
      </c>
      <c r="ED40" s="154">
        <f t="shared" si="76"/>
        <v>30111.008752148104</v>
      </c>
      <c r="EE40" s="154">
        <f t="shared" si="76"/>
        <v>27381.138218846729</v>
      </c>
      <c r="EF40" s="154">
        <f t="shared" si="76"/>
        <v>28943.949811489201</v>
      </c>
    </row>
    <row r="41" spans="2:136" s="17" customFormat="1" x14ac:dyDescent="0.25">
      <c r="B41" s="17" t="s">
        <v>17</v>
      </c>
      <c r="C41" s="82">
        <v>12.042</v>
      </c>
      <c r="D41" s="82">
        <v>17.718</v>
      </c>
      <c r="E41" s="82">
        <v>20.411999999999999</v>
      </c>
      <c r="F41" s="82">
        <v>19.552</v>
      </c>
      <c r="G41" s="82">
        <v>21.372</v>
      </c>
      <c r="H41" s="82">
        <v>32.106000000000002</v>
      </c>
      <c r="I41" s="82">
        <v>25.936</v>
      </c>
      <c r="J41" s="82">
        <v>33.277000000000001</v>
      </c>
      <c r="K41" s="82">
        <v>34.948999999999998</v>
      </c>
      <c r="L41" s="82">
        <v>42.091999999999999</v>
      </c>
      <c r="M41" s="82">
        <v>40.841999999999999</v>
      </c>
      <c r="N41" s="82">
        <v>48.703999999999994</v>
      </c>
      <c r="O41" s="82">
        <v>57.414999999999999</v>
      </c>
      <c r="P41" s="82">
        <v>63.268999999999998</v>
      </c>
      <c r="Q41" s="82">
        <v>65.5</v>
      </c>
      <c r="R41" s="82">
        <v>74.099999999999994</v>
      </c>
      <c r="S41" s="82">
        <f>90.357-3.187</f>
        <v>87.17</v>
      </c>
      <c r="T41" s="82">
        <f>77.883-2.526</f>
        <v>75.356999999999999</v>
      </c>
      <c r="U41" s="82">
        <f>109.791-2.524</f>
        <v>107.267</v>
      </c>
      <c r="V41" s="82">
        <f>155.289-2.634</f>
        <v>152.655</v>
      </c>
      <c r="W41" s="82">
        <f>171.638-2.53</f>
        <v>169.108</v>
      </c>
      <c r="X41" s="82">
        <f>183.131-2.682</f>
        <v>180.44900000000001</v>
      </c>
      <c r="Y41" s="82">
        <v>198.46</v>
      </c>
      <c r="Z41" s="82">
        <v>215.542</v>
      </c>
      <c r="AA41" s="82">
        <f>239.848-1.694</f>
        <v>238.15400000000002</v>
      </c>
      <c r="AB41" s="82">
        <f>265.684-2.848</f>
        <v>262.83600000000001</v>
      </c>
      <c r="AC41" s="82">
        <f>300.183-2.592</f>
        <v>297.59100000000001</v>
      </c>
      <c r="AD41" s="82">
        <v>318.35300000000001</v>
      </c>
      <c r="AE41" s="104">
        <f>329.414-3.254</f>
        <v>326.15999999999997</v>
      </c>
      <c r="AF41" s="104">
        <f>383.045-2.659</f>
        <v>380.38600000000002</v>
      </c>
      <c r="AG41" s="104">
        <v>409.7</v>
      </c>
      <c r="AH41" s="104">
        <v>451.53300000000002</v>
      </c>
      <c r="AI41" s="104">
        <v>417.61500000000001</v>
      </c>
      <c r="AJ41" s="104">
        <v>435.53500000000003</v>
      </c>
      <c r="AK41" s="104">
        <v>459.875</v>
      </c>
      <c r="AL41" s="104">
        <v>479.72399999999999</v>
      </c>
      <c r="AM41" s="104">
        <v>474.11099999999999</v>
      </c>
      <c r="AN41" s="82">
        <v>533.86300000000006</v>
      </c>
      <c r="AO41" s="82">
        <v>532</v>
      </c>
      <c r="AP41" s="82">
        <v>584.447</v>
      </c>
      <c r="AQ41" s="82">
        <v>580.93100000000004</v>
      </c>
      <c r="AR41" s="82">
        <v>617.34500000000003</v>
      </c>
      <c r="AS41" s="82">
        <v>597.26900000000001</v>
      </c>
      <c r="AT41" s="82">
        <v>675.81799999999998</v>
      </c>
      <c r="AU41" s="82">
        <v>634.44799999999998</v>
      </c>
      <c r="AV41" s="82">
        <v>660.76700000000005</v>
      </c>
      <c r="AW41" s="82">
        <v>658.78099999999995</v>
      </c>
      <c r="AX41" s="82">
        <v>777.48400000000004</v>
      </c>
      <c r="AY41" s="82">
        <v>611.33299999999997</v>
      </c>
      <c r="AZ41" s="82">
        <v>722.91399999999999</v>
      </c>
      <c r="BA41" s="82">
        <f>+BA40*0.12</f>
        <v>725.04</v>
      </c>
      <c r="BB41" s="82">
        <v>847</v>
      </c>
      <c r="BC41" s="82">
        <v>674</v>
      </c>
      <c r="BD41" s="82">
        <v>788</v>
      </c>
      <c r="BE41" s="82">
        <v>1064</v>
      </c>
      <c r="BF41" s="82">
        <v>857</v>
      </c>
      <c r="BG41" s="82">
        <v>983</v>
      </c>
      <c r="BH41" s="82">
        <v>864</v>
      </c>
      <c r="BI41" s="82">
        <v>1129</v>
      </c>
      <c r="BJ41" s="140">
        <v>860</v>
      </c>
      <c r="BK41" s="140">
        <v>743</v>
      </c>
      <c r="BL41" s="82">
        <v>1126</v>
      </c>
      <c r="BM41" s="82">
        <v>1032</v>
      </c>
      <c r="BN41" s="140">
        <v>966</v>
      </c>
      <c r="BO41" s="140">
        <v>687</v>
      </c>
      <c r="BP41" s="140">
        <v>875</v>
      </c>
      <c r="BQ41" s="140">
        <v>1086</v>
      </c>
      <c r="BR41" s="140">
        <v>1257</v>
      </c>
      <c r="BS41" s="140">
        <v>674</v>
      </c>
      <c r="BT41" s="82">
        <v>714</v>
      </c>
      <c r="BU41" s="82">
        <v>1035</v>
      </c>
      <c r="BV41" s="82">
        <v>1417</v>
      </c>
      <c r="BW41" s="140">
        <v>703</v>
      </c>
      <c r="BX41" s="140">
        <v>798</v>
      </c>
      <c r="BY41" s="140">
        <v>875</v>
      </c>
      <c r="BZ41" s="140">
        <v>918</v>
      </c>
      <c r="CA41" s="140">
        <v>855</v>
      </c>
      <c r="CB41" s="140">
        <v>836</v>
      </c>
      <c r="CC41" s="140">
        <v>736</v>
      </c>
      <c r="CD41" s="140">
        <v>2111</v>
      </c>
      <c r="CE41" s="140">
        <v>825</v>
      </c>
      <c r="CF41" s="140">
        <v>886</v>
      </c>
      <c r="CG41" s="140">
        <v>923</v>
      </c>
      <c r="CH41" s="140">
        <v>968</v>
      </c>
      <c r="CI41" s="140">
        <v>871</v>
      </c>
      <c r="CJ41" s="140">
        <v>861</v>
      </c>
      <c r="CK41" s="140">
        <v>985</v>
      </c>
      <c r="CL41" s="140">
        <v>980</v>
      </c>
      <c r="CM41" s="140">
        <v>974</v>
      </c>
      <c r="CN41" s="140">
        <v>965</v>
      </c>
      <c r="CO41" s="140">
        <v>995</v>
      </c>
      <c r="CP41" s="140">
        <v>1002</v>
      </c>
      <c r="CQ41" s="140"/>
      <c r="CR41" s="140"/>
      <c r="CS41" s="140"/>
      <c r="CT41" s="140"/>
      <c r="CU41" s="79"/>
      <c r="CV41" s="79"/>
      <c r="CW41" s="79"/>
      <c r="CX41" s="79"/>
      <c r="CY41" s="79"/>
      <c r="CZ41" s="79"/>
      <c r="DA41" s="79"/>
      <c r="DB41" s="87"/>
      <c r="DC41" s="82"/>
      <c r="DD41" s="82"/>
      <c r="DE41" s="82"/>
      <c r="DF41" s="104">
        <f t="shared" ref="DF41:DH41" si="77">DF40-DF42</f>
        <v>1567.7789999999995</v>
      </c>
      <c r="DG41" s="104">
        <f t="shared" si="77"/>
        <v>2899.9859999999994</v>
      </c>
      <c r="DH41" s="82">
        <f t="shared" si="77"/>
        <v>2124.4209999999994</v>
      </c>
      <c r="DI41" s="93">
        <f t="shared" ref="DI41:DI44" si="78">SUM(AQ41:AT41)</f>
        <v>2471.3630000000003</v>
      </c>
      <c r="DJ41" s="83">
        <f t="shared" ref="DJ41" si="79">SUM(AU41:AX41)</f>
        <v>2731.48</v>
      </c>
      <c r="DK41" s="82">
        <f>+DK40-DK42</f>
        <v>2731.4952000000012</v>
      </c>
      <c r="DL41" s="82">
        <f t="shared" ref="DL41:DQ41" si="80">+DL40-DL42</f>
        <v>3293.1497999999992</v>
      </c>
      <c r="DM41" s="82">
        <f t="shared" si="80"/>
        <v>3483.6205434000003</v>
      </c>
      <c r="DN41" s="140">
        <f t="shared" si="80"/>
        <v>0</v>
      </c>
      <c r="DO41" s="140">
        <f t="shared" si="80"/>
        <v>0</v>
      </c>
      <c r="DP41" s="140">
        <f t="shared" si="80"/>
        <v>0</v>
      </c>
      <c r="DQ41" s="140">
        <f t="shared" si="80"/>
        <v>2962.6800000000003</v>
      </c>
      <c r="DR41" s="140">
        <f t="shared" ref="DR41:DV41" si="81">+DR40-DR42</f>
        <v>3276.4799999999996</v>
      </c>
      <c r="DS41" s="140">
        <f t="shared" si="81"/>
        <v>3273.7200000000012</v>
      </c>
      <c r="DT41" s="79">
        <f t="shared" si="81"/>
        <v>3254.4000000000015</v>
      </c>
      <c r="DU41" s="79">
        <f t="shared" si="81"/>
        <v>3450.5999999999985</v>
      </c>
      <c r="DV41" s="79">
        <f t="shared" si="81"/>
        <v>3556.9020000000019</v>
      </c>
      <c r="DW41" s="79">
        <f t="shared" ref="DW41:EF41" si="82">+DW40-DW42</f>
        <v>3192.8292000000001</v>
      </c>
      <c r="DX41" s="79">
        <f t="shared" si="82"/>
        <v>3150.4760099999985</v>
      </c>
      <c r="DY41" s="79">
        <f t="shared" si="82"/>
        <v>3298.9625564999988</v>
      </c>
      <c r="DZ41" s="79">
        <f t="shared" si="82"/>
        <v>3493.6559193749999</v>
      </c>
      <c r="EA41" s="79">
        <f t="shared" si="82"/>
        <v>3711.0294172762515</v>
      </c>
      <c r="EB41" s="79">
        <f t="shared" si="82"/>
        <v>3923.1227528394375</v>
      </c>
      <c r="EC41" s="79">
        <f t="shared" si="82"/>
        <v>4026.1814346321662</v>
      </c>
      <c r="ED41" s="79">
        <f t="shared" si="82"/>
        <v>3613.3210502577713</v>
      </c>
      <c r="EE41" s="79">
        <f t="shared" si="82"/>
        <v>3285.7365862616061</v>
      </c>
      <c r="EF41" s="79">
        <f t="shared" si="82"/>
        <v>3473.2739773787034</v>
      </c>
    </row>
    <row r="42" spans="2:136" s="17" customFormat="1" x14ac:dyDescent="0.25">
      <c r="B42" s="17" t="s">
        <v>50</v>
      </c>
      <c r="C42" s="82">
        <f t="shared" ref="C42:R42" si="83">C40-C41</f>
        <v>-6.665</v>
      </c>
      <c r="D42" s="82">
        <f t="shared" si="83"/>
        <v>-10.981</v>
      </c>
      <c r="E42" s="82">
        <f t="shared" si="83"/>
        <v>-16.03</v>
      </c>
      <c r="F42" s="82">
        <f t="shared" si="83"/>
        <v>-15.641999999999999</v>
      </c>
      <c r="G42" s="82">
        <f t="shared" si="83"/>
        <v>-13.988</v>
      </c>
      <c r="H42" s="82">
        <f t="shared" si="83"/>
        <v>-25.071000000000002</v>
      </c>
      <c r="I42" s="82">
        <f t="shared" si="83"/>
        <v>-21.061</v>
      </c>
      <c r="J42" s="82">
        <f t="shared" si="83"/>
        <v>-27.352</v>
      </c>
      <c r="K42" s="82" t="e">
        <f t="shared" si="83"/>
        <v>#REF!</v>
      </c>
      <c r="L42" s="82" t="e">
        <f t="shared" si="83"/>
        <v>#REF!</v>
      </c>
      <c r="M42" s="82" t="e">
        <f t="shared" si="83"/>
        <v>#REF!</v>
      </c>
      <c r="N42" s="82" t="e">
        <f t="shared" si="83"/>
        <v>#REF!</v>
      </c>
      <c r="O42" s="82" t="e">
        <f t="shared" si="83"/>
        <v>#REF!</v>
      </c>
      <c r="P42" s="82" t="e">
        <f t="shared" si="83"/>
        <v>#REF!</v>
      </c>
      <c r="Q42" s="82" t="e">
        <f t="shared" si="83"/>
        <v>#REF!</v>
      </c>
      <c r="R42" s="82" t="e">
        <f t="shared" si="83"/>
        <v>#REF!</v>
      </c>
      <c r="S42" s="82" t="e">
        <f t="shared" ref="S42:X42" si="84">S40-S41</f>
        <v>#REF!</v>
      </c>
      <c r="T42" s="82" t="e">
        <f t="shared" si="84"/>
        <v>#REF!</v>
      </c>
      <c r="U42" s="82" t="e">
        <f t="shared" si="84"/>
        <v>#REF!</v>
      </c>
      <c r="V42" s="82" t="e">
        <f t="shared" si="84"/>
        <v>#REF!</v>
      </c>
      <c r="W42" s="82" t="e">
        <f t="shared" si="84"/>
        <v>#REF!</v>
      </c>
      <c r="X42" s="82" t="e">
        <f t="shared" si="84"/>
        <v>#REF!</v>
      </c>
      <c r="Y42" s="82" t="e">
        <f t="shared" ref="Y42:AD42" si="85">Y40-Y41</f>
        <v>#REF!</v>
      </c>
      <c r="Z42" s="82" t="e">
        <f t="shared" si="85"/>
        <v>#REF!</v>
      </c>
      <c r="AA42" s="82" t="e">
        <f t="shared" si="85"/>
        <v>#REF!</v>
      </c>
      <c r="AB42" s="82" t="e">
        <f t="shared" si="85"/>
        <v>#REF!</v>
      </c>
      <c r="AC42" s="82" t="e">
        <f t="shared" si="85"/>
        <v>#REF!</v>
      </c>
      <c r="AD42" s="82" t="e">
        <f t="shared" si="85"/>
        <v>#REF!</v>
      </c>
      <c r="AE42" s="82">
        <f t="shared" ref="AE42:AM42" si="86">+AE40-AE41</f>
        <v>1204.3000000000002</v>
      </c>
      <c r="AF42" s="82">
        <f t="shared" si="86"/>
        <v>1266.769</v>
      </c>
      <c r="AG42" s="82">
        <f t="shared" si="86"/>
        <v>1391.6890000000005</v>
      </c>
      <c r="AH42" s="82">
        <f t="shared" si="86"/>
        <v>1580.3349999999996</v>
      </c>
      <c r="AI42" s="82">
        <f t="shared" si="86"/>
        <v>-119.82499999999999</v>
      </c>
      <c r="AJ42" s="82">
        <f t="shared" si="86"/>
        <v>1491.6889999999999</v>
      </c>
      <c r="AK42" s="82">
        <f t="shared" si="86"/>
        <v>1477.6220000000001</v>
      </c>
      <c r="AL42" s="82">
        <f t="shared" si="86"/>
        <v>-411.27499999999998</v>
      </c>
      <c r="AM42" s="82">
        <f t="shared" si="86"/>
        <v>1428.0680000000002</v>
      </c>
      <c r="AN42" s="82">
        <f t="shared" ref="AN42:AO42" si="87">+AN40-AN41</f>
        <v>1603.39</v>
      </c>
      <c r="AO42" s="82">
        <f t="shared" si="87"/>
        <v>1590.2000000000003</v>
      </c>
      <c r="AP42" s="82">
        <f>AP40-AP41</f>
        <v>1615.9309999999996</v>
      </c>
      <c r="AQ42" s="82">
        <f t="shared" ref="AQ42:AY42" si="88">+AQ40-AQ41</f>
        <v>1701.5179999999996</v>
      </c>
      <c r="AR42" s="82">
        <f t="shared" si="88"/>
        <v>1787.8409999999997</v>
      </c>
      <c r="AS42" s="82">
        <f t="shared" si="88"/>
        <v>1829.3280000000002</v>
      </c>
      <c r="AT42" s="82">
        <f t="shared" si="88"/>
        <v>1912.4669999999999</v>
      </c>
      <c r="AU42" s="82">
        <f t="shared" si="88"/>
        <v>1897.1870000000004</v>
      </c>
      <c r="AV42" s="82">
        <f t="shared" si="88"/>
        <v>2106.6270000000004</v>
      </c>
      <c r="AW42" s="82">
        <f t="shared" si="88"/>
        <v>2124.0520000000001</v>
      </c>
      <c r="AX42" s="82">
        <f t="shared" si="88"/>
        <v>2342.3420000000001</v>
      </c>
      <c r="AY42" s="82">
        <f t="shared" si="88"/>
        <v>4387.6230000000023</v>
      </c>
      <c r="AZ42" s="82">
        <f>+AZ40-AZ41</f>
        <v>5811.5900000000011</v>
      </c>
      <c r="BA42" s="82">
        <f>+BA40-BA41</f>
        <v>5316.96</v>
      </c>
      <c r="BB42" s="82">
        <f t="shared" ref="BB42" si="89">+BB40-BB41</f>
        <v>6467</v>
      </c>
      <c r="BC42" s="82">
        <f>BC40-BC41</f>
        <v>6920</v>
      </c>
      <c r="BD42" s="82">
        <f>BD40-BD41</f>
        <v>7456</v>
      </c>
      <c r="BE42" s="82">
        <f>+BE40-BE41</f>
        <v>7231</v>
      </c>
      <c r="BF42" s="82">
        <f>+BF40-BF41</f>
        <v>7649</v>
      </c>
      <c r="BG42" s="82">
        <f>+BG40-BG41</f>
        <v>6811</v>
      </c>
      <c r="BH42" s="82">
        <f>+BH40-BH41</f>
        <v>6912</v>
      </c>
      <c r="BI42" s="82">
        <f>+BI40-BI41</f>
        <v>6371</v>
      </c>
      <c r="BJ42" s="140">
        <f t="shared" ref="BJ42:BK42" si="90">+BJ40-BJ41</f>
        <v>6460</v>
      </c>
      <c r="BK42" s="140">
        <f t="shared" si="90"/>
        <v>5762</v>
      </c>
      <c r="BL42" s="82">
        <f>+BL40-BL41</f>
        <v>6015</v>
      </c>
      <c r="BM42" s="82">
        <f>+BM40-BM41</f>
        <v>5480</v>
      </c>
      <c r="BN42" s="140">
        <f>+BN40-BN41</f>
        <v>4983</v>
      </c>
      <c r="BO42" s="140">
        <f t="shared" ref="BO42:BP42" si="91">+BO40-BO41</f>
        <v>4401</v>
      </c>
      <c r="BP42" s="140">
        <f t="shared" si="91"/>
        <v>4773</v>
      </c>
      <c r="BQ42" s="140">
        <f>+BQ40-BQ41</f>
        <v>4510</v>
      </c>
      <c r="BR42" s="140">
        <f>+BR40-BR41</f>
        <v>4538</v>
      </c>
      <c r="BS42" s="140">
        <f>+BS40-BS41</f>
        <v>4607</v>
      </c>
      <c r="BT42" s="140">
        <f>+BT40-BT41</f>
        <v>4971</v>
      </c>
      <c r="BU42" s="140">
        <f t="shared" ref="BU42" si="92">+BU40-BU41</f>
        <v>4569</v>
      </c>
      <c r="BV42" s="140">
        <f>+BV40-BV41</f>
        <v>4462</v>
      </c>
      <c r="BW42" s="140">
        <f>+BW40-BW41</f>
        <v>4845</v>
      </c>
      <c r="BX42" s="140">
        <f>+BX40-BX41</f>
        <v>4345</v>
      </c>
      <c r="BY42" s="140">
        <f>+BY40-BY41</f>
        <v>5702</v>
      </c>
      <c r="BZ42" s="140">
        <f t="shared" ref="BZ42:CE42" si="93">BZ40-BZ41</f>
        <v>6503</v>
      </c>
      <c r="CA42" s="140">
        <f t="shared" si="93"/>
        <v>5568</v>
      </c>
      <c r="CB42" s="140">
        <f t="shared" si="93"/>
        <v>5381</v>
      </c>
      <c r="CC42" s="140">
        <f t="shared" si="93"/>
        <v>6685</v>
      </c>
      <c r="CD42" s="140">
        <f t="shared" si="93"/>
        <v>5132</v>
      </c>
      <c r="CE42" s="140">
        <f t="shared" si="93"/>
        <v>5764</v>
      </c>
      <c r="CF42" s="140">
        <f>+CF40-CF41</f>
        <v>5375</v>
      </c>
      <c r="CG42" s="140">
        <f>+CG40-CG41</f>
        <v>6119</v>
      </c>
      <c r="CH42" s="140">
        <f>CH40-CH41</f>
        <v>6421</v>
      </c>
      <c r="CI42" s="140">
        <f>CI40-CI41</f>
        <v>5481</v>
      </c>
      <c r="CJ42" s="140">
        <f>+CJ40-CJ41</f>
        <v>5739</v>
      </c>
      <c r="CK42" s="140">
        <f>+CK40-CK41</f>
        <v>6067</v>
      </c>
      <c r="CL42" s="140">
        <f>+CL40-CL41</f>
        <v>6136</v>
      </c>
      <c r="CM42" s="140">
        <f>+CM40-CM41</f>
        <v>5713</v>
      </c>
      <c r="CN42" s="140">
        <f>+CN40-CN41</f>
        <v>5989</v>
      </c>
      <c r="CO42" s="140">
        <f>+CO40-CO41</f>
        <v>6550</v>
      </c>
      <c r="CP42" s="140">
        <f>+CP40-CP41</f>
        <v>6567</v>
      </c>
      <c r="CQ42" s="140"/>
      <c r="CR42" s="140"/>
      <c r="CS42" s="140"/>
      <c r="CT42" s="140"/>
      <c r="CU42" s="79"/>
      <c r="CV42" s="79"/>
      <c r="CW42" s="79"/>
      <c r="CX42" s="79"/>
      <c r="CY42" s="79"/>
      <c r="CZ42" s="79"/>
      <c r="DA42" s="79"/>
      <c r="DB42" s="87"/>
      <c r="DC42" s="127"/>
      <c r="DD42" s="127"/>
      <c r="DE42" s="82"/>
      <c r="DF42" s="105">
        <f>SUM(AE42:AH42)</f>
        <v>5443.0930000000008</v>
      </c>
      <c r="DG42" s="104">
        <f>SUM(AI42:AL42)</f>
        <v>2438.2109999999998</v>
      </c>
      <c r="DH42" s="82">
        <f>SUM(AM42:AP42)</f>
        <v>6237.5890000000009</v>
      </c>
      <c r="DI42" s="82">
        <f>+DI40-DI41</f>
        <v>7231.1540000000014</v>
      </c>
      <c r="DJ42" s="82">
        <f>+DJ40-DJ41</f>
        <v>8470.2079999999987</v>
      </c>
      <c r="DK42" s="82">
        <f>+DK40*0.88</f>
        <v>20030.964799999998</v>
      </c>
      <c r="DL42" s="82">
        <f t="shared" ref="DL42:DV42" si="94">+DL40*0.88</f>
        <v>24149.765200000005</v>
      </c>
      <c r="DM42" s="82">
        <f t="shared" si="94"/>
        <v>25546.550651600002</v>
      </c>
      <c r="DN42" s="140">
        <f t="shared" si="94"/>
        <v>0</v>
      </c>
      <c r="DO42" s="140">
        <f t="shared" si="94"/>
        <v>0</v>
      </c>
      <c r="DP42" s="140">
        <f t="shared" si="94"/>
        <v>0</v>
      </c>
      <c r="DQ42" s="140">
        <f t="shared" si="94"/>
        <v>21726.32</v>
      </c>
      <c r="DR42" s="140">
        <f t="shared" si="94"/>
        <v>24027.52</v>
      </c>
      <c r="DS42" s="140">
        <f t="shared" si="94"/>
        <v>24007.279999999999</v>
      </c>
      <c r="DT42" s="140">
        <f t="shared" si="94"/>
        <v>23865.599999999999</v>
      </c>
      <c r="DU42" s="140">
        <f t="shared" si="94"/>
        <v>25304.400000000001</v>
      </c>
      <c r="DV42" s="140">
        <f t="shared" si="94"/>
        <v>26083.948</v>
      </c>
      <c r="DW42" s="140">
        <f t="shared" ref="DW42:EF42" si="95">+DW40*0.88</f>
        <v>23414.0808</v>
      </c>
      <c r="DX42" s="140">
        <f t="shared" si="95"/>
        <v>23103.490740000005</v>
      </c>
      <c r="DY42" s="140">
        <f t="shared" si="95"/>
        <v>24192.392080999998</v>
      </c>
      <c r="DZ42" s="140">
        <f t="shared" si="95"/>
        <v>25620.143408750002</v>
      </c>
      <c r="EA42" s="140">
        <f t="shared" si="95"/>
        <v>27214.215726692499</v>
      </c>
      <c r="EB42" s="140">
        <f t="shared" si="95"/>
        <v>28769.566854155873</v>
      </c>
      <c r="EC42" s="140">
        <f t="shared" si="95"/>
        <v>29525.330520635882</v>
      </c>
      <c r="ED42" s="140">
        <f t="shared" si="95"/>
        <v>26497.687701890332</v>
      </c>
      <c r="EE42" s="140">
        <f t="shared" si="95"/>
        <v>24095.401632585123</v>
      </c>
      <c r="EF42" s="140">
        <f t="shared" si="95"/>
        <v>25470.675834110498</v>
      </c>
    </row>
    <row r="43" spans="2:136" s="17" customFormat="1" x14ac:dyDescent="0.25">
      <c r="B43" s="17" t="s">
        <v>19</v>
      </c>
      <c r="C43" s="82">
        <v>33.554000000000002</v>
      </c>
      <c r="D43" s="82">
        <v>30.850999999999999</v>
      </c>
      <c r="E43" s="82">
        <v>35.338000000000001</v>
      </c>
      <c r="F43" s="82">
        <v>35.015000000000001</v>
      </c>
      <c r="G43" s="82">
        <v>41.14</v>
      </c>
      <c r="H43" s="82">
        <v>38.795000000000002</v>
      </c>
      <c r="I43" s="82">
        <v>31.670999999999999</v>
      </c>
      <c r="J43" s="82">
        <v>53.267000000000003</v>
      </c>
      <c r="K43" s="82">
        <v>53.677999999999997</v>
      </c>
      <c r="L43" s="82">
        <v>45.643000000000001</v>
      </c>
      <c r="M43" s="82">
        <v>49.204000000000001</v>
      </c>
      <c r="N43" s="82">
        <v>75.027000000000086</v>
      </c>
      <c r="O43" s="82">
        <v>70.433999999999997</v>
      </c>
      <c r="P43" s="82">
        <v>59.697000000000003</v>
      </c>
      <c r="Q43" s="82">
        <v>78.8</v>
      </c>
      <c r="R43" s="82">
        <v>68.8</v>
      </c>
      <c r="S43" s="82">
        <f>88.4-11.949</f>
        <v>76.451000000000008</v>
      </c>
      <c r="T43" s="82">
        <f>90.536-12.892</f>
        <v>77.644000000000005</v>
      </c>
      <c r="U43" s="82">
        <f>93.305-13.267</f>
        <v>80.038000000000011</v>
      </c>
      <c r="V43" s="82">
        <f>111.62-14.055</f>
        <v>97.564999999999998</v>
      </c>
      <c r="W43" s="82">
        <f>130.09-21.108</f>
        <v>108.982</v>
      </c>
      <c r="X43" s="82">
        <v>119.3</v>
      </c>
      <c r="Y43" s="82">
        <v>140.357</v>
      </c>
      <c r="Z43" s="82">
        <v>184.648</v>
      </c>
      <c r="AA43" s="82">
        <f>155.301-16.895</f>
        <v>138.40599999999998</v>
      </c>
      <c r="AB43" s="82">
        <f>176.542-15.37</f>
        <v>161.172</v>
      </c>
      <c r="AC43" s="82">
        <f>188.062-17.68</f>
        <v>170.38200000000001</v>
      </c>
      <c r="AD43" s="82">
        <v>185.285</v>
      </c>
      <c r="AE43" s="104">
        <v>171.8</v>
      </c>
      <c r="AF43" s="104">
        <v>206.066</v>
      </c>
      <c r="AG43" s="104">
        <v>242.2</v>
      </c>
      <c r="AH43" s="104">
        <v>211.25700000000001</v>
      </c>
      <c r="AI43" s="104">
        <v>196.495</v>
      </c>
      <c r="AJ43" s="104">
        <v>207.41499999999999</v>
      </c>
      <c r="AK43" s="104">
        <v>203.2</v>
      </c>
      <c r="AL43" s="104">
        <v>231.8</v>
      </c>
      <c r="AM43" s="104">
        <v>254.446</v>
      </c>
      <c r="AN43" s="82">
        <v>282.40300000000002</v>
      </c>
      <c r="AO43" s="82">
        <v>290.10000000000002</v>
      </c>
      <c r="AP43" s="82">
        <v>402.23599999999999</v>
      </c>
      <c r="AQ43" s="82">
        <v>458.21100000000001</v>
      </c>
      <c r="AR43" s="82">
        <v>396.24400000000003</v>
      </c>
      <c r="AS43" s="82">
        <v>465.83100000000002</v>
      </c>
      <c r="AT43" s="82">
        <v>439.65899999999999</v>
      </c>
      <c r="AU43" s="82">
        <v>497.63200000000001</v>
      </c>
      <c r="AV43" s="82">
        <v>487.77100000000002</v>
      </c>
      <c r="AW43" s="82">
        <v>488.53500000000003</v>
      </c>
      <c r="AX43" s="82">
        <v>511.38499999999999</v>
      </c>
      <c r="AY43" s="82">
        <v>557.80499999999995</v>
      </c>
      <c r="AZ43" s="82">
        <v>541.97400000000005</v>
      </c>
      <c r="BA43" s="82">
        <f>+AZ43</f>
        <v>541.97400000000005</v>
      </c>
      <c r="BB43" s="82">
        <v>899</v>
      </c>
      <c r="BC43" s="82">
        <v>651</v>
      </c>
      <c r="BD43" s="82">
        <v>702</v>
      </c>
      <c r="BE43" s="82">
        <v>743</v>
      </c>
      <c r="BF43" s="82">
        <v>779</v>
      </c>
      <c r="BG43" s="82">
        <v>769</v>
      </c>
      <c r="BH43" s="82">
        <v>1484</v>
      </c>
      <c r="BI43" s="82">
        <v>1141</v>
      </c>
      <c r="BJ43" s="140">
        <v>959</v>
      </c>
      <c r="BK43" s="140">
        <v>889</v>
      </c>
      <c r="BL43" s="82">
        <v>864</v>
      </c>
      <c r="BM43" s="82">
        <v>789</v>
      </c>
      <c r="BN43" s="140">
        <v>845</v>
      </c>
      <c r="BO43" s="140">
        <v>814</v>
      </c>
      <c r="BP43" s="140">
        <v>921</v>
      </c>
      <c r="BQ43" s="140">
        <v>939</v>
      </c>
      <c r="BR43" s="140">
        <v>939</v>
      </c>
      <c r="BS43" s="140">
        <v>932</v>
      </c>
      <c r="BT43" s="82">
        <v>916</v>
      </c>
      <c r="BU43" s="140">
        <v>4990</v>
      </c>
      <c r="BV43" s="140">
        <v>1103</v>
      </c>
      <c r="BW43" s="140">
        <v>1004</v>
      </c>
      <c r="BX43" s="140">
        <v>1186</v>
      </c>
      <c r="BY43" s="140">
        <v>1155</v>
      </c>
      <c r="BZ43" s="140">
        <v>1512</v>
      </c>
      <c r="CA43" s="140">
        <v>1049</v>
      </c>
      <c r="CB43" s="140">
        <v>1042</v>
      </c>
      <c r="CC43" s="140">
        <v>1063</v>
      </c>
      <c r="CD43" s="140">
        <v>1315</v>
      </c>
      <c r="CE43" s="140">
        <v>1158</v>
      </c>
      <c r="CF43" s="140">
        <v>1102</v>
      </c>
      <c r="CG43" s="140">
        <v>1173</v>
      </c>
      <c r="CH43" s="140">
        <v>1544</v>
      </c>
      <c r="CI43" s="140">
        <v>1439</v>
      </c>
      <c r="CJ43" s="140">
        <v>1377</v>
      </c>
      <c r="CK43" s="140">
        <v>1453</v>
      </c>
      <c r="CL43" s="140">
        <v>1452</v>
      </c>
      <c r="CM43" s="140">
        <v>1403</v>
      </c>
      <c r="CN43" s="140">
        <v>1335</v>
      </c>
      <c r="CO43" s="140">
        <v>1382</v>
      </c>
      <c r="CP43" s="140">
        <v>1612</v>
      </c>
      <c r="CQ43" s="140"/>
      <c r="CR43" s="140"/>
      <c r="CS43" s="140"/>
      <c r="CT43" s="140"/>
      <c r="CU43" s="79"/>
      <c r="CV43" s="79">
        <v>110.873</v>
      </c>
      <c r="CW43" s="79">
        <v>132.339</v>
      </c>
      <c r="CX43" s="79">
        <v>185.553</v>
      </c>
      <c r="CY43" s="79">
        <v>134.75799999999998</v>
      </c>
      <c r="CZ43" s="79">
        <v>164.87299999999999</v>
      </c>
      <c r="DA43" s="79">
        <v>223.55200000000008</v>
      </c>
      <c r="DB43" s="17">
        <v>277.73099999999999</v>
      </c>
      <c r="DC43" s="82">
        <f>SUM(S43:V43)</f>
        <v>331.69800000000004</v>
      </c>
      <c r="DD43" s="82">
        <f>SUM(W43:Z43)</f>
        <v>553.28700000000003</v>
      </c>
      <c r="DE43" s="82">
        <f>SUM(AA43:AD43)</f>
        <v>655.245</v>
      </c>
      <c r="DF43" s="105">
        <f>SUM(AE43:AH43)</f>
        <v>831.32300000000009</v>
      </c>
      <c r="DG43" s="104">
        <f>SUM(AI43:AL43)</f>
        <v>838.90999999999985</v>
      </c>
      <c r="DH43" s="82">
        <f>SUM(AM43:AP43)</f>
        <v>1229.1849999999999</v>
      </c>
      <c r="DI43" s="93">
        <f t="shared" si="78"/>
        <v>1759.9450000000002</v>
      </c>
      <c r="DJ43" s="83">
        <f>SUM(AU43:AX43)</f>
        <v>1985.3230000000001</v>
      </c>
      <c r="DK43" s="82"/>
      <c r="DL43" s="82"/>
      <c r="DM43" s="82"/>
      <c r="DN43" s="140"/>
      <c r="DO43" s="140"/>
      <c r="DP43" s="140"/>
      <c r="DQ43" s="140"/>
      <c r="DR43" s="140"/>
      <c r="DS43" s="140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</row>
    <row r="44" spans="2:136" s="17" customFormat="1" x14ac:dyDescent="0.25">
      <c r="B44" s="17" t="s">
        <v>18</v>
      </c>
      <c r="C44" s="82">
        <v>39.762999999999998</v>
      </c>
      <c r="D44" s="82">
        <v>41.6</v>
      </c>
      <c r="E44" s="82">
        <v>42.317</v>
      </c>
      <c r="F44" s="82">
        <v>57.621000000000002</v>
      </c>
      <c r="G44" s="82">
        <v>47.591000000000001</v>
      </c>
      <c r="H44" s="82">
        <v>60.197000000000003</v>
      </c>
      <c r="I44" s="82">
        <v>63.591999999999999</v>
      </c>
      <c r="J44" s="82">
        <v>78.777000000000001</v>
      </c>
      <c r="K44" s="82">
        <v>76.076999999999998</v>
      </c>
      <c r="L44" s="82">
        <v>73.789000000000001</v>
      </c>
      <c r="M44" s="82">
        <v>72.370999999999995</v>
      </c>
      <c r="N44" s="82">
        <v>80.556000000000338</v>
      </c>
      <c r="O44" s="82">
        <v>80.135000000000005</v>
      </c>
      <c r="P44" s="82">
        <v>94.805000000000007</v>
      </c>
      <c r="Q44" s="82">
        <v>99.2</v>
      </c>
      <c r="R44" s="82">
        <v>104.3</v>
      </c>
      <c r="S44" s="82">
        <f>142.469-14.496</f>
        <v>127.973</v>
      </c>
      <c r="T44" s="82">
        <f>151.568-21.349</f>
        <v>130.21900000000002</v>
      </c>
      <c r="U44" s="82">
        <f>132.529-15.954</f>
        <v>116.57499999999999</v>
      </c>
      <c r="V44" s="82">
        <f>147.093-18.993</f>
        <v>128.1</v>
      </c>
      <c r="W44" s="82">
        <f>166.558-33.656</f>
        <v>132.90199999999999</v>
      </c>
      <c r="X44" s="82">
        <v>157.69999999999999</v>
      </c>
      <c r="Y44" s="82">
        <v>172.95599999999999</v>
      </c>
      <c r="Z44" s="82">
        <v>180.048</v>
      </c>
      <c r="AA44" s="82">
        <f>194.957-17.547</f>
        <v>177.41</v>
      </c>
      <c r="AB44" s="82">
        <f>219.533-18.657</f>
        <v>200.87599999999998</v>
      </c>
      <c r="AC44" s="82">
        <f>189.189-21.322</f>
        <v>167.86699999999999</v>
      </c>
      <c r="AD44" s="82">
        <v>174.66200000000001</v>
      </c>
      <c r="AE44" s="104">
        <v>183.1</v>
      </c>
      <c r="AF44" s="104">
        <v>213.202</v>
      </c>
      <c r="AG44" s="104">
        <v>200.3</v>
      </c>
      <c r="AH44" s="104">
        <v>223.42699999999999</v>
      </c>
      <c r="AI44" s="104">
        <v>229.11500000000001</v>
      </c>
      <c r="AJ44" s="104">
        <v>223.541</v>
      </c>
      <c r="AK44" s="104">
        <v>220.6</v>
      </c>
      <c r="AL44" s="104">
        <v>239.3</v>
      </c>
      <c r="AM44" s="104">
        <v>295.56799999999998</v>
      </c>
      <c r="AN44" s="82">
        <v>304.26900000000001</v>
      </c>
      <c r="AO44" s="82">
        <v>295.89999999999998</v>
      </c>
      <c r="AP44" s="82">
        <v>346.21899999999999</v>
      </c>
      <c r="AQ44" s="82">
        <v>443.12099999999998</v>
      </c>
      <c r="AR44" s="82">
        <v>332.505</v>
      </c>
      <c r="AS44" s="82">
        <v>319.58300000000003</v>
      </c>
      <c r="AT44" s="82">
        <v>365.82499999999999</v>
      </c>
      <c r="AU44" s="82">
        <v>374.29599999999999</v>
      </c>
      <c r="AV44" s="82">
        <v>376.33600000000001</v>
      </c>
      <c r="AW44" s="82">
        <v>376.84100000000001</v>
      </c>
      <c r="AX44" s="82">
        <v>470.96499999999997</v>
      </c>
      <c r="AY44" s="82">
        <v>500.10500000000002</v>
      </c>
      <c r="AZ44" s="82">
        <v>570</v>
      </c>
      <c r="BA44" s="82">
        <f>+AZ44+10</f>
        <v>580</v>
      </c>
      <c r="BB44" s="82">
        <v>799</v>
      </c>
      <c r="BC44" s="82">
        <v>600</v>
      </c>
      <c r="BD44" s="82">
        <v>761</v>
      </c>
      <c r="BE44" s="82">
        <v>903</v>
      </c>
      <c r="BF44" s="82">
        <v>1013</v>
      </c>
      <c r="BG44" s="82">
        <v>638</v>
      </c>
      <c r="BH44" s="82">
        <v>890</v>
      </c>
      <c r="BI44" s="82">
        <v>831</v>
      </c>
      <c r="BJ44" s="140">
        <v>938</v>
      </c>
      <c r="BK44" s="140">
        <v>807</v>
      </c>
      <c r="BL44" s="82">
        <v>897</v>
      </c>
      <c r="BM44" s="82">
        <v>879</v>
      </c>
      <c r="BN44" s="140">
        <v>923</v>
      </c>
      <c r="BO44" s="140">
        <v>884</v>
      </c>
      <c r="BP44" s="140">
        <v>840</v>
      </c>
      <c r="BQ44" s="140">
        <v>948</v>
      </c>
      <c r="BR44" s="140">
        <v>1032</v>
      </c>
      <c r="BS44" s="140">
        <v>1030</v>
      </c>
      <c r="BT44" s="82">
        <v>1015</v>
      </c>
      <c r="BU44" s="140">
        <v>1052</v>
      </c>
      <c r="BV44" s="140">
        <v>1204</v>
      </c>
      <c r="BW44" s="140">
        <v>1076</v>
      </c>
      <c r="BX44" s="140">
        <v>1164</v>
      </c>
      <c r="BY44" s="140">
        <v>1095</v>
      </c>
      <c r="BZ44" s="140">
        <v>1499</v>
      </c>
      <c r="CA44" s="140">
        <v>1033</v>
      </c>
      <c r="CB44" s="140">
        <v>1121</v>
      </c>
      <c r="CC44" s="140">
        <v>1178</v>
      </c>
      <c r="CD44" s="140">
        <v>1642</v>
      </c>
      <c r="CE44" s="140">
        <v>1083</v>
      </c>
      <c r="CF44" s="140">
        <v>1272</v>
      </c>
      <c r="CG44" s="140">
        <v>1212</v>
      </c>
      <c r="CH44" s="140">
        <v>2020</v>
      </c>
      <c r="CI44" s="140">
        <v>1318</v>
      </c>
      <c r="CJ44" s="140">
        <v>1848</v>
      </c>
      <c r="CK44" s="140">
        <v>1298</v>
      </c>
      <c r="CL44" s="140">
        <v>1597</v>
      </c>
      <c r="CM44" s="140">
        <v>1295</v>
      </c>
      <c r="CN44" s="140">
        <v>1351</v>
      </c>
      <c r="CO44" s="140">
        <v>1405</v>
      </c>
      <c r="CP44" s="140">
        <v>1852</v>
      </c>
      <c r="CQ44" s="140"/>
      <c r="CR44" s="140"/>
      <c r="CS44" s="140"/>
      <c r="CT44" s="140"/>
      <c r="CU44" s="79"/>
      <c r="CV44" s="79">
        <v>99.418999999999997</v>
      </c>
      <c r="CW44" s="79">
        <v>82.022000000000006</v>
      </c>
      <c r="CX44" s="79">
        <v>125.14100000000001</v>
      </c>
      <c r="CY44" s="79">
        <v>181.30100000000002</v>
      </c>
      <c r="CZ44" s="79">
        <v>250.15699999999998</v>
      </c>
      <c r="DA44" s="79">
        <v>302.79300000000029</v>
      </c>
      <c r="DB44" s="17">
        <v>379.18100000000004</v>
      </c>
      <c r="DC44" s="82">
        <f>SUM(S44:V44)</f>
        <v>502.86699999999996</v>
      </c>
      <c r="DD44" s="82">
        <f>SUM(W44:Z44)</f>
        <v>643.60599999999999</v>
      </c>
      <c r="DE44" s="82">
        <f>SUM(AA44:AD44)</f>
        <v>720.81499999999994</v>
      </c>
      <c r="DF44" s="105">
        <f>SUM(AE44:AH44)</f>
        <v>820.02900000000011</v>
      </c>
      <c r="DG44" s="104">
        <f>SUM(AI44:AL44)</f>
        <v>912.55600000000004</v>
      </c>
      <c r="DH44" s="82">
        <f>SUM(AM44:AP44)</f>
        <v>1241.9559999999999</v>
      </c>
      <c r="DI44" s="93">
        <f t="shared" si="78"/>
        <v>1461.0340000000001</v>
      </c>
      <c r="DJ44" s="83">
        <f>SUM(AU44:AX44)</f>
        <v>1598.4379999999999</v>
      </c>
      <c r="DK44" s="82">
        <f>SUM(AY44:BB44)</f>
        <v>2449.105</v>
      </c>
      <c r="DL44" s="82">
        <f>+DK44</f>
        <v>2449.105</v>
      </c>
      <c r="DM44" s="82">
        <f t="shared" ref="DM44:DV44" si="96">+DL44</f>
        <v>2449.105</v>
      </c>
      <c r="DN44" s="140">
        <f t="shared" si="96"/>
        <v>2449.105</v>
      </c>
      <c r="DO44" s="140">
        <f t="shared" si="96"/>
        <v>2449.105</v>
      </c>
      <c r="DP44" s="140">
        <f t="shared" si="96"/>
        <v>2449.105</v>
      </c>
      <c r="DQ44" s="140">
        <f t="shared" si="96"/>
        <v>2449.105</v>
      </c>
      <c r="DR44" s="140">
        <f t="shared" si="96"/>
        <v>2449.105</v>
      </c>
      <c r="DS44" s="140">
        <f t="shared" si="96"/>
        <v>2449.105</v>
      </c>
      <c r="DT44" s="140">
        <f t="shared" si="96"/>
        <v>2449.105</v>
      </c>
      <c r="DU44" s="140">
        <f t="shared" si="96"/>
        <v>2449.105</v>
      </c>
      <c r="DV44" s="140">
        <f t="shared" si="96"/>
        <v>2449.105</v>
      </c>
      <c r="DW44" s="140">
        <f t="shared" ref="DW44" si="97">+DV44</f>
        <v>2449.105</v>
      </c>
      <c r="DX44" s="140">
        <f t="shared" ref="DX44" si="98">+DW44</f>
        <v>2449.105</v>
      </c>
      <c r="DY44" s="140">
        <f t="shared" ref="DY44" si="99">+DX44</f>
        <v>2449.105</v>
      </c>
      <c r="DZ44" s="140">
        <f t="shared" ref="DZ44" si="100">+DY44</f>
        <v>2449.105</v>
      </c>
      <c r="EA44" s="140">
        <f t="shared" ref="EA44" si="101">+DZ44</f>
        <v>2449.105</v>
      </c>
      <c r="EB44" s="140">
        <f t="shared" ref="EB44" si="102">+EA44</f>
        <v>2449.105</v>
      </c>
      <c r="EC44" s="140">
        <f t="shared" ref="EC44" si="103">+EB44</f>
        <v>2449.105</v>
      </c>
      <c r="ED44" s="140">
        <f t="shared" ref="ED44" si="104">+EC44</f>
        <v>2449.105</v>
      </c>
      <c r="EE44" s="140">
        <f t="shared" ref="EE44" si="105">+ED44</f>
        <v>2449.105</v>
      </c>
      <c r="EF44" s="140">
        <f t="shared" ref="EF44" si="106">+EE44</f>
        <v>2449.105</v>
      </c>
    </row>
    <row r="45" spans="2:136" s="75" customFormat="1" x14ac:dyDescent="0.25">
      <c r="B45" s="75" t="s">
        <v>49</v>
      </c>
      <c r="C45" s="83">
        <f t="shared" ref="C45:R45" si="107">SUM(C41:C44)</f>
        <v>78.694000000000003</v>
      </c>
      <c r="D45" s="83">
        <f t="shared" si="107"/>
        <v>79.188000000000002</v>
      </c>
      <c r="E45" s="83">
        <f t="shared" si="107"/>
        <v>82.037000000000006</v>
      </c>
      <c r="F45" s="83">
        <f t="shared" si="107"/>
        <v>96.545999999999992</v>
      </c>
      <c r="G45" s="83">
        <f t="shared" si="107"/>
        <v>96.115000000000009</v>
      </c>
      <c r="H45" s="83">
        <f t="shared" si="107"/>
        <v>106.027</v>
      </c>
      <c r="I45" s="83">
        <f t="shared" si="107"/>
        <v>100.13800000000001</v>
      </c>
      <c r="J45" s="83">
        <f t="shared" si="107"/>
        <v>137.96899999999999</v>
      </c>
      <c r="K45" s="83" t="e">
        <f t="shared" si="107"/>
        <v>#REF!</v>
      </c>
      <c r="L45" s="83" t="e">
        <f t="shared" si="107"/>
        <v>#REF!</v>
      </c>
      <c r="M45" s="83" t="e">
        <f t="shared" si="107"/>
        <v>#REF!</v>
      </c>
      <c r="N45" s="83" t="e">
        <f t="shared" si="107"/>
        <v>#REF!</v>
      </c>
      <c r="O45" s="83" t="e">
        <f t="shared" si="107"/>
        <v>#REF!</v>
      </c>
      <c r="P45" s="83" t="e">
        <f t="shared" si="107"/>
        <v>#REF!</v>
      </c>
      <c r="Q45" s="83" t="e">
        <f t="shared" si="107"/>
        <v>#REF!</v>
      </c>
      <c r="R45" s="83" t="e">
        <f t="shared" si="107"/>
        <v>#REF!</v>
      </c>
      <c r="S45" s="83">
        <f t="shared" ref="S45:Z45" si="108">S44+S43</f>
        <v>204.42400000000001</v>
      </c>
      <c r="T45" s="83">
        <f t="shared" si="108"/>
        <v>207.86300000000003</v>
      </c>
      <c r="U45" s="83">
        <f t="shared" si="108"/>
        <v>196.613</v>
      </c>
      <c r="V45" s="82">
        <f t="shared" si="108"/>
        <v>225.66499999999999</v>
      </c>
      <c r="W45" s="83">
        <f t="shared" si="108"/>
        <v>241.88399999999999</v>
      </c>
      <c r="X45" s="83">
        <f t="shared" si="108"/>
        <v>277</v>
      </c>
      <c r="Y45" s="83">
        <f t="shared" si="108"/>
        <v>313.31299999999999</v>
      </c>
      <c r="Z45" s="82">
        <f t="shared" si="108"/>
        <v>364.69600000000003</v>
      </c>
      <c r="AA45" s="82">
        <f t="shared" ref="AA45:AM45" si="109">AA44+AA43</f>
        <v>315.81599999999997</v>
      </c>
      <c r="AB45" s="82">
        <f t="shared" si="109"/>
        <v>362.048</v>
      </c>
      <c r="AC45" s="82">
        <f t="shared" si="109"/>
        <v>338.24900000000002</v>
      </c>
      <c r="AD45" s="82">
        <f t="shared" si="109"/>
        <v>359.947</v>
      </c>
      <c r="AE45" s="82">
        <f t="shared" si="109"/>
        <v>354.9</v>
      </c>
      <c r="AF45" s="82">
        <f t="shared" si="109"/>
        <v>419.26800000000003</v>
      </c>
      <c r="AG45" s="82">
        <f t="shared" si="109"/>
        <v>442.5</v>
      </c>
      <c r="AH45" s="82">
        <f t="shared" si="109"/>
        <v>434.68399999999997</v>
      </c>
      <c r="AI45" s="82">
        <f t="shared" si="109"/>
        <v>425.61</v>
      </c>
      <c r="AJ45" s="82">
        <f t="shared" si="109"/>
        <v>430.95600000000002</v>
      </c>
      <c r="AK45" s="82">
        <f t="shared" si="109"/>
        <v>423.79999999999995</v>
      </c>
      <c r="AL45" s="82">
        <f t="shared" si="109"/>
        <v>471.1</v>
      </c>
      <c r="AM45" s="82">
        <f t="shared" si="109"/>
        <v>550.01400000000001</v>
      </c>
      <c r="AN45" s="82">
        <f t="shared" ref="AN45" si="110">AN44+AN43</f>
        <v>586.67200000000003</v>
      </c>
      <c r="AO45" s="82">
        <f t="shared" ref="AO45" si="111">AO44+AO43</f>
        <v>586</v>
      </c>
      <c r="AP45" s="82">
        <f>+AP44+AP43</f>
        <v>748.45499999999993</v>
      </c>
      <c r="AQ45" s="82">
        <f t="shared" ref="AQ45:AX45" si="112">+AQ44+AQ43</f>
        <v>901.33199999999999</v>
      </c>
      <c r="AR45" s="82">
        <f t="shared" si="112"/>
        <v>728.74900000000002</v>
      </c>
      <c r="AS45" s="82">
        <f t="shared" si="112"/>
        <v>785.41399999999999</v>
      </c>
      <c r="AT45" s="82">
        <f t="shared" si="112"/>
        <v>805.48399999999992</v>
      </c>
      <c r="AU45" s="82">
        <f t="shared" si="112"/>
        <v>871.928</v>
      </c>
      <c r="AV45" s="82">
        <f t="shared" si="112"/>
        <v>864.10699999999997</v>
      </c>
      <c r="AW45" s="82">
        <f t="shared" si="112"/>
        <v>865.37599999999998</v>
      </c>
      <c r="AX45" s="82">
        <f t="shared" si="112"/>
        <v>982.34999999999991</v>
      </c>
      <c r="AY45" s="82">
        <f>+AY44+AY43</f>
        <v>1057.9099999999999</v>
      </c>
      <c r="AZ45" s="82">
        <f>+AZ44+AZ43</f>
        <v>1111.9740000000002</v>
      </c>
      <c r="BA45" s="82">
        <f t="shared" ref="BA45:BE45" si="113">+BA44+BA43</f>
        <v>1121.9740000000002</v>
      </c>
      <c r="BB45" s="82">
        <f t="shared" si="113"/>
        <v>1698</v>
      </c>
      <c r="BC45" s="82">
        <f t="shared" si="113"/>
        <v>1251</v>
      </c>
      <c r="BD45" s="82">
        <f t="shared" si="113"/>
        <v>1463</v>
      </c>
      <c r="BE45" s="82">
        <f t="shared" si="113"/>
        <v>1646</v>
      </c>
      <c r="BF45" s="140">
        <f t="shared" ref="BF45:BG45" si="114">BF43+BF44</f>
        <v>1792</v>
      </c>
      <c r="BG45" s="140">
        <f t="shared" si="114"/>
        <v>1407</v>
      </c>
      <c r="BH45" s="140">
        <f t="shared" ref="BH45:BI45" si="115">BH43+BH44</f>
        <v>2374</v>
      </c>
      <c r="BI45" s="140">
        <f t="shared" si="115"/>
        <v>1972</v>
      </c>
      <c r="BJ45" s="140">
        <f t="shared" ref="BJ45:BM45" si="116">BJ43+BJ44</f>
        <v>1897</v>
      </c>
      <c r="BK45" s="140">
        <f t="shared" si="116"/>
        <v>1696</v>
      </c>
      <c r="BL45" s="140">
        <f t="shared" si="116"/>
        <v>1761</v>
      </c>
      <c r="BM45" s="140">
        <f t="shared" si="116"/>
        <v>1668</v>
      </c>
      <c r="BN45" s="140">
        <f t="shared" ref="BN45" si="117">BN43+BN44</f>
        <v>1768</v>
      </c>
      <c r="BO45" s="140">
        <f t="shared" ref="BO45" si="118">BO43+BO44</f>
        <v>1698</v>
      </c>
      <c r="BP45" s="140">
        <f t="shared" ref="BP45:BQ45" si="119">BP43+BP44</f>
        <v>1761</v>
      </c>
      <c r="BQ45" s="140">
        <f t="shared" si="119"/>
        <v>1887</v>
      </c>
      <c r="BR45" s="140">
        <f t="shared" ref="BR45:BT45" si="120">BR43+BR44</f>
        <v>1971</v>
      </c>
      <c r="BS45" s="140">
        <f t="shared" si="120"/>
        <v>1962</v>
      </c>
      <c r="BT45" s="140">
        <f t="shared" si="120"/>
        <v>1931</v>
      </c>
      <c r="BU45" s="140">
        <f t="shared" ref="BU45:BV45" si="121">BU43+BU44</f>
        <v>6042</v>
      </c>
      <c r="BV45" s="140">
        <f t="shared" si="121"/>
        <v>2307</v>
      </c>
      <c r="BW45" s="140">
        <f t="shared" ref="BW45:BX45" si="122">BW43+BW44</f>
        <v>2080</v>
      </c>
      <c r="BX45" s="140">
        <f t="shared" si="122"/>
        <v>2350</v>
      </c>
      <c r="BY45" s="140">
        <f t="shared" ref="BY45" si="123">BY43+BY44</f>
        <v>2250</v>
      </c>
      <c r="BZ45" s="140">
        <f t="shared" ref="BZ45" si="124">BZ43+BZ44</f>
        <v>3011</v>
      </c>
      <c r="CA45" s="140">
        <f>CA43+CA44</f>
        <v>2082</v>
      </c>
      <c r="CB45" s="140">
        <f t="shared" ref="CB45:CE45" si="125">CB43+CB44</f>
        <v>2163</v>
      </c>
      <c r="CC45" s="140">
        <f t="shared" si="125"/>
        <v>2241</v>
      </c>
      <c r="CD45" s="140">
        <f t="shared" si="125"/>
        <v>2957</v>
      </c>
      <c r="CE45" s="140">
        <f t="shared" si="125"/>
        <v>2241</v>
      </c>
      <c r="CF45" s="140">
        <f t="shared" ref="CF45:CM45" si="126">CF43+CF44</f>
        <v>2374</v>
      </c>
      <c r="CG45" s="140">
        <f t="shared" si="126"/>
        <v>2385</v>
      </c>
      <c r="CH45" s="140">
        <f t="shared" si="126"/>
        <v>3564</v>
      </c>
      <c r="CI45" s="140">
        <f t="shared" si="126"/>
        <v>2757</v>
      </c>
      <c r="CJ45" s="140">
        <f t="shared" si="126"/>
        <v>3225</v>
      </c>
      <c r="CK45" s="140">
        <f t="shared" si="126"/>
        <v>2751</v>
      </c>
      <c r="CL45" s="140">
        <f t="shared" si="126"/>
        <v>3049</v>
      </c>
      <c r="CM45" s="140">
        <f t="shared" si="126"/>
        <v>2698</v>
      </c>
      <c r="CN45" s="140">
        <f>+CN43+CN44</f>
        <v>2686</v>
      </c>
      <c r="CO45" s="140">
        <f t="shared" ref="CO45:CP45" si="127">+CO43+CO44</f>
        <v>2787</v>
      </c>
      <c r="CP45" s="140">
        <f t="shared" si="127"/>
        <v>3464</v>
      </c>
      <c r="CQ45" s="140"/>
      <c r="CR45" s="140"/>
      <c r="CS45" s="140"/>
      <c r="CT45" s="140"/>
      <c r="CU45" s="155"/>
      <c r="CV45" s="155">
        <f t="shared" ref="CV45:DH45" si="128">CV43+CV44</f>
        <v>210.292</v>
      </c>
      <c r="CW45" s="155">
        <f t="shared" si="128"/>
        <v>214.36099999999999</v>
      </c>
      <c r="CX45" s="155">
        <f t="shared" si="128"/>
        <v>310.69400000000002</v>
      </c>
      <c r="CY45" s="155">
        <f t="shared" si="128"/>
        <v>316.05899999999997</v>
      </c>
      <c r="CZ45" s="155">
        <f t="shared" si="128"/>
        <v>415.03</v>
      </c>
      <c r="DA45" s="155">
        <f t="shared" si="128"/>
        <v>526.34500000000037</v>
      </c>
      <c r="DB45" s="75">
        <f t="shared" si="128"/>
        <v>656.91200000000003</v>
      </c>
      <c r="DC45" s="83">
        <f t="shared" si="128"/>
        <v>834.56500000000005</v>
      </c>
      <c r="DD45" s="83">
        <f t="shared" si="128"/>
        <v>1196.893</v>
      </c>
      <c r="DE45" s="83">
        <f>DE43+DE44</f>
        <v>1376.06</v>
      </c>
      <c r="DF45" s="105">
        <f>DF43+DF44</f>
        <v>1651.3520000000003</v>
      </c>
      <c r="DG45" s="105">
        <f>DG43+DG44</f>
        <v>1751.4659999999999</v>
      </c>
      <c r="DH45" s="83">
        <f t="shared" si="128"/>
        <v>2471.1409999999996</v>
      </c>
      <c r="DI45" s="83">
        <f t="shared" ref="DI45:DN45" si="129">DI43+DI44</f>
        <v>3220.9790000000003</v>
      </c>
      <c r="DJ45" s="83">
        <f t="shared" si="129"/>
        <v>3583.761</v>
      </c>
      <c r="DK45" s="83">
        <f t="shared" si="129"/>
        <v>2449.105</v>
      </c>
      <c r="DL45" s="83">
        <f t="shared" si="129"/>
        <v>2449.105</v>
      </c>
      <c r="DM45" s="83">
        <f t="shared" si="129"/>
        <v>2449.105</v>
      </c>
      <c r="DN45" s="142">
        <f t="shared" si="129"/>
        <v>2449.105</v>
      </c>
      <c r="DO45" s="142">
        <f t="shared" ref="DO45:DQ45" si="130">DO43+DO44</f>
        <v>2449.105</v>
      </c>
      <c r="DP45" s="142">
        <f t="shared" si="130"/>
        <v>2449.105</v>
      </c>
      <c r="DQ45" s="142">
        <f t="shared" si="130"/>
        <v>2449.105</v>
      </c>
      <c r="DR45" s="142">
        <f t="shared" ref="DR45:DV45" si="131">DR43+DR44</f>
        <v>2449.105</v>
      </c>
      <c r="DS45" s="142">
        <f t="shared" si="131"/>
        <v>2449.105</v>
      </c>
      <c r="DT45" s="155">
        <f t="shared" si="131"/>
        <v>2449.105</v>
      </c>
      <c r="DU45" s="155">
        <f t="shared" si="131"/>
        <v>2449.105</v>
      </c>
      <c r="DV45" s="155">
        <f t="shared" si="131"/>
        <v>2449.105</v>
      </c>
      <c r="DW45" s="155">
        <f t="shared" ref="DW45:EF45" si="132">DW43+DW44</f>
        <v>2449.105</v>
      </c>
      <c r="DX45" s="155">
        <f t="shared" si="132"/>
        <v>2449.105</v>
      </c>
      <c r="DY45" s="155">
        <f t="shared" si="132"/>
        <v>2449.105</v>
      </c>
      <c r="DZ45" s="155">
        <f t="shared" si="132"/>
        <v>2449.105</v>
      </c>
      <c r="EA45" s="155">
        <f t="shared" si="132"/>
        <v>2449.105</v>
      </c>
      <c r="EB45" s="155">
        <f t="shared" si="132"/>
        <v>2449.105</v>
      </c>
      <c r="EC45" s="155">
        <f t="shared" si="132"/>
        <v>2449.105</v>
      </c>
      <c r="ED45" s="155">
        <f t="shared" si="132"/>
        <v>2449.105</v>
      </c>
      <c r="EE45" s="155">
        <f t="shared" si="132"/>
        <v>2449.105</v>
      </c>
      <c r="EF45" s="155">
        <f t="shared" si="132"/>
        <v>2449.105</v>
      </c>
    </row>
    <row r="46" spans="2:136" s="17" customFormat="1" x14ac:dyDescent="0.25">
      <c r="B46" s="100" t="s">
        <v>642</v>
      </c>
      <c r="C46" s="82">
        <f t="shared" ref="C46:R46" si="133">C40-C45</f>
        <v>-73.317000000000007</v>
      </c>
      <c r="D46" s="82">
        <f t="shared" si="133"/>
        <v>-72.451000000000008</v>
      </c>
      <c r="E46" s="82">
        <f t="shared" si="133"/>
        <v>-77.655000000000001</v>
      </c>
      <c r="F46" s="82">
        <f t="shared" si="133"/>
        <v>-92.635999999999996</v>
      </c>
      <c r="G46" s="82">
        <f t="shared" si="133"/>
        <v>-88.731000000000009</v>
      </c>
      <c r="H46" s="82">
        <f t="shared" si="133"/>
        <v>-98.992000000000004</v>
      </c>
      <c r="I46" s="82">
        <f t="shared" si="133"/>
        <v>-95.263000000000005</v>
      </c>
      <c r="J46" s="82">
        <f t="shared" si="133"/>
        <v>-132.04399999999998</v>
      </c>
      <c r="K46" s="82" t="e">
        <f t="shared" si="133"/>
        <v>#REF!</v>
      </c>
      <c r="L46" s="82" t="e">
        <f t="shared" si="133"/>
        <v>#REF!</v>
      </c>
      <c r="M46" s="82" t="e">
        <f t="shared" si="133"/>
        <v>#REF!</v>
      </c>
      <c r="N46" s="82" t="e">
        <f t="shared" si="133"/>
        <v>#REF!</v>
      </c>
      <c r="O46" s="82" t="e">
        <f t="shared" si="133"/>
        <v>#REF!</v>
      </c>
      <c r="P46" s="82" t="e">
        <f t="shared" si="133"/>
        <v>#REF!</v>
      </c>
      <c r="Q46" s="82" t="e">
        <f t="shared" si="133"/>
        <v>#REF!</v>
      </c>
      <c r="R46" s="82" t="e">
        <f t="shared" si="133"/>
        <v>#REF!</v>
      </c>
      <c r="S46" s="82" t="e">
        <f t="shared" ref="S46:Z46" si="134">S42-S45</f>
        <v>#REF!</v>
      </c>
      <c r="T46" s="82" t="e">
        <f t="shared" si="134"/>
        <v>#REF!</v>
      </c>
      <c r="U46" s="82" t="e">
        <f t="shared" si="134"/>
        <v>#REF!</v>
      </c>
      <c r="V46" s="82" t="e">
        <f t="shared" si="134"/>
        <v>#REF!</v>
      </c>
      <c r="W46" s="82" t="e">
        <f t="shared" si="134"/>
        <v>#REF!</v>
      </c>
      <c r="X46" s="82" t="e">
        <f t="shared" si="134"/>
        <v>#REF!</v>
      </c>
      <c r="Y46" s="82" t="e">
        <f t="shared" si="134"/>
        <v>#REF!</v>
      </c>
      <c r="Z46" s="82" t="e">
        <f t="shared" si="134"/>
        <v>#REF!</v>
      </c>
      <c r="AA46" s="82" t="e">
        <f t="shared" ref="AA46:AM46" si="135">AA42-AA45</f>
        <v>#REF!</v>
      </c>
      <c r="AB46" s="82" t="e">
        <f t="shared" si="135"/>
        <v>#REF!</v>
      </c>
      <c r="AC46" s="82" t="e">
        <f t="shared" si="135"/>
        <v>#REF!</v>
      </c>
      <c r="AD46" s="82" t="e">
        <f t="shared" si="135"/>
        <v>#REF!</v>
      </c>
      <c r="AE46" s="82">
        <f t="shared" si="135"/>
        <v>849.4000000000002</v>
      </c>
      <c r="AF46" s="82">
        <f t="shared" si="135"/>
        <v>847.50099999999998</v>
      </c>
      <c r="AG46" s="82">
        <f t="shared" si="135"/>
        <v>949.18900000000053</v>
      </c>
      <c r="AH46" s="82">
        <f t="shared" si="135"/>
        <v>1145.6509999999996</v>
      </c>
      <c r="AI46" s="82">
        <f t="shared" si="135"/>
        <v>-545.43499999999995</v>
      </c>
      <c r="AJ46" s="82">
        <f t="shared" si="135"/>
        <v>1060.7329999999997</v>
      </c>
      <c r="AK46" s="82">
        <f t="shared" si="135"/>
        <v>1053.8220000000001</v>
      </c>
      <c r="AL46" s="82">
        <f t="shared" si="135"/>
        <v>-882.375</v>
      </c>
      <c r="AM46" s="82">
        <f t="shared" si="135"/>
        <v>878.0540000000002</v>
      </c>
      <c r="AN46" s="82">
        <f t="shared" ref="AN46" si="136">AN42-AN45</f>
        <v>1016.7180000000001</v>
      </c>
      <c r="AO46" s="82">
        <f t="shared" ref="AO46" si="137">AO42-AO45</f>
        <v>1004.2000000000003</v>
      </c>
      <c r="AP46" s="82">
        <f>+AP42-AP45</f>
        <v>867.47599999999966</v>
      </c>
      <c r="AQ46" s="82">
        <f t="shared" ref="AQ46:AX46" si="138">+AQ42-AQ45</f>
        <v>800.18599999999958</v>
      </c>
      <c r="AR46" s="82">
        <f t="shared" si="138"/>
        <v>1059.0919999999996</v>
      </c>
      <c r="AS46" s="82">
        <f t="shared" si="138"/>
        <v>1043.9140000000002</v>
      </c>
      <c r="AT46" s="82">
        <f t="shared" si="138"/>
        <v>1106.9829999999999</v>
      </c>
      <c r="AU46" s="82">
        <f t="shared" si="138"/>
        <v>1025.2590000000005</v>
      </c>
      <c r="AV46" s="82">
        <f t="shared" si="138"/>
        <v>1242.5200000000004</v>
      </c>
      <c r="AW46" s="82">
        <f t="shared" si="138"/>
        <v>1258.6760000000002</v>
      </c>
      <c r="AX46" s="82">
        <f t="shared" si="138"/>
        <v>1359.9920000000002</v>
      </c>
      <c r="AY46" s="82">
        <f>+AY42-AY45</f>
        <v>3329.7130000000025</v>
      </c>
      <c r="AZ46" s="82">
        <f>+AZ42-AZ45</f>
        <v>4699.6160000000009</v>
      </c>
      <c r="BA46" s="82">
        <f t="shared" ref="BA46:BE46" si="139">+BA42-BA45</f>
        <v>4194.9859999999999</v>
      </c>
      <c r="BB46" s="82">
        <f t="shared" si="139"/>
        <v>4769</v>
      </c>
      <c r="BC46" s="82">
        <f t="shared" si="139"/>
        <v>5669</v>
      </c>
      <c r="BD46" s="82">
        <f t="shared" si="139"/>
        <v>5993</v>
      </c>
      <c r="BE46" s="82">
        <f t="shared" si="139"/>
        <v>5585</v>
      </c>
      <c r="BF46" s="140">
        <f t="shared" ref="BF46:BG46" si="140">BF42-BF45</f>
        <v>5857</v>
      </c>
      <c r="BG46" s="140">
        <f t="shared" si="140"/>
        <v>5404</v>
      </c>
      <c r="BH46" s="140">
        <f t="shared" ref="BH46:BI46" si="141">BH42-BH45</f>
        <v>4538</v>
      </c>
      <c r="BI46" s="140">
        <f t="shared" si="141"/>
        <v>4399</v>
      </c>
      <c r="BJ46" s="140">
        <f t="shared" ref="BJ46:BM46" si="142">BJ42-BJ45</f>
        <v>4563</v>
      </c>
      <c r="BK46" s="140">
        <f t="shared" si="142"/>
        <v>4066</v>
      </c>
      <c r="BL46" s="140">
        <f t="shared" si="142"/>
        <v>4254</v>
      </c>
      <c r="BM46" s="140">
        <f t="shared" si="142"/>
        <v>3812</v>
      </c>
      <c r="BN46" s="140">
        <f t="shared" ref="BN46" si="143">BN42-BN45</f>
        <v>3215</v>
      </c>
      <c r="BO46" s="140">
        <f t="shared" ref="BO46" si="144">BO42-BO45</f>
        <v>2703</v>
      </c>
      <c r="BP46" s="140">
        <f t="shared" ref="BP46:BQ46" si="145">BP42-BP45</f>
        <v>3012</v>
      </c>
      <c r="BQ46" s="140">
        <f t="shared" si="145"/>
        <v>2623</v>
      </c>
      <c r="BR46" s="140">
        <f t="shared" ref="BR46:BT46" si="146">BR42-BR45</f>
        <v>2567</v>
      </c>
      <c r="BS46" s="140">
        <f t="shared" si="146"/>
        <v>2645</v>
      </c>
      <c r="BT46" s="140">
        <f t="shared" si="146"/>
        <v>3040</v>
      </c>
      <c r="BU46" s="140">
        <f t="shared" ref="BU46:BV46" si="147">BU42-BU45</f>
        <v>-1473</v>
      </c>
      <c r="BV46" s="140">
        <f t="shared" si="147"/>
        <v>2155</v>
      </c>
      <c r="BW46" s="140">
        <f t="shared" ref="BW46:BX46" si="148">BW42-BW45</f>
        <v>2765</v>
      </c>
      <c r="BX46" s="140">
        <f t="shared" si="148"/>
        <v>1995</v>
      </c>
      <c r="BY46" s="140">
        <f t="shared" ref="BY46" si="149">BY42-BY45</f>
        <v>3452</v>
      </c>
      <c r="BZ46" s="140">
        <f t="shared" ref="BZ46" si="150">BZ42-BZ45</f>
        <v>3492</v>
      </c>
      <c r="CA46" s="140">
        <f>CA42-CA45</f>
        <v>3486</v>
      </c>
      <c r="CB46" s="140">
        <f t="shared" ref="CB46:CE46" si="151">CB42-CB45</f>
        <v>3218</v>
      </c>
      <c r="CC46" s="140">
        <f t="shared" si="151"/>
        <v>4444</v>
      </c>
      <c r="CD46" s="140">
        <f t="shared" si="151"/>
        <v>2175</v>
      </c>
      <c r="CE46" s="140">
        <f t="shared" si="151"/>
        <v>3523</v>
      </c>
      <c r="CF46" s="140">
        <f t="shared" ref="CF46:CM46" si="152">CF42-CF45</f>
        <v>3001</v>
      </c>
      <c r="CG46" s="140">
        <f t="shared" si="152"/>
        <v>3734</v>
      </c>
      <c r="CH46" s="140">
        <f t="shared" si="152"/>
        <v>2857</v>
      </c>
      <c r="CI46" s="140">
        <f t="shared" si="152"/>
        <v>2724</v>
      </c>
      <c r="CJ46" s="140">
        <f t="shared" si="152"/>
        <v>2514</v>
      </c>
      <c r="CK46" s="140">
        <f t="shared" si="152"/>
        <v>3316</v>
      </c>
      <c r="CL46" s="140">
        <f t="shared" si="152"/>
        <v>3087</v>
      </c>
      <c r="CM46" s="140">
        <f t="shared" si="152"/>
        <v>3015</v>
      </c>
      <c r="CN46" s="140">
        <f>+CN42-CN45</f>
        <v>3303</v>
      </c>
      <c r="CO46" s="140">
        <f t="shared" ref="CO46:CP46" si="153">+CO42-CO45</f>
        <v>3763</v>
      </c>
      <c r="CP46" s="140">
        <f t="shared" si="153"/>
        <v>3103</v>
      </c>
      <c r="CQ46" s="140"/>
      <c r="CR46" s="140"/>
      <c r="CS46" s="140"/>
      <c r="CT46" s="140"/>
      <c r="CU46" s="79"/>
      <c r="CV46" s="79">
        <f t="shared" ref="CV46:DC46" si="154">CV42-CV45</f>
        <v>-210.292</v>
      </c>
      <c r="CW46" s="79">
        <f t="shared" si="154"/>
        <v>-214.36099999999999</v>
      </c>
      <c r="CX46" s="79">
        <f t="shared" si="154"/>
        <v>-310.69400000000002</v>
      </c>
      <c r="CY46" s="79">
        <f t="shared" si="154"/>
        <v>-316.05899999999997</v>
      </c>
      <c r="CZ46" s="79">
        <f t="shared" si="154"/>
        <v>-415.03</v>
      </c>
      <c r="DA46" s="79">
        <f t="shared" si="154"/>
        <v>-526.34500000000037</v>
      </c>
      <c r="DB46" s="17">
        <f t="shared" si="154"/>
        <v>-656.91200000000003</v>
      </c>
      <c r="DC46" s="82">
        <f t="shared" si="154"/>
        <v>-834.56500000000005</v>
      </c>
      <c r="DD46" s="82">
        <f>DD42-DD45</f>
        <v>-1196.893</v>
      </c>
      <c r="DE46" s="82">
        <f>DE42-DE45</f>
        <v>-1376.06</v>
      </c>
      <c r="DF46" s="104">
        <f>DF42-DF45</f>
        <v>3791.7410000000004</v>
      </c>
      <c r="DG46" s="104">
        <f>DG42-DG45</f>
        <v>686.74499999999989</v>
      </c>
      <c r="DH46" s="82">
        <f t="shared" ref="DH46" si="155">DH42-DH45</f>
        <v>3766.4480000000012</v>
      </c>
      <c r="DI46" s="82">
        <f t="shared" ref="DI46:DN46" si="156">DI42-DI45</f>
        <v>4010.1750000000011</v>
      </c>
      <c r="DJ46" s="82">
        <f t="shared" si="156"/>
        <v>4886.4469999999983</v>
      </c>
      <c r="DK46" s="82">
        <f t="shared" si="156"/>
        <v>17581.859799999998</v>
      </c>
      <c r="DL46" s="82">
        <f t="shared" si="156"/>
        <v>21700.660200000006</v>
      </c>
      <c r="DM46" s="82">
        <f t="shared" si="156"/>
        <v>23097.445651600003</v>
      </c>
      <c r="DN46" s="140">
        <f t="shared" si="156"/>
        <v>-2449.105</v>
      </c>
      <c r="DO46" s="140">
        <f t="shared" ref="DO46:DQ46" si="157">DO42-DO45</f>
        <v>-2449.105</v>
      </c>
      <c r="DP46" s="140">
        <f t="shared" si="157"/>
        <v>-2449.105</v>
      </c>
      <c r="DQ46" s="140">
        <f t="shared" si="157"/>
        <v>19277.215</v>
      </c>
      <c r="DR46" s="140">
        <f t="shared" ref="DR46:DV46" si="158">DR42-DR45</f>
        <v>21578.415000000001</v>
      </c>
      <c r="DS46" s="140">
        <f t="shared" si="158"/>
        <v>21558.174999999999</v>
      </c>
      <c r="DT46" s="79">
        <f t="shared" si="158"/>
        <v>21416.494999999999</v>
      </c>
      <c r="DU46" s="79">
        <f t="shared" si="158"/>
        <v>22855.295000000002</v>
      </c>
      <c r="DV46" s="79">
        <f t="shared" si="158"/>
        <v>23634.843000000001</v>
      </c>
      <c r="DW46" s="79">
        <f t="shared" ref="DW46:EF46" si="159">DW42-DW45</f>
        <v>20964.9758</v>
      </c>
      <c r="DX46" s="79">
        <f t="shared" si="159"/>
        <v>20654.385740000005</v>
      </c>
      <c r="DY46" s="79">
        <f t="shared" si="159"/>
        <v>21743.287080999999</v>
      </c>
      <c r="DZ46" s="79">
        <f t="shared" si="159"/>
        <v>23171.038408750002</v>
      </c>
      <c r="EA46" s="79">
        <f t="shared" si="159"/>
        <v>24765.110726692499</v>
      </c>
      <c r="EB46" s="79">
        <f t="shared" si="159"/>
        <v>26320.461854155874</v>
      </c>
      <c r="EC46" s="79">
        <f t="shared" si="159"/>
        <v>27076.225520635882</v>
      </c>
      <c r="ED46" s="79">
        <f t="shared" si="159"/>
        <v>24048.582701890333</v>
      </c>
      <c r="EE46" s="79">
        <f t="shared" si="159"/>
        <v>21646.296632585123</v>
      </c>
      <c r="EF46" s="79">
        <f t="shared" si="159"/>
        <v>23021.570834110498</v>
      </c>
    </row>
    <row r="47" spans="2:136" s="17" customFormat="1" x14ac:dyDescent="0.25">
      <c r="B47" s="17" t="s">
        <v>25</v>
      </c>
      <c r="C47" s="82">
        <v>2.1289999999999996</v>
      </c>
      <c r="D47" s="82">
        <v>1.155</v>
      </c>
      <c r="E47" s="82">
        <v>1.4380000000000002</v>
      </c>
      <c r="F47" s="82">
        <v>3.7160000000000002</v>
      </c>
      <c r="G47" s="82">
        <v>-1.7969999999999997</v>
      </c>
      <c r="H47" s="82">
        <v>-2.125</v>
      </c>
      <c r="I47" s="82">
        <v>-2.2220000000000004</v>
      </c>
      <c r="J47" s="82">
        <v>-2.714</v>
      </c>
      <c r="K47" s="82">
        <v>0.83899999999999997</v>
      </c>
      <c r="L47" s="82">
        <v>3.3370000000000002</v>
      </c>
      <c r="M47" s="82">
        <v>2.7590000000000003</v>
      </c>
      <c r="N47" s="82">
        <v>4.659999999999993</v>
      </c>
      <c r="O47" s="82">
        <v>8.3569999999999993</v>
      </c>
      <c r="P47" s="82">
        <f>9.878-0.015+0.914</f>
        <v>10.776999999999999</v>
      </c>
      <c r="Q47" s="82">
        <v>12.492000000000001</v>
      </c>
      <c r="R47" s="82">
        <v>15.75</v>
      </c>
      <c r="S47" s="82">
        <v>25.795000000000002</v>
      </c>
      <c r="T47" s="82">
        <f>37.36-5.207+1.244</f>
        <v>33.396999999999998</v>
      </c>
      <c r="U47" s="82">
        <f>36.197-6.081</f>
        <v>30.116000000000003</v>
      </c>
      <c r="V47" s="82">
        <f>32.56-5.35+2.388</f>
        <v>29.597999999999999</v>
      </c>
      <c r="W47" s="82">
        <f>23.104-4.547+2.153</f>
        <v>20.709999999999997</v>
      </c>
      <c r="X47" s="82">
        <f>27.689-2.707+2.401</f>
        <v>27.382999999999999</v>
      </c>
      <c r="Y47" s="82">
        <f>29.502-2.989+2.478</f>
        <v>28.991</v>
      </c>
      <c r="Z47" s="82">
        <f>29.528-2.857+2.076</f>
        <v>28.747</v>
      </c>
      <c r="AA47" s="82">
        <f>22.7-3.105</f>
        <v>19.594999999999999</v>
      </c>
      <c r="AB47" s="82">
        <f>14.026-3.174</f>
        <v>10.852</v>
      </c>
      <c r="AC47" s="82">
        <f>3.637-2.951</f>
        <v>0.68599999999999994</v>
      </c>
      <c r="AD47" s="82">
        <f>19.038-2.871</f>
        <v>16.167000000000002</v>
      </c>
      <c r="AE47" s="104">
        <f>4.159-16.671</f>
        <v>-12.512</v>
      </c>
      <c r="AF47" s="104">
        <f>12.923-18.484</f>
        <v>-5.5610000000000017</v>
      </c>
      <c r="AG47" s="104">
        <f>14.017-17.217</f>
        <v>-3.1999999999999993</v>
      </c>
      <c r="AH47" s="104">
        <f>-17.29+11.299</f>
        <v>-5.9909999999999997</v>
      </c>
      <c r="AI47" s="104">
        <f>15.645-16.955</f>
        <v>-1.3099999999999987</v>
      </c>
      <c r="AJ47" s="104">
        <f>18.285-17.764</f>
        <v>0.5210000000000008</v>
      </c>
      <c r="AK47" s="104">
        <f>15.593-33.62</f>
        <v>-18.026999999999997</v>
      </c>
      <c r="AL47" s="104">
        <f>10.764-40.622</f>
        <v>-29.858000000000001</v>
      </c>
      <c r="AM47" s="104">
        <f>13.832-41.216</f>
        <v>-27.384</v>
      </c>
      <c r="AN47" s="82">
        <f>11.978-46.107</f>
        <v>-34.128999999999998</v>
      </c>
      <c r="AO47" s="82">
        <f>14.4-43.1</f>
        <v>-28.700000000000003</v>
      </c>
      <c r="AP47" s="82">
        <f>26.365-74.998</f>
        <v>-48.63300000000001</v>
      </c>
      <c r="AQ47" s="82">
        <f>-97.27-34.085</f>
        <v>-131.35499999999999</v>
      </c>
      <c r="AR47" s="82">
        <f>-88.418-1.075</f>
        <v>-89.493000000000009</v>
      </c>
      <c r="AS47" s="82">
        <f>-89.322-3.505</f>
        <v>-92.826999999999998</v>
      </c>
      <c r="AT47" s="82">
        <f>-85.906-1.386</f>
        <v>-87.292000000000002</v>
      </c>
      <c r="AU47" s="82">
        <f>-81.787-3.324</f>
        <v>-85.111000000000004</v>
      </c>
      <c r="AV47" s="82">
        <f>-78.008-0.231</f>
        <v>-78.23899999999999</v>
      </c>
      <c r="AW47" s="82">
        <f>-73.949-5.777</f>
        <v>-79.725999999999999</v>
      </c>
      <c r="AX47" s="82">
        <f>-73.15-11.108</f>
        <v>-84.25800000000001</v>
      </c>
      <c r="AY47" s="82">
        <f>-76.269-17.912</f>
        <v>-94.181000000000012</v>
      </c>
      <c r="AZ47" s="82">
        <f>-102.004-3.645</f>
        <v>-105.649</v>
      </c>
      <c r="BA47" s="82">
        <f t="shared" ref="BA47" si="160">-73.15-11.108</f>
        <v>-84.25800000000001</v>
      </c>
      <c r="BB47" s="82">
        <f>-130+30</f>
        <v>-100</v>
      </c>
      <c r="BC47" s="82">
        <f>-153+21</f>
        <v>-132</v>
      </c>
      <c r="BD47" s="82">
        <f>-140+35</f>
        <v>-105</v>
      </c>
      <c r="BE47" s="82">
        <f>-165+52</f>
        <v>-113</v>
      </c>
      <c r="BF47" s="82">
        <f>-230+46</f>
        <v>-184</v>
      </c>
      <c r="BG47" s="82">
        <f>-230+81</f>
        <v>-149</v>
      </c>
      <c r="BH47" s="82">
        <f>-227+88</f>
        <v>-139</v>
      </c>
      <c r="BI47" s="82">
        <f>-242+119</f>
        <v>-123</v>
      </c>
      <c r="BJ47" s="140">
        <f>-265+140</f>
        <v>-125</v>
      </c>
      <c r="BK47" s="140">
        <f>-261+111</f>
        <v>-150</v>
      </c>
      <c r="BL47" s="82">
        <f>-269+130</f>
        <v>-139</v>
      </c>
      <c r="BM47" s="82">
        <f>-291+150</f>
        <v>-141</v>
      </c>
      <c r="BN47" s="140">
        <f>-297+132</f>
        <v>-165</v>
      </c>
      <c r="BO47" s="140">
        <f>-290+125</f>
        <v>-165</v>
      </c>
      <c r="BP47" s="140">
        <f>-266+136</f>
        <v>-130</v>
      </c>
      <c r="BQ47" s="140">
        <f>-264+305</f>
        <v>41</v>
      </c>
      <c r="BR47" s="140">
        <f>-257+163</f>
        <v>-94</v>
      </c>
      <c r="BS47" s="140">
        <f>-254+170</f>
        <v>-84</v>
      </c>
      <c r="BT47" s="82">
        <f>-248+171</f>
        <v>-77</v>
      </c>
      <c r="BU47" s="140">
        <f>-250+222</f>
        <v>-28</v>
      </c>
      <c r="BV47" s="140">
        <f>-243+122</f>
        <v>-121</v>
      </c>
      <c r="BW47" s="140">
        <f>-241+125</f>
        <v>-116</v>
      </c>
      <c r="BX47" s="140">
        <f>-240+250</f>
        <v>10</v>
      </c>
      <c r="BY47" s="140">
        <f>-236-940+983</f>
        <v>-193</v>
      </c>
      <c r="BZ47" s="140">
        <f>-267+46</f>
        <v>-221</v>
      </c>
      <c r="CA47" s="140">
        <f>-257-369</f>
        <v>-626</v>
      </c>
      <c r="CB47" s="140">
        <f>-256-173</f>
        <v>-429</v>
      </c>
      <c r="CC47" s="140">
        <f>-250-154+154</f>
        <v>-250</v>
      </c>
      <c r="CD47" s="140">
        <f>-238+57</f>
        <v>-181</v>
      </c>
      <c r="CE47" s="140">
        <f>-238-111</f>
        <v>-349</v>
      </c>
      <c r="CF47" s="140">
        <f>-242-284+303</f>
        <v>-223</v>
      </c>
      <c r="CG47" s="140">
        <f>-229-176</f>
        <v>-405</v>
      </c>
      <c r="CH47" s="140">
        <f>-227-9</f>
        <v>-236</v>
      </c>
      <c r="CI47" s="140">
        <f>-230-174</f>
        <v>-404</v>
      </c>
      <c r="CJ47" s="140">
        <f>-230+83</f>
        <v>-147</v>
      </c>
      <c r="CK47" s="140">
        <f>96-232</f>
        <v>-136</v>
      </c>
      <c r="CL47" s="140">
        <v>-252</v>
      </c>
      <c r="CM47" s="140">
        <f>-254+104</f>
        <v>-150</v>
      </c>
      <c r="CN47" s="140">
        <f>-237+37</f>
        <v>-200</v>
      </c>
      <c r="CO47" s="140">
        <f>48-238</f>
        <v>-190</v>
      </c>
      <c r="CP47" s="140">
        <v>-248</v>
      </c>
      <c r="CQ47" s="140"/>
      <c r="CR47" s="140"/>
      <c r="CS47" s="140"/>
      <c r="CT47" s="140"/>
      <c r="CU47" s="79"/>
      <c r="CV47" s="79">
        <v>9.916999999999998</v>
      </c>
      <c r="CW47" s="79">
        <v>13.269</v>
      </c>
      <c r="CX47" s="79">
        <v>11.611000000000001</v>
      </c>
      <c r="CY47" s="79">
        <v>8.4380000000000006</v>
      </c>
      <c r="CZ47" s="79">
        <v>-8.8579999999999988</v>
      </c>
      <c r="DA47" s="79">
        <v>11.595000000000001</v>
      </c>
      <c r="DB47" s="17">
        <v>46.717399999999998</v>
      </c>
      <c r="DC47" s="82">
        <v>79.940878614177947</v>
      </c>
      <c r="DD47" s="82">
        <v>135.79390689056299</v>
      </c>
      <c r="DE47" s="82">
        <f>SUM(AA47:AD47)</f>
        <v>47.3</v>
      </c>
      <c r="DF47" s="105">
        <f>SUM(AE47:AH47)</f>
        <v>-27.263999999999999</v>
      </c>
      <c r="DG47" s="104">
        <f>SUM(AI47:AL47)</f>
        <v>-48.673999999999992</v>
      </c>
      <c r="DH47" s="82"/>
      <c r="DI47" s="93">
        <f t="shared" ref="DI47:DI49" si="161">SUM(AQ47:AT47)</f>
        <v>-400.96699999999998</v>
      </c>
      <c r="DJ47" s="83">
        <f>SUM(AU47:AX47)</f>
        <v>-327.334</v>
      </c>
      <c r="DK47" s="82">
        <f>SUM(AY47:BB47)</f>
        <v>-384.08800000000002</v>
      </c>
      <c r="DL47" s="82">
        <f t="shared" ref="DL47:DV47" si="162">+DK62*$EA$56</f>
        <v>35.42907000000001</v>
      </c>
      <c r="DM47" s="82">
        <f t="shared" si="162"/>
        <v>117.48280699425003</v>
      </c>
      <c r="DN47" s="140">
        <f t="shared" si="162"/>
        <v>205.11916192544334</v>
      </c>
      <c r="DO47" s="140">
        <f t="shared" si="162"/>
        <v>196.64811538671188</v>
      </c>
      <c r="DP47" s="140">
        <f t="shared" si="162"/>
        <v>188.14509064729671</v>
      </c>
      <c r="DQ47" s="140">
        <f t="shared" si="162"/>
        <v>179.60996698949023</v>
      </c>
      <c r="DR47" s="140">
        <f t="shared" si="162"/>
        <v>253.05948123987557</v>
      </c>
      <c r="DS47" s="140">
        <f t="shared" si="162"/>
        <v>335.47329740655607</v>
      </c>
      <c r="DT47" s="79">
        <f t="shared" si="162"/>
        <v>418.12181972926584</v>
      </c>
      <c r="DU47" s="79">
        <f t="shared" si="162"/>
        <v>500.54749822374384</v>
      </c>
      <c r="DV47" s="79">
        <f t="shared" si="162"/>
        <v>588.71580365453849</v>
      </c>
      <c r="DW47" s="79">
        <f t="shared" ref="DW47" si="163">+DV62*$EA$56</f>
        <v>680.15973813833432</v>
      </c>
      <c r="DX47" s="79">
        <f t="shared" ref="DX47" si="164">+DW62*$EA$56</f>
        <v>0</v>
      </c>
      <c r="DY47" s="79">
        <f t="shared" ref="DY47" si="165">+DX62*$EA$56</f>
        <v>0</v>
      </c>
      <c r="DZ47" s="79">
        <f t="shared" ref="DZ47" si="166">+DY62*$EA$56</f>
        <v>0</v>
      </c>
      <c r="EA47" s="79">
        <f t="shared" ref="EA47" si="167">+DZ62*$EA$56</f>
        <v>0</v>
      </c>
      <c r="EB47" s="79">
        <f t="shared" ref="EB47" si="168">+EA62*$EA$56</f>
        <v>0</v>
      </c>
      <c r="EC47" s="79">
        <f t="shared" ref="EC47" si="169">+EB62*$EA$56</f>
        <v>0</v>
      </c>
      <c r="ED47" s="79">
        <f t="shared" ref="ED47" si="170">+EC62*$EA$56</f>
        <v>0</v>
      </c>
      <c r="EE47" s="79">
        <f t="shared" ref="EE47" si="171">+ED62*$EA$56</f>
        <v>0</v>
      </c>
      <c r="EF47" s="79">
        <f t="shared" ref="EF47" si="172">+EE62*$EA$56</f>
        <v>0</v>
      </c>
    </row>
    <row r="48" spans="2:136" s="17" customFormat="1" x14ac:dyDescent="0.25">
      <c r="B48" s="17" t="s">
        <v>26</v>
      </c>
      <c r="C48" s="82">
        <f t="shared" ref="C48:V48" si="173">SUM(C46:C47)</f>
        <v>-71.188000000000002</v>
      </c>
      <c r="D48" s="82">
        <f t="shared" si="173"/>
        <v>-71.296000000000006</v>
      </c>
      <c r="E48" s="82">
        <f t="shared" si="173"/>
        <v>-76.216999999999999</v>
      </c>
      <c r="F48" s="82">
        <f t="shared" si="173"/>
        <v>-88.92</v>
      </c>
      <c r="G48" s="82">
        <f t="shared" si="173"/>
        <v>-90.528000000000006</v>
      </c>
      <c r="H48" s="82">
        <f t="shared" si="173"/>
        <v>-101.117</v>
      </c>
      <c r="I48" s="82">
        <f t="shared" si="173"/>
        <v>-97.484999999999999</v>
      </c>
      <c r="J48" s="82">
        <f t="shared" si="173"/>
        <v>-134.75799999999998</v>
      </c>
      <c r="K48" s="82" t="e">
        <f t="shared" si="173"/>
        <v>#REF!</v>
      </c>
      <c r="L48" s="82" t="e">
        <f t="shared" si="173"/>
        <v>#REF!</v>
      </c>
      <c r="M48" s="82" t="e">
        <f t="shared" si="173"/>
        <v>#REF!</v>
      </c>
      <c r="N48" s="82" t="e">
        <f t="shared" si="173"/>
        <v>#REF!</v>
      </c>
      <c r="O48" s="82" t="e">
        <f t="shared" si="173"/>
        <v>#REF!</v>
      </c>
      <c r="P48" s="82" t="e">
        <f t="shared" si="173"/>
        <v>#REF!</v>
      </c>
      <c r="Q48" s="82" t="e">
        <f>SUM(Q46:Q47)</f>
        <v>#REF!</v>
      </c>
      <c r="R48" s="82" t="e">
        <f>SUM(R46:R47)</f>
        <v>#REF!</v>
      </c>
      <c r="S48" s="82" t="e">
        <f t="shared" si="173"/>
        <v>#REF!</v>
      </c>
      <c r="T48" s="82" t="e">
        <f t="shared" si="173"/>
        <v>#REF!</v>
      </c>
      <c r="U48" s="82" t="e">
        <f t="shared" si="173"/>
        <v>#REF!</v>
      </c>
      <c r="V48" s="82" t="e">
        <f t="shared" si="173"/>
        <v>#REF!</v>
      </c>
      <c r="W48" s="82" t="e">
        <f t="shared" ref="W48:AB48" si="174">SUM(W46:W47)</f>
        <v>#REF!</v>
      </c>
      <c r="X48" s="82" t="e">
        <f t="shared" si="174"/>
        <v>#REF!</v>
      </c>
      <c r="Y48" s="82" t="e">
        <f t="shared" si="174"/>
        <v>#REF!</v>
      </c>
      <c r="Z48" s="82" t="e">
        <f t="shared" si="174"/>
        <v>#REF!</v>
      </c>
      <c r="AA48" s="82" t="e">
        <f t="shared" si="174"/>
        <v>#REF!</v>
      </c>
      <c r="AB48" s="82" t="e">
        <f t="shared" si="174"/>
        <v>#REF!</v>
      </c>
      <c r="AC48" s="82" t="e">
        <f t="shared" ref="AC48:AM48" si="175">SUM(AC46:AC47)</f>
        <v>#REF!</v>
      </c>
      <c r="AD48" s="82" t="e">
        <f t="shared" si="175"/>
        <v>#REF!</v>
      </c>
      <c r="AE48" s="82">
        <f t="shared" si="175"/>
        <v>836.88800000000015</v>
      </c>
      <c r="AF48" s="82">
        <f t="shared" si="175"/>
        <v>841.93999999999994</v>
      </c>
      <c r="AG48" s="82">
        <f t="shared" si="175"/>
        <v>945.98900000000049</v>
      </c>
      <c r="AH48" s="82">
        <f t="shared" si="175"/>
        <v>1139.6599999999996</v>
      </c>
      <c r="AI48" s="82">
        <f t="shared" si="175"/>
        <v>-546.74499999999989</v>
      </c>
      <c r="AJ48" s="82">
        <f t="shared" si="175"/>
        <v>1061.2539999999997</v>
      </c>
      <c r="AK48" s="82">
        <f t="shared" si="175"/>
        <v>1035.7950000000001</v>
      </c>
      <c r="AL48" s="82">
        <f t="shared" si="175"/>
        <v>-912.23299999999995</v>
      </c>
      <c r="AM48" s="82">
        <f t="shared" si="175"/>
        <v>850.67000000000019</v>
      </c>
      <c r="AN48" s="82">
        <f>SUM(AN46:AN47)</f>
        <v>982.58900000000006</v>
      </c>
      <c r="AO48" s="82">
        <f>SUM(AO46:AO47)</f>
        <v>975.50000000000023</v>
      </c>
      <c r="AP48" s="82">
        <f>SUM(AP46:AP47)</f>
        <v>818.84299999999962</v>
      </c>
      <c r="AQ48" s="82">
        <f>+AQ46+AQ47</f>
        <v>668.83099999999956</v>
      </c>
      <c r="AR48" s="82">
        <f>+AR46+AR47</f>
        <v>969.59899999999959</v>
      </c>
      <c r="AS48" s="82">
        <f>+AS46+AS47</f>
        <v>951.08700000000022</v>
      </c>
      <c r="AT48" s="82">
        <f t="shared" ref="AT48:AX48" si="176">+AT47+AT46</f>
        <v>1019.6909999999999</v>
      </c>
      <c r="AU48" s="82">
        <f t="shared" si="176"/>
        <v>940.14800000000048</v>
      </c>
      <c r="AV48" s="82">
        <f t="shared" si="176"/>
        <v>1164.2810000000004</v>
      </c>
      <c r="AW48" s="82">
        <f t="shared" si="176"/>
        <v>1178.9500000000003</v>
      </c>
      <c r="AX48" s="82">
        <f t="shared" si="176"/>
        <v>1275.7340000000002</v>
      </c>
      <c r="AY48" s="82">
        <f>+AY47+AY46</f>
        <v>3235.5320000000024</v>
      </c>
      <c r="AZ48" s="82">
        <f>+AZ47+AZ46</f>
        <v>4593.9670000000006</v>
      </c>
      <c r="BA48" s="82">
        <f t="shared" ref="BA48:BE48" si="177">+BA47+BA46</f>
        <v>4110.7280000000001</v>
      </c>
      <c r="BB48" s="82">
        <f t="shared" si="177"/>
        <v>4669</v>
      </c>
      <c r="BC48" s="82">
        <f t="shared" si="177"/>
        <v>5537</v>
      </c>
      <c r="BD48" s="82">
        <f t="shared" si="177"/>
        <v>5888</v>
      </c>
      <c r="BE48" s="82">
        <f t="shared" si="177"/>
        <v>5472</v>
      </c>
      <c r="BF48" s="140">
        <f t="shared" ref="BF48:BG48" si="178">BF46+BF47</f>
        <v>5673</v>
      </c>
      <c r="BG48" s="140">
        <f t="shared" si="178"/>
        <v>5255</v>
      </c>
      <c r="BH48" s="140">
        <f t="shared" ref="BH48:BM48" si="179">BH46+BH47</f>
        <v>4399</v>
      </c>
      <c r="BI48" s="140">
        <f t="shared" si="179"/>
        <v>4276</v>
      </c>
      <c r="BJ48" s="140">
        <f t="shared" si="179"/>
        <v>4438</v>
      </c>
      <c r="BK48" s="140">
        <f t="shared" si="179"/>
        <v>3916</v>
      </c>
      <c r="BL48" s="140">
        <f t="shared" si="179"/>
        <v>4115</v>
      </c>
      <c r="BM48" s="140">
        <f t="shared" si="179"/>
        <v>3671</v>
      </c>
      <c r="BN48" s="140">
        <f t="shared" ref="BN48:BO48" si="180">BN46+BN47</f>
        <v>3050</v>
      </c>
      <c r="BO48" s="140">
        <f t="shared" si="180"/>
        <v>2538</v>
      </c>
      <c r="BP48" s="140">
        <f t="shared" ref="BP48:BQ48" si="181">BP46+BP47</f>
        <v>2882</v>
      </c>
      <c r="BQ48" s="140">
        <f t="shared" si="181"/>
        <v>2664</v>
      </c>
      <c r="BR48" s="140">
        <f t="shared" ref="BR48:BT48" si="182">BR46+BR47</f>
        <v>2473</v>
      </c>
      <c r="BS48" s="140">
        <f t="shared" si="182"/>
        <v>2561</v>
      </c>
      <c r="BT48" s="140">
        <f t="shared" si="182"/>
        <v>2963</v>
      </c>
      <c r="BU48" s="140">
        <f t="shared" ref="BU48:BV48" si="183">BU46+BU47</f>
        <v>-1501</v>
      </c>
      <c r="BV48" s="140">
        <f t="shared" si="183"/>
        <v>2034</v>
      </c>
      <c r="BW48" s="140">
        <f t="shared" ref="BW48:BX48" si="184">BW46+BW47</f>
        <v>2649</v>
      </c>
      <c r="BX48" s="140">
        <f t="shared" si="184"/>
        <v>2005</v>
      </c>
      <c r="BY48" s="140">
        <f t="shared" ref="BY48" si="185">BY46+BY47</f>
        <v>3259</v>
      </c>
      <c r="BZ48" s="140">
        <f t="shared" ref="BZ48:CD48" si="186">BZ46+BZ47</f>
        <v>3271</v>
      </c>
      <c r="CA48" s="140">
        <f t="shared" si="186"/>
        <v>2860</v>
      </c>
      <c r="CB48" s="140">
        <f t="shared" si="186"/>
        <v>2789</v>
      </c>
      <c r="CC48" s="140">
        <f t="shared" si="186"/>
        <v>4194</v>
      </c>
      <c r="CD48" s="140">
        <f t="shared" si="186"/>
        <v>1994</v>
      </c>
      <c r="CE48" s="140">
        <f>CE46+CE47</f>
        <v>3174</v>
      </c>
      <c r="CF48" s="140">
        <f>CF46+CF47</f>
        <v>2778</v>
      </c>
      <c r="CG48" s="140">
        <f t="shared" ref="CG48:CM48" si="187">CG46+CG47</f>
        <v>3329</v>
      </c>
      <c r="CH48" s="140">
        <f t="shared" si="187"/>
        <v>2621</v>
      </c>
      <c r="CI48" s="140">
        <f t="shared" si="187"/>
        <v>2320</v>
      </c>
      <c r="CJ48" s="140">
        <f t="shared" si="187"/>
        <v>2367</v>
      </c>
      <c r="CK48" s="140">
        <f>CK46+CK47</f>
        <v>3180</v>
      </c>
      <c r="CL48" s="140">
        <f t="shared" si="187"/>
        <v>2835</v>
      </c>
      <c r="CM48" s="140">
        <f t="shared" si="187"/>
        <v>2865</v>
      </c>
      <c r="CN48" s="140">
        <f>+CN46+CN47</f>
        <v>3103</v>
      </c>
      <c r="CO48" s="140">
        <f>+CO46+CO47</f>
        <v>3573</v>
      </c>
      <c r="CP48" s="140">
        <f>+CP46+CP47</f>
        <v>2855</v>
      </c>
      <c r="CQ48" s="140"/>
      <c r="CR48" s="140"/>
      <c r="CS48" s="140"/>
      <c r="CT48" s="140"/>
      <c r="CU48" s="79"/>
      <c r="CV48" s="79">
        <f t="shared" ref="CV48:DB48" si="188">SUM(CV46:CV47)</f>
        <v>-200.375</v>
      </c>
      <c r="CW48" s="79">
        <f t="shared" si="188"/>
        <v>-201.09199999999998</v>
      </c>
      <c r="CX48" s="79">
        <f t="shared" si="188"/>
        <v>-299.08300000000003</v>
      </c>
      <c r="CY48" s="79">
        <f t="shared" si="188"/>
        <v>-307.62099999999998</v>
      </c>
      <c r="CZ48" s="79">
        <f t="shared" si="188"/>
        <v>-423.88799999999998</v>
      </c>
      <c r="DA48" s="79">
        <f t="shared" si="188"/>
        <v>-514.75000000000034</v>
      </c>
      <c r="DB48" s="17">
        <f t="shared" si="188"/>
        <v>-610.19460000000004</v>
      </c>
      <c r="DC48" s="82">
        <f>SUM(DC46:DC47)</f>
        <v>-754.62412138582215</v>
      </c>
      <c r="DD48" s="82">
        <f t="shared" ref="DD48:DI48" si="189">SUM(DD46:DD47)</f>
        <v>-1061.099093109437</v>
      </c>
      <c r="DE48" s="82">
        <f>SUM(DE46:DE47)</f>
        <v>-1328.76</v>
      </c>
      <c r="DF48" s="104">
        <f>SUM(DF46:DF47)</f>
        <v>3764.4770000000003</v>
      </c>
      <c r="DG48" s="104">
        <f>SUM(DG46:DG47)</f>
        <v>638.07099999999991</v>
      </c>
      <c r="DH48" s="82">
        <f t="shared" si="189"/>
        <v>3766.4480000000012</v>
      </c>
      <c r="DI48" s="82">
        <f t="shared" si="189"/>
        <v>3609.208000000001</v>
      </c>
      <c r="DJ48" s="82">
        <f>SUM(DJ46:DJ47)</f>
        <v>4559.1129999999985</v>
      </c>
      <c r="DK48" s="82">
        <f>SUM(DK46:DK47)</f>
        <v>17197.771799999999</v>
      </c>
      <c r="DL48" s="82">
        <f>SUM(DL46:DL47)</f>
        <v>21736.089270000004</v>
      </c>
      <c r="DM48" s="82">
        <f>SUM(DM46:DM47)</f>
        <v>23214.928458594251</v>
      </c>
      <c r="DN48" s="140">
        <f>SUM(DN46:DN47)</f>
        <v>-2243.9858380745568</v>
      </c>
      <c r="DO48" s="140">
        <f t="shared" ref="DO48:DV48" si="190">SUM(DO46:DO47)</f>
        <v>-2252.4568846132879</v>
      </c>
      <c r="DP48" s="140">
        <f t="shared" si="190"/>
        <v>-2260.9599093527031</v>
      </c>
      <c r="DQ48" s="140">
        <f t="shared" si="190"/>
        <v>19456.82496698949</v>
      </c>
      <c r="DR48" s="140">
        <f t="shared" si="190"/>
        <v>21831.474481239875</v>
      </c>
      <c r="DS48" s="140">
        <f t="shared" si="190"/>
        <v>21893.648297406555</v>
      </c>
      <c r="DT48" s="79">
        <f t="shared" si="190"/>
        <v>21834.616819729265</v>
      </c>
      <c r="DU48" s="79">
        <f t="shared" si="190"/>
        <v>23355.842498223745</v>
      </c>
      <c r="DV48" s="79">
        <f t="shared" si="190"/>
        <v>24223.558803654538</v>
      </c>
      <c r="DW48" s="79">
        <f t="shared" ref="DW48:EF48" si="191">SUM(DW46:DW47)</f>
        <v>21645.135538138333</v>
      </c>
      <c r="DX48" s="79">
        <f t="shared" si="191"/>
        <v>20654.385740000005</v>
      </c>
      <c r="DY48" s="79">
        <f t="shared" si="191"/>
        <v>21743.287080999999</v>
      </c>
      <c r="DZ48" s="79">
        <f t="shared" si="191"/>
        <v>23171.038408750002</v>
      </c>
      <c r="EA48" s="79">
        <f t="shared" si="191"/>
        <v>24765.110726692499</v>
      </c>
      <c r="EB48" s="79">
        <f t="shared" si="191"/>
        <v>26320.461854155874</v>
      </c>
      <c r="EC48" s="79">
        <f t="shared" si="191"/>
        <v>27076.225520635882</v>
      </c>
      <c r="ED48" s="79">
        <f t="shared" si="191"/>
        <v>24048.582701890333</v>
      </c>
      <c r="EE48" s="79">
        <f t="shared" si="191"/>
        <v>21646.296632585123</v>
      </c>
      <c r="EF48" s="79">
        <f t="shared" si="191"/>
        <v>23021.570834110498</v>
      </c>
    </row>
    <row r="49" spans="2:184" s="17" customFormat="1" x14ac:dyDescent="0.25">
      <c r="B49" s="100" t="s">
        <v>641</v>
      </c>
      <c r="C49" s="82">
        <v>-0.96399999999999997</v>
      </c>
      <c r="D49" s="82">
        <v>0.63800000000000001</v>
      </c>
      <c r="E49" s="82">
        <v>0.55000000000000004</v>
      </c>
      <c r="F49" s="82">
        <v>1.0760000000000001</v>
      </c>
      <c r="G49" s="82">
        <v>2.66</v>
      </c>
      <c r="H49" s="82">
        <v>5.2750000000000004</v>
      </c>
      <c r="I49" s="82">
        <v>3.855</v>
      </c>
      <c r="J49" s="82">
        <v>-107.32</v>
      </c>
      <c r="K49" s="82">
        <v>51.41</v>
      </c>
      <c r="L49" s="82">
        <v>50.076000000000001</v>
      </c>
      <c r="M49" s="82">
        <v>53.289000000000001</v>
      </c>
      <c r="N49" s="82">
        <v>52.276000000000003</v>
      </c>
      <c r="O49" s="82">
        <v>73.935359999999989</v>
      </c>
      <c r="P49" s="82">
        <v>92.216999999999999</v>
      </c>
      <c r="Q49" s="82">
        <v>84.35596799999999</v>
      </c>
      <c r="R49" s="82">
        <v>97.434764999999985</v>
      </c>
      <c r="S49" s="82">
        <f>134.743+6.129</f>
        <v>140.87199999999999</v>
      </c>
      <c r="T49" s="82">
        <f>133.562+9.046</f>
        <v>142.608</v>
      </c>
      <c r="U49" s="82">
        <f>141.46+6.165</f>
        <v>147.625</v>
      </c>
      <c r="V49" s="82">
        <f>141.986+10.778</f>
        <v>152.76399999999998</v>
      </c>
      <c r="W49" s="82">
        <f>173.447+17.108</f>
        <v>190.55500000000001</v>
      </c>
      <c r="X49" s="82">
        <f>162.301+13.547</f>
        <v>175.84799999999998</v>
      </c>
      <c r="Y49" s="82">
        <v>177.702</v>
      </c>
      <c r="Z49" s="82">
        <v>141.59</v>
      </c>
      <c r="AA49" s="82">
        <f>193.389+10.135-1.875</f>
        <v>201.649</v>
      </c>
      <c r="AB49" s="82">
        <f>175.699+10.466-2.16</f>
        <v>184.00500000000002</v>
      </c>
      <c r="AC49" s="82">
        <f>192.675+11.513-2.16</f>
        <v>202.02800000000002</v>
      </c>
      <c r="AD49" s="83">
        <f>161.488+8.451-2.369</f>
        <v>167.57</v>
      </c>
      <c r="AE49" s="104">
        <v>-217</v>
      </c>
      <c r="AF49" s="104">
        <v>-196</v>
      </c>
      <c r="AG49" s="104">
        <v>-218</v>
      </c>
      <c r="AH49" s="104">
        <v>-276</v>
      </c>
      <c r="AI49" s="104">
        <v>-327</v>
      </c>
      <c r="AJ49" s="104">
        <v>-301</v>
      </c>
      <c r="AK49" s="104">
        <v>-276</v>
      </c>
      <c r="AL49" s="104">
        <v>-173</v>
      </c>
      <c r="AM49" s="104">
        <v>-227</v>
      </c>
      <c r="AN49" s="82">
        <v>240.13</v>
      </c>
      <c r="AO49" s="82">
        <v>-237.4</v>
      </c>
      <c r="AP49" s="82">
        <v>157.084</v>
      </c>
      <c r="AQ49" s="82">
        <v>231.3</v>
      </c>
      <c r="AR49" s="82">
        <v>263.52499999999998</v>
      </c>
      <c r="AS49" s="82">
        <f>280.052-4.47</f>
        <v>275.58199999999999</v>
      </c>
      <c r="AT49" s="82">
        <f>263.504-3.582</f>
        <v>259.92200000000003</v>
      </c>
      <c r="AU49" s="82">
        <v>222.43799999999999</v>
      </c>
      <c r="AV49" s="82">
        <f>307.981-4.987</f>
        <v>302.99399999999997</v>
      </c>
      <c r="AW49" s="82">
        <f>294.473-3.39</f>
        <v>291.08300000000003</v>
      </c>
      <c r="AX49" s="82">
        <v>326.041</v>
      </c>
      <c r="AY49" s="82">
        <v>725.88199999999995</v>
      </c>
      <c r="AZ49" s="82">
        <f>656.621-5.108</f>
        <v>651.51300000000003</v>
      </c>
      <c r="BA49" s="82">
        <f t="shared" ref="BA49" si="192">+BA48*0.25</f>
        <v>1027.682</v>
      </c>
      <c r="BB49" s="82">
        <f>768-25</f>
        <v>743</v>
      </c>
      <c r="BC49" s="82">
        <v>907</v>
      </c>
      <c r="BD49" s="82">
        <f>1014+5</f>
        <v>1019</v>
      </c>
      <c r="BE49" s="82">
        <f>880-8</f>
        <v>872</v>
      </c>
      <c r="BF49" s="82">
        <f>752+2</f>
        <v>754</v>
      </c>
      <c r="BG49" s="82">
        <f>935+1</f>
        <v>936</v>
      </c>
      <c r="BH49" s="82">
        <v>902</v>
      </c>
      <c r="BI49" s="82">
        <v>951</v>
      </c>
      <c r="BJ49" s="140">
        <f>821+9</f>
        <v>830</v>
      </c>
      <c r="BK49" s="140">
        <f>918-3</f>
        <v>915</v>
      </c>
      <c r="BL49" s="82">
        <v>1046</v>
      </c>
      <c r="BM49" s="82">
        <v>959</v>
      </c>
      <c r="BN49" s="140">
        <v>0</v>
      </c>
      <c r="BO49" s="140">
        <f>494+1</f>
        <v>495</v>
      </c>
      <c r="BP49" s="140">
        <f>267+2</f>
        <v>269</v>
      </c>
      <c r="BQ49" s="140">
        <f>565+2</f>
        <v>567</v>
      </c>
      <c r="BR49" s="140">
        <f>1013-588-14+189</f>
        <v>600</v>
      </c>
      <c r="BS49" s="140">
        <f>382-7+45</f>
        <v>420</v>
      </c>
      <c r="BT49" s="82">
        <f>535-5</f>
        <v>530</v>
      </c>
      <c r="BU49" s="140">
        <f>-333-3</f>
        <v>-336</v>
      </c>
      <c r="BV49" s="140">
        <f>-788-7+1240+93+5-133+189</f>
        <v>599</v>
      </c>
      <c r="BW49" s="140">
        <f>465-13+91-33</f>
        <v>510</v>
      </c>
      <c r="BX49" s="140">
        <v>373</v>
      </c>
      <c r="BY49" s="140">
        <v>518</v>
      </c>
      <c r="BZ49" s="140">
        <f>428+82</f>
        <v>510</v>
      </c>
      <c r="CA49" s="140">
        <v>282</v>
      </c>
      <c r="CB49" s="140">
        <v>300</v>
      </c>
      <c r="CC49" s="140">
        <v>740</v>
      </c>
      <c r="CD49" s="140">
        <v>375</v>
      </c>
      <c r="CE49" s="140">
        <v>498</v>
      </c>
      <c r="CF49" s="140">
        <v>368</v>
      </c>
      <c r="CG49" s="140">
        <f>646-3</f>
        <v>643</v>
      </c>
      <c r="CH49" s="140">
        <f>398-7</f>
        <v>391</v>
      </c>
      <c r="CI49" s="140">
        <f>316-26</f>
        <v>290</v>
      </c>
      <c r="CJ49" s="140">
        <v>448</v>
      </c>
      <c r="CK49" s="140">
        <v>216</v>
      </c>
      <c r="CL49" s="140">
        <v>236</v>
      </c>
      <c r="CM49" s="140">
        <v>379</v>
      </c>
      <c r="CN49" s="140">
        <v>546</v>
      </c>
      <c r="CO49" s="140">
        <v>538</v>
      </c>
      <c r="CP49" s="140">
        <v>385</v>
      </c>
      <c r="CQ49" s="140"/>
      <c r="CR49" s="140"/>
      <c r="CS49" s="140"/>
      <c r="CT49" s="140"/>
      <c r="CU49" s="79"/>
      <c r="CV49" s="79">
        <v>0.88800000000000001</v>
      </c>
      <c r="CW49" s="79">
        <v>1.1990000000000001</v>
      </c>
      <c r="CX49" s="79">
        <v>4.1349999999999998</v>
      </c>
      <c r="CY49" s="79">
        <v>1.3</v>
      </c>
      <c r="CZ49" s="79">
        <v>-95.53</v>
      </c>
      <c r="DA49" s="79">
        <v>207.05099999999999</v>
      </c>
      <c r="DB49" s="17">
        <v>347.94309299999998</v>
      </c>
      <c r="DC49" s="82">
        <f>DC48*DC55</f>
        <v>-244.59241513956377</v>
      </c>
      <c r="DD49" s="82">
        <f>DD48*DD55</f>
        <v>0</v>
      </c>
      <c r="DE49" s="82">
        <f>SUM(AA49:AD49)</f>
        <v>755.25199999999995</v>
      </c>
      <c r="DF49" s="105">
        <f>SUM(AE49:AH49)</f>
        <v>-907</v>
      </c>
      <c r="DG49" s="104">
        <f>SUM(AI49:AL49)</f>
        <v>-1077</v>
      </c>
      <c r="DH49" s="82">
        <f t="shared" ref="DH49" si="193">DH48*DH55</f>
        <v>979.27648000000033</v>
      </c>
      <c r="DI49" s="93">
        <f t="shared" si="161"/>
        <v>1030.329</v>
      </c>
      <c r="DJ49" s="83">
        <f>SUM(AU49:AX49)</f>
        <v>1142.556</v>
      </c>
      <c r="DK49" s="82">
        <f>SUM(AY49:BB49)</f>
        <v>3148.0770000000002</v>
      </c>
      <c r="DL49" s="82">
        <f t="shared" ref="DL49:EF49" si="194">+DL48*0.245</f>
        <v>5325.3418711500008</v>
      </c>
      <c r="DM49" s="82">
        <f t="shared" si="194"/>
        <v>5687.6574723555914</v>
      </c>
      <c r="DN49" s="140">
        <f t="shared" si="194"/>
        <v>-549.7765303282664</v>
      </c>
      <c r="DO49" s="140">
        <f t="shared" si="194"/>
        <v>-551.85193673025549</v>
      </c>
      <c r="DP49" s="140">
        <f t="shared" si="194"/>
        <v>-553.93517779141223</v>
      </c>
      <c r="DQ49" s="140">
        <f t="shared" si="194"/>
        <v>4766.9221169124248</v>
      </c>
      <c r="DR49" s="140">
        <f t="shared" si="194"/>
        <v>5348.7112479037696</v>
      </c>
      <c r="DS49" s="140">
        <f t="shared" si="194"/>
        <v>5363.9438328646056</v>
      </c>
      <c r="DT49" s="79">
        <f t="shared" si="194"/>
        <v>5349.4811208336696</v>
      </c>
      <c r="DU49" s="79">
        <f t="shared" si="194"/>
        <v>5722.1814120648178</v>
      </c>
      <c r="DV49" s="79">
        <f t="shared" si="194"/>
        <v>5934.771906895362</v>
      </c>
      <c r="DW49" s="79">
        <f t="shared" si="194"/>
        <v>5303.0582068438916</v>
      </c>
      <c r="DX49" s="79">
        <f t="shared" si="194"/>
        <v>5060.3245063000013</v>
      </c>
      <c r="DY49" s="79">
        <f t="shared" si="194"/>
        <v>5327.1053348449996</v>
      </c>
      <c r="DZ49" s="79">
        <f t="shared" si="194"/>
        <v>5676.9044101437503</v>
      </c>
      <c r="EA49" s="79">
        <f t="shared" si="194"/>
        <v>6067.4521280396621</v>
      </c>
      <c r="EB49" s="79">
        <f t="shared" si="194"/>
        <v>6448.5131542681893</v>
      </c>
      <c r="EC49" s="79">
        <f t="shared" si="194"/>
        <v>6633.6752525557913</v>
      </c>
      <c r="ED49" s="79">
        <f t="shared" si="194"/>
        <v>5891.9027619631315</v>
      </c>
      <c r="EE49" s="79">
        <f t="shared" si="194"/>
        <v>5303.3426749833552</v>
      </c>
      <c r="EF49" s="79">
        <f t="shared" si="194"/>
        <v>5640.2848543570717</v>
      </c>
    </row>
    <row r="50" spans="2:184" s="75" customFormat="1" x14ac:dyDescent="0.25">
      <c r="B50" s="75" t="s">
        <v>51</v>
      </c>
      <c r="C50" s="83">
        <f>C48-C49</f>
        <v>-70.224000000000004</v>
      </c>
      <c r="D50" s="83">
        <f t="shared" ref="D50:V50" si="195">D48-D49</f>
        <v>-71.934000000000012</v>
      </c>
      <c r="E50" s="83">
        <f t="shared" si="195"/>
        <v>-76.766999999999996</v>
      </c>
      <c r="F50" s="83">
        <f t="shared" si="195"/>
        <v>-89.995999999999995</v>
      </c>
      <c r="G50" s="83">
        <f t="shared" si="195"/>
        <v>-93.188000000000002</v>
      </c>
      <c r="H50" s="83">
        <f t="shared" si="195"/>
        <v>-106.39200000000001</v>
      </c>
      <c r="I50" s="83">
        <f t="shared" si="195"/>
        <v>-101.34</v>
      </c>
      <c r="J50" s="83">
        <f t="shared" si="195"/>
        <v>-27.437999999999988</v>
      </c>
      <c r="K50" s="83" t="e">
        <f t="shared" si="195"/>
        <v>#REF!</v>
      </c>
      <c r="L50" s="83" t="e">
        <f t="shared" si="195"/>
        <v>#REF!</v>
      </c>
      <c r="M50" s="83" t="e">
        <f t="shared" si="195"/>
        <v>#REF!</v>
      </c>
      <c r="N50" s="83" t="e">
        <f t="shared" si="195"/>
        <v>#REF!</v>
      </c>
      <c r="O50" s="83" t="e">
        <f t="shared" si="195"/>
        <v>#REF!</v>
      </c>
      <c r="P50" s="83" t="e">
        <f t="shared" si="195"/>
        <v>#REF!</v>
      </c>
      <c r="Q50" s="83" t="e">
        <f t="shared" si="195"/>
        <v>#REF!</v>
      </c>
      <c r="R50" s="83" t="e">
        <f t="shared" si="195"/>
        <v>#REF!</v>
      </c>
      <c r="S50" s="83" t="e">
        <f t="shared" si="195"/>
        <v>#REF!</v>
      </c>
      <c r="T50" s="83" t="e">
        <f t="shared" si="195"/>
        <v>#REF!</v>
      </c>
      <c r="U50" s="83" t="e">
        <f t="shared" si="195"/>
        <v>#REF!</v>
      </c>
      <c r="V50" s="83" t="e">
        <f t="shared" si="195"/>
        <v>#REF!</v>
      </c>
      <c r="W50" s="83" t="e">
        <f t="shared" ref="W50:AB50" si="196">W48-W49</f>
        <v>#REF!</v>
      </c>
      <c r="X50" s="83" t="e">
        <f t="shared" si="196"/>
        <v>#REF!</v>
      </c>
      <c r="Y50" s="83" t="e">
        <f t="shared" si="196"/>
        <v>#REF!</v>
      </c>
      <c r="Z50" s="83" t="e">
        <f t="shared" si="196"/>
        <v>#REF!</v>
      </c>
      <c r="AA50" s="83" t="e">
        <f t="shared" si="196"/>
        <v>#REF!</v>
      </c>
      <c r="AB50" s="83" t="e">
        <f t="shared" si="196"/>
        <v>#REF!</v>
      </c>
      <c r="AC50" s="83" t="e">
        <f t="shared" ref="AC50:AD50" si="197">AC48-AC49</f>
        <v>#REF!</v>
      </c>
      <c r="AD50" s="83" t="e">
        <f t="shared" si="197"/>
        <v>#REF!</v>
      </c>
      <c r="AE50" s="108">
        <f t="shared" ref="AE50:AO50" si="198">AE48+AE49</f>
        <v>619.88800000000015</v>
      </c>
      <c r="AF50" s="108">
        <f t="shared" si="198"/>
        <v>645.93999999999994</v>
      </c>
      <c r="AG50" s="108">
        <f t="shared" si="198"/>
        <v>727.98900000000049</v>
      </c>
      <c r="AH50" s="108">
        <f t="shared" si="198"/>
        <v>863.65999999999963</v>
      </c>
      <c r="AI50" s="108">
        <f t="shared" si="198"/>
        <v>-873.74499999999989</v>
      </c>
      <c r="AJ50" s="108">
        <f t="shared" si="198"/>
        <v>760.25399999999968</v>
      </c>
      <c r="AK50" s="108">
        <f t="shared" si="198"/>
        <v>759.79500000000007</v>
      </c>
      <c r="AL50" s="108">
        <f t="shared" si="198"/>
        <v>-1085.2329999999999</v>
      </c>
      <c r="AM50" s="108">
        <f t="shared" si="198"/>
        <v>623.67000000000019</v>
      </c>
      <c r="AN50" s="108">
        <f t="shared" si="198"/>
        <v>1222.7190000000001</v>
      </c>
      <c r="AO50" s="108">
        <f t="shared" si="198"/>
        <v>738.10000000000025</v>
      </c>
      <c r="AP50" s="108">
        <f>+AP48-AP49</f>
        <v>661.75899999999956</v>
      </c>
      <c r="AQ50" s="108">
        <f t="shared" ref="AQ50:AX50" si="199">+AQ48-AQ49</f>
        <v>437.53099999999955</v>
      </c>
      <c r="AR50" s="108">
        <f t="shared" si="199"/>
        <v>706.07399999999961</v>
      </c>
      <c r="AS50" s="108">
        <f t="shared" si="199"/>
        <v>675.50500000000022</v>
      </c>
      <c r="AT50" s="108">
        <f t="shared" si="199"/>
        <v>759.76899999999989</v>
      </c>
      <c r="AU50" s="108">
        <f t="shared" si="199"/>
        <v>717.71000000000049</v>
      </c>
      <c r="AV50" s="108">
        <f t="shared" si="199"/>
        <v>861.28700000000049</v>
      </c>
      <c r="AW50" s="108">
        <f t="shared" si="199"/>
        <v>887.86700000000019</v>
      </c>
      <c r="AX50" s="108">
        <f t="shared" si="199"/>
        <v>949.69300000000021</v>
      </c>
      <c r="AY50" s="108">
        <f>+AY48-AY49</f>
        <v>2509.6500000000024</v>
      </c>
      <c r="AZ50" s="126">
        <f>+AZ48-AZ49</f>
        <v>3942.4540000000006</v>
      </c>
      <c r="BA50" s="108">
        <f t="shared" ref="BA50:BC50" si="200">+BA48-BA49</f>
        <v>3083.0460000000003</v>
      </c>
      <c r="BB50" s="108">
        <f t="shared" si="200"/>
        <v>3926</v>
      </c>
      <c r="BC50" s="108">
        <f t="shared" si="200"/>
        <v>4630</v>
      </c>
      <c r="BD50" s="108">
        <f>BD48-BD49</f>
        <v>4869</v>
      </c>
      <c r="BE50" s="108">
        <f>BE48-BE49</f>
        <v>4600</v>
      </c>
      <c r="BF50" s="142">
        <f t="shared" ref="BF50:BG50" si="201">BF48-BF49</f>
        <v>4919</v>
      </c>
      <c r="BG50" s="142">
        <f t="shared" si="201"/>
        <v>4319</v>
      </c>
      <c r="BH50" s="142">
        <f t="shared" ref="BH50:BM50" si="202">BH48-BH49</f>
        <v>3497</v>
      </c>
      <c r="BI50" s="142">
        <f t="shared" si="202"/>
        <v>3325</v>
      </c>
      <c r="BJ50" s="142">
        <f t="shared" si="202"/>
        <v>3608</v>
      </c>
      <c r="BK50" s="142">
        <f t="shared" si="202"/>
        <v>3001</v>
      </c>
      <c r="BL50" s="142">
        <f t="shared" si="202"/>
        <v>3069</v>
      </c>
      <c r="BM50" s="142">
        <f t="shared" si="202"/>
        <v>2712</v>
      </c>
      <c r="BN50" s="142">
        <f t="shared" ref="BN50:BP50" si="203">BN48-BN49</f>
        <v>3050</v>
      </c>
      <c r="BO50" s="142">
        <f t="shared" si="203"/>
        <v>2043</v>
      </c>
      <c r="BP50" s="142">
        <f t="shared" si="203"/>
        <v>2613</v>
      </c>
      <c r="BQ50" s="142">
        <f>BQ48-BQ49</f>
        <v>2097</v>
      </c>
      <c r="BR50" s="142">
        <f>BR48-BR49</f>
        <v>1873</v>
      </c>
      <c r="BS50" s="142">
        <f t="shared" ref="BS50:BT50" si="204">BS48-BS49</f>
        <v>2141</v>
      </c>
      <c r="BT50" s="142">
        <f t="shared" si="204"/>
        <v>2433</v>
      </c>
      <c r="BU50" s="142">
        <f t="shared" ref="BU50" si="205">BU48-BU49</f>
        <v>-1165</v>
      </c>
      <c r="BV50" s="142">
        <f>BV48-BV49</f>
        <v>1435</v>
      </c>
      <c r="BW50" s="142">
        <f t="shared" ref="BW50" si="206">BW48-BW49</f>
        <v>2139</v>
      </c>
      <c r="BX50" s="142">
        <f t="shared" ref="BX50:CD50" si="207">BX48-BX49</f>
        <v>1632</v>
      </c>
      <c r="BY50" s="142">
        <f t="shared" si="207"/>
        <v>2741</v>
      </c>
      <c r="BZ50" s="142">
        <f t="shared" si="207"/>
        <v>2761</v>
      </c>
      <c r="CA50" s="142">
        <f t="shared" si="207"/>
        <v>2578</v>
      </c>
      <c r="CB50" s="142">
        <f t="shared" si="207"/>
        <v>2489</v>
      </c>
      <c r="CC50" s="142">
        <f t="shared" si="207"/>
        <v>3454</v>
      </c>
      <c r="CD50" s="142">
        <f t="shared" si="207"/>
        <v>1619</v>
      </c>
      <c r="CE50" s="142">
        <f>CE48-CE49</f>
        <v>2676</v>
      </c>
      <c r="CF50" s="142">
        <f>CF48-CF49</f>
        <v>2410</v>
      </c>
      <c r="CG50" s="142">
        <f t="shared" ref="CG50:CM50" si="208">CG48-CG49</f>
        <v>2686</v>
      </c>
      <c r="CH50" s="142">
        <f t="shared" si="208"/>
        <v>2230</v>
      </c>
      <c r="CI50" s="142">
        <f t="shared" si="208"/>
        <v>2030</v>
      </c>
      <c r="CJ50" s="142">
        <f t="shared" si="208"/>
        <v>1919</v>
      </c>
      <c r="CK50" s="142">
        <f t="shared" si="208"/>
        <v>2964</v>
      </c>
      <c r="CL50" s="142">
        <f t="shared" si="208"/>
        <v>2599</v>
      </c>
      <c r="CM50" s="142">
        <f t="shared" si="208"/>
        <v>2486</v>
      </c>
      <c r="CN50" s="142">
        <f>+CN48-CN49</f>
        <v>2557</v>
      </c>
      <c r="CO50" s="142">
        <f>+CO48-CO49</f>
        <v>3035</v>
      </c>
      <c r="CP50" s="142">
        <f>+CP48-CP49</f>
        <v>2470</v>
      </c>
      <c r="CQ50" s="142"/>
      <c r="CR50" s="142"/>
      <c r="CS50" s="142"/>
      <c r="CT50" s="142"/>
      <c r="CU50" s="155"/>
      <c r="CV50" s="155">
        <f t="shared" ref="CV50:DU50" si="209">CV48-CV49</f>
        <v>-201.26300000000001</v>
      </c>
      <c r="CW50" s="155">
        <f t="shared" si="209"/>
        <v>-202.291</v>
      </c>
      <c r="CX50" s="155">
        <f t="shared" si="209"/>
        <v>-303.21800000000002</v>
      </c>
      <c r="CY50" s="155">
        <f t="shared" si="209"/>
        <v>-308.92099999999999</v>
      </c>
      <c r="CZ50" s="155">
        <f t="shared" si="209"/>
        <v>-328.35799999999995</v>
      </c>
      <c r="DA50" s="155">
        <f t="shared" si="209"/>
        <v>-721.80100000000039</v>
      </c>
      <c r="DB50" s="75">
        <f t="shared" si="209"/>
        <v>-958.13769300000001</v>
      </c>
      <c r="DC50" s="83">
        <f t="shared" si="209"/>
        <v>-510.03170624625841</v>
      </c>
      <c r="DD50" s="83">
        <f t="shared" si="209"/>
        <v>-1061.099093109437</v>
      </c>
      <c r="DE50" s="83">
        <f>DE48-DE49</f>
        <v>-2084.0119999999997</v>
      </c>
      <c r="DF50" s="105">
        <f>DF48-DF49</f>
        <v>4671.4770000000008</v>
      </c>
      <c r="DG50" s="105">
        <f>DG48-DG49</f>
        <v>1715.0709999999999</v>
      </c>
      <c r="DH50" s="83">
        <f t="shared" si="209"/>
        <v>2787.1715200000008</v>
      </c>
      <c r="DI50" s="83">
        <f t="shared" si="209"/>
        <v>2578.8790000000008</v>
      </c>
      <c r="DJ50" s="83">
        <f>DJ48-DJ49</f>
        <v>3416.5569999999984</v>
      </c>
      <c r="DK50" s="93">
        <f>DK48-DK49</f>
        <v>14049.694799999997</v>
      </c>
      <c r="DL50" s="93">
        <f t="shared" si="209"/>
        <v>16410.747398850002</v>
      </c>
      <c r="DM50" s="93">
        <f t="shared" si="209"/>
        <v>17527.270986238662</v>
      </c>
      <c r="DN50" s="142">
        <f t="shared" si="209"/>
        <v>-1694.2093077462905</v>
      </c>
      <c r="DO50" s="142">
        <f t="shared" si="209"/>
        <v>-1700.6049478830323</v>
      </c>
      <c r="DP50" s="142">
        <f t="shared" si="209"/>
        <v>-1707.024731561291</v>
      </c>
      <c r="DQ50" s="139">
        <f t="shared" si="209"/>
        <v>14689.902850077066</v>
      </c>
      <c r="DR50" s="142">
        <f t="shared" si="209"/>
        <v>16482.763233336103</v>
      </c>
      <c r="DS50" s="142">
        <f t="shared" si="209"/>
        <v>16529.704464541948</v>
      </c>
      <c r="DT50" s="155">
        <f t="shared" si="209"/>
        <v>16485.135698895596</v>
      </c>
      <c r="DU50" s="155">
        <f t="shared" si="209"/>
        <v>17633.661086158929</v>
      </c>
      <c r="DV50" s="155">
        <f>DV48-DV49</f>
        <v>18288.786896759175</v>
      </c>
      <c r="DW50" s="155">
        <f t="shared" ref="DW50:EF50" si="210">DW48-DW49</f>
        <v>16342.07733129444</v>
      </c>
      <c r="DX50" s="155">
        <f t="shared" si="210"/>
        <v>15594.061233700004</v>
      </c>
      <c r="DY50" s="155">
        <f t="shared" si="210"/>
        <v>16416.181746154998</v>
      </c>
      <c r="DZ50" s="155">
        <f t="shared" si="210"/>
        <v>17494.133998606252</v>
      </c>
      <c r="EA50" s="155">
        <f t="shared" si="210"/>
        <v>18697.658598652837</v>
      </c>
      <c r="EB50" s="155">
        <f t="shared" si="210"/>
        <v>19871.948699887686</v>
      </c>
      <c r="EC50" s="155">
        <f t="shared" si="210"/>
        <v>20442.550268080093</v>
      </c>
      <c r="ED50" s="155">
        <f t="shared" si="210"/>
        <v>18156.679939927202</v>
      </c>
      <c r="EE50" s="155">
        <f t="shared" si="210"/>
        <v>16342.953957601767</v>
      </c>
      <c r="EF50" s="155">
        <f t="shared" si="210"/>
        <v>17381.285979753426</v>
      </c>
      <c r="EG50" s="75">
        <f t="shared" ref="DX50:GB50" si="211">+EF50*(1+$EA$55)</f>
        <v>16512.221680765753</v>
      </c>
      <c r="EH50" s="75">
        <f t="shared" si="211"/>
        <v>15686.610596727465</v>
      </c>
      <c r="EI50" s="75">
        <f t="shared" si="211"/>
        <v>14902.280066891091</v>
      </c>
      <c r="EJ50" s="75">
        <f t="shared" si="211"/>
        <v>14157.166063546536</v>
      </c>
      <c r="EK50" s="75">
        <f t="shared" si="211"/>
        <v>13449.307760369209</v>
      </c>
      <c r="EL50" s="75">
        <f t="shared" si="211"/>
        <v>12776.842372350748</v>
      </c>
      <c r="EM50" s="75">
        <f t="shared" si="211"/>
        <v>12138.000253733209</v>
      </c>
      <c r="EN50" s="75">
        <f t="shared" si="211"/>
        <v>11531.100241046548</v>
      </c>
      <c r="EO50" s="75">
        <f t="shared" si="211"/>
        <v>10954.54522899422</v>
      </c>
      <c r="EP50" s="75">
        <f t="shared" si="211"/>
        <v>10406.817967544508</v>
      </c>
      <c r="EQ50" s="75">
        <f t="shared" si="211"/>
        <v>9886.477069167282</v>
      </c>
      <c r="ER50" s="75">
        <f t="shared" si="211"/>
        <v>9392.1532157089168</v>
      </c>
      <c r="ES50" s="75">
        <f t="shared" si="211"/>
        <v>8922.5455549234703</v>
      </c>
      <c r="ET50" s="75">
        <f t="shared" si="211"/>
        <v>8476.4182771772957</v>
      </c>
      <c r="EU50" s="75">
        <f t="shared" si="211"/>
        <v>8052.5973633184303</v>
      </c>
      <c r="EV50" s="75">
        <f t="shared" si="211"/>
        <v>7649.9674951525085</v>
      </c>
      <c r="EW50" s="75">
        <f t="shared" si="211"/>
        <v>7267.4691203948823</v>
      </c>
      <c r="EX50" s="75">
        <f t="shared" si="211"/>
        <v>6904.0956643751379</v>
      </c>
      <c r="EY50" s="75">
        <f t="shared" si="211"/>
        <v>6558.8908811563806</v>
      </c>
      <c r="EZ50" s="75">
        <f t="shared" si="211"/>
        <v>6230.9463370985613</v>
      </c>
      <c r="FA50" s="75">
        <f t="shared" si="211"/>
        <v>5919.3990202436325</v>
      </c>
      <c r="FB50" s="75">
        <f t="shared" si="211"/>
        <v>5623.4290692314507</v>
      </c>
      <c r="FC50" s="75">
        <f t="shared" si="211"/>
        <v>5342.2576157698777</v>
      </c>
      <c r="FD50" s="75">
        <f t="shared" si="211"/>
        <v>5075.1447349813834</v>
      </c>
      <c r="FE50" s="75">
        <f t="shared" si="211"/>
        <v>4821.3874982323141</v>
      </c>
      <c r="FF50" s="75">
        <f t="shared" si="211"/>
        <v>4580.3181233206979</v>
      </c>
      <c r="FG50" s="75">
        <f t="shared" si="211"/>
        <v>4351.3022171546627</v>
      </c>
      <c r="FH50" s="75">
        <f t="shared" si="211"/>
        <v>4133.7371062969296</v>
      </c>
      <c r="FI50" s="75">
        <f t="shared" si="211"/>
        <v>3927.0502509820831</v>
      </c>
      <c r="FJ50" s="75">
        <f t="shared" si="211"/>
        <v>3730.6977384329789</v>
      </c>
      <c r="FK50" s="75">
        <f t="shared" si="211"/>
        <v>3544.1628515113298</v>
      </c>
      <c r="FL50" s="75">
        <f t="shared" si="211"/>
        <v>3366.9547089357629</v>
      </c>
      <c r="FM50" s="75">
        <f t="shared" si="211"/>
        <v>3198.6069734889747</v>
      </c>
      <c r="FN50" s="75">
        <f t="shared" si="211"/>
        <v>3038.6766248145259</v>
      </c>
      <c r="FO50" s="75">
        <f t="shared" si="211"/>
        <v>2886.7427935737996</v>
      </c>
      <c r="FP50" s="75">
        <f t="shared" si="211"/>
        <v>2742.4056538951095</v>
      </c>
      <c r="FQ50" s="75">
        <f t="shared" si="211"/>
        <v>2605.2853712003539</v>
      </c>
      <c r="FR50" s="75">
        <f t="shared" si="211"/>
        <v>2475.0211026403363</v>
      </c>
      <c r="FS50" s="75">
        <f t="shared" si="211"/>
        <v>2351.2700475083193</v>
      </c>
      <c r="FT50" s="75">
        <f t="shared" si="211"/>
        <v>2233.7065451329031</v>
      </c>
      <c r="FU50" s="75">
        <f t="shared" si="211"/>
        <v>2122.0212178762577</v>
      </c>
      <c r="FV50" s="75">
        <f t="shared" si="211"/>
        <v>2015.9201569824447</v>
      </c>
      <c r="FW50" s="75">
        <f t="shared" si="211"/>
        <v>1915.1241491333224</v>
      </c>
      <c r="FX50" s="75">
        <f t="shared" si="211"/>
        <v>1819.3679416766561</v>
      </c>
      <c r="FY50" s="75">
        <f t="shared" si="211"/>
        <v>1728.3995445928231</v>
      </c>
      <c r="FZ50" s="75">
        <f t="shared" si="211"/>
        <v>1641.9795673631818</v>
      </c>
      <c r="GA50" s="75">
        <f t="shared" si="211"/>
        <v>1559.8805889950227</v>
      </c>
      <c r="GB50" s="75">
        <f t="shared" si="211"/>
        <v>1481.8865595452714</v>
      </c>
    </row>
    <row r="51" spans="2:184" s="15" customFormat="1" ht="13" x14ac:dyDescent="0.3">
      <c r="B51" s="15" t="s">
        <v>20</v>
      </c>
      <c r="C51" s="131">
        <f>C50/C52</f>
        <v>-0.1811764705882353</v>
      </c>
      <c r="D51" s="131">
        <f t="shared" ref="D51:V51" si="212">D50/D52</f>
        <v>-0.17427138600188971</v>
      </c>
      <c r="E51" s="131">
        <f t="shared" si="212"/>
        <v>-0.18618306169965074</v>
      </c>
      <c r="F51" s="131">
        <f t="shared" si="212"/>
        <v>-0.21697076068507945</v>
      </c>
      <c r="G51" s="131">
        <f t="shared" si="212"/>
        <v>-0.23493404864668629</v>
      </c>
      <c r="H51" s="131">
        <f t="shared" si="212"/>
        <v>-0.23094555873925504</v>
      </c>
      <c r="I51" s="131">
        <f t="shared" si="212"/>
        <v>-0.21706535522122075</v>
      </c>
      <c r="J51" s="131">
        <f t="shared" si="212"/>
        <v>-5.9655347848206919E-2</v>
      </c>
      <c r="K51" s="131" t="e">
        <f t="shared" si="212"/>
        <v>#REF!</v>
      </c>
      <c r="L51" s="131" t="e">
        <f t="shared" si="212"/>
        <v>#REF!</v>
      </c>
      <c r="M51" s="131" t="e">
        <f t="shared" si="212"/>
        <v>#REF!</v>
      </c>
      <c r="N51" s="131" t="e">
        <f t="shared" si="212"/>
        <v>#REF!</v>
      </c>
      <c r="O51" s="131" t="e">
        <f t="shared" si="212"/>
        <v>#REF!</v>
      </c>
      <c r="P51" s="131" t="e">
        <f t="shared" si="212"/>
        <v>#REF!</v>
      </c>
      <c r="Q51" s="131" t="e">
        <f t="shared" si="212"/>
        <v>#REF!</v>
      </c>
      <c r="R51" s="131" t="e">
        <f t="shared" si="212"/>
        <v>#REF!</v>
      </c>
      <c r="S51" s="131" t="e">
        <f t="shared" si="212"/>
        <v>#REF!</v>
      </c>
      <c r="T51" s="131" t="e">
        <f t="shared" si="212"/>
        <v>#REF!</v>
      </c>
      <c r="U51" s="131" t="e">
        <f t="shared" si="212"/>
        <v>#REF!</v>
      </c>
      <c r="V51" s="131" t="e">
        <f t="shared" si="212"/>
        <v>#REF!</v>
      </c>
      <c r="W51" s="131" t="e">
        <f t="shared" ref="W51:AD51" si="213">W50/W52</f>
        <v>#REF!</v>
      </c>
      <c r="X51" s="131" t="e">
        <f t="shared" si="213"/>
        <v>#REF!</v>
      </c>
      <c r="Y51" s="131" t="e">
        <f t="shared" si="213"/>
        <v>#REF!</v>
      </c>
      <c r="Z51" s="131" t="e">
        <f t="shared" si="213"/>
        <v>#REF!</v>
      </c>
      <c r="AA51" s="131" t="e">
        <f t="shared" si="213"/>
        <v>#REF!</v>
      </c>
      <c r="AB51" s="131" t="e">
        <f t="shared" si="213"/>
        <v>#REF!</v>
      </c>
      <c r="AC51" s="131" t="e">
        <f t="shared" si="213"/>
        <v>#REF!</v>
      </c>
      <c r="AD51" s="131" t="e">
        <f t="shared" si="213"/>
        <v>#REF!</v>
      </c>
      <c r="AE51" s="132">
        <f t="shared" ref="AE51:AO51" si="214">AE50/AE52</f>
        <v>0.6571636357468319</v>
      </c>
      <c r="AF51" s="132">
        <f t="shared" si="214"/>
        <v>0.69121011529085952</v>
      </c>
      <c r="AG51" s="132">
        <f>AG50/AG52</f>
        <v>0.78074888677254184</v>
      </c>
      <c r="AH51" s="132">
        <f t="shared" si="214"/>
        <v>0.93236102189859771</v>
      </c>
      <c r="AI51" s="132">
        <f t="shared" si="214"/>
        <v>-0.94187556930572991</v>
      </c>
      <c r="AJ51" s="132">
        <f t="shared" si="214"/>
        <v>0.84589870631864328</v>
      </c>
      <c r="AK51" s="132">
        <f t="shared" si="214"/>
        <v>0.89680109722530432</v>
      </c>
      <c r="AL51" s="132">
        <f t="shared" si="214"/>
        <v>-1.3204098840357177</v>
      </c>
      <c r="AM51" s="132">
        <f>AM50/AM52</f>
        <v>0.76820178923135507</v>
      </c>
      <c r="AN51" s="132">
        <f t="shared" si="214"/>
        <v>1.5060768090932271</v>
      </c>
      <c r="AO51" s="131">
        <f t="shared" si="214"/>
        <v>0.92032418952618489</v>
      </c>
      <c r="AP51" s="131">
        <f t="shared" ref="AP51:AY51" si="215">AP50/AP52</f>
        <v>0.8635476285549486</v>
      </c>
      <c r="AQ51" s="131">
        <f t="shared" si="215"/>
        <v>0.56282191132355985</v>
      </c>
      <c r="AR51" s="131">
        <f t="shared" si="215"/>
        <v>0.90463622316804693</v>
      </c>
      <c r="AS51" s="131">
        <f t="shared" si="215"/>
        <v>0.85258309941638599</v>
      </c>
      <c r="AT51" s="131">
        <f t="shared" si="215"/>
        <v>0.46414008096819726</v>
      </c>
      <c r="AU51" s="131">
        <f t="shared" si="215"/>
        <v>0.4310415240291644</v>
      </c>
      <c r="AV51" s="131">
        <f t="shared" si="215"/>
        <v>0.50826076360059202</v>
      </c>
      <c r="AW51" s="131">
        <f t="shared" si="215"/>
        <v>0.5247757252505767</v>
      </c>
      <c r="AX51" s="131">
        <f t="shared" si="215"/>
        <v>0.56062160566706032</v>
      </c>
      <c r="AY51" s="131">
        <f t="shared" si="215"/>
        <v>1.4939540000392901</v>
      </c>
      <c r="AZ51" s="131">
        <f>AZ50/AZ52</f>
        <v>2.3686724765157732</v>
      </c>
      <c r="BA51" s="131">
        <f t="shared" ref="BA51:BE51" si="216">BA50/BA52</f>
        <v>1.8199799291617476</v>
      </c>
      <c r="BB51" s="131">
        <f t="shared" si="216"/>
        <v>2.4583594239198496</v>
      </c>
      <c r="BC51" s="131">
        <f t="shared" si="216"/>
        <v>2.9509241555130656</v>
      </c>
      <c r="BD51" s="131">
        <f t="shared" si="216"/>
        <v>3.1616883116883119</v>
      </c>
      <c r="BE51" s="131">
        <f t="shared" si="216"/>
        <v>3.0605455755156354</v>
      </c>
      <c r="BF51" s="143">
        <f t="shared" ref="BF51:BG51" si="217">BF50/BF52</f>
        <v>3.3417119565217392</v>
      </c>
      <c r="BG51" s="143">
        <f t="shared" si="217"/>
        <v>3.0587818696883851</v>
      </c>
      <c r="BH51" s="143">
        <f t="shared" ref="BH51:BM51" si="218">BH50/BH52</f>
        <v>2.5808118081180811</v>
      </c>
      <c r="BI51" s="143">
        <f t="shared" si="218"/>
        <v>2.4831964152352501</v>
      </c>
      <c r="BJ51" s="143">
        <f t="shared" si="218"/>
        <v>2.7189148455162018</v>
      </c>
      <c r="BK51" s="143">
        <f t="shared" si="218"/>
        <v>2.2734848484848484</v>
      </c>
      <c r="BL51" s="143">
        <f t="shared" si="218"/>
        <v>2.3302961275626424</v>
      </c>
      <c r="BM51" s="143">
        <f t="shared" si="218"/>
        <v>2.0561031084154662</v>
      </c>
      <c r="BN51" s="143">
        <f t="shared" ref="BN51:BO51" si="219">BN50/BN52</f>
        <v>2.3335883703136955</v>
      </c>
      <c r="BO51" s="143">
        <f t="shared" si="219"/>
        <v>1.5477272727272726</v>
      </c>
      <c r="BP51" s="143">
        <f t="shared" ref="BP51:BQ51" si="220">BP50/BP52</f>
        <v>1.9977064220183487</v>
      </c>
      <c r="BQ51" s="143">
        <f t="shared" si="220"/>
        <v>1.6044376434583014</v>
      </c>
      <c r="BR51" s="143">
        <f t="shared" ref="BR51:BT51" si="221">BR50/BR52</f>
        <v>1.4418783679753657</v>
      </c>
      <c r="BS51" s="143">
        <f t="shared" si="221"/>
        <v>1.6687451286048325</v>
      </c>
      <c r="BT51" s="143">
        <f t="shared" si="221"/>
        <v>1.9052466718872356</v>
      </c>
      <c r="BU51" s="143">
        <f t="shared" ref="BU51" si="222">BU50/BU52</f>
        <v>-0.91949486977111283</v>
      </c>
      <c r="BV51" s="143">
        <f t="shared" ref="BV51:BW51" si="223">BV50/BV52</f>
        <v>1.1272584446190101</v>
      </c>
      <c r="BW51" s="143">
        <f t="shared" si="223"/>
        <v>1.684251968503937</v>
      </c>
      <c r="BX51" s="143">
        <f t="shared" ref="BX51:CA51" si="224">BX50/BX52</f>
        <v>1.300398406374502</v>
      </c>
      <c r="BY51" s="143">
        <f t="shared" si="224"/>
        <v>2.1736716891356065</v>
      </c>
      <c r="BZ51" s="143">
        <f t="shared" si="224"/>
        <v>2.193010325655282</v>
      </c>
      <c r="CA51" s="143">
        <f t="shared" si="224"/>
        <v>2.0427892234548337</v>
      </c>
      <c r="CB51" s="143">
        <f t="shared" ref="CB51" si="225">CB50/CB52</f>
        <v>1.9753968253968255</v>
      </c>
      <c r="CC51" s="143">
        <f t="shared" ref="CC51:CD51" si="226">CC50/CC52</f>
        <v>2.7369255150554674</v>
      </c>
      <c r="CD51" s="143">
        <f t="shared" si="226"/>
        <v>1.2828843106180665</v>
      </c>
      <c r="CE51" s="143">
        <f>CE50/CE52</f>
        <v>2.1204437400950873</v>
      </c>
      <c r="CF51" s="143">
        <f>CF50/CF52</f>
        <v>1.9126984126984128</v>
      </c>
      <c r="CG51" s="143">
        <f t="shared" ref="CG51" si="227">CG50/CG52</f>
        <v>2.1300555114988104</v>
      </c>
      <c r="CH51" s="143">
        <f t="shared" ref="CH51" si="228">CH50/CH52</f>
        <v>1.764240506329114</v>
      </c>
      <c r="CI51" s="143">
        <f t="shared" ref="CI51" si="229">CI50/CI52</f>
        <v>1.6098334655035687</v>
      </c>
      <c r="CJ51" s="143">
        <f t="shared" ref="CJ51" si="230">CJ50/CJ52</f>
        <v>1.521808088818398</v>
      </c>
      <c r="CK51" s="143">
        <f t="shared" ref="CK51" si="231">CK50/CK52</f>
        <v>2.3505154639175259</v>
      </c>
      <c r="CL51" s="143">
        <f t="shared" ref="CL51:CP51" si="232">CL50/CL52</f>
        <v>2.0610626486915145</v>
      </c>
      <c r="CM51" s="143">
        <f t="shared" si="232"/>
        <v>1.9935846030473134</v>
      </c>
      <c r="CN51" s="143">
        <f t="shared" si="232"/>
        <v>2.04396482813749</v>
      </c>
      <c r="CO51" s="143">
        <f t="shared" si="232"/>
        <v>2.4202551834130781</v>
      </c>
      <c r="CP51" s="143">
        <f t="shared" si="232"/>
        <v>1.9618745035742653</v>
      </c>
      <c r="CQ51" s="143"/>
      <c r="CR51" s="143"/>
      <c r="CS51" s="143"/>
      <c r="CT51" s="143"/>
      <c r="CU51" s="13"/>
      <c r="CV51" s="156">
        <f t="shared" ref="CV51:DH51" si="233">CV50/CV52</f>
        <v>-0.58744053004874341</v>
      </c>
      <c r="CW51" s="156">
        <f t="shared" si="233"/>
        <v>-0.55544236926067692</v>
      </c>
      <c r="CX51" s="156">
        <f t="shared" si="233"/>
        <v>-0.7493488070936779</v>
      </c>
      <c r="CY51" s="156">
        <f t="shared" si="233"/>
        <v>-0.74807605689737833</v>
      </c>
      <c r="CZ51" s="156">
        <f t="shared" si="233"/>
        <v>-0.81638447577136308</v>
      </c>
      <c r="DA51" s="156">
        <f t="shared" si="233"/>
        <v>-1.5622941753866506</v>
      </c>
      <c r="DB51" s="133">
        <f t="shared" si="233"/>
        <v>-2.0220124848713792</v>
      </c>
      <c r="DC51" s="131"/>
      <c r="DD51" s="131">
        <f t="shared" si="233"/>
        <v>-1.0998806083911572</v>
      </c>
      <c r="DE51" s="131">
        <f>DE50/DE52</f>
        <v>-2.1692810134356204</v>
      </c>
      <c r="DF51" s="132">
        <f>DF50/DF52</f>
        <v>5.00088130061022</v>
      </c>
      <c r="DG51" s="132">
        <f>DG50/DG52</f>
        <v>1.9625837174660143</v>
      </c>
      <c r="DH51" s="131">
        <f t="shared" si="233"/>
        <v>3.3911692913050526</v>
      </c>
      <c r="DI51" s="131">
        <f t="shared" ref="DI51:DN51" si="234">DI50/DI52</f>
        <v>2.5871987844912288</v>
      </c>
      <c r="DJ51" s="131">
        <f t="shared" si="234"/>
        <v>2.025966509698637</v>
      </c>
      <c r="DK51" s="131">
        <f t="shared" si="234"/>
        <v>8.469684532060862</v>
      </c>
      <c r="DL51" s="131">
        <f t="shared" si="234"/>
        <v>9.8930158542374826</v>
      </c>
      <c r="DM51" s="131">
        <f t="shared" si="234"/>
        <v>10.566098272923677</v>
      </c>
      <c r="DN51" s="143">
        <f t="shared" si="234"/>
        <v>-1.0213331016907428</v>
      </c>
      <c r="DO51" s="143">
        <f t="shared" ref="DO51:DQ51" si="235">DO50/DO52</f>
        <v>-1.025188634149625</v>
      </c>
      <c r="DP51" s="143">
        <f t="shared" si="235"/>
        <v>-1.02905872124354</v>
      </c>
      <c r="DQ51" s="143">
        <f t="shared" si="235"/>
        <v>8.8556260273194347</v>
      </c>
      <c r="DR51" s="143">
        <f t="shared" ref="DR51:DV51" si="236">DR50/DR52</f>
        <v>9.9364297082815138</v>
      </c>
      <c r="DS51" s="143">
        <f t="shared" si="236"/>
        <v>9.9647276482381901</v>
      </c>
      <c r="DT51" s="156">
        <f t="shared" si="236"/>
        <v>9.9378599197656872</v>
      </c>
      <c r="DU51" s="156">
        <f t="shared" si="236"/>
        <v>10.630234227226333</v>
      </c>
      <c r="DV51" s="156">
        <f t="shared" si="236"/>
        <v>11.025168709688881</v>
      </c>
      <c r="DW51" s="156">
        <f t="shared" ref="DW51:EF51" si="237">DW50/DW52</f>
        <v>9.8516189543567165</v>
      </c>
      <c r="DX51" s="156">
        <f t="shared" si="237"/>
        <v>9.4006867126450935</v>
      </c>
      <c r="DY51" s="156">
        <f t="shared" si="237"/>
        <v>9.8962918832164863</v>
      </c>
      <c r="DZ51" s="156">
        <f t="shared" si="237"/>
        <v>10.546122050266561</v>
      </c>
      <c r="EA51" s="156">
        <f t="shared" si="237"/>
        <v>11.271651952095411</v>
      </c>
      <c r="EB51" s="156">
        <f t="shared" si="237"/>
        <v>11.979558198327961</v>
      </c>
      <c r="EC51" s="156">
        <f t="shared" si="237"/>
        <v>12.323538287923139</v>
      </c>
      <c r="ED51" s="156">
        <f t="shared" si="237"/>
        <v>10.945529666650211</v>
      </c>
      <c r="EE51" s="156">
        <f t="shared" si="237"/>
        <v>9.8521474176707784</v>
      </c>
      <c r="EF51" s="156">
        <f t="shared" si="237"/>
        <v>10.478093019504163</v>
      </c>
    </row>
    <row r="52" spans="2:184" s="17" customFormat="1" x14ac:dyDescent="0.25">
      <c r="B52" s="75" t="s">
        <v>21</v>
      </c>
      <c r="C52" s="82">
        <v>387.6</v>
      </c>
      <c r="D52" s="82">
        <v>412.77</v>
      </c>
      <c r="E52" s="82">
        <v>412.32</v>
      </c>
      <c r="F52" s="82">
        <v>414.78399999999999</v>
      </c>
      <c r="G52" s="82">
        <v>396.65600000000001</v>
      </c>
      <c r="H52" s="82">
        <v>460.68</v>
      </c>
      <c r="I52" s="82">
        <v>466.86399999999998</v>
      </c>
      <c r="J52" s="82">
        <v>459.94200000000001</v>
      </c>
      <c r="K52" s="82">
        <v>460.40199999999999</v>
      </c>
      <c r="L52" s="82">
        <v>461.97800000000001</v>
      </c>
      <c r="M52" s="82">
        <v>465.47399999999999</v>
      </c>
      <c r="N52" s="82">
        <v>460.2</v>
      </c>
      <c r="O52" s="82">
        <v>467.61900000000003</v>
      </c>
      <c r="P52" s="82">
        <v>472.59500000000003</v>
      </c>
      <c r="Q52" s="82">
        <v>476</v>
      </c>
      <c r="R52" s="82">
        <v>479.2</v>
      </c>
      <c r="S52" s="82">
        <v>483</v>
      </c>
      <c r="T52" s="82">
        <v>476.74599999999998</v>
      </c>
      <c r="U52" s="82">
        <v>457.43299999999999</v>
      </c>
      <c r="V52" s="82">
        <v>460.09899999999999</v>
      </c>
      <c r="W52" s="82">
        <f>481.358*2</f>
        <v>962.71600000000001</v>
      </c>
      <c r="X52" s="82">
        <v>967.928</v>
      </c>
      <c r="Y52" s="82">
        <v>959.04300000000001</v>
      </c>
      <c r="Z52" s="82">
        <v>969.274</v>
      </c>
      <c r="AA52" s="82">
        <v>968.67499999999995</v>
      </c>
      <c r="AB52" s="82">
        <v>968.06600000000003</v>
      </c>
      <c r="AC52" s="82">
        <v>962.50900000000001</v>
      </c>
      <c r="AD52" s="82">
        <v>943.52</v>
      </c>
      <c r="AE52" s="104">
        <v>943.27800000000002</v>
      </c>
      <c r="AF52" s="104">
        <v>934.50599999999997</v>
      </c>
      <c r="AG52" s="104">
        <v>932.42399999999998</v>
      </c>
      <c r="AH52" s="104">
        <v>926.31500000000005</v>
      </c>
      <c r="AI52" s="104">
        <v>927.66499999999996</v>
      </c>
      <c r="AJ52" s="104">
        <v>898.75300000000004</v>
      </c>
      <c r="AK52" s="104">
        <v>847.22799999999995</v>
      </c>
      <c r="AL52" s="104">
        <v>821.89099999999996</v>
      </c>
      <c r="AM52" s="104">
        <v>811.85699999999997</v>
      </c>
      <c r="AN52" s="104">
        <f>+AM52</f>
        <v>811.85699999999997</v>
      </c>
      <c r="AO52" s="82">
        <v>802</v>
      </c>
      <c r="AP52" s="82">
        <v>766.32600000000002</v>
      </c>
      <c r="AQ52" s="82">
        <v>777.38800000000003</v>
      </c>
      <c r="AR52" s="82">
        <v>780.50599999999997</v>
      </c>
      <c r="AS52" s="82">
        <v>792.30399999999997</v>
      </c>
      <c r="AT52" s="82">
        <v>1636.9390000000001</v>
      </c>
      <c r="AU52" s="82">
        <v>1665.06</v>
      </c>
      <c r="AV52" s="82">
        <v>1694.577</v>
      </c>
      <c r="AW52" s="82">
        <v>1691.8979999999999</v>
      </c>
      <c r="AX52" s="82">
        <v>1694</v>
      </c>
      <c r="AY52" s="82">
        <v>1679.8710000000001</v>
      </c>
      <c r="AZ52" s="82">
        <v>1664.415</v>
      </c>
      <c r="BA52" s="82">
        <v>1694</v>
      </c>
      <c r="BB52" s="82">
        <v>1597</v>
      </c>
      <c r="BC52" s="82">
        <v>1569</v>
      </c>
      <c r="BD52" s="82">
        <v>1540</v>
      </c>
      <c r="BE52" s="82">
        <v>1503</v>
      </c>
      <c r="BF52" s="82">
        <v>1472</v>
      </c>
      <c r="BG52" s="82">
        <v>1412</v>
      </c>
      <c r="BH52" s="82">
        <v>1355</v>
      </c>
      <c r="BI52" s="82">
        <v>1339</v>
      </c>
      <c r="BJ52" s="82">
        <v>1327</v>
      </c>
      <c r="BK52" s="82">
        <v>1320</v>
      </c>
      <c r="BL52" s="82">
        <v>1317</v>
      </c>
      <c r="BM52" s="82">
        <v>1319</v>
      </c>
      <c r="BN52" s="82">
        <v>1307</v>
      </c>
      <c r="BO52" s="82">
        <v>1320</v>
      </c>
      <c r="BP52" s="82">
        <v>1308</v>
      </c>
      <c r="BQ52" s="140">
        <v>1307</v>
      </c>
      <c r="BR52" s="140">
        <v>1299</v>
      </c>
      <c r="BS52" s="140">
        <v>1283</v>
      </c>
      <c r="BT52" s="82">
        <v>1277</v>
      </c>
      <c r="BU52" s="140">
        <v>1267</v>
      </c>
      <c r="BV52" s="140">
        <v>1273</v>
      </c>
      <c r="BW52" s="140">
        <v>1270</v>
      </c>
      <c r="BX52" s="140">
        <v>1255</v>
      </c>
      <c r="BY52" s="140">
        <v>1261</v>
      </c>
      <c r="BZ52" s="140">
        <v>1259</v>
      </c>
      <c r="CA52" s="140">
        <v>1262</v>
      </c>
      <c r="CB52" s="140">
        <v>1260</v>
      </c>
      <c r="CC52" s="140">
        <v>1262</v>
      </c>
      <c r="CD52" s="140">
        <v>1262</v>
      </c>
      <c r="CE52" s="140">
        <v>1262</v>
      </c>
      <c r="CF52" s="140">
        <v>1260</v>
      </c>
      <c r="CG52" s="140">
        <v>1261</v>
      </c>
      <c r="CH52" s="140">
        <v>1264</v>
      </c>
      <c r="CI52" s="140">
        <v>1261</v>
      </c>
      <c r="CJ52" s="140">
        <f t="shared" ref="CJ52:CL52" si="238">+CI52</f>
        <v>1261</v>
      </c>
      <c r="CK52" s="140">
        <f t="shared" si="238"/>
        <v>1261</v>
      </c>
      <c r="CL52" s="140">
        <f t="shared" si="238"/>
        <v>1261</v>
      </c>
      <c r="CM52" s="140">
        <v>1247</v>
      </c>
      <c r="CN52" s="140">
        <v>1251</v>
      </c>
      <c r="CO52" s="140">
        <v>1254</v>
      </c>
      <c r="CP52" s="140">
        <v>1259</v>
      </c>
      <c r="CQ52" s="140"/>
      <c r="CR52" s="140"/>
      <c r="CS52" s="140"/>
      <c r="CT52" s="140"/>
      <c r="CU52" s="79"/>
      <c r="CV52" s="79">
        <v>342.61</v>
      </c>
      <c r="CW52" s="79">
        <v>364.19799999999998</v>
      </c>
      <c r="CX52" s="79">
        <v>404.642</v>
      </c>
      <c r="CY52" s="79">
        <v>412.95400000000001</v>
      </c>
      <c r="CZ52" s="79">
        <v>402.21</v>
      </c>
      <c r="DA52" s="79">
        <v>462.01350000000002</v>
      </c>
      <c r="DB52" s="17">
        <v>473.8535</v>
      </c>
      <c r="DC52" s="82">
        <f>AVERAGE(S52:V52)*2</f>
        <v>938.63900000000001</v>
      </c>
      <c r="DD52" s="82">
        <f>AVERAGE(W52:Z52)</f>
        <v>964.74024999999995</v>
      </c>
      <c r="DE52" s="82">
        <f>AVERAGE(AA52:AD52)</f>
        <v>960.6925</v>
      </c>
      <c r="DF52" s="104">
        <f>AVERAGE(AE52:AH52)</f>
        <v>934.13075000000003</v>
      </c>
      <c r="DG52" s="104">
        <f>AVERAGE(AI52:AL52)</f>
        <v>873.88425000000007</v>
      </c>
      <c r="DH52" s="82">
        <f>AL52</f>
        <v>821.89099999999996</v>
      </c>
      <c r="DI52" s="82">
        <f>AVERAGE(AQ52:AT52)</f>
        <v>996.78424999999993</v>
      </c>
      <c r="DJ52" s="82">
        <f>AVERAGE(AU52:AX52)</f>
        <v>1686.38375</v>
      </c>
      <c r="DK52" s="82">
        <f>AVERAGE(AY52:BB52)</f>
        <v>1658.8215</v>
      </c>
      <c r="DL52" s="82">
        <f t="shared" ref="DL52:DN52" si="239">DK52</f>
        <v>1658.8215</v>
      </c>
      <c r="DM52" s="82">
        <f t="shared" si="239"/>
        <v>1658.8215</v>
      </c>
      <c r="DN52" s="140">
        <f t="shared" si="239"/>
        <v>1658.8215</v>
      </c>
      <c r="DO52" s="140">
        <f>DN52</f>
        <v>1658.8215</v>
      </c>
      <c r="DP52" s="140">
        <f>DO52</f>
        <v>1658.8215</v>
      </c>
      <c r="DQ52" s="140">
        <f>DP52</f>
        <v>1658.8215</v>
      </c>
      <c r="DR52" s="140">
        <f t="shared" ref="DR52:DV52" si="240">DQ52</f>
        <v>1658.8215</v>
      </c>
      <c r="DS52" s="140">
        <f t="shared" si="240"/>
        <v>1658.8215</v>
      </c>
      <c r="DT52" s="79">
        <f t="shared" si="240"/>
        <v>1658.8215</v>
      </c>
      <c r="DU52" s="79">
        <f t="shared" si="240"/>
        <v>1658.8215</v>
      </c>
      <c r="DV52" s="79">
        <f t="shared" si="240"/>
        <v>1658.8215</v>
      </c>
      <c r="DW52" s="79">
        <f t="shared" ref="DW52" si="241">DV52</f>
        <v>1658.8215</v>
      </c>
      <c r="DX52" s="79">
        <f t="shared" ref="DX52" si="242">DW52</f>
        <v>1658.8215</v>
      </c>
      <c r="DY52" s="79">
        <f t="shared" ref="DY52" si="243">DX52</f>
        <v>1658.8215</v>
      </c>
      <c r="DZ52" s="79">
        <f t="shared" ref="DZ52" si="244">DY52</f>
        <v>1658.8215</v>
      </c>
      <c r="EA52" s="79">
        <f t="shared" ref="EA52" si="245">DZ52</f>
        <v>1658.8215</v>
      </c>
      <c r="EB52" s="79">
        <f t="shared" ref="EB52" si="246">EA52</f>
        <v>1658.8215</v>
      </c>
      <c r="EC52" s="79">
        <f t="shared" ref="EC52" si="247">EB52</f>
        <v>1658.8215</v>
      </c>
      <c r="ED52" s="79">
        <f t="shared" ref="ED52" si="248">EC52</f>
        <v>1658.8215</v>
      </c>
      <c r="EE52" s="79">
        <f t="shared" ref="EE52" si="249">ED52</f>
        <v>1658.8215</v>
      </c>
      <c r="EF52" s="79">
        <f t="shared" ref="EF52" si="250">EE52</f>
        <v>1658.8215</v>
      </c>
    </row>
    <row r="53" spans="2:184" s="17" customFormat="1" x14ac:dyDescent="0.25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79"/>
      <c r="CV53" s="79"/>
      <c r="CW53" s="79"/>
      <c r="CX53" s="79"/>
      <c r="CY53" s="79"/>
      <c r="CZ53" s="79"/>
      <c r="DA53" s="79"/>
      <c r="DC53" s="82"/>
      <c r="DD53" s="82"/>
      <c r="DE53" s="82"/>
      <c r="DF53" s="104"/>
      <c r="DG53" s="104"/>
      <c r="DH53" s="82"/>
      <c r="DI53" s="82"/>
      <c r="DJ53" s="82"/>
      <c r="DK53" s="82"/>
      <c r="DL53" s="82"/>
      <c r="DM53" s="82"/>
      <c r="DN53" s="140"/>
      <c r="DO53" s="140"/>
      <c r="DP53" s="140"/>
      <c r="DQ53" s="139"/>
      <c r="DR53" s="140"/>
      <c r="DS53" s="140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</row>
    <row r="54" spans="2:184" s="24" customFormat="1" x14ac:dyDescent="0.25">
      <c r="B54" s="117" t="s">
        <v>589</v>
      </c>
      <c r="C54" s="78">
        <f t="shared" ref="C54:R54" si="251">(C40-C41)/C40</f>
        <v>-1.2395387762692951</v>
      </c>
      <c r="D54" s="78">
        <f t="shared" si="251"/>
        <v>-1.6299539854534659</v>
      </c>
      <c r="E54" s="78">
        <f t="shared" si="251"/>
        <v>-3.6581469648562304</v>
      </c>
      <c r="F54" s="78">
        <f t="shared" si="251"/>
        <v>-4.0005115089514067</v>
      </c>
      <c r="G54" s="78">
        <f t="shared" si="251"/>
        <v>-1.8943661971830985</v>
      </c>
      <c r="H54" s="78">
        <f t="shared" si="251"/>
        <v>-3.5637526652452025</v>
      </c>
      <c r="I54" s="78">
        <f t="shared" si="251"/>
        <v>-4.3202051282051279</v>
      </c>
      <c r="J54" s="78">
        <f t="shared" si="251"/>
        <v>-4.6163713080168778</v>
      </c>
      <c r="K54" s="78" t="e">
        <f t="shared" si="251"/>
        <v>#REF!</v>
      </c>
      <c r="L54" s="78" t="e">
        <f t="shared" si="251"/>
        <v>#REF!</v>
      </c>
      <c r="M54" s="78" t="e">
        <f t="shared" si="251"/>
        <v>#REF!</v>
      </c>
      <c r="N54" s="78" t="e">
        <f t="shared" si="251"/>
        <v>#REF!</v>
      </c>
      <c r="O54" s="78" t="e">
        <f t="shared" si="251"/>
        <v>#REF!</v>
      </c>
      <c r="P54" s="78" t="e">
        <f t="shared" si="251"/>
        <v>#REF!</v>
      </c>
      <c r="Q54" s="78" t="e">
        <f t="shared" si="251"/>
        <v>#REF!</v>
      </c>
      <c r="R54" s="78" t="e">
        <f t="shared" si="251"/>
        <v>#REF!</v>
      </c>
      <c r="S54" s="86" t="e">
        <f t="shared" ref="S54:AQ54" si="252">S42/S40</f>
        <v>#REF!</v>
      </c>
      <c r="T54" s="86" t="e">
        <f t="shared" si="252"/>
        <v>#REF!</v>
      </c>
      <c r="U54" s="86" t="e">
        <f t="shared" si="252"/>
        <v>#REF!</v>
      </c>
      <c r="V54" s="86" t="e">
        <f t="shared" si="252"/>
        <v>#REF!</v>
      </c>
      <c r="W54" s="86" t="e">
        <f t="shared" si="252"/>
        <v>#REF!</v>
      </c>
      <c r="X54" s="86" t="e">
        <f t="shared" si="252"/>
        <v>#REF!</v>
      </c>
      <c r="Y54" s="86" t="e">
        <f t="shared" si="252"/>
        <v>#REF!</v>
      </c>
      <c r="Z54" s="86" t="e">
        <f t="shared" si="252"/>
        <v>#REF!</v>
      </c>
      <c r="AA54" s="86" t="e">
        <f t="shared" si="252"/>
        <v>#REF!</v>
      </c>
      <c r="AB54" s="86" t="e">
        <f t="shared" si="252"/>
        <v>#REF!</v>
      </c>
      <c r="AC54" s="86" t="e">
        <f t="shared" si="252"/>
        <v>#REF!</v>
      </c>
      <c r="AD54" s="86" t="e">
        <f t="shared" si="252"/>
        <v>#REF!</v>
      </c>
      <c r="AE54" s="106">
        <f t="shared" si="252"/>
        <v>0.78688760242018752</v>
      </c>
      <c r="AF54" s="106">
        <f t="shared" si="252"/>
        <v>0.76906484210654125</v>
      </c>
      <c r="AG54" s="106">
        <f t="shared" si="252"/>
        <v>0.77256439336534199</v>
      </c>
      <c r="AH54" s="106">
        <f t="shared" si="252"/>
        <v>0.77777444204052615</v>
      </c>
      <c r="AI54" s="106">
        <f t="shared" si="252"/>
        <v>-0.40238087242687792</v>
      </c>
      <c r="AJ54" s="106">
        <f t="shared" si="252"/>
        <v>0.77400914475950899</v>
      </c>
      <c r="AK54" s="106">
        <f t="shared" si="252"/>
        <v>0.76264479377258387</v>
      </c>
      <c r="AL54" s="106">
        <f t="shared" si="252"/>
        <v>-6.0084880714108309</v>
      </c>
      <c r="AM54" s="106">
        <f t="shared" si="252"/>
        <v>0.75075374084142454</v>
      </c>
      <c r="AN54" s="106">
        <f t="shared" si="252"/>
        <v>0.7502106676186675</v>
      </c>
      <c r="AO54" s="86">
        <f t="shared" si="252"/>
        <v>0.74931674677221749</v>
      </c>
      <c r="AP54" s="86">
        <f t="shared" si="252"/>
        <v>0.73438790971369461</v>
      </c>
      <c r="AQ54" s="86">
        <f t="shared" si="252"/>
        <v>0.74547908847032285</v>
      </c>
      <c r="AR54" s="86">
        <f t="shared" ref="AR54:AS54" si="253">AR42/AR40</f>
        <v>0.74332754306735527</v>
      </c>
      <c r="AS54" s="86">
        <f t="shared" si="253"/>
        <v>0.75386559861402613</v>
      </c>
      <c r="AT54" s="86">
        <f t="shared" ref="AT54:AU54" si="254">AT42/AT40</f>
        <v>0.73889351443137052</v>
      </c>
      <c r="AU54" s="86">
        <f t="shared" si="254"/>
        <v>0.74939199371157383</v>
      </c>
      <c r="AV54" s="86">
        <f t="shared" ref="AV54:BE54" si="255">AV42/AV40</f>
        <v>0.76123132448794784</v>
      </c>
      <c r="AW54" s="86">
        <f t="shared" si="255"/>
        <v>0.76326966080968572</v>
      </c>
      <c r="AX54" s="86">
        <f t="shared" si="255"/>
        <v>0.75079251214651077</v>
      </c>
      <c r="AY54" s="86">
        <f t="shared" si="255"/>
        <v>0.87770786540229617</v>
      </c>
      <c r="AZ54" s="86">
        <f>AZ42/AZ40</f>
        <v>0.88936972109895418</v>
      </c>
      <c r="BA54" s="86">
        <f t="shared" si="255"/>
        <v>0.88</v>
      </c>
      <c r="BB54" s="86">
        <f t="shared" si="255"/>
        <v>0.88419469510527759</v>
      </c>
      <c r="BC54" s="86">
        <f t="shared" si="255"/>
        <v>0.91124572030550433</v>
      </c>
      <c r="BD54" s="86">
        <f t="shared" si="255"/>
        <v>0.90441533236293059</v>
      </c>
      <c r="BE54" s="86">
        <f t="shared" si="255"/>
        <v>0.87172995780590712</v>
      </c>
      <c r="BF54" s="144">
        <f t="shared" ref="BF54" si="256">BF42/BF40</f>
        <v>0.89924758993651543</v>
      </c>
      <c r="BG54" s="144">
        <f t="shared" ref="BG54" si="257">BG42/BG40</f>
        <v>0.87387734154477803</v>
      </c>
      <c r="BH54" s="144">
        <f t="shared" ref="BH54:BI54" si="258">BH42/BH40</f>
        <v>0.88888888888888884</v>
      </c>
      <c r="BI54" s="144">
        <f t="shared" si="258"/>
        <v>0.8494666666666667</v>
      </c>
      <c r="BJ54" s="144">
        <f t="shared" ref="BJ54" si="259">BJ42/BJ40</f>
        <v>0.88251366120218577</v>
      </c>
      <c r="BK54" s="144">
        <f t="shared" ref="BK54:BM54" si="260">BK42/BK40</f>
        <v>0.88578016910069179</v>
      </c>
      <c r="BL54" s="144">
        <f t="shared" si="260"/>
        <v>0.84231900294076456</v>
      </c>
      <c r="BM54" s="144">
        <f t="shared" si="260"/>
        <v>0.84152334152334152</v>
      </c>
      <c r="BN54" s="144">
        <f t="shared" ref="BN54:BO54" si="261">BN42/BN40</f>
        <v>0.83761976802824001</v>
      </c>
      <c r="BO54" s="144">
        <f t="shared" si="261"/>
        <v>0.86497641509433965</v>
      </c>
      <c r="BP54" s="144">
        <f t="shared" ref="BP54:BQ54" si="262">BP42/BP40</f>
        <v>0.84507790368271951</v>
      </c>
      <c r="BQ54" s="144">
        <f t="shared" si="262"/>
        <v>0.80593280914939247</v>
      </c>
      <c r="BR54" s="144">
        <f t="shared" ref="BR54:BT54" si="263">BR42/BR40</f>
        <v>0.78308886971527181</v>
      </c>
      <c r="BS54" s="144">
        <f t="shared" si="263"/>
        <v>0.87237265669380804</v>
      </c>
      <c r="BT54" s="144">
        <f t="shared" si="263"/>
        <v>0.87440633245382582</v>
      </c>
      <c r="BU54" s="144">
        <f t="shared" ref="BU54" si="264">BU42/BU40</f>
        <v>0.81531049250535337</v>
      </c>
      <c r="BV54" s="144">
        <f t="shared" ref="BV54:BW54" si="265">BV42/BV40</f>
        <v>0.75897261439020236</v>
      </c>
      <c r="BW54" s="144">
        <f t="shared" si="265"/>
        <v>0.87328767123287676</v>
      </c>
      <c r="BX54" s="144">
        <f t="shared" ref="BX54:BZ54" si="266">BX42/BX40</f>
        <v>0.84483764339879452</v>
      </c>
      <c r="BY54" s="144">
        <f t="shared" si="266"/>
        <v>0.86696062034362176</v>
      </c>
      <c r="BZ54" s="144">
        <f t="shared" si="266"/>
        <v>0.87629699501414904</v>
      </c>
      <c r="CA54" s="144">
        <f t="shared" ref="CA54:CE54" si="267">CA42/CA40</f>
        <v>0.86688463334890242</v>
      </c>
      <c r="CB54" s="144">
        <f t="shared" ref="CB54" si="268">CB42/CB40</f>
        <v>0.86552999839150713</v>
      </c>
      <c r="CC54" s="144">
        <f t="shared" ref="CC54" si="269">CC42/CC40</f>
        <v>0.90082199164533083</v>
      </c>
      <c r="CD54" s="144">
        <f t="shared" si="267"/>
        <v>0.70854618252105483</v>
      </c>
      <c r="CE54" s="144">
        <f t="shared" si="267"/>
        <v>0.87479131886477457</v>
      </c>
      <c r="CF54" s="144">
        <f t="shared" ref="CF54:CN54" si="270">CF42/CF40</f>
        <v>0.85848905925570995</v>
      </c>
      <c r="CG54" s="144">
        <f t="shared" si="270"/>
        <v>0.8689292814541324</v>
      </c>
      <c r="CH54" s="144">
        <f t="shared" si="270"/>
        <v>0.86899445121125996</v>
      </c>
      <c r="CI54" s="144">
        <f t="shared" si="270"/>
        <v>0.86287783375314864</v>
      </c>
      <c r="CJ54" s="144">
        <f t="shared" si="270"/>
        <v>0.86954545454545451</v>
      </c>
      <c r="CK54" s="144">
        <f t="shared" si="270"/>
        <v>0.86032331253545091</v>
      </c>
      <c r="CL54" s="144">
        <f t="shared" si="270"/>
        <v>0.86228218100056209</v>
      </c>
      <c r="CM54" s="144">
        <f t="shared" si="270"/>
        <v>0.85434425003738601</v>
      </c>
      <c r="CN54" s="144">
        <f t="shared" si="270"/>
        <v>0.861230946218004</v>
      </c>
      <c r="CO54" s="144">
        <f t="shared" ref="CO54:CP54" si="271">CO42/CO40</f>
        <v>0.86812458581842278</v>
      </c>
      <c r="CP54" s="144">
        <f t="shared" si="271"/>
        <v>0.86761791518034082</v>
      </c>
      <c r="CQ54" s="144"/>
      <c r="CR54" s="144"/>
      <c r="CS54" s="144"/>
      <c r="CT54" s="144"/>
      <c r="CU54" s="157"/>
      <c r="CV54" s="157">
        <f t="shared" ref="CV54:DC54" si="272">(CV40-CV41)/CV40</f>
        <v>1</v>
      </c>
      <c r="CW54" s="157">
        <f t="shared" si="272"/>
        <v>1</v>
      </c>
      <c r="CX54" s="157">
        <f t="shared" si="272"/>
        <v>1</v>
      </c>
      <c r="CY54" s="157">
        <f t="shared" si="272"/>
        <v>1</v>
      </c>
      <c r="CZ54" s="157">
        <f t="shared" si="272"/>
        <v>1</v>
      </c>
      <c r="DA54" s="157">
        <f t="shared" si="272"/>
        <v>1</v>
      </c>
      <c r="DB54" s="24">
        <f t="shared" si="272"/>
        <v>1</v>
      </c>
      <c r="DC54" s="78">
        <f t="shared" si="272"/>
        <v>1</v>
      </c>
      <c r="DD54" s="78">
        <f>DD42/DD40</f>
        <v>0</v>
      </c>
      <c r="DE54" s="78">
        <f t="shared" ref="DE54:DH54" si="273">(DE40-DE41)/DE40</f>
        <v>1</v>
      </c>
      <c r="DF54" s="136">
        <f t="shared" si="273"/>
        <v>0.77637888696299129</v>
      </c>
      <c r="DG54" s="136">
        <f t="shared" si="273"/>
        <v>0.45674803683715687</v>
      </c>
      <c r="DH54" s="78">
        <f t="shared" si="273"/>
        <v>0.74594373840739259</v>
      </c>
      <c r="DI54" s="78">
        <f>DI42/DI40</f>
        <v>0.74528640351776765</v>
      </c>
      <c r="DJ54" s="78">
        <f>DJ42/DJ40</f>
        <v>0.75615460812691804</v>
      </c>
      <c r="DK54" s="78">
        <f t="shared" ref="DK54:DQ54" si="274">DK42/DK40</f>
        <v>0.87999999999999989</v>
      </c>
      <c r="DL54" s="78">
        <f t="shared" si="274"/>
        <v>0.88</v>
      </c>
      <c r="DM54" s="78">
        <f t="shared" si="274"/>
        <v>0.88</v>
      </c>
      <c r="DN54" s="169" t="e">
        <f t="shared" si="274"/>
        <v>#DIV/0!</v>
      </c>
      <c r="DO54" s="169" t="e">
        <f t="shared" si="274"/>
        <v>#DIV/0!</v>
      </c>
      <c r="DP54" s="169" t="e">
        <f t="shared" si="274"/>
        <v>#DIV/0!</v>
      </c>
      <c r="DQ54" s="169">
        <f t="shared" si="274"/>
        <v>0.88</v>
      </c>
      <c r="DR54" s="169">
        <f t="shared" ref="DR54:DV54" si="275">DR42/DR40</f>
        <v>0.88</v>
      </c>
      <c r="DS54" s="169">
        <f t="shared" si="275"/>
        <v>0.88</v>
      </c>
      <c r="DT54" s="157">
        <f t="shared" si="275"/>
        <v>0.87999999999999989</v>
      </c>
      <c r="DU54" s="157">
        <f t="shared" si="275"/>
        <v>0.88</v>
      </c>
      <c r="DV54" s="157">
        <f t="shared" si="275"/>
        <v>0.87999999999999989</v>
      </c>
      <c r="DW54" s="157"/>
      <c r="DX54" s="157"/>
      <c r="DY54" s="157"/>
      <c r="DZ54" s="157"/>
      <c r="EA54" s="157"/>
      <c r="EB54" s="157"/>
      <c r="EC54" s="157"/>
      <c r="ED54" s="157"/>
      <c r="EE54" s="157"/>
      <c r="EF54" s="157"/>
    </row>
    <row r="55" spans="2:184" s="24" customFormat="1" x14ac:dyDescent="0.25">
      <c r="B55" s="24" t="s">
        <v>471</v>
      </c>
      <c r="C55" s="78">
        <f t="shared" ref="C55:AP55" si="276">C49/C48</f>
        <v>1.354160813620273E-2</v>
      </c>
      <c r="D55" s="78">
        <f t="shared" si="276"/>
        <v>-8.9486086175942538E-3</v>
      </c>
      <c r="E55" s="78">
        <f t="shared" si="276"/>
        <v>-7.2162378471994446E-3</v>
      </c>
      <c r="F55" s="78">
        <f t="shared" si="276"/>
        <v>-1.210076473234368E-2</v>
      </c>
      <c r="G55" s="78">
        <f t="shared" si="276"/>
        <v>-2.9383174266525272E-2</v>
      </c>
      <c r="H55" s="78">
        <f t="shared" si="276"/>
        <v>-5.2167291355558414E-2</v>
      </c>
      <c r="I55" s="78">
        <f t="shared" si="276"/>
        <v>-3.9544545314663795E-2</v>
      </c>
      <c r="J55" s="78">
        <f t="shared" si="276"/>
        <v>0.79639056679380826</v>
      </c>
      <c r="K55" s="78" t="e">
        <f t="shared" si="276"/>
        <v>#REF!</v>
      </c>
      <c r="L55" s="78" t="e">
        <f t="shared" si="276"/>
        <v>#REF!</v>
      </c>
      <c r="M55" s="78" t="e">
        <f t="shared" si="276"/>
        <v>#REF!</v>
      </c>
      <c r="N55" s="78" t="e">
        <f t="shared" si="276"/>
        <v>#REF!</v>
      </c>
      <c r="O55" s="78" t="e">
        <f t="shared" si="276"/>
        <v>#REF!</v>
      </c>
      <c r="P55" s="78" t="e">
        <f t="shared" si="276"/>
        <v>#REF!</v>
      </c>
      <c r="Q55" s="78" t="e">
        <f t="shared" si="276"/>
        <v>#REF!</v>
      </c>
      <c r="R55" s="78" t="e">
        <f t="shared" si="276"/>
        <v>#REF!</v>
      </c>
      <c r="S55" s="86" t="e">
        <f t="shared" si="276"/>
        <v>#REF!</v>
      </c>
      <c r="T55" s="86" t="e">
        <f t="shared" si="276"/>
        <v>#REF!</v>
      </c>
      <c r="U55" s="86" t="e">
        <f t="shared" si="276"/>
        <v>#REF!</v>
      </c>
      <c r="V55" s="86" t="e">
        <f t="shared" si="276"/>
        <v>#REF!</v>
      </c>
      <c r="W55" s="86" t="e">
        <f t="shared" si="276"/>
        <v>#REF!</v>
      </c>
      <c r="X55" s="86" t="e">
        <f t="shared" si="276"/>
        <v>#REF!</v>
      </c>
      <c r="Y55" s="86" t="e">
        <f t="shared" si="276"/>
        <v>#REF!</v>
      </c>
      <c r="Z55" s="86" t="e">
        <f t="shared" si="276"/>
        <v>#REF!</v>
      </c>
      <c r="AA55" s="86" t="e">
        <f t="shared" si="276"/>
        <v>#REF!</v>
      </c>
      <c r="AB55" s="86" t="e">
        <f t="shared" si="276"/>
        <v>#REF!</v>
      </c>
      <c r="AC55" s="86" t="e">
        <f t="shared" si="276"/>
        <v>#REF!</v>
      </c>
      <c r="AD55" s="86" t="e">
        <f t="shared" si="276"/>
        <v>#REF!</v>
      </c>
      <c r="AE55" s="106">
        <f t="shared" si="276"/>
        <v>-0.25929395570255515</v>
      </c>
      <c r="AF55" s="106">
        <f t="shared" si="276"/>
        <v>-0.23279568615340762</v>
      </c>
      <c r="AG55" s="106">
        <f t="shared" si="276"/>
        <v>-0.23044665424227964</v>
      </c>
      <c r="AH55" s="106">
        <f t="shared" si="276"/>
        <v>-0.24217749153256243</v>
      </c>
      <c r="AI55" s="106">
        <f t="shared" si="276"/>
        <v>0.59808503049867867</v>
      </c>
      <c r="AJ55" s="106">
        <f t="shared" si="276"/>
        <v>-0.28362672837982245</v>
      </c>
      <c r="AK55" s="106">
        <f t="shared" si="276"/>
        <v>-0.2664619929619278</v>
      </c>
      <c r="AL55" s="106">
        <f t="shared" si="276"/>
        <v>0.18964453160541223</v>
      </c>
      <c r="AM55" s="106">
        <f t="shared" si="276"/>
        <v>-0.2668484841360339</v>
      </c>
      <c r="AN55" s="106">
        <f t="shared" si="276"/>
        <v>0.24438498700881037</v>
      </c>
      <c r="AO55" s="86">
        <f t="shared" si="276"/>
        <v>-0.24336237826755505</v>
      </c>
      <c r="AP55" s="86">
        <f t="shared" si="276"/>
        <v>0.19183653032388392</v>
      </c>
      <c r="AQ55" s="86">
        <f t="shared" ref="AQ55:AV55" si="277">AQ49/AQ48</f>
        <v>0.34582727176222416</v>
      </c>
      <c r="AR55" s="86">
        <f t="shared" si="277"/>
        <v>0.27178761529250761</v>
      </c>
      <c r="AS55" s="86">
        <f t="shared" si="277"/>
        <v>0.28975477532549593</v>
      </c>
      <c r="AT55" s="86">
        <f t="shared" si="277"/>
        <v>0.25490271072315052</v>
      </c>
      <c r="AU55" s="86">
        <f t="shared" si="277"/>
        <v>0.23659891846815595</v>
      </c>
      <c r="AV55" s="86">
        <f t="shared" si="277"/>
        <v>0.26024129913654853</v>
      </c>
      <c r="AW55" s="86">
        <f t="shared" ref="AW55:BE55" si="278">AW49/AW48</f>
        <v>0.24690020781203609</v>
      </c>
      <c r="AX55" s="86">
        <f t="shared" si="278"/>
        <v>0.25557130248155174</v>
      </c>
      <c r="AY55" s="86">
        <f t="shared" si="278"/>
        <v>0.2243470316473456</v>
      </c>
      <c r="AZ55" s="86">
        <f>AZ49/AZ48</f>
        <v>0.14181925991196714</v>
      </c>
      <c r="BA55" s="86">
        <f t="shared" si="278"/>
        <v>0.25</v>
      </c>
      <c r="BB55" s="86">
        <f t="shared" si="278"/>
        <v>0.15913471835510817</v>
      </c>
      <c r="BC55" s="86">
        <f t="shared" si="278"/>
        <v>0.16380711576666065</v>
      </c>
      <c r="BD55" s="86">
        <f t="shared" si="278"/>
        <v>0.17306385869565216</v>
      </c>
      <c r="BE55" s="86">
        <f t="shared" si="278"/>
        <v>0.15935672514619884</v>
      </c>
      <c r="BF55" s="144">
        <f t="shared" ref="BF55" si="279">BF49/BF48</f>
        <v>0.13291027674951525</v>
      </c>
      <c r="BG55" s="144">
        <f t="shared" ref="BG55" si="280">BG49/BG48</f>
        <v>0.17811607992388201</v>
      </c>
      <c r="BH55" s="144">
        <f t="shared" ref="BH55:BI55" si="281">BH49/BH48</f>
        <v>0.20504660150034099</v>
      </c>
      <c r="BI55" s="144">
        <f t="shared" si="281"/>
        <v>0.22240411599625817</v>
      </c>
      <c r="BJ55" s="144">
        <f t="shared" ref="BJ55" si="282">BJ49/BJ48</f>
        <v>0.18702118071203244</v>
      </c>
      <c r="BK55" s="144">
        <f t="shared" ref="BK55:BM55" si="283">BK49/BK48</f>
        <v>0.23365679264555669</v>
      </c>
      <c r="BL55" s="144">
        <f t="shared" si="283"/>
        <v>0.25419198055893072</v>
      </c>
      <c r="BM55" s="144">
        <f t="shared" si="283"/>
        <v>0.26123672023971672</v>
      </c>
      <c r="BN55" s="144">
        <f t="shared" ref="BN55:BO55" si="284">BN49/BN48</f>
        <v>0</v>
      </c>
      <c r="BO55" s="144">
        <f t="shared" si="284"/>
        <v>0.19503546099290781</v>
      </c>
      <c r="BP55" s="144">
        <f t="shared" ref="BP55:BQ55" si="285">BP49/BP48</f>
        <v>9.3337959750173491E-2</v>
      </c>
      <c r="BQ55" s="144">
        <f t="shared" si="285"/>
        <v>0.21283783783783783</v>
      </c>
      <c r="BR55" s="144">
        <f t="shared" ref="BR55:BT55" si="286">BR49/BR48</f>
        <v>0.24262029923170239</v>
      </c>
      <c r="BS55" s="144">
        <f t="shared" si="286"/>
        <v>0.16399843811011325</v>
      </c>
      <c r="BT55" s="144">
        <f t="shared" si="286"/>
        <v>0.17887276409044886</v>
      </c>
      <c r="BU55" s="144">
        <f t="shared" ref="BU55" si="287">BU49/BU48</f>
        <v>0.22385076615589608</v>
      </c>
      <c r="BV55" s="144">
        <f t="shared" ref="BV55:BW55" si="288">BV49/BV48</f>
        <v>0.2944936086529007</v>
      </c>
      <c r="BW55" s="144">
        <f t="shared" si="288"/>
        <v>0.19252548131370328</v>
      </c>
      <c r="BX55" s="144">
        <f t="shared" ref="BX55:BZ55" si="289">BX49/BX48</f>
        <v>0.18603491271820449</v>
      </c>
      <c r="BY55" s="144">
        <f t="shared" si="289"/>
        <v>0.15894446149125499</v>
      </c>
      <c r="BZ55" s="144">
        <f t="shared" si="289"/>
        <v>0.155915622133904</v>
      </c>
      <c r="CA55" s="144">
        <f t="shared" ref="CA55" si="290">CA49/CA48</f>
        <v>9.8601398601398604E-2</v>
      </c>
      <c r="CB55" s="144">
        <f t="shared" ref="CB55" si="291">CB49/CB48</f>
        <v>0.10756543564001435</v>
      </c>
      <c r="CC55" s="144">
        <f t="shared" ref="CC55" si="292">CC49/CC48</f>
        <v>0.1764425369575584</v>
      </c>
      <c r="CD55" s="144">
        <f>CD49/CD48</f>
        <v>0.18806419257773319</v>
      </c>
      <c r="CE55" s="144">
        <f t="shared" ref="CE55:CF55" si="293">CE49/CE48</f>
        <v>0.15689981096408318</v>
      </c>
      <c r="CF55" s="144">
        <f t="shared" si="293"/>
        <v>0.13246940244780417</v>
      </c>
      <c r="CG55" s="144">
        <f t="shared" ref="CG55:CN55" si="294">CG49/CG48</f>
        <v>0.19315109642535297</v>
      </c>
      <c r="CH55" s="144">
        <f t="shared" si="294"/>
        <v>0.14917970240366271</v>
      </c>
      <c r="CI55" s="144">
        <f t="shared" si="294"/>
        <v>0.125</v>
      </c>
      <c r="CJ55" s="144">
        <f t="shared" si="294"/>
        <v>0.18926911702577101</v>
      </c>
      <c r="CK55" s="144">
        <f t="shared" si="294"/>
        <v>6.7924528301886791E-2</v>
      </c>
      <c r="CL55" s="144">
        <f t="shared" si="294"/>
        <v>8.3245149911816585E-2</v>
      </c>
      <c r="CM55" s="144">
        <f t="shared" si="294"/>
        <v>0.13228621291448517</v>
      </c>
      <c r="CN55" s="144">
        <f t="shared" si="294"/>
        <v>0.17595874959716404</v>
      </c>
      <c r="CO55" s="144">
        <f t="shared" ref="CO55:CP55" si="295">CO49/CO48</f>
        <v>0.15057374755107752</v>
      </c>
      <c r="CP55" s="144">
        <f t="shared" si="295"/>
        <v>0.13485113835376533</v>
      </c>
      <c r="CQ55" s="144"/>
      <c r="CR55" s="144"/>
      <c r="CS55" s="144"/>
      <c r="CT55" s="144"/>
      <c r="CU55" s="157"/>
      <c r="CV55" s="157">
        <f t="shared" ref="CV55:DB55" si="296">CV49/CV48</f>
        <v>-4.4316905801621963E-3</v>
      </c>
      <c r="CW55" s="157">
        <f t="shared" si="296"/>
        <v>-5.9624450500268544E-3</v>
      </c>
      <c r="CX55" s="157">
        <f t="shared" si="296"/>
        <v>-1.3825593564328295E-2</v>
      </c>
      <c r="CY55" s="157">
        <f t="shared" si="296"/>
        <v>-4.2259793707191649E-3</v>
      </c>
      <c r="CZ55" s="157">
        <f t="shared" si="296"/>
        <v>0.2253661344506096</v>
      </c>
      <c r="DA55" s="157">
        <f t="shared" si="296"/>
        <v>-0.40223603691112159</v>
      </c>
      <c r="DB55" s="24">
        <f t="shared" si="296"/>
        <v>-0.57021660467005109</v>
      </c>
      <c r="DC55" s="78">
        <v>0.32412483010798065</v>
      </c>
      <c r="DD55" s="78"/>
      <c r="DE55" s="78">
        <f>DE49/DE48</f>
        <v>-0.5683885728047201</v>
      </c>
      <c r="DF55" s="136">
        <f>DF49/DF48</f>
        <v>-0.24093652318768316</v>
      </c>
      <c r="DG55" s="136">
        <f>DG49/DG48</f>
        <v>-1.6878999359005504</v>
      </c>
      <c r="DH55" s="78">
        <v>0.26</v>
      </c>
      <c r="DI55" s="78">
        <f>DI49/DI48</f>
        <v>0.28547232523035515</v>
      </c>
      <c r="DJ55" s="78">
        <f>DJ49/DJ48</f>
        <v>0.25060927421627854</v>
      </c>
      <c r="DK55" s="78">
        <f t="shared" ref="DK55:DQ55" si="297">DK49/DK48</f>
        <v>0.18305144623444769</v>
      </c>
      <c r="DL55" s="78">
        <f t="shared" si="297"/>
        <v>0.245</v>
      </c>
      <c r="DM55" s="78">
        <f t="shared" si="297"/>
        <v>0.245</v>
      </c>
      <c r="DN55" s="169">
        <f t="shared" si="297"/>
        <v>0.245</v>
      </c>
      <c r="DO55" s="169">
        <f t="shared" si="297"/>
        <v>0.24499999999999997</v>
      </c>
      <c r="DP55" s="169">
        <f t="shared" si="297"/>
        <v>0.245</v>
      </c>
      <c r="DQ55" s="169">
        <f t="shared" si="297"/>
        <v>0.245</v>
      </c>
      <c r="DR55" s="169">
        <f t="shared" ref="DR55:DV55" si="298">DR49/DR48</f>
        <v>0.24500000000000002</v>
      </c>
      <c r="DS55" s="169">
        <f t="shared" si="298"/>
        <v>0.245</v>
      </c>
      <c r="DT55" s="157">
        <f t="shared" si="298"/>
        <v>0.245</v>
      </c>
      <c r="DU55" s="157">
        <f t="shared" si="298"/>
        <v>0.24500000000000002</v>
      </c>
      <c r="DV55" s="157">
        <f t="shared" si="298"/>
        <v>0.24500000000000002</v>
      </c>
      <c r="DW55" s="157"/>
      <c r="DX55" s="157"/>
      <c r="DY55" s="157"/>
      <c r="DZ55" s="170" t="s">
        <v>592</v>
      </c>
      <c r="EA55" s="171">
        <v>-0.05</v>
      </c>
      <c r="EB55" s="157"/>
      <c r="EC55" s="157"/>
      <c r="ED55" s="157"/>
      <c r="EE55" s="157"/>
      <c r="EF55" s="157"/>
    </row>
    <row r="56" spans="2:184" s="28" customFormat="1" x14ac:dyDescent="0.25"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58"/>
      <c r="CV56" s="158"/>
      <c r="CW56" s="158"/>
      <c r="CX56" s="158"/>
      <c r="CY56" s="158"/>
      <c r="CZ56" s="158"/>
      <c r="DA56" s="158"/>
      <c r="DC56" s="84"/>
      <c r="DD56" s="84"/>
      <c r="DE56" s="84"/>
      <c r="DF56" s="107"/>
      <c r="DG56" s="107"/>
      <c r="DH56" s="84"/>
      <c r="DI56" s="84"/>
      <c r="DJ56" s="84"/>
      <c r="DK56" s="84"/>
      <c r="DL56" s="84"/>
      <c r="DM56" s="137"/>
      <c r="DN56" s="145"/>
      <c r="DO56" s="145"/>
      <c r="DP56" s="145"/>
      <c r="DQ56" s="145"/>
      <c r="DR56" s="145"/>
      <c r="DS56" s="145"/>
      <c r="DT56" s="158"/>
      <c r="DU56" s="158"/>
      <c r="DV56" s="158"/>
      <c r="DW56" s="158"/>
      <c r="DX56" s="158"/>
      <c r="DY56" s="158"/>
      <c r="DZ56" s="172" t="s">
        <v>593</v>
      </c>
      <c r="EA56" s="173">
        <v>5.0000000000000001E-3</v>
      </c>
      <c r="EB56" s="158"/>
      <c r="EC56" s="158"/>
      <c r="ED56" s="158"/>
      <c r="EE56" s="158"/>
      <c r="EF56" s="158"/>
    </row>
    <row r="57" spans="2:184" s="147" customFormat="1" ht="13" x14ac:dyDescent="0.3">
      <c r="B57" s="147" t="s">
        <v>699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9"/>
      <c r="AF57" s="149"/>
      <c r="AG57" s="149"/>
      <c r="AH57" s="149"/>
      <c r="AI57" s="149"/>
      <c r="AJ57" s="151">
        <f t="shared" ref="AJ57" si="299">AJ40/AF40-1</f>
        <v>0.17003196420494726</v>
      </c>
      <c r="AK57" s="151">
        <f t="shared" ref="AK57" si="300">AK40/AG40-1</f>
        <v>7.5557250543885512E-2</v>
      </c>
      <c r="AL57" s="151">
        <f t="shared" ref="AL57" si="301">AL40/AH40-1</f>
        <v>-0.96631228012843351</v>
      </c>
      <c r="AM57" s="151">
        <f t="shared" ref="AM57" si="302">AM40/AI40-1</f>
        <v>5.3876523724772492</v>
      </c>
      <c r="AN57" s="151">
        <f t="shared" ref="AN57" si="303">AN40/AJ40-1</f>
        <v>0.10898006666583648</v>
      </c>
      <c r="AO57" s="151">
        <f t="shared" ref="AO57" si="304">AO40/AK40-1</f>
        <v>9.5330728254030994E-2</v>
      </c>
      <c r="AP57" s="151">
        <f t="shared" ref="AP57" si="305">AP40/AL40-1</f>
        <v>31.146240266475765</v>
      </c>
      <c r="AQ57" s="151">
        <f t="shared" ref="AQ57" si="306">AQ40/AM40-1</f>
        <v>0.19991283680452754</v>
      </c>
      <c r="AR57" s="151">
        <f t="shared" ref="AR57" si="307">AR40/AN40-1</f>
        <v>0.12536325835078932</v>
      </c>
      <c r="AS57" s="151">
        <f t="shared" ref="AS57" si="308">AS40/AO40-1</f>
        <v>0.14343464329469424</v>
      </c>
      <c r="AT57" s="151">
        <f t="shared" ref="AT57" si="309">AT40/AP40-1</f>
        <v>0.17629107362462282</v>
      </c>
      <c r="AU57" s="151">
        <f t="shared" ref="AU57" si="310">AU40/AQ40-1</f>
        <v>0.10917483807962447</v>
      </c>
      <c r="AV57" s="151">
        <f t="shared" ref="AV57" si="311">AV40/AR40-1</f>
        <v>0.15059459018969878</v>
      </c>
      <c r="AW57" s="151">
        <f t="shared" ref="AW57" si="312">AW40/AS40-1</f>
        <v>0.14680476403786868</v>
      </c>
      <c r="AX57" s="151">
        <f t="shared" ref="AX57" si="313">AX40/AT40-1</f>
        <v>0.20536416971083171</v>
      </c>
      <c r="AY57" s="151">
        <f t="shared" ref="AY57" si="314">AY40/AU40-1</f>
        <v>0.97459586393773256</v>
      </c>
      <c r="AZ57" s="151">
        <f t="shared" ref="AZ57" si="315">AZ40/AV40-1</f>
        <v>1.3612481634346243</v>
      </c>
      <c r="BA57" s="151">
        <f t="shared" ref="BA57" si="316">BA40/AW40-1</f>
        <v>1.1711687334453775</v>
      </c>
      <c r="BB57" s="151">
        <f t="shared" ref="BB57" si="317">BB40/AX40-1</f>
        <v>1.3443615124689647</v>
      </c>
      <c r="BC57" s="151">
        <f t="shared" ref="BC57" si="318">BC40/AY40-1</f>
        <v>0.51911719166962</v>
      </c>
      <c r="BD57" s="151">
        <f t="shared" ref="BD57" si="319">BD40/AZ40-1</f>
        <v>0.26161067465870391</v>
      </c>
      <c r="BE57" s="151">
        <f t="shared" ref="BE57" si="320">BE40/BA40-1</f>
        <v>0.37288977159880843</v>
      </c>
      <c r="BF57" s="151">
        <f t="shared" ref="BF57" si="321">BF40/BB40-1</f>
        <v>0.16297511621547711</v>
      </c>
      <c r="BG57" s="151">
        <f t="shared" ref="BG57" si="322">BG40/BC40-1</f>
        <v>2.6336581511719803E-2</v>
      </c>
      <c r="BH57" s="151">
        <f t="shared" ref="BH57" si="323">BH40/BD40-1</f>
        <v>-5.6768558951965087E-2</v>
      </c>
      <c r="BI57" s="151">
        <f t="shared" ref="BI57" si="324">BI40/BE40-1</f>
        <v>-9.5840867992766698E-2</v>
      </c>
      <c r="BJ57" s="151">
        <f t="shared" ref="BJ57" si="325">BJ40/BF40-1</f>
        <v>-0.13943098988948976</v>
      </c>
      <c r="BK57" s="151">
        <f t="shared" ref="BK57" si="326">BK40/BG40-1</f>
        <v>-0.16538362843212728</v>
      </c>
      <c r="BL57" s="151">
        <f t="shared" ref="BL57" si="327">BL40/BH40-1</f>
        <v>-8.1661522633744821E-2</v>
      </c>
      <c r="BM57" s="151">
        <f t="shared" ref="BM57" si="328">BM40/BI40-1</f>
        <v>-0.13173333333333337</v>
      </c>
      <c r="BN57" s="151">
        <f t="shared" ref="BN57" si="329">BN40/BJ40-1</f>
        <v>-0.18729508196721312</v>
      </c>
      <c r="BO57" s="151">
        <f t="shared" ref="BO57" si="330">BO40/BK40-1</f>
        <v>-0.21783243658724061</v>
      </c>
      <c r="BP57" s="151">
        <f t="shared" ref="BP57" si="331">BP40/BL40-1</f>
        <v>-0.20907435933342666</v>
      </c>
      <c r="BQ57" s="151">
        <f t="shared" ref="BQ57" si="332">BQ40/BM40-1</f>
        <v>-0.14066339066339062</v>
      </c>
      <c r="BR57" s="151">
        <f t="shared" ref="BR57" si="333">BR40/BN40-1</f>
        <v>-2.5886703647671871E-2</v>
      </c>
      <c r="BS57" s="151">
        <f t="shared" ref="BS57:BT57" si="334">BS40/BO40-1</f>
        <v>3.7932389937106903E-2</v>
      </c>
      <c r="BT57" s="151">
        <f t="shared" si="334"/>
        <v>6.5509915014163589E-3</v>
      </c>
      <c r="BU57" s="151">
        <f t="shared" ref="BU57" si="335">BU40/BQ40-1</f>
        <v>1.4295925661187425E-3</v>
      </c>
      <c r="BV57" s="151">
        <f t="shared" ref="BV57" si="336">BV40/BR40-1</f>
        <v>1.4495254529766965E-2</v>
      </c>
      <c r="BW57" s="151">
        <f t="shared" ref="BW57" si="337">BW40/BS40-1</f>
        <v>5.0558606324559774E-2</v>
      </c>
      <c r="BX57" s="151">
        <f t="shared" ref="BX57" si="338">BX40/BT40-1</f>
        <v>-9.5338610378188249E-2</v>
      </c>
      <c r="BY57" s="151">
        <f t="shared" ref="BY57:CE57" si="339">BY40/BU40-1</f>
        <v>0.17362598144182728</v>
      </c>
      <c r="BZ57" s="151">
        <f t="shared" si="339"/>
        <v>0.26228950501786019</v>
      </c>
      <c r="CA57" s="151">
        <f t="shared" si="339"/>
        <v>0.15771449170872387</v>
      </c>
      <c r="CB57" s="151">
        <f t="shared" si="339"/>
        <v>0.20882753256853981</v>
      </c>
      <c r="CC57" s="151">
        <f t="shared" si="339"/>
        <v>0.12832598449140953</v>
      </c>
      <c r="CD57" s="151">
        <f t="shared" si="339"/>
        <v>-2.39859857162108E-2</v>
      </c>
      <c r="CE57" s="151">
        <f t="shared" si="339"/>
        <v>2.584462089366335E-2</v>
      </c>
      <c r="CF57" s="151">
        <f t="shared" ref="CF57" si="340">CF40/CB40-1</f>
        <v>7.0773685057101687E-3</v>
      </c>
      <c r="CG57" s="151">
        <f t="shared" ref="CG57" si="341">CG40/CC40-1</f>
        <v>-5.1071284193504929E-2</v>
      </c>
      <c r="CH57" s="151">
        <f t="shared" ref="CH57" si="342">CH40/CD40-1</f>
        <v>2.015739334529898E-2</v>
      </c>
      <c r="CI57" s="151">
        <f t="shared" ref="CI57" si="343">CI40/CE40-1</f>
        <v>-3.5969039307937489E-2</v>
      </c>
      <c r="CJ57" s="151">
        <f t="shared" ref="CJ57" si="344">CJ40/CF40-1</f>
        <v>5.4144705318639241E-2</v>
      </c>
      <c r="CK57" s="151">
        <f t="shared" ref="CK57" si="345">CK40/CG40-1</f>
        <v>1.4200511218402934E-3</v>
      </c>
      <c r="CL57" s="151">
        <f t="shared" ref="CL57:CP57" si="346">CL40/CH40-1</f>
        <v>-3.6946812829882214E-2</v>
      </c>
      <c r="CM57" s="151">
        <f t="shared" si="346"/>
        <v>5.2739294710327567E-2</v>
      </c>
      <c r="CN57" s="151">
        <f t="shared" si="346"/>
        <v>5.3636363636363704E-2</v>
      </c>
      <c r="CO57" s="151">
        <f t="shared" si="346"/>
        <v>6.9909245604083958E-2</v>
      </c>
      <c r="CP57" s="151">
        <f t="shared" si="346"/>
        <v>6.3659359190556541E-2</v>
      </c>
      <c r="CQ57" s="151"/>
      <c r="CR57" s="151"/>
      <c r="CS57" s="150"/>
      <c r="CT57" s="150"/>
      <c r="CU57" s="159"/>
      <c r="CV57" s="159"/>
      <c r="CW57" s="159"/>
      <c r="CX57" s="159"/>
      <c r="CY57" s="159"/>
      <c r="CZ57" s="159"/>
      <c r="DA57" s="159"/>
      <c r="DC57" s="148"/>
      <c r="DD57" s="148"/>
      <c r="DE57" s="148"/>
      <c r="DF57" s="149"/>
      <c r="DG57" s="149"/>
      <c r="DH57" s="148"/>
      <c r="DI57" s="148"/>
      <c r="DJ57" s="148"/>
      <c r="DK57" s="148"/>
      <c r="DL57" s="148"/>
      <c r="DM57" s="152"/>
      <c r="DN57" s="150"/>
      <c r="DO57" s="150"/>
      <c r="DP57" s="150"/>
      <c r="DQ57" s="150"/>
      <c r="DR57" s="150"/>
      <c r="DS57" s="150"/>
      <c r="DT57" s="159"/>
      <c r="DU57" s="159"/>
      <c r="DV57" s="159"/>
      <c r="DW57" s="159"/>
      <c r="DX57" s="159"/>
      <c r="DY57" s="159"/>
      <c r="DZ57" s="153" t="s">
        <v>594</v>
      </c>
      <c r="EA57" s="171">
        <v>0.06</v>
      </c>
      <c r="EB57" s="159"/>
      <c r="EC57" s="159"/>
      <c r="ED57" s="159"/>
      <c r="EE57" s="159"/>
      <c r="EF57" s="159"/>
    </row>
    <row r="58" spans="2:184" s="147" customFormat="1" ht="13" x14ac:dyDescent="0.3">
      <c r="B58" s="147" t="s">
        <v>768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  <c r="BW58" s="150"/>
      <c r="BX58" s="150"/>
      <c r="BY58" s="151"/>
      <c r="BZ58" s="151"/>
      <c r="CA58" s="151"/>
      <c r="CB58" s="151"/>
      <c r="CC58" s="151"/>
      <c r="CD58" s="151"/>
      <c r="CE58" s="151"/>
      <c r="CF58" s="151"/>
      <c r="CG58" s="151">
        <v>0.11</v>
      </c>
      <c r="CH58" s="151">
        <v>0.09</v>
      </c>
      <c r="CI58" s="151">
        <v>0.15</v>
      </c>
      <c r="CJ58" s="151"/>
      <c r="CK58" s="151"/>
      <c r="CL58" s="151"/>
      <c r="CM58" s="151"/>
      <c r="CN58" s="151"/>
      <c r="CO58" s="151">
        <v>7.0000000000000007E-2</v>
      </c>
      <c r="CP58" s="151">
        <v>0.06</v>
      </c>
      <c r="CQ58" s="151"/>
      <c r="CR58" s="151"/>
      <c r="CS58" s="150"/>
      <c r="CT58" s="150"/>
      <c r="CU58" s="159"/>
      <c r="CV58" s="159"/>
      <c r="CW58" s="159"/>
      <c r="CX58" s="159"/>
      <c r="CY58" s="159"/>
      <c r="CZ58" s="159"/>
      <c r="DA58" s="159"/>
      <c r="DC58" s="148"/>
      <c r="DD58" s="148"/>
      <c r="DE58" s="148"/>
      <c r="DF58" s="149"/>
      <c r="DG58" s="149"/>
      <c r="DH58" s="148"/>
      <c r="DI58" s="148"/>
      <c r="DJ58" s="148"/>
      <c r="DK58" s="148"/>
      <c r="DL58" s="148"/>
      <c r="DM58" s="152"/>
      <c r="DN58" s="150"/>
      <c r="DO58" s="150"/>
      <c r="DP58" s="150"/>
      <c r="DQ58" s="150"/>
      <c r="DR58" s="150"/>
      <c r="DS58" s="150"/>
      <c r="DT58" s="159"/>
      <c r="DU58" s="159"/>
      <c r="DV58" s="159"/>
      <c r="DW58" s="159"/>
      <c r="DX58" s="159"/>
      <c r="DY58" s="159"/>
      <c r="DZ58" s="153"/>
      <c r="EA58" s="171"/>
      <c r="EB58" s="159"/>
      <c r="EC58" s="159"/>
      <c r="ED58" s="159"/>
      <c r="EE58" s="159"/>
      <c r="EF58" s="159"/>
    </row>
    <row r="59" spans="2:184" s="28" customFormat="1" x14ac:dyDescent="0.25">
      <c r="B59" s="119" t="s">
        <v>698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146"/>
      <c r="BG59" s="146"/>
      <c r="BH59" s="146"/>
      <c r="BI59" s="146"/>
      <c r="BJ59" s="146"/>
      <c r="BK59" s="146"/>
      <c r="BL59" s="146"/>
      <c r="BM59" s="146"/>
      <c r="BN59" s="146"/>
      <c r="BO59" s="146"/>
      <c r="BP59" s="146"/>
      <c r="BQ59" s="146"/>
      <c r="BR59" s="146">
        <f t="shared" ref="BR59:BT59" si="347">BR3/BN3-1</f>
        <v>0.12764205325281353</v>
      </c>
      <c r="BS59" s="146">
        <f t="shared" si="347"/>
        <v>0.13119802894979982</v>
      </c>
      <c r="BT59" s="146">
        <f t="shared" si="347"/>
        <v>0.10005364806866957</v>
      </c>
      <c r="BU59" s="146">
        <f t="shared" ref="BU59" si="348">BU3/BQ3-1</f>
        <v>0.12450436161776368</v>
      </c>
      <c r="BV59" s="146">
        <f t="shared" ref="BV59" si="349">BV3/BR3-1</f>
        <v>0.12122687439143132</v>
      </c>
      <c r="BW59" s="146">
        <f t="shared" ref="BW59" si="350">BW3/BS3-1</f>
        <v>0.13422270623468546</v>
      </c>
      <c r="BX59" s="146">
        <f t="shared" ref="BX59" si="351">BX3/BT3-1</f>
        <v>-1.560594976834917E-2</v>
      </c>
      <c r="BY59" s="146">
        <f t="shared" ref="BY59:CD59" si="352">BY3/BU3-1</f>
        <v>7.3342736248237062E-2</v>
      </c>
      <c r="BZ59" s="146">
        <f t="shared" si="352"/>
        <v>-6.7303517151541481E-2</v>
      </c>
      <c r="CA59" s="146">
        <f t="shared" si="352"/>
        <v>-0.12794047047527601</v>
      </c>
      <c r="CB59" s="146">
        <f t="shared" si="352"/>
        <v>-2.0312112955164774E-2</v>
      </c>
      <c r="CC59" s="146">
        <f t="shared" si="352"/>
        <v>-7.8405606657906302E-2</v>
      </c>
      <c r="CD59" s="146">
        <f t="shared" si="352"/>
        <v>5.2607076350093207E-2</v>
      </c>
      <c r="CE59" s="146">
        <f>CE3/CA3-1</f>
        <v>2.2570878062207589E-2</v>
      </c>
      <c r="CF59" s="146">
        <f t="shared" ref="CF59" si="353">CF3/CB3-1</f>
        <v>7.0290771175727018E-2</v>
      </c>
      <c r="CG59" s="146">
        <f t="shared" ref="CG59" si="354">CG3/CC3-1</f>
        <v>6.8678707224334667E-2</v>
      </c>
      <c r="CH59" s="146">
        <f t="shared" ref="CH59" si="355">CH3/CD3-1</f>
        <v>5.7717823971694004E-2</v>
      </c>
      <c r="CI59" s="146">
        <f t="shared" ref="CI59" si="356">CI3/CE3-1</f>
        <v>0.13055181695827733</v>
      </c>
      <c r="CJ59" s="146">
        <f t="shared" ref="CJ59" si="357">CJ3/CF3-1</f>
        <v>9.284195605953216E-2</v>
      </c>
      <c r="CK59" s="146">
        <f t="shared" ref="CK59" si="358">CK3/CG3-1</f>
        <v>3.780297976428737E-2</v>
      </c>
      <c r="CL59" s="146">
        <f t="shared" ref="CL59" si="359">CL3/CH3-1</f>
        <v>-1.8816642274723017E-2</v>
      </c>
      <c r="CM59" s="146">
        <f t="shared" ref="CM59" si="360">CM3/CI3-1</f>
        <v>6.1904761904760797E-3</v>
      </c>
      <c r="CN59" s="146">
        <f t="shared" ref="CN59" si="361">CN3/CJ3-1</f>
        <v>3.0263726761781129E-3</v>
      </c>
      <c r="CO59" s="146">
        <f t="shared" ref="CO59" si="362">CO3/CK3-1</f>
        <v>-1</v>
      </c>
      <c r="CP59" s="146">
        <f t="shared" ref="CP59" si="363">CP3/CL3-1</f>
        <v>-1</v>
      </c>
      <c r="CQ59" s="146"/>
      <c r="CR59" s="146"/>
      <c r="CS59" s="145"/>
      <c r="CT59" s="145"/>
      <c r="CU59" s="158"/>
      <c r="CV59" s="158"/>
      <c r="CW59" s="158"/>
      <c r="CX59" s="158"/>
      <c r="CY59" s="158"/>
      <c r="CZ59" s="158"/>
      <c r="DA59" s="158"/>
      <c r="DC59" s="84"/>
      <c r="DD59" s="84"/>
      <c r="DE59" s="84"/>
      <c r="DF59" s="107"/>
      <c r="DG59" s="107"/>
      <c r="DH59" s="84"/>
      <c r="DI59" s="84"/>
      <c r="DJ59" s="84"/>
      <c r="DK59" s="84"/>
      <c r="DL59" s="84"/>
      <c r="DM59" s="137"/>
      <c r="DN59" s="145"/>
      <c r="DO59" s="145"/>
      <c r="DP59" s="145"/>
      <c r="DQ59" s="145"/>
      <c r="DR59" s="145"/>
      <c r="DS59" s="145"/>
      <c r="DT59" s="158"/>
      <c r="DU59" s="158"/>
      <c r="DV59" s="158"/>
      <c r="DW59" s="158"/>
      <c r="DX59" s="158"/>
      <c r="DY59" s="158"/>
      <c r="DZ59" s="153" t="s">
        <v>595</v>
      </c>
      <c r="EA59" s="155">
        <f>NPV(EA57,DL50:GC50)+DK50</f>
        <v>214043.82459237447</v>
      </c>
      <c r="EB59" s="158"/>
      <c r="EC59" s="158"/>
      <c r="ED59" s="158"/>
      <c r="EE59" s="158"/>
      <c r="EF59" s="158"/>
    </row>
    <row r="60" spans="2:184" s="28" customFormat="1" x14ac:dyDescent="0.25">
      <c r="B60" s="119" t="s">
        <v>700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146"/>
      <c r="BS60" s="146">
        <f t="shared" ref="BS60:BT60" si="364">+BS9/BO9-1</f>
        <v>21.657142857142858</v>
      </c>
      <c r="BT60" s="146">
        <f t="shared" si="364"/>
        <v>5.0324324324324321</v>
      </c>
      <c r="BU60" s="146">
        <f t="shared" ref="BU60" si="365">+BU9/BQ9-1</f>
        <v>2.2616580310880829</v>
      </c>
      <c r="BV60" s="146">
        <f t="shared" ref="BV60" si="366">+BV9/BR9-1</f>
        <v>1.7162629757785468</v>
      </c>
      <c r="BW60" s="146">
        <f t="shared" ref="BW60" si="367">+BW9/BS9-1</f>
        <v>1.1349306431273645</v>
      </c>
      <c r="BX60" s="146">
        <f t="shared" ref="BX60" si="368">+BX9/BT9-1</f>
        <v>0.43727598566308234</v>
      </c>
      <c r="BY60" s="146">
        <f t="shared" ref="BY60:CE60" si="369">+BY9/BU9-1</f>
        <v>0.50198570293884037</v>
      </c>
      <c r="BZ60" s="146">
        <f t="shared" si="369"/>
        <v>0.31910828025477711</v>
      </c>
      <c r="CA60" s="146">
        <f t="shared" si="369"/>
        <v>7.7377436503248687E-2</v>
      </c>
      <c r="CB60" s="146">
        <f t="shared" si="369"/>
        <v>0.24314214463840389</v>
      </c>
      <c r="CC60" s="146">
        <f t="shared" si="369"/>
        <v>0.20359598096245368</v>
      </c>
      <c r="CD60" s="146">
        <f t="shared" si="369"/>
        <v>0.2216320618058909</v>
      </c>
      <c r="CE60" s="146">
        <f t="shared" si="369"/>
        <v>0.17927631578947367</v>
      </c>
      <c r="CF60" s="146">
        <f>+CF9/CB9-1</f>
        <v>0.28184553660982958</v>
      </c>
      <c r="CG60" s="146">
        <f>+CG9/CC9-1</f>
        <v>0.21528998242530761</v>
      </c>
      <c r="CH60" s="146">
        <f t="shared" ref="CH60:CL60" si="370">+CH9/CD9-1</f>
        <v>0.15335968379446641</v>
      </c>
      <c r="CI60" s="146">
        <f t="shared" si="370"/>
        <v>0.24453742445374238</v>
      </c>
      <c r="CJ60" s="146">
        <f t="shared" si="370"/>
        <v>0.16549295774647876</v>
      </c>
      <c r="CK60" s="146">
        <f t="shared" si="370"/>
        <v>0.11532899493853943</v>
      </c>
      <c r="CL60" s="146">
        <f t="shared" si="370"/>
        <v>6.5455791638108218E-2</v>
      </c>
      <c r="CM60" s="146">
        <f t="shared" ref="CM60" si="371">+CM9/CI9-1</f>
        <v>0.1004856182293612</v>
      </c>
      <c r="CN60" s="146">
        <f t="shared" ref="CN60" si="372">+CN9/CJ9-1</f>
        <v>8.492782813024502E-2</v>
      </c>
      <c r="CO60" s="146">
        <f t="shared" ref="CO60" si="373">+CO9/CK9-1</f>
        <v>0.12544570502431118</v>
      </c>
      <c r="CP60" s="146">
        <f t="shared" ref="CP60" si="374">+CP9/CL9-1</f>
        <v>0.21389514313284019</v>
      </c>
      <c r="CQ60" s="146"/>
      <c r="CR60" s="146"/>
      <c r="CS60" s="145"/>
      <c r="CT60" s="145"/>
      <c r="CU60" s="158"/>
      <c r="CV60" s="158"/>
      <c r="CW60" s="158"/>
      <c r="CX60" s="158"/>
      <c r="CY60" s="158"/>
      <c r="CZ60" s="158"/>
      <c r="DA60" s="158"/>
      <c r="DC60" s="84"/>
      <c r="DD60" s="84"/>
      <c r="DE60" s="84"/>
      <c r="DF60" s="107"/>
      <c r="DG60" s="107"/>
      <c r="DH60" s="84"/>
      <c r="DI60" s="84"/>
      <c r="DJ60" s="84"/>
      <c r="DK60" s="84"/>
      <c r="DL60" s="84"/>
      <c r="DM60" s="137"/>
      <c r="DN60" s="145"/>
      <c r="DO60" s="145"/>
      <c r="DP60" s="145"/>
      <c r="DQ60" s="145"/>
      <c r="DR60" s="145"/>
      <c r="DS60" s="145"/>
      <c r="DT60" s="158"/>
      <c r="DU60" s="158"/>
      <c r="DV60" s="158"/>
      <c r="DW60" s="158"/>
      <c r="DX60" s="158"/>
      <c r="DY60" s="158"/>
      <c r="DZ60" s="153" t="s">
        <v>596</v>
      </c>
      <c r="EA60" s="174">
        <f>EA59/Main!J3</f>
        <v>171.92384422272841</v>
      </c>
      <c r="EB60" s="158"/>
      <c r="EC60" s="158"/>
      <c r="ED60" s="158"/>
      <c r="EE60" s="158"/>
      <c r="EF60" s="158"/>
    </row>
    <row r="61" spans="2:184" s="28" customFormat="1" x14ac:dyDescent="0.25">
      <c r="B61" s="119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84"/>
      <c r="AP61" s="84"/>
      <c r="AQ61" s="84"/>
      <c r="AR61" s="84"/>
      <c r="AS61" s="84"/>
      <c r="AT61" s="84"/>
      <c r="AU61" s="84"/>
      <c r="AV61" s="84"/>
      <c r="AW61" s="128"/>
      <c r="AX61" s="128"/>
      <c r="AY61" s="128"/>
      <c r="AZ61" s="128"/>
      <c r="BA61" s="128"/>
      <c r="BB61" s="128"/>
      <c r="BC61" s="128"/>
      <c r="BD61" s="128"/>
      <c r="BE61" s="128"/>
      <c r="BF61" s="128"/>
      <c r="BG61" s="128"/>
      <c r="BH61" s="128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  <c r="CN61" s="146"/>
      <c r="CO61" s="146"/>
      <c r="CP61" s="146"/>
      <c r="CQ61" s="146"/>
      <c r="CR61" s="146"/>
      <c r="CS61" s="146"/>
      <c r="CT61" s="145"/>
      <c r="CU61" s="158"/>
      <c r="CV61" s="158"/>
      <c r="CW61" s="158"/>
      <c r="CX61" s="158"/>
      <c r="CY61" s="158"/>
      <c r="CZ61" s="158"/>
      <c r="DA61" s="158"/>
      <c r="DC61" s="84"/>
      <c r="DD61" s="128"/>
      <c r="DE61" s="128"/>
      <c r="DF61" s="128"/>
      <c r="DG61" s="128"/>
      <c r="DH61" s="128"/>
      <c r="DI61" s="128"/>
      <c r="DJ61" s="128"/>
      <c r="DK61" s="128"/>
      <c r="DL61" s="128"/>
      <c r="DM61" s="128"/>
      <c r="DN61" s="146"/>
      <c r="DO61" s="146"/>
      <c r="DP61" s="146"/>
      <c r="DQ61" s="146"/>
      <c r="DR61" s="146"/>
      <c r="DS61" s="146"/>
      <c r="DT61" s="158"/>
      <c r="DU61" s="158"/>
      <c r="DV61" s="158"/>
      <c r="DW61" s="158"/>
      <c r="DX61" s="158"/>
      <c r="DY61" s="158"/>
      <c r="DZ61" s="158"/>
      <c r="EA61" s="158"/>
      <c r="EB61" s="158"/>
      <c r="EC61" s="158"/>
      <c r="ED61" s="158"/>
      <c r="EE61" s="158"/>
      <c r="EF61" s="158"/>
    </row>
    <row r="62" spans="2:184" s="28" customFormat="1" x14ac:dyDescent="0.25">
      <c r="B62" s="119" t="s">
        <v>597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2">
        <f>+AZ63-AZ83</f>
        <v>76.768000000001848</v>
      </c>
      <c r="BA62" s="82">
        <f>+AZ62+BA50</f>
        <v>3159.8140000000021</v>
      </c>
      <c r="BB62" s="82">
        <f>+BA62+BB50</f>
        <v>7085.8140000000021</v>
      </c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140"/>
      <c r="BX62" s="140"/>
      <c r="BY62" s="140"/>
      <c r="BZ62" s="140"/>
      <c r="CA62" s="140"/>
      <c r="CB62" s="140"/>
      <c r="CC62" s="140"/>
      <c r="CD62" s="140"/>
      <c r="CE62" s="140"/>
      <c r="CF62" s="140">
        <f>+CF63-CF83</f>
        <v>-19216</v>
      </c>
      <c r="CG62" s="140">
        <f>+CG63-CG83</f>
        <v>-18281</v>
      </c>
      <c r="CH62" s="140">
        <f>+CH63-CH83</f>
        <v>-17600</v>
      </c>
      <c r="CI62" s="140">
        <f>+CI63-CI83</f>
        <v>-18040</v>
      </c>
      <c r="CJ62" s="140"/>
      <c r="CK62" s="140"/>
      <c r="CL62" s="140"/>
      <c r="CM62" s="140"/>
      <c r="CN62" s="140">
        <f>+CN63-CN83</f>
        <v>-20578</v>
      </c>
      <c r="CO62" s="140"/>
      <c r="CP62" s="140"/>
      <c r="CQ62" s="140"/>
      <c r="CR62" s="140"/>
      <c r="CS62" s="140"/>
      <c r="CT62" s="145"/>
      <c r="CU62" s="158"/>
      <c r="CV62" s="158"/>
      <c r="CW62" s="158"/>
      <c r="CX62" s="158"/>
      <c r="CY62" s="158"/>
      <c r="CZ62" s="158"/>
      <c r="DA62" s="158"/>
      <c r="DC62" s="84"/>
      <c r="DD62" s="84"/>
      <c r="DE62" s="84"/>
      <c r="DF62" s="107"/>
      <c r="DG62" s="107"/>
      <c r="DH62" s="84"/>
      <c r="DI62" s="84"/>
      <c r="DJ62" s="83"/>
      <c r="DK62" s="83">
        <f>+BB62</f>
        <v>7085.8140000000021</v>
      </c>
      <c r="DL62" s="83">
        <f t="shared" ref="DL62:DV62" si="375">+DK62+DL50</f>
        <v>23496.561398850004</v>
      </c>
      <c r="DM62" s="83">
        <f t="shared" si="375"/>
        <v>41023.832385088666</v>
      </c>
      <c r="DN62" s="142">
        <f t="shared" si="375"/>
        <v>39329.623077342374</v>
      </c>
      <c r="DO62" s="142">
        <f t="shared" si="375"/>
        <v>37629.018129459342</v>
      </c>
      <c r="DP62" s="142">
        <f t="shared" si="375"/>
        <v>35921.993397898048</v>
      </c>
      <c r="DQ62" s="142">
        <f t="shared" si="375"/>
        <v>50611.896247975114</v>
      </c>
      <c r="DR62" s="142">
        <f t="shared" si="375"/>
        <v>67094.659481311217</v>
      </c>
      <c r="DS62" s="142">
        <f t="shared" si="375"/>
        <v>83624.363945853169</v>
      </c>
      <c r="DT62" s="142">
        <f t="shared" si="375"/>
        <v>100109.49964474876</v>
      </c>
      <c r="DU62" s="142">
        <f t="shared" si="375"/>
        <v>117743.16073090769</v>
      </c>
      <c r="DV62" s="142">
        <f t="shared" si="375"/>
        <v>136031.94762766687</v>
      </c>
      <c r="DW62" s="158"/>
      <c r="DX62" s="158"/>
      <c r="DY62" s="158"/>
      <c r="DZ62" s="158"/>
      <c r="EA62" s="158"/>
      <c r="EB62" s="158"/>
      <c r="EC62" s="158"/>
      <c r="ED62" s="158"/>
      <c r="EE62" s="158"/>
      <c r="EF62" s="158"/>
    </row>
    <row r="63" spans="2:184" s="75" customFormat="1" x14ac:dyDescent="0.25">
      <c r="B63" s="100" t="s">
        <v>46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83">
        <f>909.4+1347.8+3225</f>
        <v>5482.2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f>8730.522+68.546+782.315</f>
        <v>9581.3830000000016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>
        <f>4739+924+1337</f>
        <v>7000</v>
      </c>
      <c r="CG63" s="142">
        <f>4699+961+1282</f>
        <v>6942</v>
      </c>
      <c r="CH63" s="142">
        <f>5412+973+1245</f>
        <v>7630</v>
      </c>
      <c r="CI63" s="142">
        <f>4936+936+1327</f>
        <v>7199</v>
      </c>
      <c r="CJ63" s="142"/>
      <c r="CK63" s="142"/>
      <c r="CL63" s="142"/>
      <c r="CM63" s="142"/>
      <c r="CN63" s="142">
        <v>2772</v>
      </c>
      <c r="CO63" s="142"/>
      <c r="CP63" s="142"/>
      <c r="CQ63" s="142"/>
      <c r="CR63" s="142"/>
      <c r="CS63" s="142"/>
      <c r="CT63" s="142"/>
      <c r="CU63" s="155"/>
      <c r="CV63" s="155"/>
      <c r="CW63" s="155"/>
      <c r="CX63" s="155"/>
      <c r="CY63" s="155"/>
      <c r="CZ63" s="155"/>
      <c r="DA63" s="155"/>
      <c r="DC63" s="83"/>
      <c r="DD63" s="83"/>
      <c r="DE63" s="83"/>
      <c r="DF63" s="105"/>
      <c r="DG63" s="105"/>
      <c r="DH63" s="83"/>
      <c r="DI63" s="83"/>
      <c r="DJ63" s="83"/>
      <c r="DK63" s="83"/>
      <c r="DL63" s="83"/>
      <c r="DM63" s="83"/>
      <c r="DN63" s="142"/>
      <c r="DO63" s="142"/>
      <c r="DP63" s="142"/>
      <c r="DQ63" s="142"/>
      <c r="DR63" s="142"/>
      <c r="DS63" s="142"/>
      <c r="DT63" s="155"/>
      <c r="DU63" s="155"/>
      <c r="DV63" s="155"/>
      <c r="DW63" s="155"/>
      <c r="DX63" s="155"/>
      <c r="DY63" s="155"/>
      <c r="DZ63" s="155"/>
      <c r="EA63" s="155"/>
      <c r="EB63" s="155"/>
      <c r="EC63" s="155"/>
      <c r="ED63" s="155"/>
      <c r="EE63" s="155"/>
      <c r="EF63" s="155"/>
    </row>
    <row r="64" spans="2:184" s="75" customFormat="1" x14ac:dyDescent="0.25">
      <c r="B64" s="75" t="s">
        <v>441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v>1867.1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3436.7109999999998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>
        <v>4118</v>
      </c>
      <c r="CG64" s="142">
        <v>4354</v>
      </c>
      <c r="CH64" s="142">
        <v>4777</v>
      </c>
      <c r="CI64" s="142">
        <v>4162</v>
      </c>
      <c r="CJ64" s="142"/>
      <c r="CK64" s="142"/>
      <c r="CL64" s="142"/>
      <c r="CM64" s="142"/>
      <c r="CN64" s="142">
        <v>4663</v>
      </c>
      <c r="CO64" s="142"/>
      <c r="CP64" s="142"/>
      <c r="CQ64" s="142"/>
      <c r="CR64" s="142"/>
      <c r="CS64" s="142"/>
      <c r="CT64" s="142"/>
      <c r="CU64" s="155"/>
      <c r="CV64" s="155"/>
      <c r="CW64" s="155"/>
      <c r="CX64" s="155"/>
      <c r="CY64" s="155"/>
      <c r="CZ64" s="155"/>
      <c r="DA64" s="155"/>
      <c r="DC64" s="83"/>
      <c r="DD64" s="83"/>
      <c r="DE64" s="83"/>
      <c r="DF64" s="105"/>
      <c r="DG64" s="105"/>
      <c r="DH64" s="83"/>
      <c r="DI64" s="83"/>
      <c r="DJ64" s="83"/>
      <c r="DK64" s="83"/>
      <c r="DL64" s="83"/>
      <c r="DM64" s="83"/>
      <c r="DN64" s="142"/>
      <c r="DO64" s="142"/>
      <c r="DP64" s="142"/>
      <c r="DQ64" s="142"/>
      <c r="DR64" s="142"/>
      <c r="DS64" s="142"/>
      <c r="DT64" s="155"/>
      <c r="DU64" s="155"/>
      <c r="DV64" s="155"/>
      <c r="DW64" s="155"/>
      <c r="DX64" s="155"/>
      <c r="DY64" s="155"/>
      <c r="DZ64" s="155"/>
      <c r="EA64" s="155"/>
      <c r="EB64" s="155"/>
      <c r="EC64" s="155"/>
      <c r="ED64" s="155"/>
      <c r="EE64" s="155"/>
      <c r="EF64" s="155"/>
    </row>
    <row r="65" spans="2:136" s="75" customFormat="1" x14ac:dyDescent="0.25">
      <c r="B65" s="75" t="s">
        <v>440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v>1337.8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2068.7530000000002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>
        <v>1494</v>
      </c>
      <c r="CG65" s="142">
        <v>1463</v>
      </c>
      <c r="CH65" s="142">
        <v>1507</v>
      </c>
      <c r="CI65" s="142">
        <v>1576</v>
      </c>
      <c r="CJ65" s="142"/>
      <c r="CK65" s="142"/>
      <c r="CL65" s="142"/>
      <c r="CM65" s="142"/>
      <c r="CN65" s="142">
        <v>2026</v>
      </c>
      <c r="CO65" s="142"/>
      <c r="CP65" s="142"/>
      <c r="CQ65" s="142"/>
      <c r="CR65" s="142"/>
      <c r="CS65" s="142"/>
      <c r="CT65" s="142"/>
      <c r="CU65" s="155"/>
      <c r="CV65" s="155"/>
      <c r="CW65" s="155"/>
      <c r="CX65" s="155"/>
      <c r="CY65" s="155"/>
      <c r="CZ65" s="155"/>
      <c r="DA65" s="155"/>
      <c r="DC65" s="83"/>
      <c r="DD65" s="83"/>
      <c r="DE65" s="83"/>
      <c r="DF65" s="105"/>
      <c r="DG65" s="105"/>
      <c r="DH65" s="83"/>
      <c r="DI65" s="83"/>
      <c r="DJ65" s="83"/>
      <c r="DK65" s="83"/>
      <c r="DL65" s="83"/>
      <c r="DM65" s="83"/>
      <c r="DN65" s="142"/>
      <c r="DO65" s="142"/>
      <c r="DP65" s="142"/>
      <c r="DQ65" s="142"/>
      <c r="DR65" s="142"/>
      <c r="DS65" s="142"/>
      <c r="DT65" s="155"/>
      <c r="DU65" s="155"/>
      <c r="DV65" s="155"/>
      <c r="DW65" s="155"/>
      <c r="DX65" s="155"/>
      <c r="DY65" s="155"/>
      <c r="DZ65" s="155"/>
      <c r="EA65" s="155"/>
      <c r="EB65" s="155"/>
      <c r="EC65" s="155"/>
      <c r="ED65" s="155"/>
      <c r="EE65" s="155"/>
      <c r="EF65" s="155"/>
    </row>
    <row r="66" spans="2:136" s="75" customFormat="1" x14ac:dyDescent="0.25">
      <c r="B66" s="75" t="s">
        <v>439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f>283.9</f>
        <v>283.89999999999998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386.58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>
        <v>0</v>
      </c>
      <c r="CG66" s="142"/>
      <c r="CH66" s="142">
        <v>1774</v>
      </c>
      <c r="CI66" s="142">
        <v>1846</v>
      </c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  <c r="CT66" s="142"/>
      <c r="CU66" s="155"/>
      <c r="CV66" s="155"/>
      <c r="CW66" s="155"/>
      <c r="CX66" s="155"/>
      <c r="CY66" s="155"/>
      <c r="CZ66" s="155"/>
      <c r="DA66" s="155"/>
      <c r="DC66" s="83"/>
      <c r="DD66" s="83"/>
      <c r="DE66" s="83"/>
      <c r="DF66" s="105"/>
      <c r="DG66" s="105"/>
      <c r="DH66" s="83"/>
      <c r="DI66" s="83"/>
      <c r="DJ66" s="83"/>
      <c r="DK66" s="83"/>
      <c r="DL66" s="83"/>
      <c r="DM66" s="83"/>
      <c r="DN66" s="142"/>
      <c r="DO66" s="142"/>
      <c r="DP66" s="142"/>
      <c r="DQ66" s="142"/>
      <c r="DR66" s="142"/>
      <c r="DS66" s="142"/>
      <c r="DT66" s="155"/>
      <c r="DU66" s="155"/>
      <c r="DV66" s="155"/>
      <c r="DW66" s="155"/>
      <c r="DX66" s="155"/>
      <c r="DY66" s="155"/>
      <c r="DZ66" s="155"/>
      <c r="EA66" s="155"/>
      <c r="EB66" s="155"/>
      <c r="EC66" s="155"/>
      <c r="ED66" s="155"/>
      <c r="EE66" s="155"/>
      <c r="EF66" s="155"/>
    </row>
    <row r="67" spans="2:136" s="75" customFormat="1" x14ac:dyDescent="0.25">
      <c r="B67" s="75" t="s">
        <v>438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195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376.71600000000001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>
        <v>0</v>
      </c>
      <c r="CG67" s="142"/>
      <c r="CH67" s="142">
        <v>0</v>
      </c>
      <c r="CI67" s="142">
        <v>0</v>
      </c>
      <c r="CJ67" s="142"/>
      <c r="CK67" s="142"/>
      <c r="CL67" s="142"/>
      <c r="CM67" s="142"/>
      <c r="CN67" s="142"/>
      <c r="CO67" s="142"/>
      <c r="CP67" s="142"/>
      <c r="CQ67" s="142"/>
      <c r="CR67" s="142"/>
      <c r="CS67" s="142"/>
      <c r="CT67" s="142"/>
      <c r="CU67" s="155"/>
      <c r="CV67" s="155"/>
      <c r="CW67" s="155"/>
      <c r="CX67" s="155"/>
      <c r="CY67" s="155"/>
      <c r="CZ67" s="155"/>
      <c r="DA67" s="155"/>
      <c r="DC67" s="83"/>
      <c r="DD67" s="83"/>
      <c r="DE67" s="83"/>
      <c r="DF67" s="105"/>
      <c r="DG67" s="105"/>
      <c r="DH67" s="83"/>
      <c r="DI67" s="83"/>
      <c r="DJ67" s="83"/>
      <c r="DK67" s="83"/>
      <c r="DL67" s="83"/>
      <c r="DM67" s="83"/>
      <c r="DN67" s="142"/>
      <c r="DO67" s="142"/>
      <c r="DP67" s="142"/>
      <c r="DQ67" s="142"/>
      <c r="DR67" s="142"/>
      <c r="DS67" s="142"/>
      <c r="DT67" s="155"/>
      <c r="DU67" s="155"/>
      <c r="DV67" s="155"/>
      <c r="DW67" s="155"/>
      <c r="DX67" s="155"/>
      <c r="DY67" s="155"/>
      <c r="DZ67" s="155"/>
      <c r="EA67" s="155"/>
      <c r="EB67" s="155"/>
      <c r="EC67" s="155"/>
      <c r="ED67" s="155"/>
      <c r="EE67" s="155"/>
      <c r="EF67" s="155"/>
    </row>
    <row r="68" spans="2:136" s="75" customFormat="1" x14ac:dyDescent="0.25">
      <c r="B68" s="75" t="s">
        <v>437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90.8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232.15100000000001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>
        <v>1900</v>
      </c>
      <c r="CG68" s="142">
        <v>2077</v>
      </c>
      <c r="CH68" s="142">
        <v>0</v>
      </c>
      <c r="CI68" s="142">
        <v>0</v>
      </c>
      <c r="CJ68" s="142"/>
      <c r="CK68" s="142"/>
      <c r="CL68" s="142"/>
      <c r="CM68" s="142"/>
      <c r="CN68" s="142">
        <v>2856</v>
      </c>
      <c r="CO68" s="142"/>
      <c r="CP68" s="142"/>
      <c r="CQ68" s="142"/>
      <c r="CR68" s="142"/>
      <c r="CS68" s="142"/>
      <c r="CT68" s="142"/>
      <c r="CU68" s="155"/>
      <c r="CV68" s="155"/>
      <c r="CW68" s="155"/>
      <c r="CX68" s="155"/>
      <c r="CY68" s="155"/>
      <c r="CZ68" s="155"/>
      <c r="DA68" s="155"/>
      <c r="DC68" s="83"/>
      <c r="DD68" s="83"/>
      <c r="DE68" s="83"/>
      <c r="DF68" s="105"/>
      <c r="DG68" s="105"/>
      <c r="DH68" s="83"/>
      <c r="DI68" s="83"/>
      <c r="DJ68" s="83"/>
      <c r="DK68" s="83"/>
      <c r="DL68" s="83"/>
      <c r="DM68" s="83"/>
      <c r="DN68" s="142"/>
      <c r="DO68" s="142"/>
      <c r="DP68" s="142"/>
      <c r="DQ68" s="142"/>
      <c r="DR68" s="142"/>
      <c r="DS68" s="142"/>
      <c r="DT68" s="155"/>
      <c r="DU68" s="155"/>
      <c r="DV68" s="155"/>
      <c r="DW68" s="155"/>
      <c r="DX68" s="155"/>
      <c r="DY68" s="155"/>
      <c r="DZ68" s="155"/>
      <c r="EA68" s="155"/>
      <c r="EB68" s="155"/>
      <c r="EC68" s="155"/>
      <c r="ED68" s="155"/>
      <c r="EE68" s="155"/>
      <c r="EF68" s="155"/>
    </row>
    <row r="69" spans="2:136" s="75" customFormat="1" x14ac:dyDescent="0.25">
      <c r="B69" s="75" t="s">
        <v>436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115.6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199.36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>
        <v>0</v>
      </c>
      <c r="CG69" s="142"/>
      <c r="CH69" s="142">
        <v>0</v>
      </c>
      <c r="CI69" s="142">
        <v>0</v>
      </c>
      <c r="CJ69" s="142"/>
      <c r="CK69" s="142"/>
      <c r="CL69" s="142"/>
      <c r="CM69" s="142"/>
      <c r="CN69" s="142"/>
      <c r="CO69" s="142"/>
      <c r="CP69" s="142"/>
      <c r="CQ69" s="142"/>
      <c r="CR69" s="142"/>
      <c r="CS69" s="142"/>
      <c r="CT69" s="142"/>
      <c r="CU69" s="155"/>
      <c r="CV69" s="155"/>
      <c r="CW69" s="155"/>
      <c r="CX69" s="155"/>
      <c r="CY69" s="155"/>
      <c r="CZ69" s="155"/>
      <c r="DA69" s="155"/>
      <c r="DC69" s="83"/>
      <c r="DD69" s="83"/>
      <c r="DE69" s="83"/>
      <c r="DF69" s="105"/>
      <c r="DG69" s="105"/>
      <c r="DH69" s="83"/>
      <c r="DI69" s="83"/>
      <c r="DJ69" s="83"/>
      <c r="DK69" s="83"/>
      <c r="DL69" s="83"/>
      <c r="DM69" s="83"/>
      <c r="DN69" s="142"/>
      <c r="DO69" s="142"/>
      <c r="DP69" s="142"/>
      <c r="DQ69" s="142"/>
      <c r="DR69" s="142"/>
      <c r="DS69" s="142"/>
      <c r="DT69" s="155"/>
      <c r="DU69" s="155"/>
      <c r="DV69" s="155"/>
      <c r="DW69" s="155"/>
      <c r="DX69" s="155"/>
      <c r="DY69" s="155"/>
      <c r="DZ69" s="155"/>
      <c r="EA69" s="155"/>
      <c r="EB69" s="155"/>
      <c r="EC69" s="155"/>
      <c r="ED69" s="155"/>
      <c r="EE69" s="155"/>
      <c r="EF69" s="155"/>
    </row>
    <row r="70" spans="2:136" s="75" customFormat="1" x14ac:dyDescent="0.25">
      <c r="B70" s="75" t="s">
        <v>435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761.2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1380.7760000000001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>
        <v>5299</v>
      </c>
      <c r="CG70" s="142">
        <v>5349</v>
      </c>
      <c r="CH70" s="142">
        <v>5475</v>
      </c>
      <c r="CI70" s="142">
        <v>5479</v>
      </c>
      <c r="CJ70" s="142"/>
      <c r="CK70" s="142"/>
      <c r="CL70" s="142"/>
      <c r="CM70" s="142"/>
      <c r="CN70" s="142">
        <v>5346</v>
      </c>
      <c r="CO70" s="142"/>
      <c r="CP70" s="142"/>
      <c r="CQ70" s="142"/>
      <c r="CR70" s="142"/>
      <c r="CS70" s="142"/>
      <c r="CT70" s="142"/>
      <c r="CU70" s="155"/>
      <c r="CV70" s="155"/>
      <c r="CW70" s="155"/>
      <c r="CX70" s="155"/>
      <c r="CY70" s="155"/>
      <c r="CZ70" s="155"/>
      <c r="DA70" s="155"/>
      <c r="DC70" s="83"/>
      <c r="DD70" s="83"/>
      <c r="DE70" s="83"/>
      <c r="DF70" s="105"/>
      <c r="DG70" s="105"/>
      <c r="DH70" s="83"/>
      <c r="DI70" s="83"/>
      <c r="DJ70" s="83"/>
      <c r="DK70" s="83"/>
      <c r="DL70" s="83"/>
      <c r="DM70" s="83"/>
      <c r="DN70" s="142"/>
      <c r="DO70" s="142"/>
      <c r="DP70" s="142"/>
      <c r="DQ70" s="142"/>
      <c r="DR70" s="142"/>
      <c r="DS70" s="142"/>
      <c r="DT70" s="155"/>
      <c r="DU70" s="155"/>
      <c r="DV70" s="155"/>
      <c r="DW70" s="155"/>
      <c r="DX70" s="155"/>
      <c r="DY70" s="155"/>
      <c r="DZ70" s="155"/>
      <c r="EA70" s="155"/>
      <c r="EB70" s="155"/>
      <c r="EC70" s="155"/>
      <c r="ED70" s="155"/>
      <c r="EE70" s="155"/>
      <c r="EF70" s="155"/>
    </row>
    <row r="71" spans="2:136" s="75" customFormat="1" x14ac:dyDescent="0.25">
      <c r="B71" s="75" t="s">
        <v>434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181.1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v>497.50200000000001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>
        <v>0</v>
      </c>
      <c r="CG71" s="142"/>
      <c r="CH71" s="142">
        <v>0</v>
      </c>
      <c r="CI71" s="142">
        <v>0</v>
      </c>
      <c r="CJ71" s="142"/>
      <c r="CK71" s="142"/>
      <c r="CL71" s="142"/>
      <c r="CM71" s="142"/>
      <c r="CN71" s="142"/>
      <c r="CO71" s="142"/>
      <c r="CP71" s="142"/>
      <c r="CQ71" s="142"/>
      <c r="CR71" s="142"/>
      <c r="CS71" s="142"/>
      <c r="CT71" s="142"/>
      <c r="CU71" s="155"/>
      <c r="CV71" s="155"/>
      <c r="CW71" s="155"/>
      <c r="CX71" s="155"/>
      <c r="CY71" s="155"/>
      <c r="CZ71" s="155"/>
      <c r="DA71" s="155"/>
      <c r="DC71" s="83"/>
      <c r="DD71" s="83"/>
      <c r="DE71" s="83"/>
      <c r="DF71" s="105"/>
      <c r="DG71" s="105"/>
      <c r="DH71" s="83"/>
      <c r="DI71" s="83"/>
      <c r="DJ71" s="83"/>
      <c r="DK71" s="83"/>
      <c r="DL71" s="83"/>
      <c r="DM71" s="83"/>
      <c r="DN71" s="142"/>
      <c r="DO71" s="142"/>
      <c r="DP71" s="142"/>
      <c r="DQ71" s="142"/>
      <c r="DR71" s="142"/>
      <c r="DS71" s="142"/>
      <c r="DT71" s="155"/>
      <c r="DU71" s="155"/>
      <c r="DV71" s="155"/>
      <c r="DW71" s="155"/>
      <c r="DX71" s="155"/>
      <c r="DY71" s="155"/>
      <c r="DZ71" s="155"/>
      <c r="EA71" s="155"/>
      <c r="EB71" s="155"/>
      <c r="EC71" s="155"/>
      <c r="ED71" s="155"/>
      <c r="EE71" s="155"/>
      <c r="EF71" s="155"/>
    </row>
    <row r="72" spans="2:136" s="75" customFormat="1" x14ac:dyDescent="0.25">
      <c r="B72" s="75" t="s">
        <v>433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82.7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v>153.55199999999999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>
        <v>0</v>
      </c>
      <c r="CG72" s="142"/>
      <c r="CH72" s="142">
        <v>0</v>
      </c>
      <c r="CI72" s="142">
        <v>0</v>
      </c>
      <c r="CJ72" s="142"/>
      <c r="CK72" s="142"/>
      <c r="CL72" s="142"/>
      <c r="CM72" s="142"/>
      <c r="CN72" s="142"/>
      <c r="CO72" s="142"/>
      <c r="CP72" s="142"/>
      <c r="CQ72" s="142"/>
      <c r="CR72" s="142"/>
      <c r="CS72" s="142"/>
      <c r="CT72" s="142"/>
      <c r="CU72" s="155"/>
      <c r="CV72" s="155"/>
      <c r="CW72" s="155"/>
      <c r="CX72" s="155"/>
      <c r="CY72" s="155"/>
      <c r="CZ72" s="155"/>
      <c r="DA72" s="155"/>
      <c r="DC72" s="83"/>
      <c r="DD72" s="83"/>
      <c r="DE72" s="83"/>
      <c r="DF72" s="105"/>
      <c r="DG72" s="105"/>
      <c r="DH72" s="83"/>
      <c r="DI72" s="83"/>
      <c r="DJ72" s="83"/>
      <c r="DK72" s="83"/>
      <c r="DL72" s="83"/>
      <c r="DM72" s="83"/>
      <c r="DN72" s="142"/>
      <c r="DO72" s="142"/>
      <c r="DP72" s="142"/>
      <c r="DQ72" s="142"/>
      <c r="DR72" s="142"/>
      <c r="DS72" s="142"/>
      <c r="DT72" s="155"/>
      <c r="DU72" s="155"/>
      <c r="DV72" s="155"/>
      <c r="DW72" s="155"/>
      <c r="DX72" s="155"/>
      <c r="DY72" s="155"/>
      <c r="DZ72" s="155"/>
      <c r="EA72" s="155"/>
      <c r="EB72" s="155"/>
      <c r="EC72" s="155"/>
      <c r="ED72" s="155"/>
      <c r="EE72" s="155"/>
      <c r="EF72" s="155"/>
    </row>
    <row r="73" spans="2:136" s="75" customFormat="1" x14ac:dyDescent="0.25">
      <c r="B73" s="75" t="s">
        <v>432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>
        <v>2111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f>11508.319+1171.561</f>
        <v>12679.88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>
        <f>8314+29885</f>
        <v>38199</v>
      </c>
      <c r="CG73" s="142">
        <f>29440+8314</f>
        <v>37754</v>
      </c>
      <c r="CH73" s="142">
        <f>28894+8314</f>
        <v>37208</v>
      </c>
      <c r="CI73" s="142">
        <f>28348+8314</f>
        <v>36662</v>
      </c>
      <c r="CJ73" s="142"/>
      <c r="CK73" s="142"/>
      <c r="CL73" s="142"/>
      <c r="CM73" s="142"/>
      <c r="CN73" s="142">
        <f>22832+8314</f>
        <v>31146</v>
      </c>
      <c r="CO73" s="142"/>
      <c r="CP73" s="142"/>
      <c r="CQ73" s="142"/>
      <c r="CR73" s="142"/>
      <c r="CS73" s="142"/>
      <c r="CT73" s="142"/>
      <c r="CU73" s="155"/>
      <c r="CV73" s="155"/>
      <c r="CW73" s="155"/>
      <c r="CX73" s="155"/>
      <c r="CY73" s="155"/>
      <c r="CZ73" s="155"/>
      <c r="DA73" s="155"/>
      <c r="DC73" s="83"/>
      <c r="DD73" s="83"/>
      <c r="DE73" s="83"/>
      <c r="DF73" s="105"/>
      <c r="DG73" s="105"/>
      <c r="DH73" s="83"/>
      <c r="DI73" s="83"/>
      <c r="DJ73" s="83"/>
      <c r="DK73" s="83"/>
      <c r="DL73" s="83"/>
      <c r="DM73" s="83"/>
      <c r="DN73" s="142"/>
      <c r="DO73" s="142"/>
      <c r="DP73" s="142"/>
      <c r="DQ73" s="142"/>
      <c r="DR73" s="142"/>
      <c r="DS73" s="142"/>
      <c r="DT73" s="155"/>
      <c r="DU73" s="155"/>
      <c r="DV73" s="155"/>
      <c r="DW73" s="155"/>
      <c r="DX73" s="155"/>
      <c r="DY73" s="155"/>
      <c r="DZ73" s="155"/>
      <c r="EA73" s="155"/>
      <c r="EB73" s="155"/>
      <c r="EC73" s="155"/>
      <c r="ED73" s="155"/>
      <c r="EE73" s="155"/>
      <c r="EF73" s="155"/>
    </row>
    <row r="74" spans="2:136" s="75" customFormat="1" x14ac:dyDescent="0.25">
      <c r="B74" s="75" t="s">
        <v>16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>
        <v>131.6</v>
      </c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>
        <v>212.8</v>
      </c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>
        <v>4860</v>
      </c>
      <c r="CG74" s="142">
        <v>4618</v>
      </c>
      <c r="CH74" s="142">
        <v>4800</v>
      </c>
      <c r="CI74" s="142">
        <v>4952</v>
      </c>
      <c r="CJ74" s="142"/>
      <c r="CK74" s="142"/>
      <c r="CL74" s="142"/>
      <c r="CM74" s="142"/>
      <c r="CN74" s="142">
        <v>4770</v>
      </c>
      <c r="CO74" s="142"/>
      <c r="CP74" s="142"/>
      <c r="CQ74" s="142"/>
      <c r="CR74" s="142"/>
      <c r="CS74" s="142"/>
      <c r="CT74" s="142"/>
      <c r="CU74" s="155"/>
      <c r="CV74" s="155"/>
      <c r="CW74" s="155"/>
      <c r="CX74" s="155"/>
      <c r="CY74" s="155"/>
      <c r="CZ74" s="155"/>
      <c r="DA74" s="155"/>
      <c r="DC74" s="83"/>
      <c r="DD74" s="83"/>
      <c r="DE74" s="83"/>
      <c r="DF74" s="105"/>
      <c r="DG74" s="105"/>
      <c r="DH74" s="83"/>
      <c r="DI74" s="83"/>
      <c r="DJ74" s="83"/>
      <c r="DK74" s="83"/>
      <c r="DL74" s="83"/>
      <c r="DM74" s="83"/>
      <c r="DN74" s="142"/>
      <c r="DO74" s="142"/>
      <c r="DP74" s="142"/>
      <c r="DQ74" s="142"/>
      <c r="DR74" s="142"/>
      <c r="DS74" s="142"/>
      <c r="DT74" s="155"/>
      <c r="DU74" s="155"/>
      <c r="DV74" s="155"/>
      <c r="DW74" s="155"/>
      <c r="DX74" s="155"/>
      <c r="DY74" s="155"/>
      <c r="DZ74" s="155"/>
      <c r="EA74" s="155"/>
      <c r="EB74" s="155"/>
      <c r="EC74" s="155"/>
      <c r="ED74" s="155"/>
      <c r="EE74" s="155"/>
      <c r="EF74" s="155"/>
    </row>
    <row r="75" spans="2:136" s="75" customFormat="1" x14ac:dyDescent="0.25">
      <c r="B75" s="75" t="s">
        <v>431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>
        <f>SUM(AI63:AI74)</f>
        <v>0</v>
      </c>
      <c r="AJ75" s="83">
        <f>SUM(AJ63:AJ74)</f>
        <v>0</v>
      </c>
      <c r="AK75" s="83">
        <f>SUM(AK63:AK74)</f>
        <v>0</v>
      </c>
      <c r="AL75" s="83"/>
      <c r="AM75" s="83">
        <f>SUM(AM63:AM74)</f>
        <v>0</v>
      </c>
      <c r="AN75" s="83">
        <f t="shared" ref="AN75:AO75" si="376">SUM(AN63:AN74)</f>
        <v>0</v>
      </c>
      <c r="AO75" s="83">
        <f t="shared" si="376"/>
        <v>12640</v>
      </c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>
        <f>SUM(AZ63:AZ74)</f>
        <v>31206.164000000001</v>
      </c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>
        <f>SUM(CF63:CF74)</f>
        <v>62870</v>
      </c>
      <c r="CG75" s="142">
        <f>SUM(CG63:CG74)</f>
        <v>62557</v>
      </c>
      <c r="CH75" s="142">
        <f>SUM(CH63:CH74)</f>
        <v>63171</v>
      </c>
      <c r="CI75" s="142">
        <f>SUM(CI63:CI74)</f>
        <v>61876</v>
      </c>
      <c r="CJ75" s="142">
        <f t="shared" ref="CJ75:CN75" si="377">SUM(CJ63:CJ74)</f>
        <v>0</v>
      </c>
      <c r="CK75" s="142">
        <f t="shared" si="377"/>
        <v>0</v>
      </c>
      <c r="CL75" s="142">
        <f t="shared" si="377"/>
        <v>0</v>
      </c>
      <c r="CM75" s="142">
        <f t="shared" si="377"/>
        <v>0</v>
      </c>
      <c r="CN75" s="142">
        <f t="shared" si="377"/>
        <v>53579</v>
      </c>
      <c r="CO75" s="142"/>
      <c r="CP75" s="142"/>
      <c r="CQ75" s="142"/>
      <c r="CR75" s="142"/>
      <c r="CS75" s="142"/>
      <c r="CT75" s="142"/>
      <c r="CU75" s="155"/>
      <c r="CV75" s="155"/>
      <c r="CW75" s="155"/>
      <c r="CX75" s="155"/>
      <c r="CY75" s="155"/>
      <c r="CZ75" s="155"/>
      <c r="DA75" s="155"/>
      <c r="DC75" s="83"/>
      <c r="DD75" s="83"/>
      <c r="DE75" s="83"/>
      <c r="DF75" s="105"/>
      <c r="DG75" s="105"/>
      <c r="DH75" s="83"/>
      <c r="DI75" s="83"/>
      <c r="DJ75" s="83"/>
      <c r="DK75" s="83"/>
      <c r="DL75" s="83"/>
      <c r="DM75" s="83"/>
      <c r="DN75" s="142"/>
      <c r="DO75" s="142"/>
      <c r="DP75" s="142"/>
      <c r="DQ75" s="142"/>
      <c r="DR75" s="142"/>
      <c r="DS75" s="142"/>
      <c r="DT75" s="155"/>
      <c r="DU75" s="155"/>
      <c r="DV75" s="155"/>
      <c r="DW75" s="155"/>
      <c r="DX75" s="155"/>
      <c r="DY75" s="155"/>
      <c r="DZ75" s="155"/>
      <c r="EA75" s="155"/>
      <c r="EB75" s="155"/>
      <c r="EC75" s="155"/>
      <c r="ED75" s="155"/>
      <c r="EE75" s="155"/>
      <c r="EF75" s="155"/>
    </row>
    <row r="76" spans="2:136" s="75" customFormat="1" x14ac:dyDescent="0.25"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/>
      <c r="CG76" s="142"/>
      <c r="CH76" s="142"/>
      <c r="CI76" s="142"/>
      <c r="CJ76" s="142"/>
      <c r="CK76" s="142"/>
      <c r="CL76" s="142"/>
      <c r="CM76" s="142"/>
      <c r="CN76" s="142"/>
      <c r="CO76" s="142"/>
      <c r="CP76" s="142"/>
      <c r="CQ76" s="142"/>
      <c r="CR76" s="142"/>
      <c r="CS76" s="142"/>
      <c r="CT76" s="142"/>
      <c r="CU76" s="155"/>
      <c r="CV76" s="155"/>
      <c r="CW76" s="155"/>
      <c r="CX76" s="155"/>
      <c r="CY76" s="155"/>
      <c r="CZ76" s="155"/>
      <c r="DA76" s="155"/>
      <c r="DC76" s="83"/>
      <c r="DD76" s="83"/>
      <c r="DE76" s="83"/>
      <c r="DF76" s="105"/>
      <c r="DG76" s="105"/>
      <c r="DH76" s="83"/>
      <c r="DI76" s="83"/>
      <c r="DJ76" s="83"/>
      <c r="DK76" s="83"/>
      <c r="DL76" s="83"/>
      <c r="DM76" s="83"/>
      <c r="DN76" s="142"/>
      <c r="DO76" s="142"/>
      <c r="DP76" s="142"/>
      <c r="DQ76" s="142"/>
      <c r="DR76" s="142"/>
      <c r="DS76" s="142"/>
      <c r="DT76" s="155"/>
      <c r="DU76" s="155"/>
      <c r="DV76" s="155"/>
      <c r="DW76" s="155"/>
      <c r="DX76" s="155"/>
      <c r="DY76" s="155"/>
      <c r="DZ76" s="155"/>
      <c r="EA76" s="155"/>
      <c r="EB76" s="155"/>
      <c r="EC76" s="155"/>
      <c r="ED76" s="155"/>
      <c r="EE76" s="155"/>
      <c r="EF76" s="155"/>
    </row>
    <row r="77" spans="2:136" s="75" customFormat="1" x14ac:dyDescent="0.25">
      <c r="B77" s="75" t="s">
        <v>430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1063.7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1162.307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>
        <v>565</v>
      </c>
      <c r="CG77" s="142">
        <v>614</v>
      </c>
      <c r="CH77" s="142">
        <v>905</v>
      </c>
      <c r="CI77" s="142">
        <v>627</v>
      </c>
      <c r="CJ77" s="142"/>
      <c r="CK77" s="142"/>
      <c r="CL77" s="142"/>
      <c r="CM77" s="142"/>
      <c r="CN77" s="142">
        <v>537</v>
      </c>
      <c r="CO77" s="142"/>
      <c r="CP77" s="142"/>
      <c r="CQ77" s="142"/>
      <c r="CR77" s="142"/>
      <c r="CS77" s="142"/>
      <c r="CT77" s="142"/>
      <c r="CU77" s="155"/>
      <c r="CV77" s="155"/>
      <c r="CW77" s="155"/>
      <c r="CX77" s="155"/>
      <c r="CY77" s="155"/>
      <c r="CZ77" s="155"/>
      <c r="DA77" s="155"/>
      <c r="DC77" s="83"/>
      <c r="DD77" s="83"/>
      <c r="DE77" s="83"/>
      <c r="DF77" s="105"/>
      <c r="DG77" s="105"/>
      <c r="DH77" s="83"/>
      <c r="DI77" s="83"/>
      <c r="DJ77" s="83"/>
      <c r="DK77" s="83"/>
      <c r="DL77" s="83"/>
      <c r="DM77" s="83"/>
      <c r="DN77" s="142"/>
      <c r="DO77" s="142"/>
      <c r="DP77" s="142"/>
      <c r="DQ77" s="142"/>
      <c r="DR77" s="142"/>
      <c r="DS77" s="142"/>
      <c r="DT77" s="155"/>
      <c r="DU77" s="155"/>
      <c r="DV77" s="155"/>
      <c r="DW77" s="155"/>
      <c r="DX77" s="155"/>
      <c r="DY77" s="155"/>
      <c r="DZ77" s="155"/>
      <c r="EA77" s="155"/>
      <c r="EB77" s="155"/>
      <c r="EC77" s="155"/>
      <c r="ED77" s="155"/>
      <c r="EE77" s="155"/>
      <c r="EF77" s="155"/>
    </row>
    <row r="78" spans="2:136" s="75" customFormat="1" x14ac:dyDescent="0.25">
      <c r="B78" s="75" t="s">
        <v>429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412.4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1606.5550000000001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>
        <v>3519</v>
      </c>
      <c r="CG78" s="142">
        <v>3674</v>
      </c>
      <c r="CH78" s="142">
        <v>3479</v>
      </c>
      <c r="CI78" s="142">
        <v>3477</v>
      </c>
      <c r="CJ78" s="142"/>
      <c r="CK78" s="142"/>
      <c r="CL78" s="142"/>
      <c r="CM78" s="142"/>
      <c r="CN78" s="142">
        <v>3923</v>
      </c>
      <c r="CO78" s="142"/>
      <c r="CP78" s="142"/>
      <c r="CQ78" s="142"/>
      <c r="CR78" s="142"/>
      <c r="CS78" s="142"/>
      <c r="CT78" s="142"/>
      <c r="CU78" s="155"/>
      <c r="CV78" s="155"/>
      <c r="CW78" s="155"/>
      <c r="CX78" s="155"/>
      <c r="CY78" s="155"/>
      <c r="CZ78" s="155"/>
      <c r="DA78" s="155"/>
      <c r="DC78" s="83"/>
      <c r="DD78" s="83"/>
      <c r="DE78" s="83"/>
      <c r="DF78" s="105"/>
      <c r="DG78" s="105"/>
      <c r="DH78" s="83"/>
      <c r="DI78" s="83"/>
      <c r="DJ78" s="83"/>
      <c r="DK78" s="83"/>
      <c r="DL78" s="83"/>
      <c r="DM78" s="83"/>
      <c r="DN78" s="142"/>
      <c r="DO78" s="142"/>
      <c r="DP78" s="142"/>
      <c r="DQ78" s="142"/>
      <c r="DR78" s="142"/>
      <c r="DS78" s="142"/>
      <c r="DT78" s="155"/>
      <c r="DU78" s="155"/>
      <c r="DV78" s="155"/>
      <c r="DW78" s="155"/>
      <c r="DX78" s="155"/>
      <c r="DY78" s="155"/>
      <c r="DZ78" s="155"/>
      <c r="EA78" s="155"/>
      <c r="EB78" s="155"/>
      <c r="EC78" s="155"/>
      <c r="ED78" s="155"/>
      <c r="EE78" s="155"/>
      <c r="EF78" s="155"/>
    </row>
    <row r="79" spans="2:136" s="75" customFormat="1" x14ac:dyDescent="0.25">
      <c r="B79" s="75" t="s">
        <v>428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149.1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220.09299999999999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  <c r="CP79" s="142"/>
      <c r="CQ79" s="142"/>
      <c r="CR79" s="142"/>
      <c r="CS79" s="142"/>
      <c r="CT79" s="142"/>
      <c r="CU79" s="155"/>
      <c r="CV79" s="155"/>
      <c r="CW79" s="155"/>
      <c r="CX79" s="155"/>
      <c r="CY79" s="155"/>
      <c r="CZ79" s="155"/>
      <c r="DA79" s="155"/>
      <c r="DC79" s="83"/>
      <c r="DD79" s="83"/>
      <c r="DE79" s="83"/>
      <c r="DF79" s="105"/>
      <c r="DG79" s="105"/>
      <c r="DH79" s="83"/>
      <c r="DI79" s="83"/>
      <c r="DJ79" s="83"/>
      <c r="DK79" s="83"/>
      <c r="DL79" s="83"/>
      <c r="DM79" s="83"/>
      <c r="DN79" s="142"/>
      <c r="DO79" s="142"/>
      <c r="DP79" s="142"/>
      <c r="DQ79" s="142"/>
      <c r="DR79" s="142"/>
      <c r="DS79" s="142"/>
      <c r="DT79" s="155"/>
      <c r="DU79" s="155"/>
      <c r="DV79" s="155"/>
      <c r="DW79" s="155"/>
      <c r="DX79" s="155"/>
      <c r="DY79" s="155"/>
      <c r="DZ79" s="155"/>
      <c r="EA79" s="155"/>
      <c r="EB79" s="155"/>
      <c r="EC79" s="155"/>
      <c r="ED79" s="155"/>
      <c r="EE79" s="155"/>
      <c r="EF79" s="155"/>
    </row>
    <row r="80" spans="2:136" s="75" customFormat="1" x14ac:dyDescent="0.25">
      <c r="B80" s="75" t="s">
        <v>425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v>33.700000000000003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97.302000000000007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/>
      <c r="CG80" s="142"/>
      <c r="CH80" s="142"/>
      <c r="CI80" s="142"/>
      <c r="CJ80" s="142"/>
      <c r="CK80" s="142"/>
      <c r="CL80" s="142"/>
      <c r="CM80" s="142"/>
      <c r="CN80" s="142"/>
      <c r="CO80" s="142"/>
      <c r="CP80" s="142"/>
      <c r="CQ80" s="142"/>
      <c r="CR80" s="142"/>
      <c r="CS80" s="142"/>
      <c r="CT80" s="142"/>
      <c r="CU80" s="155"/>
      <c r="CV80" s="155"/>
      <c r="CW80" s="155"/>
      <c r="CX80" s="155"/>
      <c r="CY80" s="155"/>
      <c r="CZ80" s="155"/>
      <c r="DA80" s="155"/>
      <c r="DC80" s="83"/>
      <c r="DD80" s="83"/>
      <c r="DE80" s="83"/>
      <c r="DF80" s="105"/>
      <c r="DG80" s="105"/>
      <c r="DH80" s="83"/>
      <c r="DI80" s="83"/>
      <c r="DJ80" s="83"/>
      <c r="DK80" s="83"/>
      <c r="DL80" s="83"/>
      <c r="DM80" s="83"/>
      <c r="DN80" s="142"/>
      <c r="DO80" s="142"/>
      <c r="DP80" s="142"/>
      <c r="DQ80" s="142"/>
      <c r="DR80" s="142"/>
      <c r="DS80" s="142"/>
      <c r="DT80" s="155"/>
      <c r="DU80" s="155"/>
      <c r="DV80" s="155"/>
      <c r="DW80" s="155"/>
      <c r="DX80" s="155"/>
      <c r="DY80" s="155"/>
      <c r="DZ80" s="155"/>
      <c r="EA80" s="155"/>
      <c r="EB80" s="155"/>
      <c r="EC80" s="155"/>
      <c r="ED80" s="155"/>
      <c r="EE80" s="155"/>
      <c r="EF80" s="155"/>
    </row>
    <row r="81" spans="2:136" s="75" customFormat="1" x14ac:dyDescent="0.25">
      <c r="B81" s="75" t="s">
        <v>427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v>495.3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v>1443.377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>
        <v>4115</v>
      </c>
      <c r="CG81" s="142">
        <v>3865</v>
      </c>
      <c r="CH81" s="142">
        <v>4580</v>
      </c>
      <c r="CI81" s="142">
        <v>4140</v>
      </c>
      <c r="CJ81" s="142"/>
      <c r="CK81" s="142"/>
      <c r="CL81" s="142"/>
      <c r="CM81" s="142"/>
      <c r="CN81" s="142">
        <v>4510</v>
      </c>
      <c r="CO81" s="142"/>
      <c r="CP81" s="142"/>
      <c r="CQ81" s="142"/>
      <c r="CR81" s="142"/>
      <c r="CS81" s="142"/>
      <c r="CT81" s="142"/>
      <c r="CU81" s="155"/>
      <c r="CV81" s="155"/>
      <c r="CW81" s="155"/>
      <c r="CX81" s="155"/>
      <c r="CY81" s="155"/>
      <c r="CZ81" s="155"/>
      <c r="DA81" s="155"/>
      <c r="DC81" s="83"/>
      <c r="DD81" s="83"/>
      <c r="DE81" s="83"/>
      <c r="DF81" s="105"/>
      <c r="DG81" s="105"/>
      <c r="DH81" s="83"/>
      <c r="DI81" s="83"/>
      <c r="DJ81" s="83"/>
      <c r="DK81" s="83"/>
      <c r="DL81" s="83"/>
      <c r="DM81" s="83"/>
      <c r="DN81" s="142"/>
      <c r="DO81" s="142"/>
      <c r="DP81" s="142"/>
      <c r="DQ81" s="142"/>
      <c r="DR81" s="142"/>
      <c r="DS81" s="142"/>
      <c r="DT81" s="155"/>
      <c r="DU81" s="155"/>
      <c r="DV81" s="155"/>
      <c r="DW81" s="155"/>
      <c r="DX81" s="155"/>
      <c r="DY81" s="155"/>
      <c r="DZ81" s="155"/>
      <c r="EA81" s="155"/>
      <c r="EB81" s="155"/>
      <c r="EC81" s="155"/>
      <c r="ED81" s="155"/>
      <c r="EE81" s="155"/>
      <c r="EF81" s="155"/>
    </row>
    <row r="82" spans="2:136" s="75" customFormat="1" x14ac:dyDescent="0.25">
      <c r="B82" s="75" t="s">
        <v>426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f>68.7+34.7</f>
        <v>103.4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v>126.28400000000001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/>
      <c r="CG82" s="142"/>
      <c r="CH82" s="142"/>
      <c r="CI82" s="142"/>
      <c r="CJ82" s="142"/>
      <c r="CK82" s="142"/>
      <c r="CL82" s="142"/>
      <c r="CM82" s="142"/>
      <c r="CN82" s="142"/>
      <c r="CO82" s="142"/>
      <c r="CP82" s="142"/>
      <c r="CQ82" s="142"/>
      <c r="CR82" s="142"/>
      <c r="CS82" s="142"/>
      <c r="CT82" s="142"/>
      <c r="CU82" s="155"/>
      <c r="CV82" s="155"/>
      <c r="CW82" s="155"/>
      <c r="CX82" s="155"/>
      <c r="CY82" s="155"/>
      <c r="CZ82" s="155"/>
      <c r="DA82" s="155"/>
      <c r="DC82" s="83"/>
      <c r="DD82" s="83"/>
      <c r="DE82" s="83"/>
      <c r="DF82" s="105"/>
      <c r="DG82" s="105"/>
      <c r="DH82" s="83"/>
      <c r="DI82" s="83"/>
      <c r="DJ82" s="83"/>
      <c r="DK82" s="83"/>
      <c r="DL82" s="83"/>
      <c r="DM82" s="83"/>
      <c r="DN82" s="142"/>
      <c r="DO82" s="142"/>
      <c r="DP82" s="142"/>
      <c r="DQ82" s="142"/>
      <c r="DR82" s="142"/>
      <c r="DS82" s="142"/>
      <c r="DT82" s="155"/>
      <c r="DU82" s="155"/>
      <c r="DV82" s="155"/>
      <c r="DW82" s="155"/>
      <c r="DX82" s="155"/>
      <c r="DY82" s="155"/>
      <c r="DZ82" s="155"/>
      <c r="EA82" s="155"/>
      <c r="EB82" s="155"/>
      <c r="EC82" s="155"/>
      <c r="ED82" s="155"/>
      <c r="EE82" s="155"/>
      <c r="EF82" s="155"/>
    </row>
    <row r="83" spans="2:136" s="75" customFormat="1" x14ac:dyDescent="0.25">
      <c r="B83" s="75" t="s">
        <v>208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3891.8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f>1572.079+7932.536</f>
        <v>9504.6149999999998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>
        <f>1021+25195</f>
        <v>26216</v>
      </c>
      <c r="CG83" s="142">
        <f>2270+22953</f>
        <v>25223</v>
      </c>
      <c r="CH83" s="142">
        <f>22957+2273</f>
        <v>25230</v>
      </c>
      <c r="CI83" s="142">
        <f>2283+22956</f>
        <v>25239</v>
      </c>
      <c r="CJ83" s="142"/>
      <c r="CK83" s="142"/>
      <c r="CL83" s="142"/>
      <c r="CM83" s="142"/>
      <c r="CN83" s="142">
        <f>1810+21540</f>
        <v>23350</v>
      </c>
      <c r="CO83" s="142"/>
      <c r="CP83" s="142"/>
      <c r="CQ83" s="142"/>
      <c r="CR83" s="142"/>
      <c r="CS83" s="142"/>
      <c r="CT83" s="142"/>
      <c r="CU83" s="155"/>
      <c r="CV83" s="155"/>
      <c r="CW83" s="155"/>
      <c r="CX83" s="155"/>
      <c r="CY83" s="155"/>
      <c r="CZ83" s="155"/>
      <c r="DA83" s="155"/>
      <c r="DC83" s="83"/>
      <c r="DD83" s="83"/>
      <c r="DE83" s="83"/>
      <c r="DF83" s="105"/>
      <c r="DG83" s="105"/>
      <c r="DH83" s="83"/>
      <c r="DI83" s="83"/>
      <c r="DJ83" s="83"/>
      <c r="DK83" s="83"/>
      <c r="DL83" s="83"/>
      <c r="DM83" s="83"/>
      <c r="DN83" s="142"/>
      <c r="DO83" s="142"/>
      <c r="DP83" s="142"/>
      <c r="DQ83" s="142"/>
      <c r="DR83" s="142"/>
      <c r="DS83" s="142"/>
      <c r="DT83" s="155"/>
      <c r="DU83" s="155"/>
      <c r="DV83" s="155"/>
      <c r="DW83" s="155"/>
      <c r="DX83" s="155"/>
      <c r="DY83" s="155"/>
      <c r="DZ83" s="155"/>
      <c r="EA83" s="155"/>
      <c r="EB83" s="155"/>
      <c r="EC83" s="155"/>
      <c r="ED83" s="155"/>
      <c r="EE83" s="155"/>
      <c r="EF83" s="155"/>
    </row>
    <row r="84" spans="2:136" s="75" customFormat="1" x14ac:dyDescent="0.25">
      <c r="B84" s="75" t="s">
        <v>425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>
        <v>117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f>338.238+67.98</f>
        <v>406.21800000000002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>
        <f>3888+3364</f>
        <v>7252</v>
      </c>
      <c r="CG84" s="142">
        <f>3982+3036</f>
        <v>7018</v>
      </c>
      <c r="CH84" s="142">
        <f>2673+3916</f>
        <v>6589</v>
      </c>
      <c r="CI84" s="142">
        <f>3775+2401</f>
        <v>6176</v>
      </c>
      <c r="CJ84" s="142"/>
      <c r="CK84" s="142"/>
      <c r="CL84" s="142"/>
      <c r="CM84" s="142"/>
      <c r="CN84" s="142">
        <v>738</v>
      </c>
      <c r="CO84" s="142"/>
      <c r="CP84" s="142"/>
      <c r="CQ84" s="142"/>
      <c r="CR84" s="142"/>
      <c r="CS84" s="142"/>
      <c r="CT84" s="142"/>
      <c r="CU84" s="155"/>
      <c r="CV84" s="155"/>
      <c r="CW84" s="155"/>
      <c r="CX84" s="155"/>
      <c r="CY84" s="155"/>
      <c r="CZ84" s="155"/>
      <c r="DA84" s="155"/>
      <c r="DC84" s="83"/>
      <c r="DD84" s="83"/>
      <c r="DE84" s="83"/>
      <c r="DF84" s="105"/>
      <c r="DG84" s="105"/>
      <c r="DH84" s="83"/>
      <c r="DI84" s="83"/>
      <c r="DJ84" s="83"/>
      <c r="DK84" s="83"/>
      <c r="DL84" s="83"/>
      <c r="DM84" s="83"/>
      <c r="DN84" s="142"/>
      <c r="DO84" s="142"/>
      <c r="DP84" s="142"/>
      <c r="DQ84" s="142"/>
      <c r="DR84" s="142"/>
      <c r="DS84" s="142"/>
      <c r="DT84" s="155"/>
      <c r="DU84" s="155"/>
      <c r="DV84" s="155"/>
      <c r="DW84" s="155"/>
      <c r="DX84" s="155"/>
      <c r="DY84" s="155"/>
      <c r="DZ84" s="155"/>
      <c r="EA84" s="155"/>
      <c r="EB84" s="155"/>
      <c r="EC84" s="155"/>
      <c r="ED84" s="155"/>
      <c r="EE84" s="155"/>
      <c r="EF84" s="155"/>
    </row>
    <row r="85" spans="2:136" s="75" customFormat="1" x14ac:dyDescent="0.25">
      <c r="B85" s="75" t="s">
        <v>424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>
        <v>138.80000000000001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>
        <v>174.196</v>
      </c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>
        <v>988</v>
      </c>
      <c r="CG85" s="142">
        <v>1106</v>
      </c>
      <c r="CH85" s="142">
        <v>1179</v>
      </c>
      <c r="CI85" s="142">
        <v>1277</v>
      </c>
      <c r="CJ85" s="142"/>
      <c r="CK85" s="142"/>
      <c r="CL85" s="142"/>
      <c r="CM85" s="142"/>
      <c r="CN85" s="142">
        <f>907+1418</f>
        <v>2325</v>
      </c>
      <c r="CO85" s="142"/>
      <c r="CP85" s="142"/>
      <c r="CQ85" s="142"/>
      <c r="CR85" s="142"/>
      <c r="CS85" s="142"/>
      <c r="CT85" s="142"/>
      <c r="CU85" s="155"/>
      <c r="CV85" s="155"/>
      <c r="CW85" s="155"/>
      <c r="CX85" s="155"/>
      <c r="CY85" s="155"/>
      <c r="CZ85" s="155"/>
      <c r="DA85" s="155"/>
      <c r="DC85" s="83"/>
      <c r="DD85" s="83"/>
      <c r="DE85" s="83"/>
      <c r="DF85" s="105"/>
      <c r="DG85" s="105"/>
      <c r="DH85" s="83"/>
      <c r="DI85" s="83"/>
      <c r="DJ85" s="83"/>
      <c r="DK85" s="83"/>
      <c r="DL85" s="83"/>
      <c r="DM85" s="83"/>
      <c r="DN85" s="142"/>
      <c r="DO85" s="142"/>
      <c r="DP85" s="142"/>
      <c r="DQ85" s="142"/>
      <c r="DR85" s="142"/>
      <c r="DS85" s="142"/>
      <c r="DT85" s="155"/>
      <c r="DU85" s="155"/>
      <c r="DV85" s="155"/>
      <c r="DW85" s="155"/>
      <c r="DX85" s="155"/>
      <c r="DY85" s="155"/>
      <c r="DZ85" s="155"/>
      <c r="EA85" s="155"/>
      <c r="EB85" s="155"/>
      <c r="EC85" s="155"/>
      <c r="ED85" s="155"/>
      <c r="EE85" s="155"/>
      <c r="EF85" s="155"/>
    </row>
    <row r="86" spans="2:136" s="75" customFormat="1" x14ac:dyDescent="0.25">
      <c r="B86" s="100" t="s">
        <v>508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>
        <f>SUM(AI77:AI85)</f>
        <v>0</v>
      </c>
      <c r="AJ86" s="83">
        <f t="shared" ref="AJ86:AO86" si="378">SUM(AJ77:AJ85)</f>
        <v>0</v>
      </c>
      <c r="AK86" s="83">
        <f t="shared" si="378"/>
        <v>0</v>
      </c>
      <c r="AL86" s="83">
        <f t="shared" si="378"/>
        <v>0</v>
      </c>
      <c r="AM86" s="83">
        <f t="shared" si="378"/>
        <v>0</v>
      </c>
      <c r="AN86" s="83">
        <f t="shared" si="378"/>
        <v>0</v>
      </c>
      <c r="AO86" s="83">
        <f t="shared" si="378"/>
        <v>6405.2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>
        <f>SUM(AZ77:AZ85)</f>
        <v>14740.947</v>
      </c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2"/>
      <c r="CR86" s="142"/>
      <c r="CS86" s="142"/>
      <c r="CT86" s="142"/>
      <c r="CU86" s="155"/>
      <c r="CV86" s="155"/>
      <c r="CW86" s="155"/>
      <c r="CX86" s="155"/>
      <c r="CY86" s="155"/>
      <c r="CZ86" s="155"/>
      <c r="DA86" s="155"/>
      <c r="DC86" s="83"/>
      <c r="DD86" s="83"/>
      <c r="DE86" s="83"/>
      <c r="DF86" s="105"/>
      <c r="DG86" s="105"/>
      <c r="DH86" s="83"/>
      <c r="DI86" s="83"/>
      <c r="DJ86" s="83"/>
      <c r="DK86" s="83"/>
      <c r="DL86" s="83"/>
      <c r="DM86" s="83"/>
      <c r="DN86" s="142"/>
      <c r="DO86" s="142"/>
      <c r="DP86" s="142"/>
      <c r="DQ86" s="142"/>
      <c r="DR86" s="142"/>
      <c r="DS86" s="142"/>
      <c r="DT86" s="155"/>
      <c r="DU86" s="155"/>
      <c r="DV86" s="155"/>
      <c r="DW86" s="155"/>
      <c r="DX86" s="155"/>
      <c r="DY86" s="155"/>
      <c r="DZ86" s="155"/>
      <c r="EA86" s="155"/>
      <c r="EB86" s="155"/>
      <c r="EC86" s="155"/>
      <c r="ED86" s="155"/>
      <c r="EE86" s="155"/>
      <c r="EF86" s="155"/>
    </row>
    <row r="87" spans="2:136" s="75" customFormat="1" x14ac:dyDescent="0.25">
      <c r="B87" s="100" t="s">
        <v>509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0.8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2"/>
      <c r="CR87" s="142"/>
      <c r="CS87" s="142"/>
      <c r="CT87" s="142"/>
      <c r="CU87" s="155"/>
      <c r="CV87" s="155"/>
      <c r="CW87" s="155"/>
      <c r="CX87" s="155"/>
      <c r="CY87" s="155"/>
      <c r="CZ87" s="155"/>
      <c r="DA87" s="155"/>
      <c r="DC87" s="83"/>
      <c r="DD87" s="83"/>
      <c r="DE87" s="83"/>
      <c r="DF87" s="105"/>
      <c r="DG87" s="105"/>
      <c r="DH87" s="83"/>
      <c r="DI87" s="83"/>
      <c r="DJ87" s="83"/>
      <c r="DK87" s="83"/>
      <c r="DL87" s="83"/>
      <c r="DM87" s="83"/>
      <c r="DN87" s="142"/>
      <c r="DO87" s="142"/>
      <c r="DP87" s="142"/>
      <c r="DQ87" s="142"/>
      <c r="DR87" s="142"/>
      <c r="DS87" s="142"/>
      <c r="DT87" s="155"/>
      <c r="DU87" s="155"/>
      <c r="DV87" s="155"/>
      <c r="DW87" s="155"/>
      <c r="DX87" s="155"/>
      <c r="DY87" s="155"/>
      <c r="DZ87" s="155"/>
      <c r="EA87" s="155"/>
      <c r="EB87" s="155"/>
      <c r="EC87" s="155"/>
      <c r="ED87" s="155"/>
      <c r="EE87" s="155"/>
      <c r="EF87" s="155"/>
    </row>
    <row r="88" spans="2:136" s="75" customFormat="1" x14ac:dyDescent="0.25">
      <c r="B88" s="100" t="s">
        <v>510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4809.8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2"/>
      <c r="CR88" s="142"/>
      <c r="CS88" s="142"/>
      <c r="CT88" s="142"/>
      <c r="CU88" s="155"/>
      <c r="CV88" s="155"/>
      <c r="CW88" s="155"/>
      <c r="CX88" s="155"/>
      <c r="CY88" s="155"/>
      <c r="CZ88" s="155"/>
      <c r="DA88" s="155"/>
      <c r="DC88" s="83"/>
      <c r="DD88" s="83"/>
      <c r="DE88" s="83"/>
      <c r="DF88" s="105"/>
      <c r="DG88" s="105"/>
      <c r="DH88" s="83"/>
      <c r="DI88" s="83"/>
      <c r="DJ88" s="83"/>
      <c r="DK88" s="83"/>
      <c r="DL88" s="83"/>
      <c r="DM88" s="83"/>
      <c r="DN88" s="142"/>
      <c r="DO88" s="142"/>
      <c r="DP88" s="142"/>
      <c r="DQ88" s="142"/>
      <c r="DR88" s="142"/>
      <c r="DS88" s="142"/>
      <c r="DT88" s="155"/>
      <c r="DU88" s="155"/>
      <c r="DV88" s="155"/>
      <c r="DW88" s="155"/>
      <c r="DX88" s="155"/>
      <c r="DY88" s="155"/>
      <c r="DZ88" s="155"/>
      <c r="EA88" s="155"/>
      <c r="EB88" s="155"/>
      <c r="EC88" s="155"/>
      <c r="ED88" s="155"/>
      <c r="EE88" s="155"/>
      <c r="EF88" s="155"/>
    </row>
    <row r="89" spans="2:136" s="75" customFormat="1" x14ac:dyDescent="0.25">
      <c r="B89" s="100" t="s">
        <v>511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>
        <v>-15</v>
      </c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  <c r="CT89" s="142"/>
      <c r="CU89" s="155"/>
      <c r="CV89" s="155"/>
      <c r="CW89" s="155"/>
      <c r="CX89" s="155"/>
      <c r="CY89" s="155"/>
      <c r="CZ89" s="155"/>
      <c r="DA89" s="155"/>
      <c r="DC89" s="83"/>
      <c r="DD89" s="83"/>
      <c r="DE89" s="83"/>
      <c r="DF89" s="105"/>
      <c r="DG89" s="105"/>
      <c r="DH89" s="83"/>
      <c r="DI89" s="83"/>
      <c r="DJ89" s="83"/>
      <c r="DK89" s="83"/>
      <c r="DL89" s="83"/>
      <c r="DM89" s="83"/>
      <c r="DN89" s="142"/>
      <c r="DO89" s="142"/>
      <c r="DP89" s="142"/>
      <c r="DQ89" s="142"/>
      <c r="DR89" s="142"/>
      <c r="DS89" s="142"/>
      <c r="DT89" s="155"/>
      <c r="DU89" s="155"/>
      <c r="DV89" s="155"/>
      <c r="DW89" s="155"/>
      <c r="DX89" s="155"/>
      <c r="DY89" s="155"/>
      <c r="DZ89" s="155"/>
      <c r="EA89" s="155"/>
      <c r="EB89" s="155"/>
      <c r="EC89" s="155"/>
      <c r="ED89" s="155"/>
      <c r="EE89" s="155"/>
      <c r="EF89" s="155"/>
    </row>
    <row r="90" spans="2:136" s="75" customFormat="1" x14ac:dyDescent="0.25">
      <c r="B90" s="100" t="s">
        <v>512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>
        <v>1321.8</v>
      </c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142"/>
      <c r="BX90" s="142"/>
      <c r="BY90" s="142"/>
      <c r="BZ90" s="142"/>
      <c r="CA90" s="142"/>
      <c r="CB90" s="142"/>
      <c r="CC90" s="142"/>
      <c r="CD90" s="142"/>
      <c r="CE90" s="142"/>
      <c r="CF90" s="142"/>
      <c r="CG90" s="142"/>
      <c r="CH90" s="142"/>
      <c r="CI90" s="142"/>
      <c r="CJ90" s="142"/>
      <c r="CK90" s="142"/>
      <c r="CL90" s="142"/>
      <c r="CM90" s="142"/>
      <c r="CN90" s="142"/>
      <c r="CO90" s="142"/>
      <c r="CP90" s="142"/>
      <c r="CQ90" s="142"/>
      <c r="CR90" s="142"/>
      <c r="CS90" s="142"/>
      <c r="CT90" s="142"/>
      <c r="CU90" s="155"/>
      <c r="CV90" s="155"/>
      <c r="CW90" s="155"/>
      <c r="CX90" s="155"/>
      <c r="CY90" s="155"/>
      <c r="CZ90" s="155"/>
      <c r="DA90" s="155"/>
      <c r="DC90" s="83"/>
      <c r="DD90" s="83"/>
      <c r="DE90" s="83"/>
      <c r="DF90" s="105"/>
      <c r="DG90" s="105"/>
      <c r="DH90" s="83"/>
      <c r="DI90" s="83"/>
      <c r="DJ90" s="83"/>
      <c r="DK90" s="83"/>
      <c r="DL90" s="83"/>
      <c r="DM90" s="83"/>
      <c r="DN90" s="142"/>
      <c r="DO90" s="142"/>
      <c r="DP90" s="142"/>
      <c r="DQ90" s="142"/>
      <c r="DR90" s="142"/>
      <c r="DS90" s="142"/>
      <c r="DT90" s="155"/>
      <c r="DU90" s="155"/>
      <c r="DV90" s="155"/>
      <c r="DW90" s="155"/>
      <c r="DX90" s="155"/>
      <c r="DY90" s="155"/>
      <c r="DZ90" s="155"/>
      <c r="EA90" s="155"/>
      <c r="EB90" s="155"/>
      <c r="EC90" s="155"/>
      <c r="ED90" s="155"/>
      <c r="EE90" s="155"/>
      <c r="EF90" s="155"/>
    </row>
    <row r="91" spans="2:136" s="17" customFormat="1" x14ac:dyDescent="0.25">
      <c r="B91" s="75" t="s">
        <v>422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>
        <f>SUM(AI87:AI90)</f>
        <v>0</v>
      </c>
      <c r="AJ91" s="82">
        <f t="shared" ref="AJ91:AO91" si="379">SUM(AJ87:AJ90)</f>
        <v>0</v>
      </c>
      <c r="AK91" s="82">
        <f t="shared" si="379"/>
        <v>0</v>
      </c>
      <c r="AL91" s="82">
        <f t="shared" si="379"/>
        <v>0</v>
      </c>
      <c r="AM91" s="82">
        <f t="shared" si="379"/>
        <v>0</v>
      </c>
      <c r="AN91" s="82">
        <f t="shared" si="379"/>
        <v>0</v>
      </c>
      <c r="AO91" s="82">
        <f t="shared" si="379"/>
        <v>6117.4000000000005</v>
      </c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>
        <v>20215</v>
      </c>
      <c r="CG91" s="140">
        <v>21057</v>
      </c>
      <c r="CH91" s="140">
        <v>21209</v>
      </c>
      <c r="CI91" s="140">
        <v>20939</v>
      </c>
      <c r="CJ91" s="140"/>
      <c r="CK91" s="140"/>
      <c r="CL91" s="140"/>
      <c r="CM91" s="140"/>
      <c r="CN91" s="140">
        <v>18197</v>
      </c>
      <c r="CO91" s="140"/>
      <c r="CP91" s="140"/>
      <c r="CQ91" s="140"/>
      <c r="CR91" s="140"/>
      <c r="CS91" s="140"/>
      <c r="CT91" s="140"/>
      <c r="CU91" s="79"/>
      <c r="CV91" s="79"/>
      <c r="CW91" s="79"/>
      <c r="CX91" s="79"/>
      <c r="CY91" s="79"/>
      <c r="CZ91" s="79"/>
      <c r="DA91" s="79"/>
      <c r="DC91" s="82"/>
      <c r="DD91" s="82"/>
      <c r="DE91" s="82"/>
      <c r="DF91" s="104"/>
      <c r="DG91" s="104"/>
      <c r="DH91" s="82"/>
      <c r="DI91" s="82"/>
      <c r="DJ91" s="82"/>
      <c r="DK91" s="82"/>
      <c r="DL91" s="82"/>
      <c r="DM91" s="82"/>
      <c r="DN91" s="140"/>
      <c r="DO91" s="140"/>
      <c r="DP91" s="140"/>
      <c r="DQ91" s="140"/>
      <c r="DR91" s="140"/>
      <c r="DS91" s="140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</row>
    <row r="92" spans="2:136" s="17" customFormat="1" x14ac:dyDescent="0.25">
      <c r="B92" s="75" t="s">
        <v>423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>
        <f>AI91+AI86</f>
        <v>0</v>
      </c>
      <c r="AJ92" s="82">
        <f t="shared" ref="AJ92:AO92" si="380">AJ91+AJ86</f>
        <v>0</v>
      </c>
      <c r="AK92" s="82">
        <f t="shared" si="380"/>
        <v>0</v>
      </c>
      <c r="AL92" s="82">
        <f t="shared" si="380"/>
        <v>0</v>
      </c>
      <c r="AM92" s="82">
        <f t="shared" si="380"/>
        <v>0</v>
      </c>
      <c r="AN92" s="82">
        <f t="shared" si="380"/>
        <v>0</v>
      </c>
      <c r="AO92" s="82">
        <f t="shared" si="380"/>
        <v>12522.6</v>
      </c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>
        <f>SUM(CF77:CF91)</f>
        <v>62870</v>
      </c>
      <c r="CG92" s="140">
        <f>SUM(CG77:CG91)</f>
        <v>62557</v>
      </c>
      <c r="CH92" s="140">
        <f>SUM(CH77:CH91)</f>
        <v>63171</v>
      </c>
      <c r="CI92" s="140">
        <f>SUM(CI77:CI91)</f>
        <v>61875</v>
      </c>
      <c r="CJ92" s="140"/>
      <c r="CK92" s="140"/>
      <c r="CL92" s="140"/>
      <c r="CM92" s="140"/>
      <c r="CN92" s="140">
        <f>SUM(CN77:CN91)</f>
        <v>53580</v>
      </c>
      <c r="CO92" s="140"/>
      <c r="CP92" s="140"/>
      <c r="CQ92" s="140"/>
      <c r="CR92" s="140"/>
      <c r="CS92" s="140"/>
      <c r="CT92" s="140"/>
      <c r="CU92" s="79"/>
      <c r="CV92" s="79"/>
      <c r="CW92" s="79"/>
      <c r="CX92" s="79"/>
      <c r="CY92" s="79"/>
      <c r="CZ92" s="79"/>
      <c r="DA92" s="79"/>
      <c r="DC92" s="82"/>
      <c r="DD92" s="82"/>
      <c r="DE92" s="82"/>
      <c r="DF92" s="104"/>
      <c r="DG92" s="104"/>
      <c r="DH92" s="82"/>
      <c r="DI92" s="82"/>
      <c r="DJ92" s="82"/>
      <c r="DK92" s="82"/>
      <c r="DL92" s="82"/>
      <c r="DM92" s="82"/>
      <c r="DN92" s="140"/>
      <c r="DO92" s="140"/>
      <c r="DP92" s="140"/>
      <c r="DQ92" s="140"/>
      <c r="DR92" s="140"/>
      <c r="DS92" s="140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</row>
    <row r="93" spans="2:136" s="17" customFormat="1" x14ac:dyDescent="0.25">
      <c r="B93" s="75" t="s">
        <v>21</v>
      </c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>
        <v>1254</v>
      </c>
      <c r="CG93" s="140">
        <v>1254</v>
      </c>
      <c r="CH93" s="140">
        <v>1247</v>
      </c>
      <c r="CI93" s="140">
        <v>1248</v>
      </c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79"/>
      <c r="CV93" s="79"/>
      <c r="CW93" s="79"/>
      <c r="CX93" s="79"/>
      <c r="CY93" s="79"/>
      <c r="CZ93" s="79"/>
      <c r="DA93" s="79"/>
      <c r="DC93" s="82"/>
      <c r="DD93" s="82"/>
      <c r="DE93" s="82"/>
      <c r="DF93" s="104"/>
      <c r="DG93" s="104"/>
      <c r="DH93" s="82"/>
      <c r="DI93" s="82"/>
      <c r="DJ93" s="82"/>
      <c r="DK93" s="82"/>
      <c r="DL93" s="82"/>
      <c r="DM93" s="82"/>
      <c r="DN93" s="140"/>
      <c r="DO93" s="140"/>
      <c r="DP93" s="140"/>
      <c r="DQ93" s="140"/>
      <c r="DR93" s="140"/>
      <c r="DS93" s="140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</row>
    <row r="94" spans="2:136" s="17" customFormat="1" x14ac:dyDescent="0.25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79"/>
      <c r="CV94" s="79"/>
      <c r="CW94" s="79"/>
      <c r="CX94" s="79"/>
      <c r="CY94" s="79"/>
      <c r="CZ94" s="79"/>
      <c r="DA94" s="79"/>
      <c r="DC94" s="82"/>
      <c r="DD94" s="82"/>
      <c r="DE94" s="82"/>
      <c r="DF94" s="104"/>
      <c r="DG94" s="104"/>
      <c r="DH94" s="82"/>
      <c r="DI94" s="82"/>
      <c r="DJ94" s="82"/>
      <c r="DK94" s="82"/>
      <c r="DL94" s="82"/>
      <c r="DM94" s="82"/>
      <c r="DN94" s="140"/>
      <c r="DO94" s="140"/>
      <c r="DP94" s="140"/>
      <c r="DQ94" s="140"/>
      <c r="DR94" s="140"/>
      <c r="DS94" s="140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</row>
    <row r="95" spans="2:136" s="17" customFormat="1" x14ac:dyDescent="0.25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79"/>
      <c r="CV95" s="79"/>
      <c r="CW95" s="79"/>
      <c r="CX95" s="79"/>
      <c r="CY95" s="79"/>
      <c r="CZ95" s="79"/>
      <c r="DA95" s="79"/>
      <c r="DC95" s="82"/>
      <c r="DD95" s="82"/>
      <c r="DE95" s="82"/>
      <c r="DF95" s="104"/>
      <c r="DG95" s="104"/>
      <c r="DH95" s="82"/>
      <c r="DI95" s="82"/>
      <c r="DJ95" s="82"/>
      <c r="DK95" s="82"/>
      <c r="DL95" s="82"/>
      <c r="DM95" s="82"/>
      <c r="DN95" s="140"/>
      <c r="DO95" s="140"/>
      <c r="DP95" s="140"/>
      <c r="DQ95" s="140"/>
      <c r="DR95" s="140"/>
      <c r="DS95" s="140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</row>
    <row r="96" spans="2:136" s="17" customFormat="1" x14ac:dyDescent="0.25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79"/>
      <c r="CV96" s="79"/>
      <c r="CW96" s="79"/>
      <c r="CX96" s="79"/>
      <c r="CY96" s="79"/>
      <c r="CZ96" s="79"/>
      <c r="DA96" s="79"/>
      <c r="DC96" s="82"/>
      <c r="DD96" s="82"/>
      <c r="DE96" s="82"/>
      <c r="DF96" s="104"/>
      <c r="DG96" s="104"/>
      <c r="DH96" s="82"/>
      <c r="DI96" s="82"/>
      <c r="DJ96" s="82"/>
      <c r="DK96" s="82"/>
      <c r="DL96" s="82"/>
      <c r="DM96" s="82"/>
      <c r="DN96" s="140"/>
      <c r="DO96" s="140"/>
      <c r="DP96" s="140"/>
      <c r="DQ96" s="140"/>
      <c r="DR96" s="140"/>
      <c r="DS96" s="140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</row>
    <row r="97" spans="2:136" s="17" customFormat="1" x14ac:dyDescent="0.25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79"/>
      <c r="CV97" s="79"/>
      <c r="CW97" s="79"/>
      <c r="CX97" s="79"/>
      <c r="CY97" s="79"/>
      <c r="CZ97" s="79"/>
      <c r="DA97" s="79"/>
      <c r="DC97" s="82"/>
      <c r="DD97" s="82"/>
      <c r="DE97" s="82"/>
      <c r="DF97" s="104"/>
      <c r="DG97" s="104"/>
      <c r="DH97" s="82"/>
      <c r="DI97" s="82"/>
      <c r="DJ97" s="82"/>
      <c r="DK97" s="82"/>
      <c r="DL97" s="82"/>
      <c r="DM97" s="82"/>
      <c r="DN97" s="140"/>
      <c r="DO97" s="140"/>
      <c r="DP97" s="140"/>
      <c r="DQ97" s="140"/>
      <c r="DR97" s="140"/>
      <c r="DS97" s="140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</row>
    <row r="98" spans="2:136" s="17" customFormat="1" x14ac:dyDescent="0.25">
      <c r="B98" s="75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79"/>
      <c r="CV98" s="79"/>
      <c r="CW98" s="79"/>
      <c r="CX98" s="79"/>
      <c r="CY98" s="79"/>
      <c r="CZ98" s="79"/>
      <c r="DA98" s="79"/>
      <c r="DC98" s="82"/>
      <c r="DD98" s="82"/>
      <c r="DE98" s="82"/>
      <c r="DF98" s="104"/>
      <c r="DG98" s="104"/>
      <c r="DH98" s="82"/>
      <c r="DI98" s="82"/>
      <c r="DJ98" s="82"/>
      <c r="DK98" s="82"/>
      <c r="DL98" s="82"/>
      <c r="DM98" s="82"/>
      <c r="DN98" s="140"/>
      <c r="DO98" s="140"/>
      <c r="DP98" s="140"/>
      <c r="DQ98" s="140"/>
      <c r="DR98" s="140"/>
      <c r="DS98" s="140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</row>
    <row r="99" spans="2:136" s="17" customFormat="1" x14ac:dyDescent="0.25">
      <c r="B99" s="75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3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79"/>
      <c r="CV99" s="79"/>
      <c r="CW99" s="79"/>
      <c r="CX99" s="79"/>
      <c r="CY99" s="79"/>
      <c r="CZ99" s="79"/>
      <c r="DA99" s="79"/>
      <c r="DC99" s="82"/>
      <c r="DD99" s="82"/>
      <c r="DE99" s="82"/>
      <c r="DF99" s="104"/>
      <c r="DG99" s="104"/>
      <c r="DH99" s="82"/>
      <c r="DI99" s="82"/>
      <c r="DJ99" s="82"/>
      <c r="DK99" s="82"/>
      <c r="DL99" s="82"/>
      <c r="DM99" s="82"/>
      <c r="DN99" s="140"/>
      <c r="DO99" s="140"/>
      <c r="DP99" s="140"/>
      <c r="DQ99" s="140"/>
      <c r="DR99" s="140"/>
      <c r="DS99" s="140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</row>
    <row r="100" spans="2:136" s="17" customFormat="1" x14ac:dyDescent="0.25">
      <c r="B100" s="100" t="s">
        <v>637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128">
        <f>(AZ50*4)/(AZ75-AZ73)</f>
        <v>0.85121311969523961</v>
      </c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140"/>
      <c r="BX100" s="140"/>
      <c r="BY100" s="140"/>
      <c r="BZ100" s="140"/>
      <c r="CA100" s="140"/>
      <c r="CB100" s="140"/>
      <c r="CC100" s="140"/>
      <c r="CD100" s="140"/>
      <c r="CE100" s="140"/>
      <c r="CF100" s="140"/>
      <c r="CG100" s="140"/>
      <c r="CH100" s="140"/>
      <c r="CI100" s="140"/>
      <c r="CJ100" s="140"/>
      <c r="CK100" s="140"/>
      <c r="CL100" s="140"/>
      <c r="CM100" s="140"/>
      <c r="CN100" s="140"/>
      <c r="CO100" s="140"/>
      <c r="CP100" s="140"/>
      <c r="CQ100" s="140"/>
      <c r="CR100" s="140"/>
      <c r="CS100" s="140"/>
      <c r="CT100" s="140"/>
      <c r="CU100" s="79"/>
      <c r="CV100" s="79"/>
      <c r="CW100" s="79"/>
      <c r="CX100" s="79"/>
      <c r="CY100" s="79"/>
      <c r="CZ100" s="79"/>
      <c r="DA100" s="79"/>
      <c r="DC100" s="82"/>
      <c r="DD100" s="82"/>
      <c r="DE100" s="82"/>
      <c r="DF100" s="104"/>
      <c r="DG100" s="104"/>
      <c r="DH100" s="82"/>
      <c r="DI100" s="82"/>
      <c r="DJ100" s="82"/>
      <c r="DK100" s="82"/>
      <c r="DL100" s="82"/>
      <c r="DM100" s="82"/>
      <c r="DN100" s="140"/>
      <c r="DO100" s="140"/>
      <c r="DP100" s="140"/>
      <c r="DQ100" s="140"/>
      <c r="DR100" s="140"/>
      <c r="DS100" s="140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  <c r="EF100" s="79"/>
    </row>
    <row r="101" spans="2:136" x14ac:dyDescent="0.25">
      <c r="B101" s="92" t="s">
        <v>638</v>
      </c>
      <c r="AZ101" s="128">
        <f>(AZ50*4)/AZ75</f>
        <v>0.50534298287992085</v>
      </c>
    </row>
    <row r="102" spans="2:136" x14ac:dyDescent="0.25">
      <c r="B102" s="92" t="s">
        <v>639</v>
      </c>
      <c r="AZ102" s="128">
        <f>(AZ50*4)/(AZ75-AZ86)</f>
        <v>0.9577654518613391</v>
      </c>
    </row>
    <row r="103" spans="2:136" x14ac:dyDescent="0.25">
      <c r="B103" s="92" t="s">
        <v>640</v>
      </c>
      <c r="AZ103" s="128">
        <f>(AZ50*4)/(AZ75-AZ73-AZ86)</f>
        <v>4.1660269614039658</v>
      </c>
    </row>
  </sheetData>
  <customSheetViews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2" t="s">
        <v>139</v>
      </c>
    </row>
    <row r="2" spans="1:3" x14ac:dyDescent="0.25">
      <c r="B2" s="1" t="s">
        <v>140</v>
      </c>
      <c r="C2" s="1" t="s">
        <v>164</v>
      </c>
    </row>
    <row r="3" spans="1:3" x14ac:dyDescent="0.25">
      <c r="B3" s="1" t="s">
        <v>141</v>
      </c>
      <c r="C3" s="1" t="s">
        <v>165</v>
      </c>
    </row>
    <row r="4" spans="1:3" x14ac:dyDescent="0.25">
      <c r="B4" s="1" t="s">
        <v>1</v>
      </c>
      <c r="C4" s="1" t="s">
        <v>272</v>
      </c>
    </row>
    <row r="5" spans="1:3" x14ac:dyDescent="0.25">
      <c r="B5" s="1" t="s">
        <v>57</v>
      </c>
      <c r="C5" s="1" t="s">
        <v>166</v>
      </c>
    </row>
    <row r="6" spans="1:3" x14ac:dyDescent="0.25">
      <c r="B6" s="1" t="s">
        <v>3</v>
      </c>
      <c r="C6" s="1" t="s">
        <v>167</v>
      </c>
    </row>
    <row r="7" spans="1:3" x14ac:dyDescent="0.25">
      <c r="C7" s="1" t="s">
        <v>168</v>
      </c>
    </row>
    <row r="8" spans="1:3" x14ac:dyDescent="0.25">
      <c r="B8" s="1" t="s">
        <v>319</v>
      </c>
      <c r="C8" s="1" t="s">
        <v>320</v>
      </c>
    </row>
    <row r="9" spans="1:3" x14ac:dyDescent="0.25">
      <c r="B9" s="1" t="s">
        <v>318</v>
      </c>
      <c r="C9" s="16" t="s">
        <v>367</v>
      </c>
    </row>
    <row r="10" spans="1:3" x14ac:dyDescent="0.25">
      <c r="B10" s="1" t="s">
        <v>142</v>
      </c>
    </row>
    <row r="13" spans="1:3" ht="13" x14ac:dyDescent="0.3">
      <c r="C13" s="34" t="s">
        <v>191</v>
      </c>
    </row>
    <row r="14" spans="1:3" x14ac:dyDescent="0.25">
      <c r="C14" s="16" t="s">
        <v>190</v>
      </c>
    </row>
    <row r="15" spans="1:3" x14ac:dyDescent="0.25">
      <c r="C15" s="1" t="s">
        <v>189</v>
      </c>
    </row>
    <row r="17" spans="3:3" ht="13" x14ac:dyDescent="0.3">
      <c r="C17" s="34" t="s">
        <v>273</v>
      </c>
    </row>
    <row r="18" spans="3:3" x14ac:dyDescent="0.25">
      <c r="C18" s="1" t="s">
        <v>274</v>
      </c>
    </row>
    <row r="19" spans="3:3" x14ac:dyDescent="0.25">
      <c r="C19" s="1" t="s">
        <v>275</v>
      </c>
    </row>
    <row r="20" spans="3:3" x14ac:dyDescent="0.25">
      <c r="C20" s="1" t="s">
        <v>276</v>
      </c>
    </row>
    <row r="21" spans="3:3" x14ac:dyDescent="0.25">
      <c r="C21" s="1" t="s">
        <v>316</v>
      </c>
    </row>
    <row r="23" spans="3:3" ht="13" x14ac:dyDescent="0.3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ColWidth="8.81640625" defaultRowHeight="12.5" x14ac:dyDescent="0.25"/>
  <cols>
    <col min="1" max="1" width="5" bestFit="1" customWidth="1"/>
    <col min="2" max="2" width="10.26953125" bestFit="1" customWidth="1"/>
  </cols>
  <sheetData>
    <row r="1" spans="1:4" x14ac:dyDescent="0.25">
      <c r="A1" s="33" t="s">
        <v>139</v>
      </c>
    </row>
    <row r="3" spans="1:4" x14ac:dyDescent="0.25">
      <c r="B3" t="s">
        <v>2</v>
      </c>
      <c r="C3" t="s">
        <v>27</v>
      </c>
    </row>
    <row r="4" spans="1:4" x14ac:dyDescent="0.25">
      <c r="C4" t="s">
        <v>29</v>
      </c>
    </row>
    <row r="5" spans="1:4" x14ac:dyDescent="0.25">
      <c r="D5" t="s">
        <v>28</v>
      </c>
    </row>
    <row r="6" spans="1:4" x14ac:dyDescent="0.25">
      <c r="D6" t="s">
        <v>30</v>
      </c>
    </row>
    <row r="7" spans="1:4" x14ac:dyDescent="0.25">
      <c r="D7" t="s">
        <v>31</v>
      </c>
    </row>
  </sheetData>
  <customSheetViews>
    <customSheetView guid="{242E8787-30C2-4AAB-B25A-4ABD2B9A9CA6}" showRuler="0">
      <pageMargins left="0.75" right="0.75" top="1" bottom="1" header="0.5" footer="0.5"/>
      <headerFooter alignWithMargins="0"/>
    </customSheetView>
    <customSheetView guid="{4186580B-64C2-4B0C-BB3D-D214EFB8989E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42DE-A849-4177-AA83-EBB541680275}">
  <dimension ref="A1:C10"/>
  <sheetViews>
    <sheetView zoomScale="130" zoomScaleNormal="130" workbookViewId="0"/>
  </sheetViews>
  <sheetFormatPr defaultRowHeight="12.5" x14ac:dyDescent="0.25"/>
  <cols>
    <col min="1" max="1" width="4.6328125" bestFit="1" customWidth="1"/>
    <col min="2" max="2" width="12.26953125" bestFit="1" customWidth="1"/>
  </cols>
  <sheetData>
    <row r="1" spans="1:3" x14ac:dyDescent="0.25">
      <c r="A1" s="33" t="s">
        <v>139</v>
      </c>
    </row>
    <row r="2" spans="1:3" x14ac:dyDescent="0.25">
      <c r="B2" s="95" t="s">
        <v>54</v>
      </c>
    </row>
    <row r="3" spans="1:3" x14ac:dyDescent="0.25">
      <c r="B3" s="95" t="s">
        <v>53</v>
      </c>
      <c r="C3" s="95" t="s">
        <v>781</v>
      </c>
    </row>
    <row r="4" spans="1:3" x14ac:dyDescent="0.25">
      <c r="B4" s="95" t="s">
        <v>319</v>
      </c>
      <c r="C4" s="95" t="s">
        <v>784</v>
      </c>
    </row>
    <row r="5" spans="1:3" x14ac:dyDescent="0.25">
      <c r="B5" s="95" t="s">
        <v>142</v>
      </c>
    </row>
    <row r="6" spans="1:3" ht="13" x14ac:dyDescent="0.3">
      <c r="C6" s="121" t="s">
        <v>782</v>
      </c>
    </row>
    <row r="10" spans="1:3" ht="13" x14ac:dyDescent="0.3">
      <c r="C10" s="121" t="s">
        <v>783</v>
      </c>
    </row>
  </sheetData>
  <hyperlinks>
    <hyperlink ref="A1" location="Main!A1" display="Main" xr:uid="{54730737-418F-4373-AD90-6E997E0BDD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5" t="s">
        <v>54</v>
      </c>
      <c r="C2" s="95" t="s">
        <v>644</v>
      </c>
    </row>
    <row r="3" spans="1:3" x14ac:dyDescent="0.25">
      <c r="B3" s="95" t="s">
        <v>53</v>
      </c>
      <c r="C3" s="95" t="s">
        <v>704</v>
      </c>
    </row>
    <row r="4" spans="1:3" x14ac:dyDescent="0.25">
      <c r="B4" t="s">
        <v>4</v>
      </c>
      <c r="C4" t="s">
        <v>718</v>
      </c>
    </row>
    <row r="5" spans="1:3" x14ac:dyDescent="0.25">
      <c r="C5" t="s">
        <v>719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5" t="s">
        <v>54</v>
      </c>
      <c r="C2" s="95" t="s">
        <v>677</v>
      </c>
    </row>
    <row r="3" spans="1:3" x14ac:dyDescent="0.25">
      <c r="B3" s="95" t="s">
        <v>53</v>
      </c>
      <c r="C3" s="95" t="s">
        <v>726</v>
      </c>
    </row>
    <row r="4" spans="1:3" x14ac:dyDescent="0.25">
      <c r="B4" s="95" t="s">
        <v>1</v>
      </c>
      <c r="C4" s="95" t="s">
        <v>6</v>
      </c>
    </row>
    <row r="5" spans="1:3" x14ac:dyDescent="0.25">
      <c r="B5" s="95" t="s">
        <v>4</v>
      </c>
      <c r="C5" s="95" t="s">
        <v>728</v>
      </c>
    </row>
    <row r="6" spans="1:3" x14ac:dyDescent="0.25">
      <c r="B6" s="95"/>
      <c r="C6" s="95" t="s">
        <v>729</v>
      </c>
    </row>
    <row r="7" spans="1:3" x14ac:dyDescent="0.25">
      <c r="C7" s="95" t="s">
        <v>727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3" t="s">
        <v>139</v>
      </c>
    </row>
    <row r="2" spans="1:3" x14ac:dyDescent="0.25">
      <c r="B2" s="95" t="s">
        <v>54</v>
      </c>
      <c r="C2" s="95" t="s">
        <v>678</v>
      </c>
    </row>
    <row r="3" spans="1:3" x14ac:dyDescent="0.25">
      <c r="B3" s="95" t="s">
        <v>53</v>
      </c>
      <c r="C3" s="95" t="s">
        <v>731</v>
      </c>
    </row>
    <row r="4" spans="1:3" x14ac:dyDescent="0.25">
      <c r="B4" s="95" t="s">
        <v>1</v>
      </c>
      <c r="C4" s="95" t="s">
        <v>6</v>
      </c>
    </row>
    <row r="5" spans="1:3" x14ac:dyDescent="0.25">
      <c r="B5" s="95" t="s">
        <v>4</v>
      </c>
      <c r="C5" s="95" t="s">
        <v>732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11.1796875" customWidth="1"/>
  </cols>
  <sheetData>
    <row r="1" spans="1:3" x14ac:dyDescent="0.25">
      <c r="A1" s="33" t="s">
        <v>139</v>
      </c>
    </row>
    <row r="2" spans="1:3" x14ac:dyDescent="0.25">
      <c r="B2" s="95" t="s">
        <v>54</v>
      </c>
      <c r="C2" s="95" t="s">
        <v>681</v>
      </c>
    </row>
    <row r="3" spans="1:3" x14ac:dyDescent="0.25">
      <c r="B3" s="95" t="s">
        <v>53</v>
      </c>
      <c r="C3" s="95" t="s">
        <v>743</v>
      </c>
    </row>
    <row r="4" spans="1:3" x14ac:dyDescent="0.25">
      <c r="B4" s="95" t="s">
        <v>1</v>
      </c>
      <c r="C4" s="95" t="s">
        <v>741</v>
      </c>
    </row>
    <row r="5" spans="1:3" x14ac:dyDescent="0.25">
      <c r="B5" s="95" t="s">
        <v>142</v>
      </c>
    </row>
    <row r="6" spans="1:3" ht="13" x14ac:dyDescent="0.3">
      <c r="C6" s="121" t="s">
        <v>747</v>
      </c>
    </row>
    <row r="7" spans="1:3" x14ac:dyDescent="0.25">
      <c r="C7" s="95" t="s">
        <v>744</v>
      </c>
    </row>
    <row r="8" spans="1:3" x14ac:dyDescent="0.25">
      <c r="C8" s="95" t="s">
        <v>746</v>
      </c>
    </row>
    <row r="10" spans="1:3" ht="13" x14ac:dyDescent="0.3">
      <c r="C10" s="121" t="s">
        <v>745</v>
      </c>
    </row>
    <row r="11" spans="1:3" x14ac:dyDescent="0.25">
      <c r="C11" s="95" t="s">
        <v>746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</cols>
  <sheetData>
    <row r="1" spans="1:3" x14ac:dyDescent="0.25">
      <c r="A1" s="12" t="s">
        <v>139</v>
      </c>
    </row>
    <row r="2" spans="1:3" x14ac:dyDescent="0.25">
      <c r="B2" t="s">
        <v>140</v>
      </c>
      <c r="C2" t="s">
        <v>586</v>
      </c>
    </row>
    <row r="4" spans="1:3" x14ac:dyDescent="0.25">
      <c r="C4" s="95" t="s">
        <v>476</v>
      </c>
    </row>
    <row r="5" spans="1:3" x14ac:dyDescent="0.25">
      <c r="C5" s="95" t="s">
        <v>477</v>
      </c>
    </row>
    <row r="6" spans="1:3" x14ac:dyDescent="0.25">
      <c r="C6" s="95" t="s">
        <v>478</v>
      </c>
    </row>
    <row r="7" spans="1:3" x14ac:dyDescent="0.25">
      <c r="C7" s="95" t="s">
        <v>479</v>
      </c>
    </row>
    <row r="8" spans="1:3" x14ac:dyDescent="0.25">
      <c r="C8" s="95" t="s">
        <v>480</v>
      </c>
    </row>
    <row r="9" spans="1:3" x14ac:dyDescent="0.25">
      <c r="C9" s="95" t="s">
        <v>481</v>
      </c>
    </row>
    <row r="10" spans="1:3" x14ac:dyDescent="0.25">
      <c r="C10" s="95" t="s">
        <v>482</v>
      </c>
    </row>
    <row r="11" spans="1:3" x14ac:dyDescent="0.25">
      <c r="C11" s="95" t="s">
        <v>483</v>
      </c>
    </row>
    <row r="12" spans="1:3" x14ac:dyDescent="0.25">
      <c r="C12" s="95" t="s">
        <v>484</v>
      </c>
    </row>
    <row r="13" spans="1:3" x14ac:dyDescent="0.25">
      <c r="C13" s="95" t="s">
        <v>485</v>
      </c>
    </row>
    <row r="14" spans="1:3" x14ac:dyDescent="0.25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lencapavir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2025-02-24T19:43:13Z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