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E7ADDDA-07E4-4F7F-A087-B815B1DBD971}" xr6:coauthVersionLast="47" xr6:coauthVersionMax="47" xr10:uidLastSave="{00000000-0000-0000-0000-000000000000}"/>
  <bookViews>
    <workbookView xWindow="-27060" yWindow="3540" windowWidth="25155" windowHeight="14640" activeTab="1" xr2:uid="{EA2824C1-1697-4288-88B1-60A32E5E15B0}"/>
  </bookViews>
  <sheets>
    <sheet name="Main" sheetId="3" r:id="rId1"/>
    <sheet name="Model" sheetId="1" r:id="rId2"/>
    <sheet name="Q424 Quarterly Earnings Preview" sheetId="5" r:id="rId3"/>
    <sheet name="Q1 Quarterly Earnings Previ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41" i="1" l="1"/>
  <c r="AV41" i="1"/>
  <c r="Z24" i="1"/>
  <c r="Y24" i="1"/>
  <c r="X24" i="1"/>
  <c r="X38" i="1" s="1"/>
  <c r="R24" i="1"/>
  <c r="R121" i="1" s="1"/>
  <c r="R135" i="1" s="1"/>
  <c r="Y38" i="1"/>
  <c r="Z38" i="1"/>
  <c r="W38" i="1"/>
  <c r="J14" i="5"/>
  <c r="J9" i="5"/>
  <c r="J8" i="5"/>
  <c r="E7" i="5"/>
  <c r="E6" i="5" s="1"/>
  <c r="E5" i="5" s="1"/>
  <c r="E8" i="5"/>
  <c r="E11" i="5"/>
  <c r="E12" i="5" s="1"/>
  <c r="E13" i="5" s="1"/>
  <c r="E14" i="5" s="1"/>
  <c r="E15" i="5" s="1"/>
  <c r="E10" i="5"/>
  <c r="B11" i="5"/>
  <c r="B12" i="5" s="1"/>
  <c r="B13" i="5" s="1"/>
  <c r="B14" i="5" s="1"/>
  <c r="B15" i="5" s="1"/>
  <c r="B10" i="5"/>
  <c r="B7" i="5"/>
  <c r="B6" i="5" s="1"/>
  <c r="B5" i="5" s="1"/>
  <c r="B8" i="5"/>
  <c r="B9" i="5"/>
  <c r="W24" i="1"/>
  <c r="W121" i="1"/>
  <c r="W135" i="1" s="1"/>
  <c r="V135" i="1"/>
  <c r="U135" i="1"/>
  <c r="T135" i="1"/>
  <c r="S135" i="1"/>
  <c r="Q135" i="1"/>
  <c r="P135" i="1"/>
  <c r="O135" i="1"/>
  <c r="T121" i="1"/>
  <c r="S121" i="1"/>
  <c r="Q121" i="1"/>
  <c r="P121" i="1"/>
  <c r="O121" i="1"/>
  <c r="V121" i="1"/>
  <c r="U121" i="1"/>
  <c r="X122" i="1"/>
  <c r="W122" i="1"/>
  <c r="Z130" i="1"/>
  <c r="Y130" i="1"/>
  <c r="X130" i="1"/>
  <c r="W130" i="1"/>
  <c r="Y123" i="1"/>
  <c r="Z128" i="1"/>
  <c r="Y128" i="1"/>
  <c r="X128" i="1"/>
  <c r="W128" i="1"/>
  <c r="Z126" i="1"/>
  <c r="Y126" i="1"/>
  <c r="X126" i="1"/>
  <c r="W126" i="1"/>
  <c r="X123" i="1"/>
  <c r="X121" i="1" s="1"/>
  <c r="Z131" i="1"/>
  <c r="Y131" i="1"/>
  <c r="X131" i="1"/>
  <c r="W131" i="1"/>
  <c r="Z127" i="1"/>
  <c r="Y127" i="1"/>
  <c r="X127" i="1"/>
  <c r="W127" i="1"/>
  <c r="T134" i="1"/>
  <c r="S134" i="1"/>
  <c r="R134" i="1"/>
  <c r="Q134" i="1"/>
  <c r="P134" i="1"/>
  <c r="W123" i="1"/>
  <c r="V123" i="1"/>
  <c r="V134" i="1" s="1"/>
  <c r="U123" i="1"/>
  <c r="U134" i="1" s="1"/>
  <c r="T123" i="1"/>
  <c r="S123" i="1"/>
  <c r="R123" i="1"/>
  <c r="Q123" i="1"/>
  <c r="P123" i="1"/>
  <c r="O123" i="1"/>
  <c r="Y122" i="1" l="1"/>
  <c r="Y121" i="1"/>
  <c r="Z123" i="1"/>
  <c r="W134" i="1"/>
  <c r="Z121" i="1" l="1"/>
  <c r="Z122" i="1"/>
  <c r="O130" i="1" l="1"/>
  <c r="V122" i="1"/>
  <c r="U122" i="1"/>
  <c r="T122" i="1"/>
  <c r="S122" i="1"/>
  <c r="R122" i="1"/>
  <c r="Q122" i="1"/>
  <c r="P122" i="1"/>
  <c r="O122" i="1"/>
  <c r="T127" i="1" l="1"/>
  <c r="U127" i="1" s="1"/>
  <c r="V127" i="1" s="1"/>
  <c r="P127" i="1"/>
  <c r="AV12" i="1" l="1"/>
  <c r="AW10" i="1"/>
  <c r="AW12" i="1" s="1"/>
  <c r="AW4" i="1"/>
  <c r="AW6" i="1" s="1"/>
  <c r="AV6" i="1"/>
  <c r="AD38" i="1"/>
  <c r="AC31" i="1"/>
  <c r="AC29" i="1"/>
  <c r="AC26" i="1"/>
  <c r="AC41" i="1"/>
  <c r="AE38" i="1"/>
  <c r="AD31" i="1"/>
  <c r="AD29" i="1"/>
  <c r="AD26" i="1"/>
  <c r="AD41" i="1" s="1"/>
  <c r="AF38" i="1"/>
  <c r="AE31" i="1"/>
  <c r="AE29" i="1"/>
  <c r="AE26" i="1"/>
  <c r="AE41" i="1" s="1"/>
  <c r="AG38" i="1"/>
  <c r="AF29" i="1"/>
  <c r="AF26" i="1"/>
  <c r="AF41" i="1" s="1"/>
  <c r="AH38" i="1"/>
  <c r="AG29" i="1"/>
  <c r="AG26" i="1"/>
  <c r="AG30" i="1" s="1"/>
  <c r="AG32" i="1" s="1"/>
  <c r="AG34" i="1" s="1"/>
  <c r="AG35" i="1" s="1"/>
  <c r="AI38" i="1"/>
  <c r="AH29" i="1"/>
  <c r="AH26" i="1"/>
  <c r="AH30" i="1" s="1"/>
  <c r="AH32" i="1" s="1"/>
  <c r="AH34" i="1" s="1"/>
  <c r="AH35" i="1" s="1"/>
  <c r="AJ38" i="1"/>
  <c r="AI29" i="1"/>
  <c r="AI26" i="1"/>
  <c r="AI41" i="1" s="1"/>
  <c r="AK38" i="1"/>
  <c r="AJ29" i="1"/>
  <c r="AJ26" i="1"/>
  <c r="AJ41" i="1" s="1"/>
  <c r="AL38" i="1"/>
  <c r="AK29" i="1"/>
  <c r="AK26" i="1"/>
  <c r="AK41" i="1" s="1"/>
  <c r="H84" i="1"/>
  <c r="H82" i="1"/>
  <c r="H81" i="1"/>
  <c r="H80" i="1"/>
  <c r="H76" i="1"/>
  <c r="H71" i="1"/>
  <c r="H69" i="1"/>
  <c r="H70" i="1"/>
  <c r="H68" i="1"/>
  <c r="H67" i="1"/>
  <c r="H65" i="1"/>
  <c r="H58" i="1"/>
  <c r="H62" i="1" s="1"/>
  <c r="H51" i="1"/>
  <c r="H45" i="1"/>
  <c r="H54" i="1" s="1"/>
  <c r="D42" i="1"/>
  <c r="C42" i="1"/>
  <c r="F39" i="1"/>
  <c r="E39" i="1"/>
  <c r="D39" i="1"/>
  <c r="G38" i="1"/>
  <c r="D29" i="1"/>
  <c r="D26" i="1"/>
  <c r="D41" i="1" s="1"/>
  <c r="G89" i="1"/>
  <c r="G85" i="1"/>
  <c r="H85" i="1" s="1"/>
  <c r="G75" i="1"/>
  <c r="H75" i="1" s="1"/>
  <c r="G72" i="1"/>
  <c r="H72" i="1" s="1"/>
  <c r="G58" i="1"/>
  <c r="G62" i="1" s="1"/>
  <c r="G51" i="1"/>
  <c r="G45" i="1"/>
  <c r="C29" i="1"/>
  <c r="C26" i="1"/>
  <c r="J17" i="1"/>
  <c r="N17" i="1"/>
  <c r="N89" i="1"/>
  <c r="M58" i="1"/>
  <c r="M62" i="1" s="1"/>
  <c r="M51" i="1"/>
  <c r="M45" i="1"/>
  <c r="L84" i="1"/>
  <c r="M84" i="1" s="1"/>
  <c r="N84" i="1" s="1"/>
  <c r="L85" i="1"/>
  <c r="M85" i="1" s="1"/>
  <c r="N85" i="1" s="1"/>
  <c r="L83" i="1"/>
  <c r="M83" i="1" s="1"/>
  <c r="N83" i="1" s="1"/>
  <c r="L82" i="1"/>
  <c r="M82" i="1" s="1"/>
  <c r="N82" i="1" s="1"/>
  <c r="L81" i="1"/>
  <c r="M81" i="1" s="1"/>
  <c r="N81" i="1" s="1"/>
  <c r="L80" i="1"/>
  <c r="L77" i="1"/>
  <c r="M77" i="1" s="1"/>
  <c r="N77" i="1" s="1"/>
  <c r="L76" i="1"/>
  <c r="M76" i="1" s="1"/>
  <c r="N76" i="1" s="1"/>
  <c r="L71" i="1"/>
  <c r="M71" i="1" s="1"/>
  <c r="N71" i="1" s="1"/>
  <c r="L70" i="1"/>
  <c r="M70" i="1" s="1"/>
  <c r="N70" i="1" s="1"/>
  <c r="L69" i="1"/>
  <c r="M69" i="1" s="1"/>
  <c r="N69" i="1" s="1"/>
  <c r="L68" i="1"/>
  <c r="M68" i="1" s="1"/>
  <c r="N68" i="1" s="1"/>
  <c r="L67" i="1"/>
  <c r="M67" i="1" s="1"/>
  <c r="N67" i="1" s="1"/>
  <c r="L66" i="1"/>
  <c r="M66" i="1" s="1"/>
  <c r="N66" i="1" s="1"/>
  <c r="L65" i="1"/>
  <c r="L58" i="1"/>
  <c r="L62" i="1" s="1"/>
  <c r="L51" i="1"/>
  <c r="L45" i="1"/>
  <c r="AM38" i="1"/>
  <c r="AL29" i="1"/>
  <c r="AL26" i="1"/>
  <c r="AL41" i="1" s="1"/>
  <c r="K24" i="1"/>
  <c r="K89" i="1" s="1"/>
  <c r="L24" i="1"/>
  <c r="L89" i="1" s="1"/>
  <c r="K86" i="1"/>
  <c r="K75" i="1"/>
  <c r="K78" i="1" s="1"/>
  <c r="K72" i="1"/>
  <c r="K73" i="1" s="1"/>
  <c r="K62" i="1"/>
  <c r="K51" i="1"/>
  <c r="K45" i="1"/>
  <c r="H24" i="1"/>
  <c r="H38" i="1" s="1"/>
  <c r="I24" i="1"/>
  <c r="I38" i="1" s="1"/>
  <c r="E29" i="1"/>
  <c r="E26" i="1"/>
  <c r="E41" i="1" s="1"/>
  <c r="E42" i="1"/>
  <c r="I29" i="1"/>
  <c r="AO19" i="1"/>
  <c r="AO18" i="1"/>
  <c r="AO22" i="1"/>
  <c r="AO23" i="1"/>
  <c r="N36" i="1"/>
  <c r="N33" i="1"/>
  <c r="N28" i="1"/>
  <c r="N27" i="1"/>
  <c r="N25" i="1"/>
  <c r="N26" i="1" s="1"/>
  <c r="N58" i="1"/>
  <c r="N51" i="1"/>
  <c r="N45" i="1"/>
  <c r="AP61" i="1"/>
  <c r="AP60" i="1"/>
  <c r="AP59" i="1"/>
  <c r="AP57" i="1"/>
  <c r="AP56" i="1"/>
  <c r="AP53" i="1"/>
  <c r="AP52" i="1"/>
  <c r="AP50" i="1"/>
  <c r="AP49" i="1"/>
  <c r="AP48" i="1"/>
  <c r="AP47" i="1"/>
  <c r="AP46" i="1"/>
  <c r="AM29" i="1"/>
  <c r="AM26" i="1"/>
  <c r="AM41" i="1" s="1"/>
  <c r="AO2" i="1"/>
  <c r="AQ21" i="1"/>
  <c r="AQ20" i="1"/>
  <c r="R17" i="1"/>
  <c r="AP17" i="1" s="1"/>
  <c r="P22" i="1"/>
  <c r="P24" i="1" s="1"/>
  <c r="AP33" i="1"/>
  <c r="AP28" i="1"/>
  <c r="AP27" i="1"/>
  <c r="AP25" i="1"/>
  <c r="AP19" i="1"/>
  <c r="AP18" i="1"/>
  <c r="AP23" i="1"/>
  <c r="O22" i="1"/>
  <c r="O24" i="1" s="1"/>
  <c r="S22" i="1"/>
  <c r="S24" i="1" s="1"/>
  <c r="U84" i="1"/>
  <c r="T22" i="1"/>
  <c r="T24" i="1" s="1"/>
  <c r="U22" i="1"/>
  <c r="U24" i="1"/>
  <c r="U26" i="1" s="1"/>
  <c r="T81" i="1"/>
  <c r="U81" i="1" s="1"/>
  <c r="T85" i="1"/>
  <c r="U85" i="1" s="1"/>
  <c r="T82" i="1"/>
  <c r="U82" i="1" s="1"/>
  <c r="T83" i="1"/>
  <c r="U83" i="1" s="1"/>
  <c r="T80" i="1"/>
  <c r="U80" i="1" s="1"/>
  <c r="T77" i="1"/>
  <c r="U77" i="1" s="1"/>
  <c r="T76" i="1"/>
  <c r="U76" i="1" s="1"/>
  <c r="T71" i="1"/>
  <c r="U71" i="1" s="1"/>
  <c r="T70" i="1"/>
  <c r="U70" i="1" s="1"/>
  <c r="T69" i="1"/>
  <c r="U69" i="1" s="1"/>
  <c r="T68" i="1"/>
  <c r="U68" i="1" s="1"/>
  <c r="T67" i="1"/>
  <c r="U67" i="1" s="1"/>
  <c r="T51" i="1"/>
  <c r="T45" i="1"/>
  <c r="Q22" i="1"/>
  <c r="Q24" i="1" s="1"/>
  <c r="U62" i="1"/>
  <c r="T62" i="1"/>
  <c r="U51" i="1"/>
  <c r="U45" i="1"/>
  <c r="U31" i="1"/>
  <c r="V19" i="1"/>
  <c r="AQ19" i="1" s="1"/>
  <c r="V18" i="1"/>
  <c r="AQ18" i="1" s="1"/>
  <c r="V23" i="1"/>
  <c r="AQ23" i="1" s="1"/>
  <c r="G78" i="1" l="1"/>
  <c r="AC30" i="1"/>
  <c r="AX4" i="1"/>
  <c r="AY4" i="1" s="1"/>
  <c r="AZ4" i="1" s="1"/>
  <c r="AX10" i="1"/>
  <c r="AY10" i="1" s="1"/>
  <c r="AZ10" i="1" s="1"/>
  <c r="G54" i="1"/>
  <c r="AH41" i="1"/>
  <c r="AG41" i="1"/>
  <c r="AC32" i="1"/>
  <c r="AC34" i="1" s="1"/>
  <c r="AC35" i="1" s="1"/>
  <c r="L54" i="1"/>
  <c r="C30" i="1"/>
  <c r="C32" i="1" s="1"/>
  <c r="C34" i="1" s="1"/>
  <c r="C35" i="1" s="1"/>
  <c r="AD30" i="1"/>
  <c r="AD32" i="1" s="1"/>
  <c r="AD34" i="1" s="1"/>
  <c r="AD35" i="1" s="1"/>
  <c r="AE30" i="1"/>
  <c r="AE32" i="1" s="1"/>
  <c r="AE34" i="1" s="1"/>
  <c r="AE35" i="1" s="1"/>
  <c r="AF30" i="1"/>
  <c r="AF32" i="1" s="1"/>
  <c r="AF34" i="1" s="1"/>
  <c r="AF35" i="1" s="1"/>
  <c r="K54" i="1"/>
  <c r="G86" i="1"/>
  <c r="H44" i="1"/>
  <c r="H78" i="1"/>
  <c r="AI30" i="1"/>
  <c r="AI32" i="1" s="1"/>
  <c r="AI34" i="1" s="1"/>
  <c r="AI35" i="1" s="1"/>
  <c r="C41" i="1"/>
  <c r="AJ30" i="1"/>
  <c r="AJ32" i="1" s="1"/>
  <c r="AJ34" i="1" s="1"/>
  <c r="AJ35" i="1" s="1"/>
  <c r="AK30" i="1"/>
  <c r="AK32" i="1" s="1"/>
  <c r="AK34" i="1" s="1"/>
  <c r="AK35" i="1" s="1"/>
  <c r="L72" i="1"/>
  <c r="M72" i="1" s="1"/>
  <c r="N72" i="1" s="1"/>
  <c r="L86" i="1"/>
  <c r="U54" i="1"/>
  <c r="G44" i="1"/>
  <c r="H86" i="1"/>
  <c r="M54" i="1"/>
  <c r="H89" i="1"/>
  <c r="G73" i="1"/>
  <c r="M44" i="1"/>
  <c r="N29" i="1"/>
  <c r="N30" i="1" s="1"/>
  <c r="H73" i="1"/>
  <c r="D30" i="1"/>
  <c r="D32" i="1" s="1"/>
  <c r="D34" i="1" s="1"/>
  <c r="D35" i="1" s="1"/>
  <c r="K87" i="1"/>
  <c r="L44" i="1"/>
  <c r="L75" i="1"/>
  <c r="M80" i="1"/>
  <c r="N80" i="1" s="1"/>
  <c r="N86" i="1" s="1"/>
  <c r="M65" i="1"/>
  <c r="I26" i="1"/>
  <c r="I41" i="1" s="1"/>
  <c r="AL30" i="1"/>
  <c r="AL32" i="1" s="1"/>
  <c r="AL34" i="1" s="1"/>
  <c r="AL35" i="1" s="1"/>
  <c r="K44" i="1"/>
  <c r="U89" i="1"/>
  <c r="N54" i="1"/>
  <c r="T89" i="1"/>
  <c r="T26" i="1"/>
  <c r="T86" i="1"/>
  <c r="AM30" i="1"/>
  <c r="AM32" i="1" s="1"/>
  <c r="AM34" i="1" s="1"/>
  <c r="AM35" i="1" s="1"/>
  <c r="E30" i="1"/>
  <c r="E32" i="1" s="1"/>
  <c r="E34" i="1" s="1"/>
  <c r="E35" i="1" s="1"/>
  <c r="U86" i="1"/>
  <c r="R22" i="1"/>
  <c r="AP22" i="1" s="1"/>
  <c r="N44" i="1"/>
  <c r="N62" i="1"/>
  <c r="T5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T118" i="1"/>
  <c r="U118" i="1" s="1"/>
  <c r="S117" i="1"/>
  <c r="Q117" i="1"/>
  <c r="S89" i="1"/>
  <c r="K4" i="3"/>
  <c r="K7" i="3" s="1"/>
  <c r="S86" i="1"/>
  <c r="S75" i="1"/>
  <c r="S72" i="1"/>
  <c r="T72" i="1" s="1"/>
  <c r="U72" i="1" s="1"/>
  <c r="S58" i="1"/>
  <c r="S62" i="1" s="1"/>
  <c r="S51" i="1"/>
  <c r="S45" i="1"/>
  <c r="S31" i="1"/>
  <c r="V44" i="1"/>
  <c r="U44" i="1"/>
  <c r="T44" i="1"/>
  <c r="R58" i="1"/>
  <c r="AP58" i="1" s="1"/>
  <c r="AP62" i="1" s="1"/>
  <c r="R51" i="1"/>
  <c r="AP51" i="1" s="1"/>
  <c r="R45" i="1"/>
  <c r="AO31" i="1"/>
  <c r="AO29" i="1"/>
  <c r="AN31" i="1"/>
  <c r="AN29" i="1"/>
  <c r="AN24" i="1"/>
  <c r="R115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V31" i="1"/>
  <c r="P117" i="1"/>
  <c r="P114" i="1"/>
  <c r="V114" i="1"/>
  <c r="V22" i="1" s="1"/>
  <c r="AQ22" i="1" s="1"/>
  <c r="U114" i="1"/>
  <c r="T114" i="1"/>
  <c r="S114" i="1"/>
  <c r="R114" i="1"/>
  <c r="Q114" i="1"/>
  <c r="S54" i="1" l="1"/>
  <c r="AX12" i="1"/>
  <c r="AX6" i="1"/>
  <c r="G87" i="1"/>
  <c r="H87" i="1"/>
  <c r="AQ31" i="1"/>
  <c r="AR31" i="1" s="1"/>
  <c r="AS31" i="1" s="1"/>
  <c r="AT31" i="1" s="1"/>
  <c r="AU31" i="1" s="1"/>
  <c r="AV31" i="1" s="1"/>
  <c r="AW31" i="1" s="1"/>
  <c r="M86" i="1"/>
  <c r="L73" i="1"/>
  <c r="I30" i="1"/>
  <c r="I32" i="1" s="1"/>
  <c r="I34" i="1" s="1"/>
  <c r="M73" i="1"/>
  <c r="N65" i="1"/>
  <c r="N73" i="1" s="1"/>
  <c r="M75" i="1"/>
  <c r="L78" i="1"/>
  <c r="L87" i="1" s="1"/>
  <c r="R117" i="1"/>
  <c r="S40" i="1"/>
  <c r="I35" i="1"/>
  <c r="I64" i="1"/>
  <c r="S44" i="1"/>
  <c r="S78" i="1"/>
  <c r="T75" i="1"/>
  <c r="AN26" i="1"/>
  <c r="AN30" i="1" s="1"/>
  <c r="AN32" i="1" s="1"/>
  <c r="AN34" i="1" s="1"/>
  <c r="AN35" i="1" s="1"/>
  <c r="AN38" i="1"/>
  <c r="R54" i="1"/>
  <c r="AP45" i="1"/>
  <c r="AP54" i="1" s="1"/>
  <c r="S26" i="1"/>
  <c r="S41" i="1" s="1"/>
  <c r="R44" i="1"/>
  <c r="R62" i="1"/>
  <c r="AQ114" i="1"/>
  <c r="V40" i="1"/>
  <c r="U40" i="1"/>
  <c r="S42" i="1"/>
  <c r="T40" i="1"/>
  <c r="S29" i="1"/>
  <c r="V28" i="1"/>
  <c r="AQ28" i="1" s="1"/>
  <c r="AR28" i="1" s="1"/>
  <c r="AS28" i="1" s="1"/>
  <c r="AT28" i="1" s="1"/>
  <c r="AU28" i="1" s="1"/>
  <c r="AV28" i="1" s="1"/>
  <c r="AW28" i="1" s="1"/>
  <c r="V36" i="1"/>
  <c r="AQ36" i="1" s="1"/>
  <c r="AR36" i="1" s="1"/>
  <c r="AS36" i="1" s="1"/>
  <c r="AT36" i="1" s="1"/>
  <c r="AU36" i="1" s="1"/>
  <c r="AV36" i="1" s="1"/>
  <c r="AW36" i="1" s="1"/>
  <c r="U2" i="1"/>
  <c r="Y2" i="1" s="1"/>
  <c r="S2" i="1"/>
  <c r="W2" i="1" s="1"/>
  <c r="J38" i="1"/>
  <c r="K38" i="1"/>
  <c r="L38" i="1"/>
  <c r="N38" i="1"/>
  <c r="G39" i="1"/>
  <c r="H39" i="1"/>
  <c r="I39" i="1"/>
  <c r="J39" i="1"/>
  <c r="K39" i="1"/>
  <c r="L39" i="1"/>
  <c r="P40" i="1"/>
  <c r="V2" i="1"/>
  <c r="H40" i="1"/>
  <c r="I40" i="1"/>
  <c r="J40" i="1"/>
  <c r="K40" i="1"/>
  <c r="L40" i="1"/>
  <c r="M40" i="1"/>
  <c r="N40" i="1"/>
  <c r="O40" i="1"/>
  <c r="Q40" i="1"/>
  <c r="V17" i="1"/>
  <c r="M24" i="1"/>
  <c r="M89" i="1" s="1"/>
  <c r="Q58" i="1"/>
  <c r="Q62" i="1" s="1"/>
  <c r="Q51" i="1"/>
  <c r="Q45" i="1"/>
  <c r="M29" i="1"/>
  <c r="Q31" i="1"/>
  <c r="Q29" i="1"/>
  <c r="P82" i="1"/>
  <c r="P83" i="1"/>
  <c r="P84" i="1"/>
  <c r="P85" i="1"/>
  <c r="P81" i="1"/>
  <c r="P76" i="1"/>
  <c r="P77" i="1"/>
  <c r="P71" i="1"/>
  <c r="P70" i="1"/>
  <c r="P69" i="1"/>
  <c r="P68" i="1"/>
  <c r="P67" i="1"/>
  <c r="S38" i="1"/>
  <c r="O80" i="1"/>
  <c r="O75" i="1"/>
  <c r="O72" i="1"/>
  <c r="O59" i="1"/>
  <c r="O58" i="1"/>
  <c r="O51" i="1"/>
  <c r="O45" i="1"/>
  <c r="P58" i="1"/>
  <c r="P62" i="1" s="1"/>
  <c r="P51" i="1"/>
  <c r="P45" i="1"/>
  <c r="P31" i="1"/>
  <c r="P29" i="1"/>
  <c r="H29" i="1"/>
  <c r="H26" i="1"/>
  <c r="H41" i="1" s="1"/>
  <c r="L29" i="1"/>
  <c r="L26" i="1"/>
  <c r="L41" i="1" s="1"/>
  <c r="G29" i="1"/>
  <c r="G26" i="1"/>
  <c r="G41" i="1" s="1"/>
  <c r="K42" i="1"/>
  <c r="J42" i="1"/>
  <c r="I42" i="1"/>
  <c r="H42" i="1"/>
  <c r="G42" i="1"/>
  <c r="F42" i="1"/>
  <c r="F29" i="1"/>
  <c r="F26" i="1"/>
  <c r="F41" i="1" s="1"/>
  <c r="J29" i="1"/>
  <c r="J26" i="1"/>
  <c r="J41" i="1" s="1"/>
  <c r="L2" i="1"/>
  <c r="T2" i="1" s="1"/>
  <c r="X2" i="1" s="1"/>
  <c r="N42" i="1"/>
  <c r="L42" i="1"/>
  <c r="K31" i="1"/>
  <c r="N31" i="1" s="1"/>
  <c r="N32" i="1" s="1"/>
  <c r="N34" i="1" s="1"/>
  <c r="O31" i="1"/>
  <c r="O29" i="1"/>
  <c r="K29" i="1"/>
  <c r="K26" i="1"/>
  <c r="K41" i="1" s="1"/>
  <c r="AQ2" i="1" l="1"/>
  <c r="AR2" i="1" s="1"/>
  <c r="AS2" i="1" s="1"/>
  <c r="AT2" i="1" s="1"/>
  <c r="AU2" i="1" s="1"/>
  <c r="AV2" i="1" s="1"/>
  <c r="AW2" i="1" s="1"/>
  <c r="AX2" i="1" s="1"/>
  <c r="AY2" i="1" s="1"/>
  <c r="AZ2" i="1" s="1"/>
  <c r="Z2" i="1"/>
  <c r="AY12" i="1"/>
  <c r="AZ12" i="1"/>
  <c r="AN41" i="1"/>
  <c r="AY6" i="1"/>
  <c r="AZ6" i="1"/>
  <c r="S30" i="1"/>
  <c r="S32" i="1" s="1"/>
  <c r="S34" i="1" s="1"/>
  <c r="N75" i="1"/>
  <c r="N78" i="1" s="1"/>
  <c r="N87" i="1" s="1"/>
  <c r="M78" i="1"/>
  <c r="M87" i="1" s="1"/>
  <c r="O44" i="1"/>
  <c r="N35" i="1"/>
  <c r="N64" i="1"/>
  <c r="O62" i="1"/>
  <c r="Q71" i="1"/>
  <c r="R71" i="1" s="1"/>
  <c r="AP71" i="1"/>
  <c r="Q76" i="1"/>
  <c r="R76" i="1" s="1"/>
  <c r="O86" i="1"/>
  <c r="Q68" i="1"/>
  <c r="R68" i="1" s="1"/>
  <c r="AP68" i="1" s="1"/>
  <c r="Q38" i="1"/>
  <c r="AO24" i="1"/>
  <c r="P72" i="1"/>
  <c r="Q72" i="1" s="1"/>
  <c r="R72" i="1" s="1"/>
  <c r="P44" i="1"/>
  <c r="Q67" i="1"/>
  <c r="R67" i="1" s="1"/>
  <c r="AP67" i="1" s="1"/>
  <c r="Q69" i="1"/>
  <c r="R69" i="1" s="1"/>
  <c r="AP69" i="1" s="1"/>
  <c r="Q70" i="1"/>
  <c r="R70" i="1" s="1"/>
  <c r="Q77" i="1"/>
  <c r="R77" i="1" s="1"/>
  <c r="Q81" i="1"/>
  <c r="R81" i="1" s="1"/>
  <c r="Q83" i="1"/>
  <c r="R83" i="1" s="1"/>
  <c r="AP31" i="1"/>
  <c r="T78" i="1"/>
  <c r="U75" i="1"/>
  <c r="U78" i="1" s="1"/>
  <c r="V24" i="1"/>
  <c r="AQ24" i="1" s="1"/>
  <c r="AR24" i="1" s="1"/>
  <c r="AR38" i="1" s="1"/>
  <c r="AQ17" i="1"/>
  <c r="O78" i="1"/>
  <c r="Q85" i="1"/>
  <c r="R85" i="1" s="1"/>
  <c r="Q84" i="1"/>
  <c r="R84" i="1" s="1"/>
  <c r="Q82" i="1"/>
  <c r="R82" i="1" s="1"/>
  <c r="Q44" i="1"/>
  <c r="U39" i="1"/>
  <c r="U42" i="1"/>
  <c r="T39" i="1"/>
  <c r="T41" i="1"/>
  <c r="T42" i="1"/>
  <c r="S35" i="1"/>
  <c r="S64" i="1"/>
  <c r="S73" i="1" s="1"/>
  <c r="S87" i="1" s="1"/>
  <c r="Q89" i="1"/>
  <c r="U38" i="1"/>
  <c r="O26" i="1"/>
  <c r="O41" i="1" s="1"/>
  <c r="P89" i="1"/>
  <c r="T38" i="1"/>
  <c r="M42" i="1"/>
  <c r="T29" i="1"/>
  <c r="T30" i="1" s="1"/>
  <c r="T32" i="1" s="1"/>
  <c r="V27" i="1"/>
  <c r="U29" i="1"/>
  <c r="U30" i="1" s="1"/>
  <c r="U32" i="1" s="1"/>
  <c r="O54" i="1"/>
  <c r="R29" i="1"/>
  <c r="AP29" i="1" s="1"/>
  <c r="O38" i="1"/>
  <c r="P80" i="1"/>
  <c r="Q80" i="1" s="1"/>
  <c r="N39" i="1"/>
  <c r="P38" i="1"/>
  <c r="Q39" i="1"/>
  <c r="P39" i="1"/>
  <c r="O39" i="1"/>
  <c r="M38" i="1"/>
  <c r="M39" i="1"/>
  <c r="P54" i="1"/>
  <c r="Q54" i="1"/>
  <c r="P42" i="1"/>
  <c r="Q42" i="1"/>
  <c r="O89" i="1"/>
  <c r="Q26" i="1"/>
  <c r="Q30" i="1" s="1"/>
  <c r="Q32" i="1" s="1"/>
  <c r="P75" i="1"/>
  <c r="O42" i="1"/>
  <c r="M26" i="1"/>
  <c r="P26" i="1"/>
  <c r="P30" i="1" s="1"/>
  <c r="P32" i="1" s="1"/>
  <c r="P34" i="1" s="1"/>
  <c r="H30" i="1"/>
  <c r="H32" i="1" s="1"/>
  <c r="H34" i="1" s="1"/>
  <c r="F30" i="1"/>
  <c r="F32" i="1" s="1"/>
  <c r="F34" i="1" s="1"/>
  <c r="F35" i="1" s="1"/>
  <c r="L30" i="1"/>
  <c r="L32" i="1" s="1"/>
  <c r="L34" i="1" s="1"/>
  <c r="G30" i="1"/>
  <c r="G32" i="1" s="1"/>
  <c r="G34" i="1" s="1"/>
  <c r="J30" i="1"/>
  <c r="J32" i="1" s="1"/>
  <c r="J34" i="1" s="1"/>
  <c r="K30" i="1"/>
  <c r="K32" i="1" s="1"/>
  <c r="K34" i="1" s="1"/>
  <c r="AP82" i="1" l="1"/>
  <c r="AS24" i="1"/>
  <c r="AT24" i="1" s="1"/>
  <c r="AU24" i="1" s="1"/>
  <c r="AV24" i="1" s="1"/>
  <c r="AW24" i="1" s="1"/>
  <c r="AP76" i="1"/>
  <c r="O30" i="1"/>
  <c r="O32" i="1" s="1"/>
  <c r="O34" i="1" s="1"/>
  <c r="AP83" i="1"/>
  <c r="AP70" i="1"/>
  <c r="AP85" i="1"/>
  <c r="AP77" i="1"/>
  <c r="AP72" i="1"/>
  <c r="K35" i="1"/>
  <c r="K64" i="1"/>
  <c r="J35" i="1"/>
  <c r="J64" i="1"/>
  <c r="G35" i="1"/>
  <c r="G64" i="1"/>
  <c r="AP84" i="1"/>
  <c r="L35" i="1"/>
  <c r="L64" i="1"/>
  <c r="H35" i="1"/>
  <c r="H64" i="1"/>
  <c r="AP81" i="1"/>
  <c r="Q86" i="1"/>
  <c r="R80" i="1"/>
  <c r="R86" i="1" s="1"/>
  <c r="AO38" i="1"/>
  <c r="AO26" i="1"/>
  <c r="V29" i="1"/>
  <c r="AQ27" i="1"/>
  <c r="V42" i="1"/>
  <c r="V39" i="1"/>
  <c r="V26" i="1"/>
  <c r="V41" i="1" s="1"/>
  <c r="U41" i="1"/>
  <c r="U34" i="1"/>
  <c r="U64" i="1" s="1"/>
  <c r="U73" i="1" s="1"/>
  <c r="U87" i="1" s="1"/>
  <c r="P86" i="1"/>
  <c r="T34" i="1"/>
  <c r="Q41" i="1"/>
  <c r="P41" i="1"/>
  <c r="M30" i="1"/>
  <c r="M32" i="1" s="1"/>
  <c r="M34" i="1" s="1"/>
  <c r="M41" i="1"/>
  <c r="P78" i="1"/>
  <c r="Q75" i="1"/>
  <c r="Q34" i="1"/>
  <c r="P35" i="1"/>
  <c r="P64" i="1"/>
  <c r="P73" i="1" s="1"/>
  <c r="O35" i="1"/>
  <c r="O64" i="1"/>
  <c r="M35" i="1" l="1"/>
  <c r="M64" i="1"/>
  <c r="O73" i="1"/>
  <c r="O87" i="1" s="1"/>
  <c r="AP80" i="1"/>
  <c r="AP86" i="1" s="1"/>
  <c r="T35" i="1"/>
  <c r="T64" i="1"/>
  <c r="T73" i="1" s="1"/>
  <c r="T87" i="1" s="1"/>
  <c r="U35" i="1"/>
  <c r="Q78" i="1"/>
  <c r="R75" i="1"/>
  <c r="R78" i="1" s="1"/>
  <c r="AO41" i="1"/>
  <c r="AO30" i="1"/>
  <c r="AO32" i="1" s="1"/>
  <c r="AO34" i="1" s="1"/>
  <c r="AO35" i="1" s="1"/>
  <c r="AQ29" i="1"/>
  <c r="AR27" i="1"/>
  <c r="V25" i="1"/>
  <c r="AQ26" i="1"/>
  <c r="AR26" i="1"/>
  <c r="AR25" i="1" s="1"/>
  <c r="AS38" i="1"/>
  <c r="V30" i="1"/>
  <c r="V32" i="1" s="1"/>
  <c r="V33" i="1" s="1"/>
  <c r="P87" i="1"/>
  <c r="Q35" i="1"/>
  <c r="Q64" i="1"/>
  <c r="Q73" i="1" s="1"/>
  <c r="V34" i="1" l="1"/>
  <c r="V35" i="1" s="1"/>
  <c r="AQ33" i="1"/>
  <c r="AP75" i="1"/>
  <c r="AP78" i="1" s="1"/>
  <c r="Q87" i="1"/>
  <c r="AR29" i="1"/>
  <c r="AS27" i="1"/>
  <c r="AR41" i="1"/>
  <c r="AR30" i="1"/>
  <c r="AR32" i="1" s="1"/>
  <c r="AT38" i="1"/>
  <c r="AS26" i="1"/>
  <c r="AS25" i="1" s="1"/>
  <c r="AQ41" i="1"/>
  <c r="AQ30" i="1"/>
  <c r="AQ32" i="1" s="1"/>
  <c r="AQ25" i="1"/>
  <c r="AP24" i="1"/>
  <c r="AP26" i="1" s="1"/>
  <c r="R40" i="1"/>
  <c r="R89" i="1" l="1"/>
  <c r="S39" i="1"/>
  <c r="AT27" i="1"/>
  <c r="AS29" i="1"/>
  <c r="AQ34" i="1"/>
  <c r="AQ35" i="1" s="1"/>
  <c r="AS41" i="1"/>
  <c r="AS30" i="1"/>
  <c r="AS32" i="1" s="1"/>
  <c r="AS33" i="1" s="1"/>
  <c r="AS34" i="1" s="1"/>
  <c r="AS35" i="1" s="1"/>
  <c r="AU38" i="1"/>
  <c r="AT26" i="1"/>
  <c r="AT25" i="1" s="1"/>
  <c r="AR33" i="1"/>
  <c r="AR34" i="1" s="1"/>
  <c r="R38" i="1"/>
  <c r="V38" i="1"/>
  <c r="R26" i="1"/>
  <c r="R39" i="1"/>
  <c r="R42" i="1"/>
  <c r="AQ38" i="1" l="1"/>
  <c r="AU27" i="1"/>
  <c r="AT29" i="1"/>
  <c r="AR35" i="1"/>
  <c r="AT41" i="1"/>
  <c r="AT30" i="1"/>
  <c r="AT32" i="1" s="1"/>
  <c r="AV38" i="1"/>
  <c r="AU26" i="1"/>
  <c r="AP38" i="1"/>
  <c r="R30" i="1"/>
  <c r="R32" i="1" s="1"/>
  <c r="R34" i="1" s="1"/>
  <c r="R41" i="1"/>
  <c r="R35" i="1" l="1"/>
  <c r="R64" i="1"/>
  <c r="AP30" i="1"/>
  <c r="AP32" i="1" s="1"/>
  <c r="AP34" i="1" s="1"/>
  <c r="AP35" i="1" s="1"/>
  <c r="AP41" i="1"/>
  <c r="AV27" i="1"/>
  <c r="AU29" i="1"/>
  <c r="AU30" i="1" s="1"/>
  <c r="AU32" i="1" s="1"/>
  <c r="AU33" i="1" s="1"/>
  <c r="AU34" i="1" s="1"/>
  <c r="AU35" i="1" s="1"/>
  <c r="AU41" i="1"/>
  <c r="AU25" i="1"/>
  <c r="AV26" i="1"/>
  <c r="AW38" i="1"/>
  <c r="AT33" i="1"/>
  <c r="AT34" i="1" s="1"/>
  <c r="R73" i="1" l="1"/>
  <c r="R87" i="1" s="1"/>
  <c r="AP64" i="1"/>
  <c r="AP73" i="1" s="1"/>
  <c r="AP87" i="1" s="1"/>
  <c r="AW27" i="1"/>
  <c r="AW29" i="1" s="1"/>
  <c r="AV29" i="1"/>
  <c r="AV30" i="1" s="1"/>
  <c r="AV32" i="1" s="1"/>
  <c r="AV33" i="1" s="1"/>
  <c r="AV34" i="1" s="1"/>
  <c r="AV25" i="1"/>
  <c r="AT35" i="1"/>
  <c r="AW26" i="1"/>
  <c r="AW30" i="1" s="1"/>
  <c r="AW32" i="1" s="1"/>
  <c r="AW33" i="1" s="1"/>
  <c r="AW34" i="1" s="1"/>
  <c r="AV35" i="1" l="1"/>
  <c r="AW35" i="1"/>
  <c r="AX34" i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AW25" i="1"/>
  <c r="AZ43" i="1" l="1"/>
  <c r="AZ44" i="1" s="1"/>
  <c r="O1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  <author>tc={797E6991-901E-44BC-97CB-E306AC374116}</author>
    <author>tc={5C4B539B-3737-41A2-ACD8-5457F543DF7D}</author>
    <author>tc={4E056475-A7E3-43D8-B802-93813DACE25F}</author>
  </authors>
  <commentList>
    <comment ref="O22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V22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O24" authorId="2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P24" authorId="3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Q24" authorId="4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S24" authorId="5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T24" authorId="6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U24" authorId="7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  <comment ref="V24" authorId="8" shapeId="0" xr:uid="{797E6991-901E-44BC-97CB-E306AC374116}">
      <text>
        <t>[Threaded comment]
Your version of Excel allows you to read this threaded comment; however, any edits to it will get removed if the file is opened in a newer version of Excel. Learn more: https://go.microsoft.com/fwlink/?linkid=870924
Comment:
    38250 consensus</t>
      </text>
    </comment>
    <comment ref="W24" authorId="9" shapeId="0" xr:uid="{5C4B539B-3737-41A2-ACD8-5457F543DF7D}">
      <text>
        <t>[Threaded comment]
Your version of Excel allows you to read this threaded comment; however, any edits to it will get removed if the file is opened in a newer version of Excel. Learn more: https://go.microsoft.com/fwlink/?linkid=870924
Comment:
    42.26B consensus</t>
      </text>
    </comment>
    <comment ref="AR24" authorId="10" shapeId="0" xr:uid="{4E056475-A7E3-43D8-B802-93813DACE25F}">
      <text>
        <t>[Threaded comment]
Your version of Excel allows you to read this threaded comment; however, any edits to it will get removed if the file is opened in a newer version of Excel. Learn more: https://go.microsoft.com/fwlink/?linkid=870924
Comment:
    196490 consensus</t>
      </text>
    </comment>
  </commentList>
</comments>
</file>

<file path=xl/sharedStrings.xml><?xml version="1.0" encoding="utf-8"?>
<sst xmlns="http://schemas.openxmlformats.org/spreadsheetml/2006/main" count="243" uniqueCount="219">
  <si>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</si>
  <si>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</si>
  <si>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</si>
  <si>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</si>
  <si>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</si>
  <si>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</si>
  <si>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</si>
  <si>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</si>
  <si>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</si>
  <si>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</si>
  <si>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</si>
  <si>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</si>
  <si>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</si>
  <si>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</si>
  <si>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</si>
  <si>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</si>
  <si>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</si>
  <si>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</si>
  <si>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</si>
  <si>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</si>
  <si>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</si>
  <si>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</si>
  <si>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</si>
  <si>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</si>
  <si>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</si>
  <si>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</si>
  <si>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</si>
  <si>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</si>
  <si>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</si>
  <si>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</si>
  <si>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</si>
  <si>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</si>
  <si>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</si>
  <si>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</si>
  <si>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</si>
  <si>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</si>
  <si>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</si>
  <si>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</si>
  <si>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</si>
  <si>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</si>
  <si>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</si>
  <si>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</si>
  <si>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</si>
  <si>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</si>
  <si>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</si>
  <si>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</si>
  <si>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</si>
  <si>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</si>
  <si>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</si>
  <si>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</si>
  <si>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</si>
  <si>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</si>
  <si>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</si>
  <si>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</si>
  <si>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</si>
  <si>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</si>
  <si>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</si>
  <si>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</si>
  <si>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</si>
  <si>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</si>
  <si>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</si>
  <si>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</si>
  <si>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</si>
  <si>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</si>
  <si>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</si>
  <si>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</si>
  <si>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</si>
  <si>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</si>
  <si>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</si>
  <si>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</si>
  <si>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</si>
  <si>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</si>
  <si>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</si>
  <si>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</si>
  <si>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</si>
  <si>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</si>
  <si>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</si>
  <si>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</si>
  <si>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</si>
  <si>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</si>
  <si>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</si>
  <si>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</si>
  <si>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</si>
  <si>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</si>
  <si>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</si>
  <si>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</si>
  <si>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</si>
  <si>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</si>
  <si>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</si>
  <si>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</si>
  <si>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</si>
  <si>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</si>
  <si>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</si>
  <si>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</si>
  <si>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</si>
  <si>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</si>
  <si>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</si>
  <si>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</si>
  <si>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</si>
  <si>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</si>
  <si>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</si>
  <si>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</si>
  <si>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</si>
  <si>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</si>
  <si>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</si>
  <si>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</si>
  <si>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</si>
  <si>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</si>
  <si>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</si>
  <si>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</si>
  <si>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</si>
  <si>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</si>
  <si>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</si>
  <si>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</si>
  <si>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</si>
  <si>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</si>
  <si>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</si>
  <si>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</si>
  <si>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</si>
  <si>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</si>
  <si>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</si>
  <si>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</si>
  <si>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</si>
  <si>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</si>
  <si>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</si>
  <si>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</si>
  <si>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</si>
  <si>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</si>
  <si>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</si>
  <si>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</si>
  <si>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</si>
  <si>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</si>
  <si>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</si>
  <si>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</si>
  <si>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</si>
  <si>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</si>
  <si>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</si>
  <si>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</si>
  <si>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</si>
  <si>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</si>
  <si>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</si>
  <si>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</si>
  <si>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</si>
  <si>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</si>
  <si>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</si>
  <si>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</si>
  <si>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</si>
  <si>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</si>
  <si>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</si>
  <si>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</si>
  <si>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</si>
  <si>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</si>
  <si>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</si>
  <si>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</si>
  <si>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</si>
  <si>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</si>
  <si>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</si>
  <si>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</si>
  <si>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</si>
  <si>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</si>
  <si>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</si>
  <si>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</si>
  <si>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</si>
  <si>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</si>
  <si>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</si>
  <si>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</si>
  <si>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</si>
  <si>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</si>
  <si>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</si>
  <si>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</si>
  <si>
    <t xml:space="preserve">  Compute</t>
  </si>
  <si>
    <t xml:space="preserve">  Networking</t>
  </si>
  <si>
    <t>Q321</t>
  </si>
  <si>
    <t>Model NI</t>
  </si>
  <si>
    <t>Acquisition Termination</t>
  </si>
  <si>
    <t>Founded</t>
  </si>
  <si>
    <t>2020: Mellanox acquisition: $7.1B.</t>
  </si>
  <si>
    <t>Reported NI</t>
  </si>
  <si>
    <t>Q121</t>
  </si>
  <si>
    <t>Q221</t>
  </si>
  <si>
    <t>FY18</t>
  </si>
  <si>
    <t>FY17</t>
  </si>
  <si>
    <t>FY16</t>
  </si>
  <si>
    <t>FY15</t>
  </si>
  <si>
    <t>FY14</t>
  </si>
  <si>
    <t>FY13</t>
  </si>
  <si>
    <t>FY12</t>
  </si>
  <si>
    <t>FY11</t>
  </si>
  <si>
    <t>Robotics</t>
  </si>
  <si>
    <t>AGI</t>
  </si>
  <si>
    <t>AV</t>
  </si>
  <si>
    <t xml:space="preserve">  Robots</t>
  </si>
  <si>
    <t xml:space="preserve">  Chip Cost</t>
  </si>
  <si>
    <t xml:space="preserve">  Autonomous Vehicles</t>
  </si>
  <si>
    <t>Q126</t>
  </si>
  <si>
    <t>Q226</t>
  </si>
  <si>
    <t>Q326</t>
  </si>
  <si>
    <t>Q426</t>
  </si>
  <si>
    <t>xAI</t>
  </si>
  <si>
    <t>MSFT CapEx</t>
  </si>
  <si>
    <t>GOOG CapEx</t>
  </si>
  <si>
    <t>AMZN CapEx</t>
  </si>
  <si>
    <t>Top Players Raised+CapEx</t>
  </si>
  <si>
    <t>CoreWeave</t>
  </si>
  <si>
    <t>Meta CapEx</t>
  </si>
  <si>
    <t>Oracle CapEx</t>
  </si>
  <si>
    <t>Data Center/Capital</t>
  </si>
  <si>
    <t>Revenue/Capital</t>
  </si>
  <si>
    <t>Q4 Consensus</t>
  </si>
  <si>
    <t>Q1 Consensus</t>
  </si>
  <si>
    <t>Stock Price</t>
  </si>
  <si>
    <t>Expected Move</t>
  </si>
  <si>
    <t>132 CALLS</t>
  </si>
  <si>
    <t>132 PUTS</t>
  </si>
  <si>
    <t>Premium</t>
  </si>
  <si>
    <t>Loss</t>
  </si>
  <si>
    <t>125 PUTS</t>
  </si>
  <si>
    <t>139 CALLS</t>
  </si>
  <si>
    <t>GLOBE NEWSWIRE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</si>
</sst>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9" fontId="1" fillId="2" borderId="0" xfId="0" applyNumberFormat="1" applyFont="1" applyFill="1"/>
    <xf numFmtId="21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37420</xdr:colOff>
      <xdr:row>0</xdr:row>
      <xdr:rowOff>0</xdr:rowOff>
    </xdr:from>
    <xdr:to>
      <xdr:col>21</xdr:col>
      <xdr:colOff>37420</xdr:colOff>
      <xdr:row>141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4983733" y="0"/>
          <a:ext cx="0" cy="22558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26836</xdr:colOff>
      <xdr:row>0</xdr:row>
      <xdr:rowOff>0</xdr:rowOff>
    </xdr:from>
    <xdr:to>
      <xdr:col>42</xdr:col>
      <xdr:colOff>26836</xdr:colOff>
      <xdr:row>95</xdr:row>
      <xdr:rowOff>99785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17790961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2" dT="2024-02-21T20:05:44.73" personId="{C526F2C0-66C0-534F-AADF-50BFCB37FCD4}" id="{E320785E-9BCE-AC4E-B37C-7EB104B6CF82}">
    <text>H100 started shipping</text>
  </threadedComment>
  <threadedComment ref="V22" dT="2024-08-28T21:08:16.17" personId="{C526F2C0-66C0-534F-AADF-50BFCB37FCD4}" id="{AC62E1DD-5F48-4CE0-8635-05BA74B5AC99}">
    <text>Blackwell will sell several billion
Blackwall product ramp starts</text>
  </threadedComment>
  <threadedComment ref="O24" dT="2024-02-21T20:05:14.08" personId="{C526F2C0-66C0-534F-AADF-50BFCB37FCD4}" id="{3CFE94FA-5EAC-7E47-B7D3-031052D60B7C}">
    <text>6.5B guidance</text>
  </threadedComment>
  <threadedComment ref="P24" dT="2024-02-21T19:58:52.64" personId="{C526F2C0-66C0-534F-AADF-50BFCB37FCD4}" id="{23E40331-82EE-794B-BF71-362AABD49EB0}">
    <text>Guidance was 11B</text>
  </threadedComment>
  <threadedComment ref="Q24" dT="2024-02-21T19:55:06.51" personId="{C526F2C0-66C0-534F-AADF-50BFCB37FCD4}" id="{7661685F-D234-EE4D-9EE3-823EB4FBA0E2}">
    <text>Guidance was 16B</text>
  </threadedComment>
  <threadedComment ref="S24" dT="2024-02-21T20:21:53.11" personId="{C526F2C0-66C0-534F-AADF-50BFCB37FCD4}" id="{195B7556-9D37-2C4A-AE00-5F1730A1F989}">
    <text>Consensus 20.570B
2/21/24 guided to 23.52-24.48B</text>
  </threadedComment>
  <threadedComment ref="T24" dT="2024-08-28T19:54:29.44" personId="{C526F2C0-66C0-534F-AADF-50BFCB37FCD4}" id="{ABEADC1D-5EB0-4C3F-94A3-CDCB9F5F27A0}">
    <text>Guidance: 28000</text>
  </threadedComment>
  <threadedComment ref="U24" dT="2024-08-28T20:02:46.45" personId="{C526F2C0-66C0-534F-AADF-50BFCB37FCD4}" id="{4E6E582A-C13D-49BC-B7B1-29F955B3A8F8}">
    <text>Consensus 31.7</text>
  </threadedComment>
  <threadedComment ref="V24" dT="2025-02-26T16:48:39.66" personId="{C526F2C0-66C0-534F-AADF-50BFCB37FCD4}" id="{797E6991-901E-44BC-97CB-E306AC374116}">
    <text>38250 consensus</text>
  </threadedComment>
  <threadedComment ref="W24" dT="2025-02-26T16:57:38.01" personId="{C526F2C0-66C0-534F-AADF-50BFCB37FCD4}" id="{5C4B539B-3737-41A2-ACD8-5457F543DF7D}">
    <text>42.26B consensus</text>
  </threadedComment>
  <threadedComment ref="AR24" dT="2025-02-26T16:49:05.11" personId="{C526F2C0-66C0-534F-AADF-50BFCB37FCD4}" id="{4E056475-A7E3-43D8-B802-93813DACE25F}">
    <text>196490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2"/>
  <sheetViews>
    <sheetView zoomScale="160" zoomScaleNormal="160" workbookViewId="0">
      <selection activeCell="K4" sqref="K4"/>
    </sheetView>
  </sheetViews>
  <sheetFormatPr defaultRowHeight="12.75" x14ac:dyDescent="0.2"/>
  <cols>
    <col min="1" max="1" width="4.140625" customWidth="1"/>
    <col min="11" max="11" width="10.140625" customWidth="1"/>
  </cols>
  <sheetData>
    <row r="2" spans="2:12" x14ac:dyDescent="0.2">
      <c r="B2" s="25" t="s">
        <v>131</v>
      </c>
      <c r="C2" s="26"/>
      <c r="D2" s="26"/>
      <c r="E2" s="26"/>
      <c r="F2" s="26"/>
      <c r="G2" s="26"/>
      <c r="H2" s="27"/>
      <c r="J2" t="s">
        <v>112</v>
      </c>
      <c r="K2" s="15">
        <v>139.63</v>
      </c>
    </row>
    <row r="3" spans="2:12" x14ac:dyDescent="0.2">
      <c r="B3" s="19" t="s">
        <v>119</v>
      </c>
      <c r="C3" t="s">
        <v>130</v>
      </c>
      <c r="H3" s="20"/>
      <c r="J3" t="s">
        <v>13</v>
      </c>
      <c r="K3" s="2">
        <v>24774</v>
      </c>
      <c r="L3" s="3" t="s">
        <v>47</v>
      </c>
    </row>
    <row r="4" spans="2:12" x14ac:dyDescent="0.2">
      <c r="B4" s="19" t="s">
        <v>120</v>
      </c>
      <c r="C4" t="s">
        <v>130</v>
      </c>
      <c r="H4" s="20"/>
      <c r="J4" t="s">
        <v>113</v>
      </c>
      <c r="K4" s="2">
        <f>+K2*K3</f>
        <v>3459193.62</v>
      </c>
    </row>
    <row r="5" spans="2:12" x14ac:dyDescent="0.2">
      <c r="B5" s="19" t="s">
        <v>121</v>
      </c>
      <c r="C5" t="s">
        <v>130</v>
      </c>
      <c r="H5" s="20"/>
      <c r="J5" t="s">
        <v>38</v>
      </c>
      <c r="K5" s="2">
        <v>38487</v>
      </c>
      <c r="L5" s="3" t="s">
        <v>47</v>
      </c>
    </row>
    <row r="6" spans="2:12" x14ac:dyDescent="0.2">
      <c r="B6" s="21" t="s">
        <v>122</v>
      </c>
      <c r="C6" t="s">
        <v>129</v>
      </c>
      <c r="H6" s="20"/>
      <c r="J6" t="s">
        <v>34</v>
      </c>
      <c r="K6" s="2">
        <v>8462</v>
      </c>
      <c r="L6" s="3" t="s">
        <v>47</v>
      </c>
    </row>
    <row r="7" spans="2:12" x14ac:dyDescent="0.2">
      <c r="B7" s="19" t="s">
        <v>123</v>
      </c>
      <c r="C7" t="s">
        <v>124</v>
      </c>
      <c r="H7" s="20"/>
      <c r="J7" t="s">
        <v>114</v>
      </c>
      <c r="K7" s="2">
        <f>+K4-K5+K6</f>
        <v>3429168.62</v>
      </c>
    </row>
    <row r="8" spans="2:12" x14ac:dyDescent="0.2">
      <c r="B8" s="19" t="s">
        <v>125</v>
      </c>
      <c r="C8" t="s">
        <v>128</v>
      </c>
      <c r="H8" s="20"/>
      <c r="K8" s="2"/>
    </row>
    <row r="9" spans="2:12" x14ac:dyDescent="0.2">
      <c r="B9" s="19" t="s">
        <v>126</v>
      </c>
      <c r="C9" t="s">
        <v>127</v>
      </c>
      <c r="H9" s="20"/>
      <c r="J9" t="s">
        <v>175</v>
      </c>
      <c r="K9" s="28">
        <v>1993</v>
      </c>
    </row>
    <row r="10" spans="2:12" x14ac:dyDescent="0.2">
      <c r="B10" s="19" t="s">
        <v>134</v>
      </c>
      <c r="C10" t="s">
        <v>135</v>
      </c>
      <c r="H10" s="20"/>
    </row>
    <row r="11" spans="2:12" x14ac:dyDescent="0.2">
      <c r="B11" s="19" t="s">
        <v>136</v>
      </c>
      <c r="C11" t="s">
        <v>137</v>
      </c>
      <c r="D11" t="s">
        <v>168</v>
      </c>
      <c r="H11" s="20"/>
    </row>
    <row r="12" spans="2:12" x14ac:dyDescent="0.2">
      <c r="B12" s="19" t="s">
        <v>138</v>
      </c>
      <c r="H12" s="20"/>
    </row>
    <row r="13" spans="2:12" x14ac:dyDescent="0.2">
      <c r="B13" s="19" t="s">
        <v>139</v>
      </c>
      <c r="H13" s="20"/>
    </row>
    <row r="14" spans="2:12" x14ac:dyDescent="0.2">
      <c r="B14" s="22" t="s">
        <v>140</v>
      </c>
      <c r="C14" s="23"/>
      <c r="D14" s="23"/>
      <c r="E14" s="23"/>
      <c r="F14" s="23"/>
      <c r="G14" s="23"/>
      <c r="H14" s="24"/>
    </row>
    <row r="16" spans="2:12" x14ac:dyDescent="0.2">
      <c r="B16" t="s">
        <v>141</v>
      </c>
      <c r="C16" t="s">
        <v>142</v>
      </c>
      <c r="K16" t="s">
        <v>176</v>
      </c>
    </row>
    <row r="17" spans="2:11" x14ac:dyDescent="0.2">
      <c r="B17" t="s">
        <v>143</v>
      </c>
      <c r="C17" t="s">
        <v>144</v>
      </c>
      <c r="K17" t="s">
        <v>118</v>
      </c>
    </row>
    <row r="18" spans="2:11" x14ac:dyDescent="0.2">
      <c r="B18" t="s">
        <v>145</v>
      </c>
      <c r="C18" t="s">
        <v>146</v>
      </c>
      <c r="K18" t="s">
        <v>116</v>
      </c>
    </row>
    <row r="19" spans="2:11" x14ac:dyDescent="0.2">
      <c r="K19" t="s">
        <v>117</v>
      </c>
    </row>
    <row r="20" spans="2:11" x14ac:dyDescent="0.2">
      <c r="K20" t="s">
        <v>115</v>
      </c>
    </row>
    <row r="21" spans="2:11" x14ac:dyDescent="0.2">
      <c r="B21" t="s">
        <v>159</v>
      </c>
      <c r="K21" t="s">
        <v>132</v>
      </c>
    </row>
    <row r="22" spans="2:11" x14ac:dyDescent="0.2">
      <c r="B22" t="s">
        <v>169</v>
      </c>
      <c r="K22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EO135"/>
  <sheetViews>
    <sheetView tabSelected="1" zoomScale="145" zoomScaleNormal="145" workbookViewId="0">
      <pane xSplit="2" ySplit="3" topLeftCell="S150" activePane="bottomRight" state="frozen"/>
      <selection pane="topRight" activeCell="C1" sqref="C1"/>
      <selection pane="bottomLeft" activeCell="A4" sqref="A4"/>
      <selection pane="bottomRight" activeCell="S172" sqref="S172"/>
    </sheetView>
  </sheetViews>
  <sheetFormatPr defaultColWidth="8.85546875" defaultRowHeight="12.75" x14ac:dyDescent="0.2"/>
  <cols>
    <col min="1" max="1" width="5" bestFit="1" customWidth="1"/>
    <col min="2" max="2" width="22.5703125" customWidth="1"/>
    <col min="3" max="15" width="9.7109375" style="3" customWidth="1"/>
    <col min="16" max="17" width="9.7109375" customWidth="1"/>
    <col min="18" max="32" width="10.140625" customWidth="1"/>
    <col min="33" max="34" width="9.28515625" bestFit="1" customWidth="1"/>
    <col min="35" max="35" width="9.28515625" customWidth="1"/>
    <col min="36" max="36" width="9.28515625" bestFit="1" customWidth="1"/>
    <col min="37" max="37" width="9.28515625" customWidth="1"/>
    <col min="38" max="48" width="10" customWidth="1"/>
    <col min="49" max="51" width="10.28515625" customWidth="1"/>
    <col min="52" max="52" width="10.42578125" customWidth="1"/>
  </cols>
  <sheetData>
    <row r="1" spans="1:52" x14ac:dyDescent="0.2">
      <c r="A1" s="18" t="s">
        <v>0</v>
      </c>
    </row>
    <row r="2" spans="1:52" x14ac:dyDescent="0.2">
      <c r="C2" s="13">
        <v>43947</v>
      </c>
      <c r="D2" s="13">
        <v>44038</v>
      </c>
      <c r="E2" s="13">
        <v>44129</v>
      </c>
      <c r="F2" s="13">
        <v>44227</v>
      </c>
      <c r="G2" s="13">
        <v>44318</v>
      </c>
      <c r="H2" s="13">
        <v>44409</v>
      </c>
      <c r="I2" s="13">
        <v>44500</v>
      </c>
      <c r="J2" s="13">
        <v>44591</v>
      </c>
      <c r="K2" s="13">
        <v>44682</v>
      </c>
      <c r="L2" s="13">
        <f>+M2-91</f>
        <v>44773</v>
      </c>
      <c r="M2" s="13">
        <v>44864</v>
      </c>
      <c r="N2" s="13">
        <v>44955</v>
      </c>
      <c r="O2" s="13">
        <v>45046</v>
      </c>
      <c r="P2" s="13">
        <v>45137</v>
      </c>
      <c r="Q2" s="13">
        <v>45228</v>
      </c>
      <c r="R2" s="13">
        <v>45319</v>
      </c>
      <c r="S2" s="13">
        <f>+O2+366</f>
        <v>45412</v>
      </c>
      <c r="T2" s="13">
        <f>+P2+366</f>
        <v>45503</v>
      </c>
      <c r="U2" s="13">
        <f>+Q2+366</f>
        <v>45594</v>
      </c>
      <c r="V2" s="13">
        <f>+R2+366</f>
        <v>45685</v>
      </c>
      <c r="W2" s="13">
        <f>+S2+365</f>
        <v>45777</v>
      </c>
      <c r="X2" s="13">
        <f>+T2+365</f>
        <v>45868</v>
      </c>
      <c r="Y2" s="13">
        <f>+U2+365</f>
        <v>45959</v>
      </c>
      <c r="Z2" s="13">
        <f>+V2+365</f>
        <v>46050</v>
      </c>
      <c r="AA2" s="13"/>
      <c r="AB2" s="13"/>
      <c r="AC2" s="1">
        <v>40573</v>
      </c>
      <c r="AD2" s="1">
        <v>40937</v>
      </c>
      <c r="AE2" s="1">
        <v>41301</v>
      </c>
      <c r="AF2" s="1">
        <v>41665</v>
      </c>
      <c r="AG2" s="1">
        <v>42029</v>
      </c>
      <c r="AH2" s="1">
        <v>42400</v>
      </c>
      <c r="AI2" s="1">
        <v>42764</v>
      </c>
      <c r="AJ2" s="1">
        <v>43128</v>
      </c>
      <c r="AK2" s="1">
        <v>43492</v>
      </c>
      <c r="AL2" s="1">
        <v>43856</v>
      </c>
      <c r="AM2" s="1">
        <v>44227</v>
      </c>
      <c r="AN2" s="1">
        <v>44591</v>
      </c>
      <c r="AO2" s="1">
        <f>+AP2-365</f>
        <v>44955</v>
      </c>
      <c r="AP2" s="1">
        <v>45320</v>
      </c>
      <c r="AQ2" s="1">
        <f>V2</f>
        <v>45685</v>
      </c>
      <c r="AR2" s="1">
        <f t="shared" ref="AR2:AZ2" si="0">+AQ2+365</f>
        <v>46050</v>
      </c>
      <c r="AS2" s="1">
        <f t="shared" si="0"/>
        <v>46415</v>
      </c>
      <c r="AT2" s="1">
        <f t="shared" si="0"/>
        <v>46780</v>
      </c>
      <c r="AU2" s="1">
        <f t="shared" si="0"/>
        <v>47145</v>
      </c>
      <c r="AV2" s="1">
        <f t="shared" si="0"/>
        <v>47510</v>
      </c>
      <c r="AW2" s="1">
        <f t="shared" si="0"/>
        <v>47875</v>
      </c>
      <c r="AX2" s="1">
        <f t="shared" si="0"/>
        <v>48240</v>
      </c>
      <c r="AY2" s="1">
        <f t="shared" si="0"/>
        <v>48605</v>
      </c>
      <c r="AZ2" s="1">
        <f t="shared" si="0"/>
        <v>48970</v>
      </c>
    </row>
    <row r="3" spans="1:52" x14ac:dyDescent="0.2">
      <c r="C3" s="4" t="s">
        <v>178</v>
      </c>
      <c r="D3" s="4" t="s">
        <v>179</v>
      </c>
      <c r="E3" s="4" t="s">
        <v>172</v>
      </c>
      <c r="F3" s="4" t="s">
        <v>29</v>
      </c>
      <c r="G3" s="4" t="s">
        <v>26</v>
      </c>
      <c r="H3" s="4" t="s">
        <v>27</v>
      </c>
      <c r="I3" s="4" t="s">
        <v>28</v>
      </c>
      <c r="J3" s="4" t="s">
        <v>23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25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194</v>
      </c>
      <c r="X3" s="4" t="s">
        <v>195</v>
      </c>
      <c r="Y3" s="4" t="s">
        <v>196</v>
      </c>
      <c r="Z3" s="4" t="s">
        <v>197</v>
      </c>
      <c r="AA3" s="4"/>
      <c r="AB3" s="4"/>
      <c r="AC3" s="4" t="s">
        <v>187</v>
      </c>
      <c r="AD3" s="4" t="s">
        <v>186</v>
      </c>
      <c r="AE3" s="4" t="s">
        <v>185</v>
      </c>
      <c r="AF3" s="4" t="s">
        <v>184</v>
      </c>
      <c r="AG3" s="4" t="s">
        <v>183</v>
      </c>
      <c r="AH3" s="4" t="s">
        <v>182</v>
      </c>
      <c r="AI3" s="4" t="s">
        <v>181</v>
      </c>
      <c r="AJ3" s="4" t="s">
        <v>180</v>
      </c>
      <c r="AK3" s="4" t="s">
        <v>96</v>
      </c>
      <c r="AL3" s="4" t="s">
        <v>97</v>
      </c>
      <c r="AM3" s="4" t="s">
        <v>98</v>
      </c>
      <c r="AN3" s="4" t="s">
        <v>99</v>
      </c>
      <c r="AO3" s="4" t="s">
        <v>100</v>
      </c>
      <c r="AP3" s="4" t="s">
        <v>101</v>
      </c>
      <c r="AQ3" s="4" t="s">
        <v>102</v>
      </c>
      <c r="AR3" s="4" t="s">
        <v>103</v>
      </c>
      <c r="AS3" s="4" t="s">
        <v>104</v>
      </c>
      <c r="AT3" s="4" t="s">
        <v>105</v>
      </c>
      <c r="AU3" s="4" t="s">
        <v>106</v>
      </c>
      <c r="AV3" s="4" t="s">
        <v>107</v>
      </c>
      <c r="AW3" s="4" t="s">
        <v>108</v>
      </c>
      <c r="AX3" s="4" t="s">
        <v>109</v>
      </c>
      <c r="AY3" s="4" t="s">
        <v>110</v>
      </c>
      <c r="AZ3" s="4" t="s">
        <v>111</v>
      </c>
    </row>
    <row r="4" spans="1:52" x14ac:dyDescent="0.2">
      <c r="B4" t="s">
        <v>191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5">
        <v>5000000</v>
      </c>
      <c r="AW4" s="5">
        <f>+AV4*2</f>
        <v>10000000</v>
      </c>
      <c r="AX4" s="5">
        <f>+AW4*1.5</f>
        <v>15000000</v>
      </c>
      <c r="AY4" s="5">
        <f>+AX4*1.5</f>
        <v>22500000</v>
      </c>
      <c r="AZ4" s="5">
        <f>+AY4*1.5</f>
        <v>33750000</v>
      </c>
    </row>
    <row r="5" spans="1:52" x14ac:dyDescent="0.2">
      <c r="B5" t="s">
        <v>192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5">
        <v>50000</v>
      </c>
      <c r="AW5" s="5">
        <v>50000</v>
      </c>
      <c r="AX5" s="5">
        <v>50000</v>
      </c>
      <c r="AY5" s="5">
        <v>50000</v>
      </c>
      <c r="AZ5" s="5">
        <v>50000</v>
      </c>
    </row>
    <row r="6" spans="1:52" x14ac:dyDescent="0.2">
      <c r="B6" t="s">
        <v>188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5">
        <f>+AV5*AV4/1000000</f>
        <v>250000</v>
      </c>
      <c r="AW6" s="5">
        <f>+AW5*AW4/1000000</f>
        <v>500000</v>
      </c>
      <c r="AX6" s="5">
        <f>+AX5*AX4/1000000</f>
        <v>750000</v>
      </c>
      <c r="AY6" s="5">
        <f>+AY5*AY4/1000000</f>
        <v>1125000</v>
      </c>
      <c r="AZ6" s="5">
        <f>+AZ5*AZ4/1000000</f>
        <v>1687500</v>
      </c>
    </row>
    <row r="7" spans="1:52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5"/>
      <c r="AX7" s="5"/>
      <c r="AY7" s="5"/>
      <c r="AZ7" s="5"/>
    </row>
    <row r="8" spans="1:52" x14ac:dyDescent="0.2">
      <c r="B8" t="s">
        <v>189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x14ac:dyDescent="0.2">
      <c r="B10" t="s">
        <v>193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5">
        <v>1000000</v>
      </c>
      <c r="AW10" s="5">
        <f>+AV10*2</f>
        <v>2000000</v>
      </c>
      <c r="AX10" s="5">
        <f>+AW10*2</f>
        <v>4000000</v>
      </c>
      <c r="AY10" s="5">
        <f>+AX10*1.5</f>
        <v>6000000</v>
      </c>
      <c r="AZ10" s="5">
        <f>+AY10*1.5</f>
        <v>9000000</v>
      </c>
    </row>
    <row r="11" spans="1:52" x14ac:dyDescent="0.2">
      <c r="B11" t="s">
        <v>192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5">
        <v>20000</v>
      </c>
      <c r="AW11" s="5">
        <v>20000</v>
      </c>
      <c r="AX11" s="5">
        <v>20000</v>
      </c>
      <c r="AY11" s="5">
        <v>20000</v>
      </c>
      <c r="AZ11" s="5">
        <v>20000</v>
      </c>
    </row>
    <row r="12" spans="1:52" x14ac:dyDescent="0.2">
      <c r="B12" t="s">
        <v>190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5">
        <f>+AV11*AV10/1000000</f>
        <v>20000</v>
      </c>
      <c r="AW12" s="5">
        <f>+AW11*AW10/1000000</f>
        <v>40000</v>
      </c>
      <c r="AX12" s="5">
        <f>+AX11*AX10/1000000</f>
        <v>80000</v>
      </c>
      <c r="AY12" s="5">
        <f>+AY11*AY10/1000000</f>
        <v>120000</v>
      </c>
      <c r="AZ12" s="5">
        <f>+AZ11*AZ10/1000000</f>
        <v>180000</v>
      </c>
    </row>
    <row r="13" spans="1:52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x14ac:dyDescent="0.2">
      <c r="B14" t="s">
        <v>161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M14" s="2">
        <v>6841</v>
      </c>
      <c r="AN14" s="2">
        <v>11046</v>
      </c>
      <c r="AO14" s="2">
        <v>15068</v>
      </c>
      <c r="AP14" s="2">
        <v>47405</v>
      </c>
      <c r="AQ14" s="2"/>
    </row>
    <row r="15" spans="1:52" x14ac:dyDescent="0.2">
      <c r="B15" t="s">
        <v>162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M15" s="2">
        <v>9834</v>
      </c>
      <c r="AN15" s="2">
        <v>15868</v>
      </c>
      <c r="AO15" s="2">
        <v>11906</v>
      </c>
      <c r="AP15" s="2">
        <v>13517</v>
      </c>
    </row>
    <row r="16" spans="1:52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2:49" x14ac:dyDescent="0.2">
      <c r="B17" t="s">
        <v>46</v>
      </c>
      <c r="C17" s="4"/>
      <c r="D17" s="4"/>
      <c r="E17" s="4"/>
      <c r="F17" s="4"/>
      <c r="G17" s="5">
        <v>327</v>
      </c>
      <c r="H17" s="5">
        <v>409</v>
      </c>
      <c r="I17" s="5">
        <v>234</v>
      </c>
      <c r="J17" s="5">
        <f>1162-I17-H17-G17</f>
        <v>192</v>
      </c>
      <c r="K17" s="5">
        <v>158</v>
      </c>
      <c r="L17" s="5">
        <v>140</v>
      </c>
      <c r="M17" s="5">
        <v>73</v>
      </c>
      <c r="N17" s="5">
        <f>455-M17-L17-K17</f>
        <v>84</v>
      </c>
      <c r="O17" s="5">
        <v>77</v>
      </c>
      <c r="P17" s="5">
        <v>66</v>
      </c>
      <c r="Q17">
        <v>73</v>
      </c>
      <c r="R17" s="2">
        <f>306-Q17-P17-O17</f>
        <v>90</v>
      </c>
      <c r="S17">
        <v>78</v>
      </c>
      <c r="T17" s="2">
        <v>88</v>
      </c>
      <c r="U17" s="2">
        <v>97</v>
      </c>
      <c r="V17" s="2">
        <f t="shared" ref="V17:V19" si="1">+R17*1.1</f>
        <v>99.000000000000014</v>
      </c>
      <c r="W17" s="2"/>
      <c r="X17" s="2"/>
      <c r="Y17" s="2"/>
      <c r="Z17" s="2"/>
      <c r="AA17" s="2"/>
      <c r="AC17" s="2"/>
      <c r="AD17" s="2"/>
      <c r="AE17" s="2"/>
      <c r="AF17" s="2"/>
      <c r="AL17" s="2">
        <v>505</v>
      </c>
      <c r="AM17" s="2">
        <v>631</v>
      </c>
      <c r="AN17" s="2">
        <v>1162</v>
      </c>
      <c r="AO17" s="2"/>
      <c r="AP17" s="2">
        <f t="shared" ref="AP17:AP22" si="2">SUM(O17:R17)</f>
        <v>306</v>
      </c>
      <c r="AQ17" s="2">
        <f t="shared" ref="AQ17:AQ21" si="3">SUM(S17:V17)</f>
        <v>362</v>
      </c>
    </row>
    <row r="18" spans="2:49" x14ac:dyDescent="0.2">
      <c r="B18" t="s">
        <v>20</v>
      </c>
      <c r="C18" s="5"/>
      <c r="D18" s="5"/>
      <c r="E18" s="5"/>
      <c r="F18" s="5"/>
      <c r="G18" s="5">
        <v>372</v>
      </c>
      <c r="H18" s="5">
        <v>519</v>
      </c>
      <c r="I18" s="5">
        <v>577</v>
      </c>
      <c r="J18" s="5">
        <v>643</v>
      </c>
      <c r="K18" s="5">
        <v>622</v>
      </c>
      <c r="L18" s="5">
        <v>496</v>
      </c>
      <c r="M18" s="5">
        <v>200</v>
      </c>
      <c r="N18" s="5">
        <v>226</v>
      </c>
      <c r="O18" s="5">
        <v>295</v>
      </c>
      <c r="P18" s="5">
        <v>379</v>
      </c>
      <c r="Q18" s="2">
        <v>416</v>
      </c>
      <c r="R18">
        <v>463</v>
      </c>
      <c r="S18" s="5">
        <v>427</v>
      </c>
      <c r="T18" s="2">
        <v>454</v>
      </c>
      <c r="U18" s="2">
        <v>486</v>
      </c>
      <c r="V18" s="2">
        <f t="shared" si="1"/>
        <v>509.30000000000007</v>
      </c>
      <c r="W18" s="2"/>
      <c r="X18" s="2"/>
      <c r="Y18" s="2"/>
      <c r="Z18" s="2"/>
      <c r="AA18" s="2"/>
      <c r="AB18" s="5"/>
      <c r="AC18" s="2"/>
      <c r="AD18" s="2"/>
      <c r="AE18" s="2"/>
      <c r="AF18" s="2"/>
      <c r="AL18" s="2">
        <v>1212</v>
      </c>
      <c r="AM18" s="2">
        <v>1053</v>
      </c>
      <c r="AN18" s="2">
        <v>2111</v>
      </c>
      <c r="AO18" s="2">
        <f t="shared" ref="AO18:AO19" si="4">SUM(K18:N18)</f>
        <v>1544</v>
      </c>
      <c r="AP18" s="2">
        <f t="shared" si="2"/>
        <v>1553</v>
      </c>
      <c r="AQ18" s="2">
        <f t="shared" si="3"/>
        <v>1876.3000000000002</v>
      </c>
    </row>
    <row r="19" spans="2:49" x14ac:dyDescent="0.2">
      <c r="B19" t="s">
        <v>21</v>
      </c>
      <c r="C19" s="5"/>
      <c r="D19" s="5"/>
      <c r="E19" s="5"/>
      <c r="F19" s="5"/>
      <c r="G19" s="5">
        <v>154</v>
      </c>
      <c r="H19" s="5">
        <v>152</v>
      </c>
      <c r="I19" s="5">
        <v>135</v>
      </c>
      <c r="J19" s="5">
        <v>125</v>
      </c>
      <c r="K19" s="5">
        <v>138</v>
      </c>
      <c r="L19" s="5">
        <v>220</v>
      </c>
      <c r="M19" s="5">
        <v>251</v>
      </c>
      <c r="N19" s="5">
        <v>294</v>
      </c>
      <c r="O19" s="5">
        <v>296</v>
      </c>
      <c r="P19" s="5">
        <v>253</v>
      </c>
      <c r="Q19" s="2">
        <v>261</v>
      </c>
      <c r="R19" s="2">
        <v>281</v>
      </c>
      <c r="S19" s="5">
        <v>329</v>
      </c>
      <c r="T19" s="2">
        <v>346</v>
      </c>
      <c r="U19" s="2">
        <v>449</v>
      </c>
      <c r="V19" s="2">
        <f t="shared" si="1"/>
        <v>309.10000000000002</v>
      </c>
      <c r="W19" s="2"/>
      <c r="X19" s="2"/>
      <c r="Y19" s="2"/>
      <c r="Z19" s="2"/>
      <c r="AA19" s="2"/>
      <c r="AB19" s="5"/>
      <c r="AC19" s="2"/>
      <c r="AD19" s="2"/>
      <c r="AE19" s="2"/>
      <c r="AF19" s="2"/>
      <c r="AL19">
        <v>700</v>
      </c>
      <c r="AM19">
        <v>536</v>
      </c>
      <c r="AN19">
        <v>566</v>
      </c>
      <c r="AO19" s="2">
        <f t="shared" si="4"/>
        <v>903</v>
      </c>
      <c r="AP19" s="2">
        <f t="shared" si="2"/>
        <v>1091</v>
      </c>
      <c r="AQ19" s="2">
        <f t="shared" si="3"/>
        <v>1433.1</v>
      </c>
    </row>
    <row r="20" spans="2:49" x14ac:dyDescent="0.2">
      <c r="B20" t="s">
        <v>171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>
        <v>927</v>
      </c>
      <c r="P20" s="5">
        <v>1711</v>
      </c>
      <c r="Q20" s="2">
        <v>2606</v>
      </c>
      <c r="R20" s="2"/>
      <c r="S20" s="5">
        <v>3171</v>
      </c>
      <c r="T20" s="2">
        <v>3668</v>
      </c>
      <c r="U20" s="2">
        <v>3127</v>
      </c>
      <c r="V20" s="2"/>
      <c r="W20" s="2"/>
      <c r="X20" s="2"/>
      <c r="Y20" s="2"/>
      <c r="Z20" s="2"/>
      <c r="AA20" s="2"/>
      <c r="AB20" s="5"/>
      <c r="AC20" s="2"/>
      <c r="AD20" s="2"/>
      <c r="AE20" s="2"/>
      <c r="AF20" s="2"/>
      <c r="AP20" s="2"/>
      <c r="AQ20" s="2">
        <f t="shared" si="3"/>
        <v>9966</v>
      </c>
    </row>
    <row r="21" spans="2:49" x14ac:dyDescent="0.2">
      <c r="B21" t="s">
        <v>170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v>3357</v>
      </c>
      <c r="P21" s="5">
        <v>8612</v>
      </c>
      <c r="Q21" s="2">
        <v>11908</v>
      </c>
      <c r="R21" s="2"/>
      <c r="S21" s="5">
        <v>19392</v>
      </c>
      <c r="T21" s="2">
        <v>22604</v>
      </c>
      <c r="U21" s="2">
        <v>27644</v>
      </c>
      <c r="V21" s="2"/>
      <c r="W21" s="2"/>
      <c r="X21" s="2"/>
      <c r="Y21" s="2"/>
      <c r="Z21" s="2"/>
      <c r="AA21" s="2"/>
      <c r="AB21" s="5"/>
      <c r="AC21" s="2"/>
      <c r="AD21" s="2"/>
      <c r="AE21" s="2"/>
      <c r="AF21" s="2"/>
      <c r="AP21" s="2"/>
      <c r="AQ21" s="2">
        <f t="shared" si="3"/>
        <v>69640</v>
      </c>
    </row>
    <row r="22" spans="2:49" x14ac:dyDescent="0.2">
      <c r="B22" t="s">
        <v>22</v>
      </c>
      <c r="C22" s="5"/>
      <c r="D22" s="5"/>
      <c r="E22" s="5"/>
      <c r="F22" s="5"/>
      <c r="G22" s="5">
        <v>2050</v>
      </c>
      <c r="H22" s="5">
        <v>2366</v>
      </c>
      <c r="I22" s="5">
        <v>2936</v>
      </c>
      <c r="J22" s="5">
        <v>3260</v>
      </c>
      <c r="K22" s="5">
        <v>3750</v>
      </c>
      <c r="L22" s="5">
        <v>3806</v>
      </c>
      <c r="M22" s="5">
        <v>3833</v>
      </c>
      <c r="N22" s="5">
        <v>3620</v>
      </c>
      <c r="O22" s="5">
        <f>+O21+O20</f>
        <v>4284</v>
      </c>
      <c r="P22" s="2">
        <f>+P21+P20</f>
        <v>10323</v>
      </c>
      <c r="Q22" s="2">
        <f>+Q21+Q20</f>
        <v>14514</v>
      </c>
      <c r="R22" s="5">
        <f>47525-Q22-P22-O22</f>
        <v>18404</v>
      </c>
      <c r="S22" s="2">
        <f>+S21+S20</f>
        <v>22563</v>
      </c>
      <c r="T22" s="2">
        <f>+T21+T20</f>
        <v>26272</v>
      </c>
      <c r="U22" s="2">
        <f>+U21+U20</f>
        <v>30771</v>
      </c>
      <c r="V22" s="2">
        <f>+V118*V114</f>
        <v>36750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I22" s="2"/>
      <c r="AK22" s="2"/>
      <c r="AL22" s="2">
        <v>2983</v>
      </c>
      <c r="AM22" s="2">
        <v>6696</v>
      </c>
      <c r="AN22" s="2">
        <v>10613</v>
      </c>
      <c r="AO22" s="2">
        <f>SUM(K22:N22)</f>
        <v>15009</v>
      </c>
      <c r="AP22" s="2">
        <f t="shared" si="2"/>
        <v>47525</v>
      </c>
      <c r="AQ22" s="2">
        <f>SUM(S22:V22)</f>
        <v>116356</v>
      </c>
    </row>
    <row r="23" spans="2:49" x14ac:dyDescent="0.2">
      <c r="B23" t="s">
        <v>19</v>
      </c>
      <c r="C23" s="5"/>
      <c r="D23" s="5"/>
      <c r="E23" s="5"/>
      <c r="F23" s="5"/>
      <c r="G23" s="5">
        <v>2760</v>
      </c>
      <c r="H23" s="5">
        <v>3061</v>
      </c>
      <c r="I23" s="5">
        <v>3221</v>
      </c>
      <c r="J23" s="5">
        <v>3420</v>
      </c>
      <c r="K23" s="5">
        <v>3620</v>
      </c>
      <c r="L23" s="5">
        <v>2042</v>
      </c>
      <c r="M23" s="5">
        <v>1574</v>
      </c>
      <c r="N23" s="5">
        <v>1830</v>
      </c>
      <c r="O23" s="5">
        <v>2240</v>
      </c>
      <c r="P23" s="5">
        <v>2486</v>
      </c>
      <c r="Q23" s="2">
        <v>2856</v>
      </c>
      <c r="R23" s="2">
        <v>2900</v>
      </c>
      <c r="S23" s="5">
        <v>2647</v>
      </c>
      <c r="T23" s="2">
        <v>2880</v>
      </c>
      <c r="U23" s="2">
        <v>3279</v>
      </c>
      <c r="V23" s="2">
        <f>+R23*1.1</f>
        <v>3190.0000000000005</v>
      </c>
      <c r="W23" s="2"/>
      <c r="X23" s="2"/>
      <c r="Y23" s="2"/>
      <c r="Z23" s="2"/>
      <c r="AA23" s="2"/>
      <c r="AB23" s="5"/>
      <c r="AC23" s="2"/>
      <c r="AD23" s="2"/>
      <c r="AE23" s="2"/>
      <c r="AF23" s="2"/>
      <c r="AI23" s="2"/>
      <c r="AK23" s="2"/>
      <c r="AL23" s="2">
        <v>5518</v>
      </c>
      <c r="AM23" s="2">
        <v>7759</v>
      </c>
      <c r="AN23" s="2">
        <v>12462</v>
      </c>
      <c r="AO23" s="2">
        <f>SUM(K23:N23)</f>
        <v>9066</v>
      </c>
      <c r="AP23" s="2">
        <f>SUM(O23:R23)</f>
        <v>10482</v>
      </c>
      <c r="AQ23" s="2">
        <f>SUM(S23:V23)</f>
        <v>11996</v>
      </c>
    </row>
    <row r="24" spans="2:49" s="8" customFormat="1" x14ac:dyDescent="0.2">
      <c r="B24" s="8" t="s">
        <v>1</v>
      </c>
      <c r="C24" s="9">
        <v>3080</v>
      </c>
      <c r="D24" s="9">
        <v>3866</v>
      </c>
      <c r="E24" s="9">
        <v>5931</v>
      </c>
      <c r="F24" s="9">
        <v>5003</v>
      </c>
      <c r="G24" s="9">
        <v>5661</v>
      </c>
      <c r="H24" s="9">
        <f>SUM(H17:H23)</f>
        <v>6507</v>
      </c>
      <c r="I24" s="9">
        <f>SUM(I17:I23)</f>
        <v>7103</v>
      </c>
      <c r="J24" s="9">
        <v>7643</v>
      </c>
      <c r="K24" s="9">
        <f>SUM(K17:K23)</f>
        <v>8288</v>
      </c>
      <c r="L24" s="9">
        <f>SUM(L17:L23)</f>
        <v>6704</v>
      </c>
      <c r="M24" s="9">
        <f>SUM(M17:M23)</f>
        <v>5931</v>
      </c>
      <c r="N24" s="9">
        <v>6051</v>
      </c>
      <c r="O24" s="8">
        <f>+O23+O22+O19+O18+O17</f>
        <v>7192</v>
      </c>
      <c r="P24" s="8">
        <f>+P23+P22+P19+P18+P17</f>
        <v>13507</v>
      </c>
      <c r="Q24" s="9">
        <f>+Q23+Q22+Q19+Q18+Q17</f>
        <v>18120</v>
      </c>
      <c r="R24" s="9">
        <f>SUM(R17:R23)</f>
        <v>22138</v>
      </c>
      <c r="S24" s="9">
        <f>+S23+S22+S19+S18+S17</f>
        <v>26044</v>
      </c>
      <c r="T24" s="9">
        <f>+T23+T22+T19+T18+T17</f>
        <v>30040</v>
      </c>
      <c r="U24" s="9">
        <f>+U23+U22+U19+U18+U17</f>
        <v>35082</v>
      </c>
      <c r="V24" s="9">
        <f>SUM(V17:V23)</f>
        <v>40857.4</v>
      </c>
      <c r="W24" s="9">
        <f>+W121</f>
        <v>43740.27</v>
      </c>
      <c r="X24" s="9">
        <f>+X121</f>
        <v>46441.600000000006</v>
      </c>
      <c r="Y24" s="9">
        <f>+Y121</f>
        <v>49180.475000000006</v>
      </c>
      <c r="Z24" s="9">
        <f>+Z121</f>
        <v>59314.570000000007</v>
      </c>
      <c r="AA24" s="9"/>
      <c r="AB24" s="9"/>
      <c r="AC24" s="8">
        <v>3543.3090000000002</v>
      </c>
      <c r="AD24" s="8">
        <v>3997.93</v>
      </c>
      <c r="AE24" s="8">
        <v>4280.1589999999997</v>
      </c>
      <c r="AF24" s="8">
        <v>4130</v>
      </c>
      <c r="AG24" s="8">
        <v>4682</v>
      </c>
      <c r="AH24" s="8">
        <v>5010</v>
      </c>
      <c r="AI24" s="8">
        <v>6910</v>
      </c>
      <c r="AJ24" s="8">
        <v>9714</v>
      </c>
      <c r="AK24" s="8">
        <v>11716</v>
      </c>
      <c r="AL24" s="8">
        <v>10918</v>
      </c>
      <c r="AM24" s="8">
        <v>16675</v>
      </c>
      <c r="AN24" s="8">
        <f>SUM(G24:J24)</f>
        <v>26914</v>
      </c>
      <c r="AO24" s="8">
        <f>SUM(K24:N24)</f>
        <v>26974</v>
      </c>
      <c r="AP24" s="8">
        <f>SUM(O24:R24)</f>
        <v>60957</v>
      </c>
      <c r="AQ24" s="8">
        <f>SUM(S24:V24)</f>
        <v>132023.4</v>
      </c>
      <c r="AR24" s="8">
        <f>+AQ24*1.5</f>
        <v>198035.09999999998</v>
      </c>
      <c r="AS24" s="8">
        <f>+AR24*1.5</f>
        <v>297052.64999999997</v>
      </c>
      <c r="AT24" s="8">
        <f>+AS24*1.4</f>
        <v>415873.7099999999</v>
      </c>
      <c r="AU24" s="8">
        <f>+AT24*1.4</f>
        <v>582223.19399999978</v>
      </c>
      <c r="AV24" s="8">
        <f>+AU24*1.3</f>
        <v>756890.15219999978</v>
      </c>
      <c r="AW24" s="8">
        <f>+AV24*1.3</f>
        <v>983957.19785999972</v>
      </c>
    </row>
    <row r="25" spans="2:49" s="2" customFormat="1" x14ac:dyDescent="0.2">
      <c r="B25" s="2" t="s">
        <v>4</v>
      </c>
      <c r="C25" s="5">
        <v>1076</v>
      </c>
      <c r="D25" s="5">
        <v>1591</v>
      </c>
      <c r="E25" s="5">
        <v>2754</v>
      </c>
      <c r="F25" s="5">
        <v>1846</v>
      </c>
      <c r="G25" s="5">
        <v>2032</v>
      </c>
      <c r="H25" s="5">
        <v>2292</v>
      </c>
      <c r="I25" s="5">
        <v>2472</v>
      </c>
      <c r="J25" s="5">
        <v>2644</v>
      </c>
      <c r="K25" s="5">
        <v>2857</v>
      </c>
      <c r="L25" s="5">
        <v>3789</v>
      </c>
      <c r="M25" s="5">
        <v>2754</v>
      </c>
      <c r="N25" s="5">
        <f>+AO25-M25-L25-K25</f>
        <v>2218</v>
      </c>
      <c r="O25" s="5">
        <v>2544</v>
      </c>
      <c r="P25" s="2">
        <v>4045</v>
      </c>
      <c r="Q25" s="2">
        <v>4720</v>
      </c>
      <c r="R25" s="2">
        <v>5312</v>
      </c>
      <c r="S25" s="2">
        <v>5638</v>
      </c>
      <c r="T25" s="2">
        <v>7466</v>
      </c>
      <c r="U25" s="2">
        <v>8926</v>
      </c>
      <c r="V25" s="2">
        <f t="shared" ref="V25" si="5">+V24-V26</f>
        <v>8988.6280000000006</v>
      </c>
      <c r="AC25" s="2">
        <v>2134.2190000000001</v>
      </c>
      <c r="AD25" s="2">
        <v>1941.413</v>
      </c>
      <c r="AE25" s="2">
        <v>2053.8159999999998</v>
      </c>
      <c r="AF25" s="2">
        <v>1862</v>
      </c>
      <c r="AG25" s="2">
        <v>2083</v>
      </c>
      <c r="AH25" s="2">
        <v>2199</v>
      </c>
      <c r="AI25" s="2">
        <v>2847</v>
      </c>
      <c r="AJ25" s="2">
        <v>3892</v>
      </c>
      <c r="AK25" s="2">
        <v>4545</v>
      </c>
      <c r="AL25" s="2">
        <v>4150</v>
      </c>
      <c r="AM25" s="2">
        <v>6279</v>
      </c>
      <c r="AN25" s="2">
        <v>9439</v>
      </c>
      <c r="AO25" s="2">
        <v>11618</v>
      </c>
      <c r="AP25" s="2">
        <f>SUM(O25:R25)</f>
        <v>16621</v>
      </c>
      <c r="AQ25" s="2">
        <f>+AQ24-AQ26</f>
        <v>31018.627999999997</v>
      </c>
      <c r="AR25" s="2">
        <f>+AR24-AR26</f>
        <v>43567.72199999998</v>
      </c>
      <c r="AS25" s="2">
        <f t="shared" ref="AS25:AU25" si="6">+AS24-AS26</f>
        <v>65351.582999999984</v>
      </c>
      <c r="AT25" s="2">
        <f t="shared" si="6"/>
        <v>91492.216199999966</v>
      </c>
      <c r="AU25" s="2">
        <f t="shared" si="6"/>
        <v>128089.10267999995</v>
      </c>
      <c r="AV25" s="2">
        <f t="shared" ref="AV25" si="7">+AV24-AV26</f>
        <v>166515.83348399994</v>
      </c>
      <c r="AW25" s="2">
        <f t="shared" ref="AW25" si="8">+AW24-AW26</f>
        <v>216470.58352919994</v>
      </c>
    </row>
    <row r="26" spans="2:49" s="2" customFormat="1" x14ac:dyDescent="0.2">
      <c r="B26" s="2" t="s">
        <v>5</v>
      </c>
      <c r="C26" s="5">
        <f t="shared" ref="C26:O26" si="9">+C24-C25</f>
        <v>2004</v>
      </c>
      <c r="D26" s="5">
        <f t="shared" si="9"/>
        <v>2275</v>
      </c>
      <c r="E26" s="5">
        <f t="shared" si="9"/>
        <v>3177</v>
      </c>
      <c r="F26" s="5">
        <f t="shared" si="9"/>
        <v>3157</v>
      </c>
      <c r="G26" s="5">
        <f t="shared" si="9"/>
        <v>3629</v>
      </c>
      <c r="H26" s="5">
        <f t="shared" si="9"/>
        <v>4215</v>
      </c>
      <c r="I26" s="5">
        <f t="shared" si="9"/>
        <v>4631</v>
      </c>
      <c r="J26" s="5">
        <f t="shared" si="9"/>
        <v>4999</v>
      </c>
      <c r="K26" s="5">
        <f t="shared" si="9"/>
        <v>5431</v>
      </c>
      <c r="L26" s="5">
        <f t="shared" si="9"/>
        <v>2915</v>
      </c>
      <c r="M26" s="5">
        <f t="shared" si="9"/>
        <v>3177</v>
      </c>
      <c r="N26" s="5">
        <f t="shared" si="9"/>
        <v>3833</v>
      </c>
      <c r="O26" s="5">
        <f t="shared" si="9"/>
        <v>4648</v>
      </c>
      <c r="P26" s="2">
        <f>P24-P25</f>
        <v>9462</v>
      </c>
      <c r="Q26" s="2">
        <f>+Q24-Q25</f>
        <v>13400</v>
      </c>
      <c r="R26" s="2">
        <f>+R24-R25</f>
        <v>16826</v>
      </c>
      <c r="S26" s="2">
        <f>+S24-S25</f>
        <v>20406</v>
      </c>
      <c r="T26" s="2">
        <f>+T24-T25</f>
        <v>22574</v>
      </c>
      <c r="U26" s="2">
        <f>+U24-U25</f>
        <v>26156</v>
      </c>
      <c r="V26" s="2">
        <f>+V24*0.78</f>
        <v>31868.772000000001</v>
      </c>
      <c r="AC26" s="2">
        <f t="shared" ref="AC26:AP26" si="10">+AC24-AC25</f>
        <v>1409.0900000000001</v>
      </c>
      <c r="AD26" s="2">
        <f t="shared" si="10"/>
        <v>2056.5169999999998</v>
      </c>
      <c r="AE26" s="2">
        <f t="shared" si="10"/>
        <v>2226.3429999999998</v>
      </c>
      <c r="AF26" s="2">
        <f t="shared" si="10"/>
        <v>2268</v>
      </c>
      <c r="AG26" s="2">
        <f t="shared" si="10"/>
        <v>2599</v>
      </c>
      <c r="AH26" s="2">
        <f t="shared" si="10"/>
        <v>2811</v>
      </c>
      <c r="AI26" s="2">
        <f t="shared" si="10"/>
        <v>4063</v>
      </c>
      <c r="AJ26" s="2">
        <f t="shared" si="10"/>
        <v>5822</v>
      </c>
      <c r="AK26" s="2">
        <f t="shared" si="10"/>
        <v>7171</v>
      </c>
      <c r="AL26" s="2">
        <f t="shared" si="10"/>
        <v>6768</v>
      </c>
      <c r="AM26" s="2">
        <f t="shared" si="10"/>
        <v>10396</v>
      </c>
      <c r="AN26" s="2">
        <f t="shared" si="10"/>
        <v>17475</v>
      </c>
      <c r="AO26" s="2">
        <f t="shared" si="10"/>
        <v>15356</v>
      </c>
      <c r="AP26" s="2">
        <f t="shared" si="10"/>
        <v>44336</v>
      </c>
      <c r="AQ26" s="2">
        <f>SUM(S26:V26)</f>
        <v>101004.772</v>
      </c>
      <c r="AR26" s="2">
        <f>+AR24*0.78</f>
        <v>154467.378</v>
      </c>
      <c r="AS26" s="2">
        <f>+AS24*0.78</f>
        <v>231701.06699999998</v>
      </c>
      <c r="AT26" s="2">
        <f>+AT24*0.78</f>
        <v>324381.49379999994</v>
      </c>
      <c r="AU26" s="2">
        <f>+AU24*0.78</f>
        <v>454134.09131999983</v>
      </c>
      <c r="AV26" s="2">
        <f t="shared" ref="AV26:AW26" si="11">+AV24*0.78</f>
        <v>590374.31871599983</v>
      </c>
      <c r="AW26" s="2">
        <f t="shared" si="11"/>
        <v>767486.61433079978</v>
      </c>
    </row>
    <row r="27" spans="2:49" s="2" customFormat="1" x14ac:dyDescent="0.2">
      <c r="B27" s="2" t="s">
        <v>6</v>
      </c>
      <c r="C27" s="5">
        <v>735</v>
      </c>
      <c r="D27" s="5">
        <v>997</v>
      </c>
      <c r="E27" s="5">
        <v>1945</v>
      </c>
      <c r="F27" s="5">
        <v>1147</v>
      </c>
      <c r="G27" s="5">
        <v>1153</v>
      </c>
      <c r="H27" s="5">
        <v>1245</v>
      </c>
      <c r="I27" s="5">
        <v>1403</v>
      </c>
      <c r="J27" s="5">
        <v>1466</v>
      </c>
      <c r="K27" s="5">
        <v>1618</v>
      </c>
      <c r="L27" s="5">
        <v>1824</v>
      </c>
      <c r="M27" s="5">
        <v>1945</v>
      </c>
      <c r="N27" s="5">
        <f t="shared" ref="N27:N28" si="12">+AO27-M27-L27-K27</f>
        <v>1952</v>
      </c>
      <c r="O27" s="5">
        <v>1875</v>
      </c>
      <c r="P27" s="2">
        <v>2040</v>
      </c>
      <c r="Q27" s="2">
        <v>2294</v>
      </c>
      <c r="R27" s="2">
        <v>2465</v>
      </c>
      <c r="S27" s="2">
        <v>2720</v>
      </c>
      <c r="T27" s="2">
        <v>3090</v>
      </c>
      <c r="U27" s="2">
        <v>3390</v>
      </c>
      <c r="V27" s="2">
        <f t="shared" ref="V27" si="13">+U27+100</f>
        <v>3490</v>
      </c>
      <c r="AC27" s="2">
        <v>848.83</v>
      </c>
      <c r="AD27" s="2">
        <v>1002.605</v>
      </c>
      <c r="AE27" s="2">
        <v>1147.2819999999999</v>
      </c>
      <c r="AF27" s="2">
        <v>1336</v>
      </c>
      <c r="AG27" s="2">
        <v>1360</v>
      </c>
      <c r="AH27" s="2">
        <v>1331</v>
      </c>
      <c r="AI27" s="2">
        <v>1463</v>
      </c>
      <c r="AJ27" s="2">
        <v>1797</v>
      </c>
      <c r="AK27" s="2">
        <v>2376</v>
      </c>
      <c r="AL27" s="2">
        <v>2829</v>
      </c>
      <c r="AM27" s="2">
        <v>3924</v>
      </c>
      <c r="AN27" s="2">
        <v>5268</v>
      </c>
      <c r="AO27" s="2">
        <v>7339</v>
      </c>
      <c r="AP27" s="2">
        <f>SUM(O27:R27)</f>
        <v>8674</v>
      </c>
      <c r="AQ27" s="2">
        <f>SUM(S27:V27)</f>
        <v>12690</v>
      </c>
      <c r="AR27" s="2">
        <f>+AQ27*1.2</f>
        <v>15228</v>
      </c>
      <c r="AS27" s="2">
        <f t="shared" ref="AS27:AU27" si="14">+AR27*1.2</f>
        <v>18273.599999999999</v>
      </c>
      <c r="AT27" s="2">
        <f t="shared" si="14"/>
        <v>21928.319999999996</v>
      </c>
      <c r="AU27" s="2">
        <f t="shared" si="14"/>
        <v>26313.983999999993</v>
      </c>
      <c r="AV27" s="2">
        <f t="shared" ref="AV27:AW27" si="15">+AU27*1.2</f>
        <v>31576.78079999999</v>
      </c>
      <c r="AW27" s="2">
        <f t="shared" si="15"/>
        <v>37892.136959999989</v>
      </c>
    </row>
    <row r="28" spans="2:49" s="2" customFormat="1" x14ac:dyDescent="0.2">
      <c r="B28" s="2" t="s">
        <v>7</v>
      </c>
      <c r="C28" s="5">
        <v>293</v>
      </c>
      <c r="D28" s="5">
        <v>627</v>
      </c>
      <c r="E28" s="5">
        <v>631</v>
      </c>
      <c r="F28" s="5">
        <v>503</v>
      </c>
      <c r="G28" s="5">
        <v>520</v>
      </c>
      <c r="H28" s="5">
        <v>526</v>
      </c>
      <c r="I28" s="5">
        <v>557</v>
      </c>
      <c r="J28" s="5">
        <v>563</v>
      </c>
      <c r="K28" s="5">
        <v>592</v>
      </c>
      <c r="L28" s="5">
        <v>592</v>
      </c>
      <c r="M28" s="5">
        <v>631</v>
      </c>
      <c r="N28" s="5">
        <f t="shared" si="12"/>
        <v>625</v>
      </c>
      <c r="O28" s="5">
        <v>633</v>
      </c>
      <c r="P28" s="2">
        <v>622</v>
      </c>
      <c r="Q28" s="2">
        <v>689</v>
      </c>
      <c r="R28" s="2">
        <v>711</v>
      </c>
      <c r="S28" s="2">
        <v>777</v>
      </c>
      <c r="T28" s="2">
        <v>842</v>
      </c>
      <c r="U28" s="2">
        <v>897</v>
      </c>
      <c r="V28" s="2">
        <f>+U28+25</f>
        <v>922</v>
      </c>
      <c r="AC28" s="2">
        <v>361.51299999999998</v>
      </c>
      <c r="AD28" s="2">
        <v>405.613</v>
      </c>
      <c r="AE28" s="2">
        <v>430.822</v>
      </c>
      <c r="AF28" s="2">
        <v>436</v>
      </c>
      <c r="AG28" s="2">
        <v>480</v>
      </c>
      <c r="AH28" s="2">
        <v>602</v>
      </c>
      <c r="AI28" s="2">
        <v>663</v>
      </c>
      <c r="AJ28" s="2">
        <v>815</v>
      </c>
      <c r="AK28" s="2">
        <v>991</v>
      </c>
      <c r="AL28" s="2">
        <v>1093</v>
      </c>
      <c r="AM28" s="2">
        <v>1940</v>
      </c>
      <c r="AN28" s="2">
        <v>2166</v>
      </c>
      <c r="AO28" s="2">
        <v>2440</v>
      </c>
      <c r="AP28" s="2">
        <f>SUM(O28:R28)</f>
        <v>2655</v>
      </c>
      <c r="AQ28" s="2">
        <f>SUM(S28:V28)</f>
        <v>3438</v>
      </c>
      <c r="AR28" s="2">
        <f t="shared" ref="AR28:AU28" si="16">+AQ28*1.2</f>
        <v>4125.5999999999995</v>
      </c>
      <c r="AS28" s="2">
        <f t="shared" si="16"/>
        <v>4950.7199999999993</v>
      </c>
      <c r="AT28" s="2">
        <f t="shared" si="16"/>
        <v>5940.8639999999987</v>
      </c>
      <c r="AU28" s="2">
        <f t="shared" si="16"/>
        <v>7129.036799999998</v>
      </c>
      <c r="AV28" s="2">
        <f t="shared" ref="AV28:AW28" si="17">+AU28*1.2</f>
        <v>8554.8441599999969</v>
      </c>
      <c r="AW28" s="2">
        <f t="shared" si="17"/>
        <v>10265.812991999996</v>
      </c>
    </row>
    <row r="29" spans="2:49" s="2" customFormat="1" x14ac:dyDescent="0.2">
      <c r="B29" s="2" t="s">
        <v>3</v>
      </c>
      <c r="C29" s="5">
        <f t="shared" ref="C29:E29" si="18">+C27+C28</f>
        <v>1028</v>
      </c>
      <c r="D29" s="5">
        <f t="shared" ref="D29" si="19">+D27+D28</f>
        <v>1624</v>
      </c>
      <c r="E29" s="5">
        <f t="shared" si="18"/>
        <v>2576</v>
      </c>
      <c r="F29" s="5">
        <f t="shared" ref="F29" si="20">+F27+F28</f>
        <v>1650</v>
      </c>
      <c r="G29" s="5">
        <f t="shared" ref="G29:I29" si="21">+G27+G28</f>
        <v>1673</v>
      </c>
      <c r="H29" s="5">
        <f t="shared" si="21"/>
        <v>1771</v>
      </c>
      <c r="I29" s="5">
        <f t="shared" si="21"/>
        <v>1960</v>
      </c>
      <c r="J29" s="5">
        <f t="shared" ref="J29" si="22">+J27+J28</f>
        <v>2029</v>
      </c>
      <c r="K29" s="5">
        <f>+K27+K28</f>
        <v>2210</v>
      </c>
      <c r="L29" s="5">
        <f t="shared" ref="L29" si="23">+L27+L28</f>
        <v>2416</v>
      </c>
      <c r="M29" s="5">
        <f>+M27+M28</f>
        <v>2576</v>
      </c>
      <c r="N29" s="5">
        <f>+N27+N28</f>
        <v>2577</v>
      </c>
      <c r="O29" s="5">
        <f>+O27+O28</f>
        <v>2508</v>
      </c>
      <c r="P29" s="5">
        <f>+P27+P28</f>
        <v>2662</v>
      </c>
      <c r="Q29" s="5">
        <f t="shared" ref="Q29:S29" si="24">+Q27+Q28</f>
        <v>2983</v>
      </c>
      <c r="R29" s="5">
        <f t="shared" si="24"/>
        <v>3176</v>
      </c>
      <c r="S29" s="5">
        <f t="shared" si="24"/>
        <v>3497</v>
      </c>
      <c r="T29" s="5">
        <f t="shared" ref="T29:V29" si="25">+T27+T28</f>
        <v>3932</v>
      </c>
      <c r="U29" s="5">
        <f t="shared" si="25"/>
        <v>4287</v>
      </c>
      <c r="V29" s="5">
        <f t="shared" si="25"/>
        <v>4412</v>
      </c>
      <c r="W29" s="5"/>
      <c r="X29" s="5"/>
      <c r="Y29" s="5"/>
      <c r="Z29" s="5"/>
      <c r="AA29" s="5"/>
      <c r="AB29" s="5"/>
      <c r="AC29" s="2">
        <f t="shared" ref="AC29:AO29" si="26">+AC27+AC28</f>
        <v>1210.3430000000001</v>
      </c>
      <c r="AD29" s="2">
        <f t="shared" si="26"/>
        <v>1408.2180000000001</v>
      </c>
      <c r="AE29" s="2">
        <f t="shared" si="26"/>
        <v>1578.1039999999998</v>
      </c>
      <c r="AF29" s="2">
        <f t="shared" si="26"/>
        <v>1772</v>
      </c>
      <c r="AG29" s="2">
        <f t="shared" si="26"/>
        <v>1840</v>
      </c>
      <c r="AH29" s="2">
        <f t="shared" si="26"/>
        <v>1933</v>
      </c>
      <c r="AI29" s="2">
        <f t="shared" si="26"/>
        <v>2126</v>
      </c>
      <c r="AJ29" s="2">
        <f t="shared" si="26"/>
        <v>2612</v>
      </c>
      <c r="AK29" s="2">
        <f t="shared" si="26"/>
        <v>3367</v>
      </c>
      <c r="AL29" s="2">
        <f t="shared" si="26"/>
        <v>3922</v>
      </c>
      <c r="AM29" s="2">
        <f t="shared" si="26"/>
        <v>5864</v>
      </c>
      <c r="AN29" s="2">
        <f t="shared" si="26"/>
        <v>7434</v>
      </c>
      <c r="AO29" s="2">
        <f t="shared" si="26"/>
        <v>9779</v>
      </c>
      <c r="AP29" s="2">
        <f>SUM(O29:R29)</f>
        <v>11329</v>
      </c>
      <c r="AQ29" s="2">
        <f>+AQ27+AQ28</f>
        <v>16128</v>
      </c>
      <c r="AR29" s="2">
        <f t="shared" ref="AR29:AU29" si="27">+AR27+AR28</f>
        <v>19353.599999999999</v>
      </c>
      <c r="AS29" s="2">
        <f t="shared" si="27"/>
        <v>23224.32</v>
      </c>
      <c r="AT29" s="2">
        <f t="shared" si="27"/>
        <v>27869.183999999994</v>
      </c>
      <c r="AU29" s="2">
        <f t="shared" si="27"/>
        <v>33443.020799999991</v>
      </c>
      <c r="AV29" s="2">
        <f t="shared" ref="AV29" si="28">+AV27+AV28</f>
        <v>40131.624959999986</v>
      </c>
      <c r="AW29" s="2">
        <f t="shared" ref="AW29" si="29">+AW27+AW28</f>
        <v>48157.949951999981</v>
      </c>
    </row>
    <row r="30" spans="2:49" s="2" customFormat="1" x14ac:dyDescent="0.2">
      <c r="B30" s="2" t="s">
        <v>2</v>
      </c>
      <c r="C30" s="5">
        <f t="shared" ref="C30:E30" si="30">+C26-C29</f>
        <v>976</v>
      </c>
      <c r="D30" s="5">
        <f t="shared" ref="D30" si="31">+D26-D29</f>
        <v>651</v>
      </c>
      <c r="E30" s="5">
        <f t="shared" si="30"/>
        <v>601</v>
      </c>
      <c r="F30" s="5">
        <f t="shared" ref="F30" si="32">+F26-F29</f>
        <v>1507</v>
      </c>
      <c r="G30" s="5">
        <f t="shared" ref="G30:I30" si="33">+G26-G29</f>
        <v>1956</v>
      </c>
      <c r="H30" s="5">
        <f t="shared" si="33"/>
        <v>2444</v>
      </c>
      <c r="I30" s="5">
        <f t="shared" si="33"/>
        <v>2671</v>
      </c>
      <c r="J30" s="5">
        <f t="shared" ref="J30" si="34">+J26-J29</f>
        <v>2970</v>
      </c>
      <c r="K30" s="5">
        <f>+K26-K29</f>
        <v>3221</v>
      </c>
      <c r="L30" s="5">
        <f t="shared" ref="L30" si="35">+L26-L29</f>
        <v>499</v>
      </c>
      <c r="M30" s="5">
        <f>+M26-M29</f>
        <v>601</v>
      </c>
      <c r="N30" s="5">
        <f>+N26-N29</f>
        <v>1256</v>
      </c>
      <c r="O30" s="5">
        <f>+O26-O29</f>
        <v>2140</v>
      </c>
      <c r="P30" s="5">
        <f>+P26-P29</f>
        <v>6800</v>
      </c>
      <c r="Q30" s="5">
        <f t="shared" ref="Q30:S30" si="36">+Q26-Q29</f>
        <v>10417</v>
      </c>
      <c r="R30" s="5">
        <f t="shared" si="36"/>
        <v>13650</v>
      </c>
      <c r="S30" s="5">
        <f t="shared" si="36"/>
        <v>16909</v>
      </c>
      <c r="T30" s="5">
        <f t="shared" ref="T30:V30" si="37">+T26-T29</f>
        <v>18642</v>
      </c>
      <c r="U30" s="5">
        <f t="shared" si="37"/>
        <v>21869</v>
      </c>
      <c r="V30" s="5">
        <f t="shared" si="37"/>
        <v>27456.772000000001</v>
      </c>
      <c r="W30" s="5"/>
      <c r="X30" s="5"/>
      <c r="Y30" s="5"/>
      <c r="Z30" s="5"/>
      <c r="AA30" s="5"/>
      <c r="AB30" s="5"/>
      <c r="AC30" s="2">
        <f t="shared" ref="AC30:AQ30" si="38">+AC26-AC29</f>
        <v>198.74700000000007</v>
      </c>
      <c r="AD30" s="2">
        <f t="shared" si="38"/>
        <v>648.29899999999975</v>
      </c>
      <c r="AE30" s="2">
        <f t="shared" si="38"/>
        <v>648.23900000000003</v>
      </c>
      <c r="AF30" s="2">
        <f t="shared" si="38"/>
        <v>496</v>
      </c>
      <c r="AG30" s="2">
        <f t="shared" si="38"/>
        <v>759</v>
      </c>
      <c r="AH30" s="2">
        <f t="shared" si="38"/>
        <v>878</v>
      </c>
      <c r="AI30" s="2">
        <f t="shared" si="38"/>
        <v>1937</v>
      </c>
      <c r="AJ30" s="2">
        <f t="shared" si="38"/>
        <v>3210</v>
      </c>
      <c r="AK30" s="2">
        <f t="shared" si="38"/>
        <v>3804</v>
      </c>
      <c r="AL30" s="2">
        <f t="shared" si="38"/>
        <v>2846</v>
      </c>
      <c r="AM30" s="2">
        <f t="shared" si="38"/>
        <v>4532</v>
      </c>
      <c r="AN30" s="2">
        <f t="shared" si="38"/>
        <v>10041</v>
      </c>
      <c r="AO30" s="2">
        <f t="shared" si="38"/>
        <v>5577</v>
      </c>
      <c r="AP30" s="2">
        <f t="shared" si="38"/>
        <v>33007</v>
      </c>
      <c r="AQ30" s="2">
        <f t="shared" si="38"/>
        <v>84876.771999999997</v>
      </c>
      <c r="AR30" s="2">
        <f t="shared" ref="AR30:AU30" si="39">+AR26-AR29</f>
        <v>135113.77799999999</v>
      </c>
      <c r="AS30" s="2">
        <f t="shared" si="39"/>
        <v>208476.74699999997</v>
      </c>
      <c r="AT30" s="2">
        <f t="shared" si="39"/>
        <v>296512.30979999993</v>
      </c>
      <c r="AU30" s="2">
        <f t="shared" si="39"/>
        <v>420691.07051999983</v>
      </c>
      <c r="AV30" s="2">
        <f t="shared" ref="AV30" si="40">+AV26-AV29</f>
        <v>550242.69375599991</v>
      </c>
      <c r="AW30" s="2">
        <f t="shared" ref="AW30" si="41">+AW26-AW29</f>
        <v>719328.66437879985</v>
      </c>
    </row>
    <row r="31" spans="2:49" s="2" customFormat="1" x14ac:dyDescent="0.2">
      <c r="B31" s="2" t="s">
        <v>11</v>
      </c>
      <c r="C31" s="5">
        <v>5</v>
      </c>
      <c r="D31" s="5">
        <v>-42</v>
      </c>
      <c r="E31" s="5">
        <v>12</v>
      </c>
      <c r="F31" s="5">
        <v>-37</v>
      </c>
      <c r="G31" s="5">
        <v>88</v>
      </c>
      <c r="H31" s="5">
        <v>-50</v>
      </c>
      <c r="I31" s="5">
        <v>-33</v>
      </c>
      <c r="J31" s="5">
        <v>-105</v>
      </c>
      <c r="K31" s="5">
        <f>18-68-13</f>
        <v>-63</v>
      </c>
      <c r="L31" s="5">
        <v>-24</v>
      </c>
      <c r="M31" s="5">
        <v>12</v>
      </c>
      <c r="N31" s="5">
        <f t="shared" ref="N31" si="42">+AO31-M31-L31-K31</f>
        <v>32</v>
      </c>
      <c r="O31" s="5">
        <f>150-66-15</f>
        <v>69</v>
      </c>
      <c r="P31" s="2">
        <f>187-65+59</f>
        <v>181</v>
      </c>
      <c r="Q31" s="2">
        <f>234-63-66</f>
        <v>105</v>
      </c>
      <c r="R31" s="2">
        <v>491</v>
      </c>
      <c r="S31" s="2">
        <f>359-64+75</f>
        <v>370</v>
      </c>
      <c r="T31" s="2">
        <v>572</v>
      </c>
      <c r="U31" s="2">
        <f>472-61+36</f>
        <v>447</v>
      </c>
      <c r="V31" s="2">
        <f>+U31</f>
        <v>447</v>
      </c>
      <c r="AC31" s="2">
        <f>19.057-3.127-0.508</f>
        <v>15.422000000000001</v>
      </c>
      <c r="AD31" s="2">
        <f>19.149-3.089-0.963</f>
        <v>15.097000000000003</v>
      </c>
      <c r="AE31" s="2">
        <f>19.908-3.294-2.814</f>
        <v>13.8</v>
      </c>
      <c r="AF31" s="2">
        <v>14</v>
      </c>
      <c r="AG31" s="2">
        <v>14</v>
      </c>
      <c r="AH31" s="2">
        <v>-4</v>
      </c>
      <c r="AI31" s="2">
        <v>-29</v>
      </c>
      <c r="AJ31" s="2">
        <v>-14</v>
      </c>
      <c r="AK31" s="2">
        <v>92</v>
      </c>
      <c r="AL31" s="2">
        <v>124</v>
      </c>
      <c r="AM31" s="2">
        <v>-123</v>
      </c>
      <c r="AN31" s="2">
        <f>29-236+107</f>
        <v>-100</v>
      </c>
      <c r="AO31" s="2">
        <f>267-262-48</f>
        <v>-43</v>
      </c>
      <c r="AP31" s="2">
        <f>SUM(O31:R31)</f>
        <v>846</v>
      </c>
      <c r="AQ31" s="2">
        <f>SUM(S31:V31)</f>
        <v>1836</v>
      </c>
      <c r="AR31" s="2">
        <f>+AQ31*1.1</f>
        <v>2019.6000000000001</v>
      </c>
      <c r="AS31" s="2">
        <f>+AR31*1.1</f>
        <v>2221.5600000000004</v>
      </c>
      <c r="AT31" s="2">
        <f>+AS31*1.1</f>
        <v>2443.7160000000008</v>
      </c>
      <c r="AU31" s="2">
        <f>+AT31*1.1</f>
        <v>2688.0876000000012</v>
      </c>
      <c r="AV31" s="2">
        <f t="shared" ref="AV31:AW31" si="43">+AU31*1.1</f>
        <v>2956.8963600000016</v>
      </c>
      <c r="AW31" s="2">
        <f t="shared" si="43"/>
        <v>3252.5859960000021</v>
      </c>
    </row>
    <row r="32" spans="2:49" s="2" customFormat="1" x14ac:dyDescent="0.2">
      <c r="B32" s="2" t="s">
        <v>10</v>
      </c>
      <c r="C32" s="5">
        <f t="shared" ref="C32:P32" si="44">+C30+C31</f>
        <v>981</v>
      </c>
      <c r="D32" s="5">
        <f t="shared" si="44"/>
        <v>609</v>
      </c>
      <c r="E32" s="5">
        <f t="shared" si="44"/>
        <v>613</v>
      </c>
      <c r="F32" s="5">
        <f t="shared" si="44"/>
        <v>1470</v>
      </c>
      <c r="G32" s="5">
        <f t="shared" si="44"/>
        <v>2044</v>
      </c>
      <c r="H32" s="5">
        <f t="shared" si="44"/>
        <v>2394</v>
      </c>
      <c r="I32" s="5">
        <f t="shared" si="44"/>
        <v>2638</v>
      </c>
      <c r="J32" s="5">
        <f t="shared" si="44"/>
        <v>2865</v>
      </c>
      <c r="K32" s="5">
        <f t="shared" si="44"/>
        <v>3158</v>
      </c>
      <c r="L32" s="5">
        <f t="shared" si="44"/>
        <v>475</v>
      </c>
      <c r="M32" s="5">
        <f t="shared" si="44"/>
        <v>613</v>
      </c>
      <c r="N32" s="5">
        <f t="shared" si="44"/>
        <v>1288</v>
      </c>
      <c r="O32" s="5">
        <f t="shared" si="44"/>
        <v>2209</v>
      </c>
      <c r="P32" s="5">
        <f t="shared" si="44"/>
        <v>6981</v>
      </c>
      <c r="Q32" s="5">
        <f t="shared" ref="Q32:V32" si="45">+Q30+Q31</f>
        <v>10522</v>
      </c>
      <c r="R32" s="5">
        <f t="shared" si="45"/>
        <v>14141</v>
      </c>
      <c r="S32" s="5">
        <f t="shared" si="45"/>
        <v>17279</v>
      </c>
      <c r="T32" s="5">
        <f>+T30+T31</f>
        <v>19214</v>
      </c>
      <c r="U32" s="5">
        <f t="shared" si="45"/>
        <v>22316</v>
      </c>
      <c r="V32" s="5">
        <f t="shared" si="45"/>
        <v>27903.772000000001</v>
      </c>
      <c r="W32" s="5"/>
      <c r="X32" s="5"/>
      <c r="Y32" s="5"/>
      <c r="Z32" s="5"/>
      <c r="AA32" s="5"/>
      <c r="AB32" s="5"/>
      <c r="AC32" s="2">
        <f t="shared" ref="AC32:AQ32" si="46">+AC30+AC31</f>
        <v>214.16900000000007</v>
      </c>
      <c r="AD32" s="2">
        <f t="shared" si="46"/>
        <v>663.39599999999973</v>
      </c>
      <c r="AE32" s="2">
        <f t="shared" si="46"/>
        <v>662.03899999999999</v>
      </c>
      <c r="AF32" s="2">
        <f t="shared" si="46"/>
        <v>510</v>
      </c>
      <c r="AG32" s="2">
        <f t="shared" si="46"/>
        <v>773</v>
      </c>
      <c r="AH32" s="2">
        <f t="shared" si="46"/>
        <v>874</v>
      </c>
      <c r="AI32" s="2">
        <f t="shared" si="46"/>
        <v>1908</v>
      </c>
      <c r="AJ32" s="2">
        <f t="shared" si="46"/>
        <v>3196</v>
      </c>
      <c r="AK32" s="2">
        <f t="shared" si="46"/>
        <v>3896</v>
      </c>
      <c r="AL32" s="2">
        <f t="shared" si="46"/>
        <v>2970</v>
      </c>
      <c r="AM32" s="2">
        <f t="shared" si="46"/>
        <v>4409</v>
      </c>
      <c r="AN32" s="2">
        <f t="shared" si="46"/>
        <v>9941</v>
      </c>
      <c r="AO32" s="2">
        <f t="shared" si="46"/>
        <v>5534</v>
      </c>
      <c r="AP32" s="2">
        <f t="shared" si="46"/>
        <v>33853</v>
      </c>
      <c r="AQ32" s="2">
        <f t="shared" si="46"/>
        <v>86712.771999999997</v>
      </c>
      <c r="AR32" s="2">
        <f t="shared" ref="AR32:AU32" si="47">+AR30+AR31</f>
        <v>137133.378</v>
      </c>
      <c r="AS32" s="2">
        <f t="shared" si="47"/>
        <v>210698.30699999997</v>
      </c>
      <c r="AT32" s="2">
        <f t="shared" si="47"/>
        <v>298956.02579999994</v>
      </c>
      <c r="AU32" s="2">
        <f t="shared" si="47"/>
        <v>423379.15811999986</v>
      </c>
      <c r="AV32" s="2">
        <f t="shared" ref="AV32" si="48">+AV30+AV31</f>
        <v>553199.59011599992</v>
      </c>
      <c r="AW32" s="2">
        <f t="shared" ref="AW32" si="49">+AW30+AW31</f>
        <v>722581.25037479983</v>
      </c>
    </row>
    <row r="33" spans="2:145" s="2" customFormat="1" x14ac:dyDescent="0.2">
      <c r="B33" s="2" t="s">
        <v>9</v>
      </c>
      <c r="C33" s="5">
        <v>64</v>
      </c>
      <c r="D33" s="5">
        <v>-13</v>
      </c>
      <c r="E33" s="5">
        <v>-67</v>
      </c>
      <c r="F33" s="5">
        <v>13</v>
      </c>
      <c r="G33" s="5">
        <v>132</v>
      </c>
      <c r="H33" s="5">
        <v>20</v>
      </c>
      <c r="I33" s="5">
        <v>174</v>
      </c>
      <c r="J33" s="5">
        <v>-138</v>
      </c>
      <c r="K33" s="5">
        <v>187</v>
      </c>
      <c r="L33" s="5">
        <v>-181</v>
      </c>
      <c r="M33" s="5">
        <v>-67</v>
      </c>
      <c r="N33" s="5">
        <f t="shared" ref="N33" si="50">+AO33-M33-L33-K33</f>
        <v>61</v>
      </c>
      <c r="O33" s="5">
        <v>166</v>
      </c>
      <c r="P33" s="2">
        <v>793</v>
      </c>
      <c r="Q33" s="2">
        <v>1279</v>
      </c>
      <c r="R33" s="2">
        <v>1821</v>
      </c>
      <c r="S33" s="2">
        <v>2398</v>
      </c>
      <c r="T33" s="2">
        <v>2615</v>
      </c>
      <c r="U33" s="2">
        <v>3007</v>
      </c>
      <c r="V33" s="2">
        <f>+V32*0.15</f>
        <v>4185.5658000000003</v>
      </c>
      <c r="AC33" s="2">
        <v>18.023</v>
      </c>
      <c r="AD33" s="2">
        <v>82.305999999999997</v>
      </c>
      <c r="AE33" s="2">
        <v>99.503</v>
      </c>
      <c r="AF33" s="2">
        <v>70</v>
      </c>
      <c r="AG33" s="2">
        <v>124</v>
      </c>
      <c r="AH33" s="2">
        <v>129</v>
      </c>
      <c r="AI33" s="2">
        <v>239</v>
      </c>
      <c r="AJ33" s="2">
        <v>149</v>
      </c>
      <c r="AK33" s="2">
        <v>-245</v>
      </c>
      <c r="AL33" s="2">
        <v>174</v>
      </c>
      <c r="AM33" s="2">
        <v>77</v>
      </c>
      <c r="AN33" s="2">
        <v>189</v>
      </c>
      <c r="AO33" s="2">
        <v>0</v>
      </c>
      <c r="AP33" s="2">
        <f>SUM(O33:R33)</f>
        <v>4059</v>
      </c>
      <c r="AQ33" s="2">
        <f>SUM(S33:V33)</f>
        <v>12205.5658</v>
      </c>
      <c r="AR33" s="2">
        <f t="shared" ref="AR33:AU33" si="51">+AR32*0.2</f>
        <v>27426.675600000002</v>
      </c>
      <c r="AS33" s="2">
        <f t="shared" si="51"/>
        <v>42139.661399999997</v>
      </c>
      <c r="AT33" s="2">
        <f t="shared" si="51"/>
        <v>59791.20515999999</v>
      </c>
      <c r="AU33" s="2">
        <f t="shared" si="51"/>
        <v>84675.831623999984</v>
      </c>
      <c r="AV33" s="2">
        <f t="shared" ref="AV33" si="52">+AV32*0.2</f>
        <v>110639.91802319999</v>
      </c>
      <c r="AW33" s="2">
        <f t="shared" ref="AW33" si="53">+AW32*0.2</f>
        <v>144516.25007495997</v>
      </c>
    </row>
    <row r="34" spans="2:145" s="2" customFormat="1" x14ac:dyDescent="0.2">
      <c r="B34" s="2" t="s">
        <v>8</v>
      </c>
      <c r="C34" s="5">
        <f t="shared" ref="C34:O34" si="54">+C32-C33</f>
        <v>917</v>
      </c>
      <c r="D34" s="5">
        <f t="shared" si="54"/>
        <v>622</v>
      </c>
      <c r="E34" s="5">
        <f t="shared" si="54"/>
        <v>680</v>
      </c>
      <c r="F34" s="5">
        <f t="shared" si="54"/>
        <v>1457</v>
      </c>
      <c r="G34" s="5">
        <f t="shared" si="54"/>
        <v>1912</v>
      </c>
      <c r="H34" s="5">
        <f t="shared" si="54"/>
        <v>2374</v>
      </c>
      <c r="I34" s="5">
        <f t="shared" si="54"/>
        <v>2464</v>
      </c>
      <c r="J34" s="5">
        <f t="shared" si="54"/>
        <v>3003</v>
      </c>
      <c r="K34" s="5">
        <f t="shared" si="54"/>
        <v>2971</v>
      </c>
      <c r="L34" s="5">
        <f t="shared" si="54"/>
        <v>656</v>
      </c>
      <c r="M34" s="5">
        <f t="shared" si="54"/>
        <v>680</v>
      </c>
      <c r="N34" s="5">
        <f t="shared" si="54"/>
        <v>1227</v>
      </c>
      <c r="O34" s="5">
        <f t="shared" si="54"/>
        <v>2043</v>
      </c>
      <c r="P34" s="2">
        <f>P32-P33</f>
        <v>6188</v>
      </c>
      <c r="Q34" s="2">
        <f t="shared" ref="Q34" si="55">Q32-Q33</f>
        <v>9243</v>
      </c>
      <c r="R34" s="2">
        <f>+R32-R33</f>
        <v>12320</v>
      </c>
      <c r="S34" s="2">
        <f>+S32-S33</f>
        <v>14881</v>
      </c>
      <c r="T34" s="2">
        <f t="shared" ref="T34:V34" si="56">+T32-T33</f>
        <v>16599</v>
      </c>
      <c r="U34" s="2">
        <f t="shared" si="56"/>
        <v>19309</v>
      </c>
      <c r="V34" s="2">
        <f t="shared" si="56"/>
        <v>23718.206200000001</v>
      </c>
      <c r="AC34" s="2">
        <f t="shared" ref="AC34:AQ34" si="57">+AC32-AC33</f>
        <v>196.14600000000007</v>
      </c>
      <c r="AD34" s="2">
        <f t="shared" si="57"/>
        <v>581.08999999999969</v>
      </c>
      <c r="AE34" s="2">
        <f t="shared" si="57"/>
        <v>562.53599999999994</v>
      </c>
      <c r="AF34" s="2">
        <f t="shared" si="57"/>
        <v>440</v>
      </c>
      <c r="AG34" s="2">
        <f t="shared" si="57"/>
        <v>649</v>
      </c>
      <c r="AH34" s="2">
        <f t="shared" si="57"/>
        <v>745</v>
      </c>
      <c r="AI34" s="2">
        <f t="shared" si="57"/>
        <v>1669</v>
      </c>
      <c r="AJ34" s="2">
        <f t="shared" si="57"/>
        <v>3047</v>
      </c>
      <c r="AK34" s="2">
        <f t="shared" si="57"/>
        <v>4141</v>
      </c>
      <c r="AL34" s="2">
        <f t="shared" si="57"/>
        <v>2796</v>
      </c>
      <c r="AM34" s="2">
        <f t="shared" si="57"/>
        <v>4332</v>
      </c>
      <c r="AN34" s="2">
        <f t="shared" si="57"/>
        <v>9752</v>
      </c>
      <c r="AO34" s="2">
        <f t="shared" si="57"/>
        <v>5534</v>
      </c>
      <c r="AP34" s="2">
        <f t="shared" si="57"/>
        <v>29794</v>
      </c>
      <c r="AQ34" s="2">
        <f t="shared" si="57"/>
        <v>74507.206200000001</v>
      </c>
      <c r="AR34" s="2">
        <f t="shared" ref="AR34:AU34" si="58">+AR32-AR33</f>
        <v>109706.70239999999</v>
      </c>
      <c r="AS34" s="2">
        <f t="shared" si="58"/>
        <v>168558.64559999999</v>
      </c>
      <c r="AT34" s="2">
        <f t="shared" si="58"/>
        <v>239164.82063999996</v>
      </c>
      <c r="AU34" s="2">
        <f t="shared" si="58"/>
        <v>338703.32649599988</v>
      </c>
      <c r="AV34" s="2">
        <f t="shared" ref="AV34" si="59">+AV32-AV33</f>
        <v>442559.67209279991</v>
      </c>
      <c r="AW34" s="2">
        <f t="shared" ref="AW34" si="60">+AW32-AW33</f>
        <v>578065.00029983988</v>
      </c>
      <c r="AX34" s="2">
        <f>AW34*(1+$AZ$41)</f>
        <v>583845.6503028383</v>
      </c>
      <c r="AY34" s="2">
        <f>AX34*(1+$AZ$41)</f>
        <v>589684.1068058667</v>
      </c>
      <c r="AZ34" s="2">
        <f>AY34*(1+$AZ$41)</f>
        <v>595580.94787392532</v>
      </c>
      <c r="BA34" s="2">
        <f>AZ34*(1+$AZ$41)</f>
        <v>601536.7573526646</v>
      </c>
      <c r="BB34" s="2">
        <f>BA34*(1+$AZ$41)</f>
        <v>607552.12492619129</v>
      </c>
      <c r="BC34" s="2">
        <f>BB34*(1+$AZ$41)</f>
        <v>613627.64617545321</v>
      </c>
      <c r="BD34" s="2">
        <f>BC34*(1+$AZ$41)</f>
        <v>619763.92263720778</v>
      </c>
      <c r="BE34" s="2">
        <f>BD34*(1+$AZ$41)</f>
        <v>625961.5618635799</v>
      </c>
      <c r="BF34" s="2">
        <f>BE34*(1+$AZ$41)</f>
        <v>632221.17748221569</v>
      </c>
      <c r="BG34" s="2">
        <f>BF34*(1+$AZ$41)</f>
        <v>638543.3892570379</v>
      </c>
      <c r="BH34" s="2">
        <f>BG34*(1+$AZ$41)</f>
        <v>644928.82314960833</v>
      </c>
      <c r="BI34" s="2">
        <f>BH34*(1+$AZ$41)</f>
        <v>651378.11138110445</v>
      </c>
      <c r="BJ34" s="2">
        <f>BI34*(1+$AZ$41)</f>
        <v>657891.89249491552</v>
      </c>
      <c r="BK34" s="2">
        <f>BJ34*(1+$AZ$41)</f>
        <v>664470.81141986465</v>
      </c>
      <c r="BL34" s="2">
        <f>BK34*(1+$AZ$41)</f>
        <v>671115.51953406329</v>
      </c>
      <c r="BM34" s="2">
        <f>BL34*(1+$AZ$41)</f>
        <v>677826.67472940392</v>
      </c>
      <c r="BN34" s="2">
        <f>BM34*(1+$AZ$41)</f>
        <v>684604.94147669792</v>
      </c>
      <c r="BO34" s="2">
        <f>BN34*(1+$AZ$41)</f>
        <v>691450.99089146487</v>
      </c>
      <c r="BP34" s="2">
        <f>BO34*(1+$AZ$41)</f>
        <v>698365.50080037955</v>
      </c>
      <c r="BQ34" s="2">
        <f>BP34*(1+$AZ$41)</f>
        <v>705349.15580838337</v>
      </c>
      <c r="BR34" s="2">
        <f>BQ34*(1+$AZ$41)</f>
        <v>712402.64736646716</v>
      </c>
      <c r="BS34" s="2">
        <f>BR34*(1+$AZ$41)</f>
        <v>719526.67384013184</v>
      </c>
      <c r="BT34" s="2">
        <f>BS34*(1+$AZ$41)</f>
        <v>726721.94057853322</v>
      </c>
      <c r="BU34" s="2">
        <f>BT34*(1+$AZ$41)</f>
        <v>733989.15998431854</v>
      </c>
      <c r="BV34" s="2">
        <f>BU34*(1+$AZ$41)</f>
        <v>741329.0515841617</v>
      </c>
      <c r="BW34" s="2">
        <f>BV34*(1+$AZ$41)</f>
        <v>748742.34210000327</v>
      </c>
      <c r="BX34" s="2">
        <f>BW34*(1+$AZ$41)</f>
        <v>756229.76552100328</v>
      </c>
      <c r="BY34" s="2">
        <f>BX34*(1+$AZ$41)</f>
        <v>763792.0631762133</v>
      </c>
      <c r="BZ34" s="2">
        <f>BY34*(1+$AZ$41)</f>
        <v>771429.98380797543</v>
      </c>
      <c r="CA34" s="2">
        <f>BZ34*(1+$AZ$41)</f>
        <v>779144.28364605515</v>
      </c>
      <c r="CB34" s="2">
        <f>CA34*(1+$AZ$41)</f>
        <v>786935.72648251569</v>
      </c>
      <c r="CC34" s="2">
        <f>CB34*(1+$AZ$41)</f>
        <v>794805.08374734083</v>
      </c>
      <c r="CD34" s="2">
        <f>CC34*(1+$AZ$41)</f>
        <v>802753.13458481419</v>
      </c>
      <c r="CE34" s="2">
        <f>CD34*(1+$AZ$41)</f>
        <v>810780.6659306623</v>
      </c>
      <c r="CF34" s="2">
        <f>CE34*(1+$AZ$41)</f>
        <v>818888.47258996894</v>
      </c>
      <c r="CG34" s="2">
        <f>CF34*(1+$AZ$41)</f>
        <v>827077.3573158686</v>
      </c>
      <c r="CH34" s="2">
        <f>CG34*(1+$AZ$41)</f>
        <v>835348.13088902726</v>
      </c>
      <c r="CI34" s="2">
        <f>CH34*(1+$AZ$41)</f>
        <v>843701.61219791754</v>
      </c>
      <c r="CJ34" s="2">
        <f>CI34*(1+$AZ$41)</f>
        <v>852138.62831989676</v>
      </c>
      <c r="CK34" s="2">
        <f>CJ34*(1+$AZ$41)</f>
        <v>860660.01460309571</v>
      </c>
      <c r="CL34" s="2">
        <f>CK34*(1+$AZ$41)</f>
        <v>869266.61474912672</v>
      </c>
      <c r="CM34" s="2">
        <f>CL34*(1+$AZ$41)</f>
        <v>877959.28089661803</v>
      </c>
      <c r="CN34" s="2">
        <f>CM34*(1+$AZ$41)</f>
        <v>886738.87370558421</v>
      </c>
      <c r="CO34" s="2">
        <f>CN34*(1+$AZ$41)</f>
        <v>895606.26244264003</v>
      </c>
      <c r="CP34" s="2">
        <f>CO34*(1+$AZ$41)</f>
        <v>904562.32506706647</v>
      </c>
      <c r="CQ34" s="2">
        <f>CP34*(1+$AZ$41)</f>
        <v>913607.94831773709</v>
      </c>
      <c r="CR34" s="2">
        <f>CQ34*(1+$AZ$41)</f>
        <v>922744.02780091448</v>
      </c>
      <c r="CS34" s="2">
        <f>CR34*(1+$AZ$41)</f>
        <v>931971.46807892364</v>
      </c>
      <c r="CT34" s="2">
        <f>CS34*(1+$AZ$41)</f>
        <v>941291.18275971292</v>
      </c>
      <c r="CU34" s="2">
        <f>CT34*(1+$AZ$41)</f>
        <v>950704.0945873101</v>
      </c>
      <c r="CV34" s="2">
        <f>CU34*(1+$AZ$41)</f>
        <v>960211.13553318323</v>
      </c>
      <c r="CW34" s="2">
        <f>CV34*(1+$AZ$41)</f>
        <v>969813.24688851507</v>
      </c>
      <c r="CX34" s="2">
        <f>CW34*(1+$AZ$41)</f>
        <v>979511.37935740023</v>
      </c>
      <c r="CY34" s="2">
        <f>CX34*(1+$AZ$41)</f>
        <v>989306.49315097427</v>
      </c>
      <c r="CZ34" s="2">
        <f>CY34*(1+$AZ$41)</f>
        <v>999199.55808248406</v>
      </c>
      <c r="DA34" s="2">
        <f>CZ34*(1+$AZ$41)</f>
        <v>1009191.553663309</v>
      </c>
      <c r="DB34" s="2">
        <f>DA34*(1+$AZ$41)</f>
        <v>1019283.4691999421</v>
      </c>
      <c r="DC34" s="2">
        <f>DB34*(1+$AZ$41)</f>
        <v>1029476.3038919416</v>
      </c>
      <c r="DD34" s="2">
        <f>DC34*(1+$AZ$41)</f>
        <v>1039771.066930861</v>
      </c>
      <c r="DE34" s="2">
        <f>DD34*(1+$AZ$41)</f>
        <v>1050168.7776001696</v>
      </c>
      <c r="DF34" s="2">
        <f>DE34*(1+$AZ$41)</f>
        <v>1060670.4653761713</v>
      </c>
      <c r="DG34" s="2">
        <f>DF34*(1+$AZ$41)</f>
        <v>1071277.1700299331</v>
      </c>
      <c r="DH34" s="2">
        <f>DG34*(1+$AZ$41)</f>
        <v>1081989.9417302324</v>
      </c>
      <c r="DI34" s="2">
        <f>DH34*(1+$AZ$41)</f>
        <v>1092809.8411475348</v>
      </c>
      <c r="DJ34" s="2">
        <f>DI34*(1+$AZ$41)</f>
        <v>1103737.9395590101</v>
      </c>
      <c r="DK34" s="2">
        <f>DJ34*(1+$AZ$41)</f>
        <v>1114775.3189546003</v>
      </c>
      <c r="DL34" s="2">
        <f>DK34*(1+$AZ$41)</f>
        <v>1125923.0721441463</v>
      </c>
      <c r="DM34" s="2">
        <f>DL34*(1+$AZ$41)</f>
        <v>1137182.3028655879</v>
      </c>
      <c r="DN34" s="2">
        <f>DM34*(1+$AZ$41)</f>
        <v>1148554.1258942438</v>
      </c>
      <c r="DO34" s="2">
        <f>DN34*(1+$AZ$41)</f>
        <v>1160039.6671531862</v>
      </c>
      <c r="DP34" s="2">
        <f>DO34*(1+$AZ$41)</f>
        <v>1171640.0638247181</v>
      </c>
      <c r="DQ34" s="2">
        <f>DP34*(1+$AZ$41)</f>
        <v>1183356.4644629653</v>
      </c>
      <c r="DR34" s="2">
        <f>DQ34*(1+$AZ$41)</f>
        <v>1195190.0291075949</v>
      </c>
      <c r="DS34" s="2">
        <f>DR34*(1+$AZ$41)</f>
        <v>1207141.9293986708</v>
      </c>
      <c r="DT34" s="2">
        <f>DS34*(1+$AZ$41)</f>
        <v>1219213.3486926574</v>
      </c>
      <c r="DU34" s="2">
        <f>DT34*(1+$AZ$41)</f>
        <v>1231405.482179584</v>
      </c>
      <c r="DV34" s="2">
        <f>DU34*(1+$AZ$41)</f>
        <v>1243719.5370013798</v>
      </c>
      <c r="DW34" s="2">
        <f>DV34*(1+$AZ$41)</f>
        <v>1256156.7323713936</v>
      </c>
      <c r="DX34" s="2">
        <f>DW34*(1+$AZ$41)</f>
        <v>1268718.2996951076</v>
      </c>
      <c r="DY34" s="2">
        <f>DX34*(1+$AZ$41)</f>
        <v>1281405.4826920587</v>
      </c>
      <c r="DZ34" s="2">
        <f>DY34*(1+$AZ$41)</f>
        <v>1294219.5375189793</v>
      </c>
      <c r="EA34" s="2">
        <f>DZ34*(1+$AZ$41)</f>
        <v>1307161.7328941692</v>
      </c>
      <c r="EB34" s="2">
        <f>EA34*(1+$AZ$41)</f>
        <v>1320233.3502231108</v>
      </c>
      <c r="EC34" s="2">
        <f>EB34*(1+$AZ$41)</f>
        <v>1333435.6837253419</v>
      </c>
      <c r="ED34" s="2">
        <f>EC34*(1+$AZ$41)</f>
        <v>1346770.0405625952</v>
      </c>
      <c r="EE34" s="2">
        <f>ED34*(1+$AZ$41)</f>
        <v>1360237.7409682211</v>
      </c>
      <c r="EF34" s="2">
        <f>EE34*(1+$AZ$41)</f>
        <v>1373840.1183779032</v>
      </c>
      <c r="EG34" s="2">
        <f>EF34*(1+$AZ$41)</f>
        <v>1387578.5195616824</v>
      </c>
      <c r="EH34" s="2">
        <f>EG34*(1+$AZ$41)</f>
        <v>1401454.3047572991</v>
      </c>
      <c r="EI34" s="2">
        <f>EH34*(1+$AZ$41)</f>
        <v>1415468.8478048721</v>
      </c>
      <c r="EJ34" s="2">
        <f>EI34*(1+$AZ$41)</f>
        <v>1429623.5362829207</v>
      </c>
      <c r="EK34" s="2">
        <f>EJ34*(1+$AZ$41)</f>
        <v>1443919.7716457499</v>
      </c>
      <c r="EL34" s="2">
        <f>EK34*(1+$AZ$41)</f>
        <v>1458358.9693622075</v>
      </c>
      <c r="EM34" s="2">
        <f>EL34*(1+$AZ$41)</f>
        <v>1472942.5590558297</v>
      </c>
      <c r="EN34" s="2">
        <f>EM34*(1+$AZ$41)</f>
        <v>1487671.9846463879</v>
      </c>
      <c r="EO34" s="2">
        <f>EN34*(1+$AZ$41)</f>
        <v>1502548.7044928519</v>
      </c>
    </row>
    <row r="35" spans="2:145" x14ac:dyDescent="0.2">
      <c r="B35" t="s">
        <v>12</v>
      </c>
      <c r="C35" s="6">
        <f t="shared" ref="C35:P35" si="61">+C34/C36</f>
        <v>1.4742765273311897</v>
      </c>
      <c r="D35" s="6">
        <f t="shared" si="61"/>
        <v>0.24840255591054314</v>
      </c>
      <c r="E35" s="6">
        <f t="shared" si="61"/>
        <v>0.27210884353741499</v>
      </c>
      <c r="F35" s="6">
        <f t="shared" si="61"/>
        <v>0.57725832012678291</v>
      </c>
      <c r="G35" s="6">
        <f t="shared" si="61"/>
        <v>0.75632911392405067</v>
      </c>
      <c r="H35" s="6">
        <f t="shared" si="61"/>
        <v>0.93759873617693523</v>
      </c>
      <c r="I35" s="6">
        <f t="shared" si="61"/>
        <v>0.97084318360914101</v>
      </c>
      <c r="J35" s="6">
        <f t="shared" si="61"/>
        <v>1.1799607072691551</v>
      </c>
      <c r="K35" s="6">
        <f t="shared" si="61"/>
        <v>1.1710681907765077</v>
      </c>
      <c r="L35" s="6">
        <f t="shared" si="61"/>
        <v>0.26073131955484896</v>
      </c>
      <c r="M35" s="6">
        <f t="shared" si="61"/>
        <v>0.27210884353741499</v>
      </c>
      <c r="N35" s="6">
        <f t="shared" si="61"/>
        <v>0.48942959712804146</v>
      </c>
      <c r="O35" s="6">
        <f t="shared" si="61"/>
        <v>0.82048192771084338</v>
      </c>
      <c r="P35" s="6">
        <f t="shared" si="61"/>
        <v>0.24757941906057454</v>
      </c>
      <c r="Q35" s="6">
        <f t="shared" ref="Q35:S35" si="62">+Q34/Q36</f>
        <v>3.7060946271050521</v>
      </c>
      <c r="R35" s="6">
        <f t="shared" si="62"/>
        <v>4.9477911646586348</v>
      </c>
      <c r="S35" s="6">
        <f t="shared" si="62"/>
        <v>5.978706307754118</v>
      </c>
      <c r="T35" s="6">
        <f t="shared" ref="T35:V35" si="63">+T34/T36</f>
        <v>0.66802157115260785</v>
      </c>
      <c r="U35" s="6">
        <f t="shared" si="63"/>
        <v>0.77940582869136998</v>
      </c>
      <c r="V35" s="6">
        <f t="shared" si="63"/>
        <v>0.95738299023169449</v>
      </c>
      <c r="W35" s="6"/>
      <c r="X35" s="6"/>
      <c r="Y35" s="6"/>
      <c r="Z35" s="6"/>
      <c r="AA35" s="6"/>
      <c r="AB35" s="6"/>
      <c r="AC35" s="15">
        <f t="shared" ref="AC35" si="64">+AC34/AC36</f>
        <v>0.33319403958660349</v>
      </c>
      <c r="AD35" s="15">
        <f t="shared" ref="AD35:AE35" si="65">+AD34/AD36</f>
        <v>0.94276012336725723</v>
      </c>
      <c r="AE35" s="15">
        <f t="shared" si="65"/>
        <v>0.90011952822354169</v>
      </c>
      <c r="AF35" s="15">
        <f t="shared" ref="AF35:AG35" si="66">+AF34/AF36</f>
        <v>0.73949579831932777</v>
      </c>
      <c r="AG35" s="15">
        <f t="shared" si="66"/>
        <v>1.152753108348135</v>
      </c>
      <c r="AH35" s="15">
        <f t="shared" ref="AH35:AI35" si="67">+AH34/AH36</f>
        <v>1.3093145869947276</v>
      </c>
      <c r="AI35" s="15">
        <f t="shared" si="67"/>
        <v>2.5716486902927582</v>
      </c>
      <c r="AJ35" s="15">
        <f t="shared" ref="AJ35:AK35" si="68">+AJ34/AJ36</f>
        <v>4.8212025316455698</v>
      </c>
      <c r="AK35" s="15">
        <f t="shared" si="68"/>
        <v>6.6256000000000004</v>
      </c>
      <c r="AL35" s="15">
        <f t="shared" ref="AL35:AM35" si="69">+AL34/AL36</f>
        <v>1.1310679611650485</v>
      </c>
      <c r="AM35" s="15">
        <f t="shared" si="69"/>
        <v>1.7258964143426294</v>
      </c>
      <c r="AN35" s="15">
        <f t="shared" ref="AN35:AU35" si="70">+AN34/AN36</f>
        <v>3.8469428007889546</v>
      </c>
      <c r="AO35" s="15">
        <f t="shared" si="70"/>
        <v>2.2074192261667331</v>
      </c>
      <c r="AP35" s="15">
        <f t="shared" si="70"/>
        <v>11.946271050521251</v>
      </c>
      <c r="AQ35" s="15">
        <f t="shared" si="70"/>
        <v>3.0074758294986679</v>
      </c>
      <c r="AR35" s="15">
        <f t="shared" si="70"/>
        <v>4.4282999273431818</v>
      </c>
      <c r="AS35" s="15">
        <f t="shared" si="70"/>
        <v>6.8038526519738429</v>
      </c>
      <c r="AT35" s="15">
        <f t="shared" si="70"/>
        <v>9.6538637539355765</v>
      </c>
      <c r="AU35" s="15">
        <f t="shared" si="70"/>
        <v>13.671725457980136</v>
      </c>
      <c r="AV35" s="15">
        <f t="shared" ref="AV35:AW35" si="71">+AV34/AV36</f>
        <v>17.863876325696292</v>
      </c>
      <c r="AW35" s="15">
        <f t="shared" si="71"/>
        <v>23.33353516992976</v>
      </c>
      <c r="AX35" s="15"/>
    </row>
    <row r="36" spans="2:145" x14ac:dyDescent="0.2">
      <c r="B36" t="s">
        <v>13</v>
      </c>
      <c r="C36" s="5">
        <v>622</v>
      </c>
      <c r="D36" s="5">
        <v>2504</v>
      </c>
      <c r="E36" s="5">
        <v>2499</v>
      </c>
      <c r="F36" s="5">
        <v>2524</v>
      </c>
      <c r="G36" s="5">
        <v>2528</v>
      </c>
      <c r="H36" s="5">
        <v>2532</v>
      </c>
      <c r="I36" s="5">
        <v>2538</v>
      </c>
      <c r="J36" s="5">
        <v>2545</v>
      </c>
      <c r="K36" s="5">
        <v>2537</v>
      </c>
      <c r="L36" s="5">
        <v>2516</v>
      </c>
      <c r="M36" s="5">
        <v>2499</v>
      </c>
      <c r="N36" s="5">
        <f>+AO36</f>
        <v>2507</v>
      </c>
      <c r="O36" s="5">
        <v>2490</v>
      </c>
      <c r="P36" s="5">
        <v>24994</v>
      </c>
      <c r="Q36" s="5">
        <v>2494</v>
      </c>
      <c r="R36" s="2">
        <v>2490</v>
      </c>
      <c r="S36" s="2">
        <v>2489</v>
      </c>
      <c r="T36" s="2">
        <v>24848</v>
      </c>
      <c r="U36" s="2">
        <v>24774</v>
      </c>
      <c r="V36" s="2">
        <f t="shared" ref="V36" si="72">+U36</f>
        <v>24774</v>
      </c>
      <c r="W36" s="2"/>
      <c r="X36" s="2"/>
      <c r="Y36" s="2"/>
      <c r="Z36" s="2"/>
      <c r="AA36" s="2"/>
      <c r="AB36" s="2"/>
      <c r="AC36" s="2">
        <v>588.68399999999997</v>
      </c>
      <c r="AD36" s="2">
        <v>616.37099999999998</v>
      </c>
      <c r="AE36" s="2">
        <v>624.95699999999999</v>
      </c>
      <c r="AF36" s="2">
        <v>595</v>
      </c>
      <c r="AG36" s="2">
        <v>563</v>
      </c>
      <c r="AH36" s="2">
        <v>569</v>
      </c>
      <c r="AI36" s="2">
        <v>649</v>
      </c>
      <c r="AJ36" s="2">
        <v>632</v>
      </c>
      <c r="AK36" s="2">
        <v>625</v>
      </c>
      <c r="AL36" s="2">
        <v>2472</v>
      </c>
      <c r="AM36" s="2">
        <v>2510</v>
      </c>
      <c r="AN36" s="2">
        <v>2535</v>
      </c>
      <c r="AO36" s="2">
        <v>2507</v>
      </c>
      <c r="AP36" s="2">
        <v>2494</v>
      </c>
      <c r="AQ36" s="2">
        <f>V36</f>
        <v>24774</v>
      </c>
      <c r="AR36" s="2">
        <f>+AQ36</f>
        <v>24774</v>
      </c>
      <c r="AS36" s="2">
        <f>+AR36</f>
        <v>24774</v>
      </c>
      <c r="AT36" s="2">
        <f>+AS36</f>
        <v>24774</v>
      </c>
      <c r="AU36" s="2">
        <f>+AT36</f>
        <v>24774</v>
      </c>
      <c r="AV36" s="2">
        <f t="shared" ref="AV36:AW36" si="73">+AU36</f>
        <v>24774</v>
      </c>
      <c r="AW36" s="2">
        <f t="shared" si="73"/>
        <v>24774</v>
      </c>
      <c r="AX36" s="2"/>
    </row>
    <row r="38" spans="2:145" x14ac:dyDescent="0.2">
      <c r="B38" t="s">
        <v>71</v>
      </c>
      <c r="G38" s="10">
        <f t="shared" ref="G38:I38" si="74">+G24/C24-1</f>
        <v>0.83798701298701306</v>
      </c>
      <c r="H38" s="10">
        <f t="shared" si="74"/>
        <v>0.68313502327987585</v>
      </c>
      <c r="I38" s="10">
        <f t="shared" si="74"/>
        <v>0.19760580003372108</v>
      </c>
      <c r="J38" s="10">
        <f t="shared" ref="J38:R38" si="75">+J24/F24-1</f>
        <v>0.52768338996602049</v>
      </c>
      <c r="K38" s="10">
        <f t="shared" si="75"/>
        <v>0.46405228758169925</v>
      </c>
      <c r="L38" s="10">
        <f t="shared" si="75"/>
        <v>3.0275088366374714E-2</v>
      </c>
      <c r="M38" s="10">
        <f t="shared" si="75"/>
        <v>-0.16500070392791777</v>
      </c>
      <c r="N38" s="10">
        <f t="shared" si="75"/>
        <v>-0.20829517205285886</v>
      </c>
      <c r="O38" s="10">
        <f t="shared" si="75"/>
        <v>-0.13223938223938225</v>
      </c>
      <c r="P38" s="10">
        <f t="shared" si="75"/>
        <v>1.0147673031026252</v>
      </c>
      <c r="Q38" s="10">
        <f t="shared" si="75"/>
        <v>2.0551340414769852</v>
      </c>
      <c r="R38" s="10">
        <f t="shared" si="75"/>
        <v>2.6585688315980831</v>
      </c>
      <c r="S38" s="10">
        <f>+S24/O24-1</f>
        <v>2.6212458286985538</v>
      </c>
      <c r="T38" s="10">
        <f t="shared" ref="T38" si="76">+T24/P24-1</f>
        <v>1.2240319834160065</v>
      </c>
      <c r="U38" s="10">
        <f t="shared" ref="U38" si="77">+U24/Q24-1</f>
        <v>0.93609271523178816</v>
      </c>
      <c r="V38" s="10">
        <f t="shared" ref="V38:W38" si="78">+V24/R24-1</f>
        <v>0.84557773963321003</v>
      </c>
      <c r="W38" s="10">
        <f t="shared" si="78"/>
        <v>0.67947588696052819</v>
      </c>
      <c r="X38" s="10">
        <f t="shared" ref="X38" si="79">+X24/T24-1</f>
        <v>0.54599201065246361</v>
      </c>
      <c r="Y38" s="10">
        <f t="shared" ref="Y38" si="80">+Y24/U24-1</f>
        <v>0.40187204264295096</v>
      </c>
      <c r="Z38" s="10">
        <f t="shared" ref="Z38" si="81">+Z24/V24-1</f>
        <v>0.4517460729268139</v>
      </c>
      <c r="AA38" s="10"/>
      <c r="AB38" s="10"/>
      <c r="AC38" s="10"/>
      <c r="AD38" s="10">
        <f t="shared" ref="AD38:AW38" si="82">+AD24/AC24-1</f>
        <v>0.12830407960468571</v>
      </c>
      <c r="AE38" s="10">
        <f t="shared" si="82"/>
        <v>7.0593782282331041E-2</v>
      </c>
      <c r="AF38" s="10">
        <f t="shared" si="82"/>
        <v>-3.5082575203397748E-2</v>
      </c>
      <c r="AG38" s="10">
        <f t="shared" si="82"/>
        <v>0.13365617433414045</v>
      </c>
      <c r="AH38" s="10">
        <f t="shared" si="82"/>
        <v>7.0055531824006811E-2</v>
      </c>
      <c r="AI38" s="10">
        <f t="shared" si="82"/>
        <v>0.37924151696606789</v>
      </c>
      <c r="AJ38" s="10">
        <f t="shared" si="82"/>
        <v>0.40578871201157751</v>
      </c>
      <c r="AK38" s="10">
        <f t="shared" si="82"/>
        <v>0.20609429689108505</v>
      </c>
      <c r="AL38" s="10">
        <f t="shared" si="82"/>
        <v>-6.8111983612154314E-2</v>
      </c>
      <c r="AM38" s="10">
        <f t="shared" si="82"/>
        <v>0.52729437625938824</v>
      </c>
      <c r="AN38" s="10">
        <f t="shared" si="82"/>
        <v>0.61403298350824587</v>
      </c>
      <c r="AO38" s="10">
        <f t="shared" si="82"/>
        <v>2.2293230289069932E-3</v>
      </c>
      <c r="AP38" s="10">
        <f t="shared" si="82"/>
        <v>1.2598428115963523</v>
      </c>
      <c r="AQ38" s="10">
        <f t="shared" si="82"/>
        <v>1.1658447758255819</v>
      </c>
      <c r="AR38" s="10">
        <f>+AR24/AQ24-1</f>
        <v>0.5</v>
      </c>
      <c r="AS38" s="10">
        <f t="shared" si="82"/>
        <v>0.5</v>
      </c>
      <c r="AT38" s="10">
        <f t="shared" si="82"/>
        <v>0.39999999999999991</v>
      </c>
      <c r="AU38" s="10">
        <f t="shared" si="82"/>
        <v>0.39999999999999991</v>
      </c>
      <c r="AV38" s="10">
        <f t="shared" si="82"/>
        <v>0.30000000000000004</v>
      </c>
      <c r="AW38" s="10">
        <f t="shared" si="82"/>
        <v>0.30000000000000004</v>
      </c>
      <c r="AX38" s="10"/>
      <c r="AY38" s="10"/>
    </row>
    <row r="39" spans="2:145" x14ac:dyDescent="0.2">
      <c r="B39" t="s">
        <v>72</v>
      </c>
      <c r="D39" s="10">
        <f t="shared" ref="D39" si="83">+D24/C24-1</f>
        <v>0.2551948051948052</v>
      </c>
      <c r="E39" s="10">
        <f t="shared" ref="E39" si="84">+E24/D24-1</f>
        <v>0.53414381789963783</v>
      </c>
      <c r="F39" s="10">
        <f t="shared" ref="F39" si="85">+F24/E24-1</f>
        <v>-0.15646602596526726</v>
      </c>
      <c r="G39" s="10">
        <f t="shared" ref="G39:R39" si="86">+G24/F24-1</f>
        <v>0.13152108734759138</v>
      </c>
      <c r="H39" s="10">
        <f t="shared" si="86"/>
        <v>0.14944356120826718</v>
      </c>
      <c r="I39" s="10">
        <f t="shared" si="86"/>
        <v>9.1593668357153879E-2</v>
      </c>
      <c r="J39" s="10">
        <f t="shared" si="86"/>
        <v>7.6024215120371608E-2</v>
      </c>
      <c r="K39" s="10">
        <f t="shared" si="86"/>
        <v>8.4390945963626951E-2</v>
      </c>
      <c r="L39" s="10">
        <f t="shared" si="86"/>
        <v>-0.19111969111969107</v>
      </c>
      <c r="M39" s="10">
        <f t="shared" si="86"/>
        <v>-0.11530429594272074</v>
      </c>
      <c r="N39" s="10">
        <f t="shared" si="86"/>
        <v>2.0232675771370667E-2</v>
      </c>
      <c r="O39" s="10">
        <f t="shared" si="86"/>
        <v>0.1885638737398776</v>
      </c>
      <c r="P39" s="10">
        <f t="shared" si="86"/>
        <v>0.87805895439377091</v>
      </c>
      <c r="Q39" s="10">
        <f t="shared" si="86"/>
        <v>0.34152661582882948</v>
      </c>
      <c r="R39" s="10">
        <f t="shared" si="86"/>
        <v>0.22174392935982334</v>
      </c>
      <c r="S39" s="10">
        <f>+S24/R24-1</f>
        <v>0.1764387026831693</v>
      </c>
      <c r="T39" s="10">
        <f t="shared" ref="T39" si="87">+T24/S24-1</f>
        <v>0.1534326524343419</v>
      </c>
      <c r="U39" s="10">
        <f t="shared" ref="U39" si="88">+U24/T24-1</f>
        <v>0.16784287616511318</v>
      </c>
      <c r="V39" s="10">
        <f t="shared" ref="V39" si="89">+V24/U24-1</f>
        <v>0.16462573399464109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2:145" x14ac:dyDescent="0.2">
      <c r="B40" t="s">
        <v>73</v>
      </c>
      <c r="H40" s="10">
        <f t="shared" ref="H40:R40" si="90">+H22/G22-1</f>
        <v>0.15414634146341455</v>
      </c>
      <c r="I40" s="10">
        <f t="shared" si="90"/>
        <v>0.24091293322062546</v>
      </c>
      <c r="J40" s="10">
        <f t="shared" si="90"/>
        <v>0.11035422343324242</v>
      </c>
      <c r="K40" s="10">
        <f t="shared" si="90"/>
        <v>0.15030674846625769</v>
      </c>
      <c r="L40" s="10">
        <f t="shared" si="90"/>
        <v>1.4933333333333243E-2</v>
      </c>
      <c r="M40" s="10">
        <f t="shared" si="90"/>
        <v>7.0940620073567384E-3</v>
      </c>
      <c r="N40" s="10">
        <f t="shared" si="90"/>
        <v>-5.5570049569527824E-2</v>
      </c>
      <c r="O40" s="10">
        <f t="shared" si="90"/>
        <v>0.18342541436464099</v>
      </c>
      <c r="P40" s="10">
        <f t="shared" si="90"/>
        <v>1.4096638655462184</v>
      </c>
      <c r="Q40" s="10">
        <f t="shared" si="90"/>
        <v>0.40598663179308336</v>
      </c>
      <c r="R40" s="10">
        <f t="shared" si="90"/>
        <v>0.2680170869505305</v>
      </c>
      <c r="S40" s="10">
        <f>+S22/R22-1</f>
        <v>0.22598348185177142</v>
      </c>
      <c r="T40" s="10">
        <f t="shared" ref="T40" si="91">+T22/S22-1</f>
        <v>0.16438416877188322</v>
      </c>
      <c r="U40" s="10">
        <f t="shared" ref="U40" si="92">+U22/T22-1</f>
        <v>0.17124695493300846</v>
      </c>
      <c r="V40" s="10">
        <f t="shared" ref="V40" si="93">+V22/U22-1</f>
        <v>0.19430632738617537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2:145" x14ac:dyDescent="0.2">
      <c r="B41" t="s">
        <v>5</v>
      </c>
      <c r="C41" s="7">
        <f t="shared" ref="C41:D41" si="94">C26/C24</f>
        <v>0.6506493506493507</v>
      </c>
      <c r="D41" s="7">
        <f t="shared" si="94"/>
        <v>0.58846352819451631</v>
      </c>
      <c r="E41" s="7">
        <f t="shared" ref="E41:M41" si="95">E26/E24</f>
        <v>0.53566009104704093</v>
      </c>
      <c r="F41" s="7">
        <f t="shared" si="95"/>
        <v>0.6310213871676994</v>
      </c>
      <c r="G41" s="7">
        <f t="shared" si="95"/>
        <v>0.6410528175234057</v>
      </c>
      <c r="H41" s="7">
        <f t="shared" si="95"/>
        <v>0.64776394651913327</v>
      </c>
      <c r="I41" s="7">
        <f t="shared" si="95"/>
        <v>0.65197803744896521</v>
      </c>
      <c r="J41" s="7">
        <f t="shared" si="95"/>
        <v>0.65406254088708626</v>
      </c>
      <c r="K41" s="7">
        <f t="shared" si="95"/>
        <v>0.65528474903474898</v>
      </c>
      <c r="L41" s="7">
        <f t="shared" si="95"/>
        <v>0.43481503579952269</v>
      </c>
      <c r="M41" s="7">
        <f t="shared" si="95"/>
        <v>0.53566009104704093</v>
      </c>
      <c r="N41" s="7"/>
      <c r="O41" s="7">
        <f t="shared" ref="O41:T41" si="96">O26/O24</f>
        <v>0.64627363737486099</v>
      </c>
      <c r="P41" s="7">
        <f t="shared" si="96"/>
        <v>0.7005256533649219</v>
      </c>
      <c r="Q41" s="7">
        <f t="shared" si="96"/>
        <v>0.73951434878587197</v>
      </c>
      <c r="R41" s="7">
        <f t="shared" si="96"/>
        <v>0.76005059174270484</v>
      </c>
      <c r="S41" s="7">
        <f t="shared" si="96"/>
        <v>0.78352019659038552</v>
      </c>
      <c r="T41" s="7">
        <f t="shared" si="96"/>
        <v>0.75146471371504664</v>
      </c>
      <c r="U41" s="7">
        <f t="shared" ref="U41:V41" si="97">U26/U24</f>
        <v>0.74556752750698363</v>
      </c>
      <c r="V41" s="7">
        <f t="shared" si="97"/>
        <v>0.78</v>
      </c>
      <c r="W41" s="7"/>
      <c r="X41" s="7"/>
      <c r="Y41" s="7"/>
      <c r="Z41" s="7"/>
      <c r="AA41" s="7"/>
      <c r="AB41" s="7"/>
      <c r="AC41" s="7">
        <f t="shared" ref="AC41" si="98">AC26/AC24</f>
        <v>0.39767629636591112</v>
      </c>
      <c r="AD41" s="7">
        <f t="shared" ref="AD41:AE41" si="99">AD26/AD24</f>
        <v>0.51439544964519135</v>
      </c>
      <c r="AE41" s="7">
        <f t="shared" si="99"/>
        <v>0.52015427464260089</v>
      </c>
      <c r="AF41" s="7">
        <f t="shared" ref="AF41:AW41" si="100">AF26/AF24</f>
        <v>0.54915254237288136</v>
      </c>
      <c r="AG41" s="7">
        <f t="shared" si="100"/>
        <v>0.55510465612985904</v>
      </c>
      <c r="AH41" s="7">
        <f t="shared" si="100"/>
        <v>0.56107784431137719</v>
      </c>
      <c r="AI41" s="7">
        <f t="shared" si="100"/>
        <v>0.58798842257597683</v>
      </c>
      <c r="AJ41" s="7">
        <f t="shared" si="100"/>
        <v>0.59934115709285563</v>
      </c>
      <c r="AK41" s="7">
        <f t="shared" si="100"/>
        <v>0.61206896551724133</v>
      </c>
      <c r="AL41" s="7">
        <f t="shared" si="100"/>
        <v>0.61989375343469499</v>
      </c>
      <c r="AM41" s="7">
        <f t="shared" si="100"/>
        <v>0.62344827586206897</v>
      </c>
      <c r="AN41" s="7">
        <f t="shared" si="100"/>
        <v>0.64929033216913135</v>
      </c>
      <c r="AO41" s="7">
        <f t="shared" si="100"/>
        <v>0.56928894490991322</v>
      </c>
      <c r="AP41" s="7">
        <f t="shared" si="100"/>
        <v>0.72733238184293847</v>
      </c>
      <c r="AQ41" s="7">
        <f t="shared" si="100"/>
        <v>0.76505204380435587</v>
      </c>
      <c r="AR41" s="7">
        <f t="shared" si="100"/>
        <v>0.78</v>
      </c>
      <c r="AS41" s="7">
        <f t="shared" si="100"/>
        <v>0.78</v>
      </c>
      <c r="AT41" s="7">
        <f t="shared" si="100"/>
        <v>0.78</v>
      </c>
      <c r="AU41" s="7">
        <f t="shared" si="100"/>
        <v>0.78</v>
      </c>
      <c r="AV41" s="7">
        <f t="shared" si="100"/>
        <v>0.78</v>
      </c>
      <c r="AW41" s="7">
        <f t="shared" si="100"/>
        <v>0.78</v>
      </c>
      <c r="AY41" t="s">
        <v>167</v>
      </c>
      <c r="AZ41" s="10">
        <v>0.01</v>
      </c>
    </row>
    <row r="42" spans="2:145" x14ac:dyDescent="0.2">
      <c r="B42" t="s">
        <v>24</v>
      </c>
      <c r="C42" s="7">
        <f t="shared" ref="C42:E42" si="101">C22/C24</f>
        <v>0</v>
      </c>
      <c r="D42" s="7">
        <f t="shared" si="101"/>
        <v>0</v>
      </c>
      <c r="E42" s="7">
        <f t="shared" si="101"/>
        <v>0</v>
      </c>
      <c r="F42" s="7">
        <f t="shared" ref="F42:K42" si="102">F22/F24</f>
        <v>0</v>
      </c>
      <c r="G42" s="7">
        <f t="shared" si="102"/>
        <v>0.36212683271506801</v>
      </c>
      <c r="H42" s="7">
        <f t="shared" si="102"/>
        <v>0.36360842169970803</v>
      </c>
      <c r="I42" s="7">
        <f t="shared" si="102"/>
        <v>0.41334647332113189</v>
      </c>
      <c r="J42" s="7">
        <f t="shared" si="102"/>
        <v>0.42653408347507521</v>
      </c>
      <c r="K42" s="7">
        <f t="shared" si="102"/>
        <v>0.45246138996138996</v>
      </c>
      <c r="L42" s="7">
        <f t="shared" ref="L42:Q42" si="103">L22/L24</f>
        <v>0.56772076372315039</v>
      </c>
      <c r="M42" s="7">
        <f t="shared" si="103"/>
        <v>0.64626538526386779</v>
      </c>
      <c r="N42" s="7">
        <f t="shared" si="103"/>
        <v>0.59824822343414308</v>
      </c>
      <c r="O42" s="7">
        <f t="shared" si="103"/>
        <v>0.59566184649610676</v>
      </c>
      <c r="P42" s="7">
        <f t="shared" si="103"/>
        <v>0.76427037832235134</v>
      </c>
      <c r="Q42" s="7">
        <f t="shared" si="103"/>
        <v>0.80099337748344368</v>
      </c>
      <c r="R42" s="7">
        <f t="shared" ref="R42:V42" si="104">R22/R24</f>
        <v>0.83133074351793301</v>
      </c>
      <c r="S42" s="7">
        <f>S22/S24</f>
        <v>0.86634157579480875</v>
      </c>
      <c r="T42" s="7">
        <f t="shared" si="104"/>
        <v>0.87456724367509986</v>
      </c>
      <c r="U42" s="7">
        <f t="shared" si="104"/>
        <v>0.87711646998460746</v>
      </c>
      <c r="V42" s="7">
        <f t="shared" si="104"/>
        <v>0.89946986347638369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Y42" t="s">
        <v>165</v>
      </c>
      <c r="AZ42" s="10">
        <v>0.09</v>
      </c>
    </row>
    <row r="43" spans="2:145" x14ac:dyDescent="0.2">
      <c r="AY43" t="s">
        <v>166</v>
      </c>
      <c r="AZ43" s="2">
        <f>NPV(AZ42,AR34:EO34)+Main!K5-Main!K6</f>
        <v>5678198.9146928452</v>
      </c>
    </row>
    <row r="44" spans="2:145" x14ac:dyDescent="0.2">
      <c r="B44" t="s">
        <v>163</v>
      </c>
      <c r="G44" s="2">
        <f>+G45-G58</f>
        <v>5704</v>
      </c>
      <c r="H44" s="2">
        <f t="shared" ref="H44" si="105">+H45-H58</f>
        <v>7711</v>
      </c>
      <c r="J44" s="2"/>
      <c r="K44" s="2">
        <f t="shared" ref="K44:R44" si="106">+K45-K58</f>
        <v>9391</v>
      </c>
      <c r="L44" s="2">
        <f t="shared" si="106"/>
        <v>6088</v>
      </c>
      <c r="M44" s="2">
        <f t="shared" si="106"/>
        <v>2193</v>
      </c>
      <c r="N44" s="2">
        <f t="shared" si="106"/>
        <v>2343</v>
      </c>
      <c r="O44" s="2">
        <f t="shared" si="106"/>
        <v>4366</v>
      </c>
      <c r="P44" s="2">
        <f t="shared" si="106"/>
        <v>6318</v>
      </c>
      <c r="Q44" s="2">
        <f t="shared" si="106"/>
        <v>8575</v>
      </c>
      <c r="R44" s="2">
        <f t="shared" si="106"/>
        <v>16275</v>
      </c>
      <c r="S44" s="2">
        <f t="shared" ref="S44:V44" si="107">+S45-S58</f>
        <v>21728</v>
      </c>
      <c r="T44" s="2">
        <f t="shared" si="107"/>
        <v>26339</v>
      </c>
      <c r="U44" s="2">
        <f t="shared" si="107"/>
        <v>30025</v>
      </c>
      <c r="V44" s="2">
        <f t="shared" si="107"/>
        <v>0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Y44" t="s">
        <v>13</v>
      </c>
      <c r="AZ44" s="15">
        <f>AZ43/Main!K3</f>
        <v>229.1999238997677</v>
      </c>
    </row>
    <row r="45" spans="2:145" s="2" customFormat="1" x14ac:dyDescent="0.2">
      <c r="B45" s="2" t="s">
        <v>38</v>
      </c>
      <c r="C45" s="5"/>
      <c r="D45" s="5"/>
      <c r="E45" s="5"/>
      <c r="F45" s="5"/>
      <c r="G45" s="5">
        <f>978+11689</f>
        <v>12667</v>
      </c>
      <c r="H45" s="5">
        <f>5628+14026</f>
        <v>19654</v>
      </c>
      <c r="I45" s="5"/>
      <c r="J45" s="5"/>
      <c r="K45" s="5">
        <f>3887+16451</f>
        <v>20338</v>
      </c>
      <c r="L45" s="5">
        <f>3013+14024</f>
        <v>17037</v>
      </c>
      <c r="M45" s="5">
        <f>2800+10343</f>
        <v>13143</v>
      </c>
      <c r="N45" s="5">
        <f>3389+9907</f>
        <v>13296</v>
      </c>
      <c r="O45" s="2">
        <f>5079+10241</f>
        <v>15320</v>
      </c>
      <c r="P45" s="2">
        <f>5783+10240</f>
        <v>16023</v>
      </c>
      <c r="Q45" s="2">
        <f>5519+12762</f>
        <v>18281</v>
      </c>
      <c r="R45" s="2">
        <f>7280+18704</f>
        <v>25984</v>
      </c>
      <c r="S45" s="2">
        <f>7587+23851</f>
        <v>31438</v>
      </c>
      <c r="T45" s="2">
        <f>8563+26237</f>
        <v>34800</v>
      </c>
      <c r="U45" s="2">
        <f>9107+29380</f>
        <v>38487</v>
      </c>
      <c r="AP45" s="2">
        <f>+R45</f>
        <v>25984</v>
      </c>
    </row>
    <row r="46" spans="2:145" s="2" customFormat="1" x14ac:dyDescent="0.2">
      <c r="B46" s="2" t="s">
        <v>39</v>
      </c>
      <c r="C46" s="5"/>
      <c r="D46" s="5"/>
      <c r="E46" s="5"/>
      <c r="F46" s="5"/>
      <c r="G46" s="5">
        <v>3024</v>
      </c>
      <c r="H46" s="5">
        <v>3586</v>
      </c>
      <c r="I46" s="5"/>
      <c r="J46" s="5"/>
      <c r="K46" s="5">
        <v>5438</v>
      </c>
      <c r="L46" s="5">
        <v>5317</v>
      </c>
      <c r="M46" s="5">
        <v>4908</v>
      </c>
      <c r="N46" s="5">
        <v>3827</v>
      </c>
      <c r="O46" s="2">
        <v>4080</v>
      </c>
      <c r="P46" s="2">
        <v>7066</v>
      </c>
      <c r="Q46" s="2">
        <v>8309</v>
      </c>
      <c r="R46" s="2">
        <v>9999</v>
      </c>
      <c r="S46" s="2">
        <v>12365</v>
      </c>
      <c r="T46" s="2">
        <v>14132</v>
      </c>
      <c r="U46" s="2">
        <v>17693</v>
      </c>
      <c r="AP46" s="2">
        <f t="shared" ref="AP46:AP53" si="108">+R46</f>
        <v>9999</v>
      </c>
    </row>
    <row r="47" spans="2:145" s="2" customFormat="1" x14ac:dyDescent="0.2">
      <c r="B47" s="2" t="s">
        <v>40</v>
      </c>
      <c r="C47" s="5"/>
      <c r="D47" s="5"/>
      <c r="E47" s="5"/>
      <c r="F47" s="5"/>
      <c r="G47" s="5">
        <v>1992</v>
      </c>
      <c r="H47" s="5">
        <v>2114</v>
      </c>
      <c r="I47" s="5"/>
      <c r="J47" s="5"/>
      <c r="K47" s="5">
        <v>3163</v>
      </c>
      <c r="L47" s="5">
        <v>3889</v>
      </c>
      <c r="M47" s="5">
        <v>4454</v>
      </c>
      <c r="N47" s="5">
        <v>5159</v>
      </c>
      <c r="O47" s="2">
        <v>4611</v>
      </c>
      <c r="P47" s="2">
        <v>4319</v>
      </c>
      <c r="Q47" s="2">
        <v>4779</v>
      </c>
      <c r="R47" s="2">
        <v>5282</v>
      </c>
      <c r="S47" s="2">
        <v>5864</v>
      </c>
      <c r="T47" s="2">
        <v>6675</v>
      </c>
      <c r="U47" s="2">
        <v>7654</v>
      </c>
      <c r="AP47" s="2">
        <f t="shared" si="108"/>
        <v>5282</v>
      </c>
    </row>
    <row r="48" spans="2:145" s="2" customFormat="1" x14ac:dyDescent="0.2">
      <c r="B48" s="2" t="s">
        <v>41</v>
      </c>
      <c r="C48" s="5"/>
      <c r="D48" s="5"/>
      <c r="E48" s="5"/>
      <c r="F48" s="5"/>
      <c r="G48" s="5">
        <v>444</v>
      </c>
      <c r="H48" s="5">
        <v>452</v>
      </c>
      <c r="I48" s="5"/>
      <c r="J48" s="5"/>
      <c r="K48" s="5">
        <v>636</v>
      </c>
      <c r="L48" s="5">
        <v>1175</v>
      </c>
      <c r="M48" s="5">
        <v>718</v>
      </c>
      <c r="N48" s="5">
        <v>791</v>
      </c>
      <c r="O48" s="2">
        <v>872</v>
      </c>
      <c r="P48" s="2">
        <v>1389</v>
      </c>
      <c r="Q48" s="2">
        <v>1289</v>
      </c>
      <c r="R48" s="2">
        <v>3080</v>
      </c>
      <c r="S48" s="2">
        <v>4062</v>
      </c>
      <c r="T48" s="2">
        <v>4026</v>
      </c>
      <c r="U48" s="2">
        <v>3806</v>
      </c>
      <c r="AP48" s="2">
        <f t="shared" si="108"/>
        <v>3080</v>
      </c>
    </row>
    <row r="49" spans="2:42" s="2" customFormat="1" x14ac:dyDescent="0.2">
      <c r="B49" s="2" t="s">
        <v>42</v>
      </c>
      <c r="C49" s="5"/>
      <c r="D49" s="5"/>
      <c r="E49" s="5"/>
      <c r="F49" s="5"/>
      <c r="G49" s="5">
        <v>2268</v>
      </c>
      <c r="H49" s="5">
        <v>2364</v>
      </c>
      <c r="I49" s="5"/>
      <c r="J49" s="5"/>
      <c r="K49" s="5">
        <v>2916</v>
      </c>
      <c r="L49" s="5">
        <v>3233</v>
      </c>
      <c r="M49" s="5">
        <v>3774</v>
      </c>
      <c r="N49" s="5">
        <v>3807</v>
      </c>
      <c r="O49" s="2">
        <v>3740</v>
      </c>
      <c r="P49" s="2">
        <v>3799</v>
      </c>
      <c r="Q49" s="2">
        <v>3844</v>
      </c>
      <c r="R49" s="2">
        <v>3914</v>
      </c>
      <c r="S49" s="2">
        <v>4006</v>
      </c>
      <c r="T49" s="2">
        <v>4885</v>
      </c>
      <c r="U49" s="2">
        <v>5343</v>
      </c>
      <c r="AP49" s="2">
        <f t="shared" si="108"/>
        <v>3914</v>
      </c>
    </row>
    <row r="50" spans="2:42" s="2" customFormat="1" x14ac:dyDescent="0.2">
      <c r="B50" s="2" t="s">
        <v>43</v>
      </c>
      <c r="C50" s="5"/>
      <c r="D50" s="5"/>
      <c r="E50" s="5"/>
      <c r="F50" s="5"/>
      <c r="G50" s="5">
        <v>727</v>
      </c>
      <c r="H50" s="5">
        <v>801</v>
      </c>
      <c r="I50" s="5"/>
      <c r="J50" s="5"/>
      <c r="K50" s="5">
        <v>856</v>
      </c>
      <c r="L50" s="5">
        <v>852</v>
      </c>
      <c r="M50" s="5">
        <v>927</v>
      </c>
      <c r="N50" s="5">
        <v>1038</v>
      </c>
      <c r="O50" s="2">
        <v>1094</v>
      </c>
      <c r="P50" s="2">
        <v>1235</v>
      </c>
      <c r="Q50" s="2">
        <v>1316</v>
      </c>
      <c r="R50" s="2">
        <v>1346</v>
      </c>
      <c r="S50" s="2">
        <v>1532</v>
      </c>
      <c r="T50" s="2">
        <v>1556</v>
      </c>
      <c r="U50" s="2">
        <v>1755</v>
      </c>
      <c r="AP50" s="2">
        <f t="shared" si="108"/>
        <v>1346</v>
      </c>
    </row>
    <row r="51" spans="2:42" s="2" customFormat="1" x14ac:dyDescent="0.2">
      <c r="B51" s="2" t="s">
        <v>44</v>
      </c>
      <c r="C51" s="5"/>
      <c r="D51" s="5"/>
      <c r="E51" s="5"/>
      <c r="F51" s="5"/>
      <c r="G51" s="5">
        <f>4193+2613</f>
        <v>6806</v>
      </c>
      <c r="H51" s="5">
        <f>4193+2478</f>
        <v>6671</v>
      </c>
      <c r="I51" s="5"/>
      <c r="J51" s="5"/>
      <c r="K51" s="5">
        <f>4365+2211</f>
        <v>6576</v>
      </c>
      <c r="L51" s="5">
        <f>4372+2036</f>
        <v>6408</v>
      </c>
      <c r="M51" s="5">
        <f>4372+1850</f>
        <v>6222</v>
      </c>
      <c r="N51" s="5">
        <f>4372+1676</f>
        <v>6048</v>
      </c>
      <c r="O51" s="2">
        <f>4430+1541</f>
        <v>5971</v>
      </c>
      <c r="P51" s="2">
        <f>4430+1395</f>
        <v>5825</v>
      </c>
      <c r="Q51" s="2">
        <f>4430+1251</f>
        <v>5681</v>
      </c>
      <c r="R51" s="2">
        <f>4430+1112</f>
        <v>5542</v>
      </c>
      <c r="S51" s="2">
        <f>4453+986</f>
        <v>5439</v>
      </c>
      <c r="T51" s="2">
        <f>4622+952</f>
        <v>5574</v>
      </c>
      <c r="U51" s="2">
        <f>4724+838</f>
        <v>5562</v>
      </c>
      <c r="AP51" s="2">
        <f t="shared" si="108"/>
        <v>5542</v>
      </c>
    </row>
    <row r="52" spans="2:42" s="2" customFormat="1" x14ac:dyDescent="0.2">
      <c r="B52" s="2" t="s">
        <v>9</v>
      </c>
      <c r="C52" s="5"/>
      <c r="D52" s="5"/>
      <c r="E52" s="5"/>
      <c r="F52" s="5"/>
      <c r="G52" s="5">
        <v>778</v>
      </c>
      <c r="H52" s="5">
        <v>958</v>
      </c>
      <c r="I52" s="5"/>
      <c r="J52" s="5"/>
      <c r="K52" s="5">
        <v>1784</v>
      </c>
      <c r="L52" s="5">
        <v>2225</v>
      </c>
      <c r="M52" s="5">
        <v>2762</v>
      </c>
      <c r="N52" s="5">
        <v>3396</v>
      </c>
      <c r="O52" s="2">
        <v>4568</v>
      </c>
      <c r="P52" s="2">
        <v>5398</v>
      </c>
      <c r="Q52" s="2">
        <v>5982</v>
      </c>
      <c r="R52" s="2">
        <v>6081</v>
      </c>
      <c r="S52" s="2">
        <v>7798</v>
      </c>
      <c r="T52" s="2">
        <v>9578</v>
      </c>
      <c r="U52" s="2">
        <v>10276</v>
      </c>
      <c r="AP52" s="2">
        <f t="shared" si="108"/>
        <v>6081</v>
      </c>
    </row>
    <row r="53" spans="2:42" s="2" customFormat="1" x14ac:dyDescent="0.2">
      <c r="B53" s="2" t="s">
        <v>45</v>
      </c>
      <c r="C53" s="5"/>
      <c r="D53" s="5"/>
      <c r="E53" s="5"/>
      <c r="F53" s="5"/>
      <c r="G53" s="5">
        <v>2090</v>
      </c>
      <c r="H53" s="5">
        <v>2050</v>
      </c>
      <c r="I53" s="5"/>
      <c r="J53" s="5"/>
      <c r="K53" s="5">
        <v>3505</v>
      </c>
      <c r="L53" s="5">
        <v>3340</v>
      </c>
      <c r="M53" s="5">
        <v>3580</v>
      </c>
      <c r="N53" s="5">
        <v>3820</v>
      </c>
      <c r="O53" s="2">
        <v>4204</v>
      </c>
      <c r="P53" s="2">
        <v>4501</v>
      </c>
      <c r="Q53" s="2">
        <v>4667</v>
      </c>
      <c r="R53" s="2">
        <v>4500</v>
      </c>
      <c r="S53" s="2">
        <v>4568</v>
      </c>
      <c r="T53" s="2">
        <v>4001</v>
      </c>
      <c r="U53" s="2">
        <v>5437</v>
      </c>
      <c r="AP53" s="2">
        <f t="shared" si="108"/>
        <v>4500</v>
      </c>
    </row>
    <row r="54" spans="2:42" s="2" customFormat="1" x14ac:dyDescent="0.2">
      <c r="B54" s="2" t="s">
        <v>37</v>
      </c>
      <c r="C54" s="5"/>
      <c r="D54" s="5"/>
      <c r="E54" s="5"/>
      <c r="F54" s="5"/>
      <c r="G54" s="2">
        <f t="shared" ref="G54:H54" si="109">SUM(G45:G53)</f>
        <v>30796</v>
      </c>
      <c r="H54" s="2">
        <f t="shared" si="109"/>
        <v>38650</v>
      </c>
      <c r="I54" s="5"/>
      <c r="J54" s="5"/>
      <c r="K54" s="2">
        <f t="shared" ref="K54:M54" si="110">SUM(K45:K53)</f>
        <v>45212</v>
      </c>
      <c r="L54" s="2">
        <f t="shared" si="110"/>
        <v>43476</v>
      </c>
      <c r="M54" s="2">
        <f t="shared" si="110"/>
        <v>40488</v>
      </c>
      <c r="N54" s="2">
        <f t="shared" ref="N54:O54" si="111">SUM(N45:N53)</f>
        <v>41182</v>
      </c>
      <c r="O54" s="2">
        <f t="shared" si="111"/>
        <v>44460</v>
      </c>
      <c r="P54" s="2">
        <f t="shared" ref="P54:U54" si="112">SUM(P45:P53)</f>
        <v>49555</v>
      </c>
      <c r="Q54" s="2">
        <f t="shared" si="112"/>
        <v>54148</v>
      </c>
      <c r="R54" s="2">
        <f t="shared" si="112"/>
        <v>65728</v>
      </c>
      <c r="S54" s="2">
        <f t="shared" si="112"/>
        <v>77072</v>
      </c>
      <c r="T54" s="2">
        <f t="shared" si="112"/>
        <v>85227</v>
      </c>
      <c r="U54" s="2">
        <f t="shared" si="112"/>
        <v>96013</v>
      </c>
      <c r="AP54" s="2">
        <f>SUM(AP45:AP53)</f>
        <v>65728</v>
      </c>
    </row>
    <row r="55" spans="2:42" s="2" customFormat="1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2:42" s="2" customFormat="1" x14ac:dyDescent="0.2">
      <c r="B56" s="2" t="s">
        <v>36</v>
      </c>
      <c r="C56" s="5"/>
      <c r="D56" s="5"/>
      <c r="E56" s="5"/>
      <c r="F56" s="5"/>
      <c r="G56" s="5">
        <v>1218</v>
      </c>
      <c r="H56" s="5">
        <v>1474</v>
      </c>
      <c r="I56" s="5"/>
      <c r="J56" s="5"/>
      <c r="K56" s="5">
        <v>1999</v>
      </c>
      <c r="L56" s="5">
        <v>2421</v>
      </c>
      <c r="M56" s="5">
        <v>1491</v>
      </c>
      <c r="N56" s="5">
        <v>1193</v>
      </c>
      <c r="O56" s="2">
        <v>1141</v>
      </c>
      <c r="P56" s="2">
        <v>1929</v>
      </c>
      <c r="Q56" s="2">
        <v>2380</v>
      </c>
      <c r="R56" s="2">
        <v>2699</v>
      </c>
      <c r="S56" s="2">
        <v>2715</v>
      </c>
      <c r="T56" s="2">
        <v>3680</v>
      </c>
      <c r="U56" s="2">
        <v>5353</v>
      </c>
      <c r="AP56" s="2">
        <f t="shared" ref="AP56:AP61" si="113">+R56</f>
        <v>2699</v>
      </c>
    </row>
    <row r="57" spans="2:42" s="2" customFormat="1" x14ac:dyDescent="0.2">
      <c r="B57" s="2" t="s">
        <v>35</v>
      </c>
      <c r="C57" s="5"/>
      <c r="D57" s="5"/>
      <c r="E57" s="5"/>
      <c r="F57" s="5"/>
      <c r="G57" s="5">
        <v>1787</v>
      </c>
      <c r="H57" s="5">
        <v>1974</v>
      </c>
      <c r="I57" s="5"/>
      <c r="J57" s="5"/>
      <c r="K57" s="5">
        <v>3563</v>
      </c>
      <c r="L57" s="5">
        <v>3903</v>
      </c>
      <c r="M57" s="5">
        <v>4115</v>
      </c>
      <c r="N57" s="5">
        <v>4120</v>
      </c>
      <c r="O57" s="2">
        <v>4869</v>
      </c>
      <c r="P57" s="2">
        <v>7156</v>
      </c>
      <c r="Q57" s="2">
        <v>5472</v>
      </c>
      <c r="R57" s="2">
        <v>6682</v>
      </c>
      <c r="S57" s="2">
        <v>11258</v>
      </c>
      <c r="T57" s="2">
        <v>10289</v>
      </c>
      <c r="U57" s="2">
        <v>11126</v>
      </c>
      <c r="AP57" s="2">
        <f t="shared" si="113"/>
        <v>6682</v>
      </c>
    </row>
    <row r="58" spans="2:42" s="2" customFormat="1" x14ac:dyDescent="0.2">
      <c r="B58" s="2" t="s">
        <v>34</v>
      </c>
      <c r="C58" s="5"/>
      <c r="D58" s="5"/>
      <c r="E58" s="5"/>
      <c r="F58" s="5"/>
      <c r="G58" s="5">
        <f>999+5964</f>
        <v>6963</v>
      </c>
      <c r="H58" s="5">
        <f>1000+10943</f>
        <v>11943</v>
      </c>
      <c r="I58" s="5"/>
      <c r="J58" s="5"/>
      <c r="K58" s="5">
        <v>10947</v>
      </c>
      <c r="L58" s="5">
        <f>1249+9700</f>
        <v>10949</v>
      </c>
      <c r="M58" s="5">
        <f>1249+9701</f>
        <v>10950</v>
      </c>
      <c r="N58" s="5">
        <f>1250+9703</f>
        <v>10953</v>
      </c>
      <c r="O58" s="2">
        <f>1250+9704</f>
        <v>10954</v>
      </c>
      <c r="P58" s="2">
        <f>1249+8456</f>
        <v>9705</v>
      </c>
      <c r="Q58" s="2">
        <f>1249+8457</f>
        <v>9706</v>
      </c>
      <c r="R58" s="2">
        <f>1250+8459</f>
        <v>9709</v>
      </c>
      <c r="S58" s="2">
        <f>1250+8460</f>
        <v>9710</v>
      </c>
      <c r="T58" s="2">
        <v>8461</v>
      </c>
      <c r="U58" s="2">
        <v>8462</v>
      </c>
      <c r="AP58" s="2">
        <f t="shared" si="113"/>
        <v>9709</v>
      </c>
    </row>
    <row r="59" spans="2:42" s="2" customFormat="1" x14ac:dyDescent="0.2">
      <c r="B59" s="2" t="s">
        <v>33</v>
      </c>
      <c r="C59" s="5"/>
      <c r="D59" s="5"/>
      <c r="E59" s="5"/>
      <c r="F59" s="5"/>
      <c r="G59" s="5">
        <v>640</v>
      </c>
      <c r="H59" s="5">
        <v>716</v>
      </c>
      <c r="I59" s="5"/>
      <c r="J59" s="5"/>
      <c r="K59" s="5">
        <v>752</v>
      </c>
      <c r="L59" s="5">
        <v>743</v>
      </c>
      <c r="M59" s="5">
        <v>798</v>
      </c>
      <c r="N59" s="5">
        <v>902</v>
      </c>
      <c r="O59" s="2">
        <f>939</f>
        <v>939</v>
      </c>
      <c r="P59" s="2">
        <v>1041</v>
      </c>
      <c r="Q59" s="2">
        <v>1091</v>
      </c>
      <c r="R59" s="2">
        <v>1119</v>
      </c>
      <c r="S59" s="2">
        <v>1281</v>
      </c>
      <c r="T59" s="2">
        <v>1304</v>
      </c>
      <c r="U59" s="2">
        <v>1490</v>
      </c>
      <c r="AP59" s="2">
        <f t="shared" si="113"/>
        <v>1119</v>
      </c>
    </row>
    <row r="60" spans="2:42" s="2" customFormat="1" x14ac:dyDescent="0.2">
      <c r="B60" s="2" t="s">
        <v>32</v>
      </c>
      <c r="C60" s="5"/>
      <c r="D60" s="5"/>
      <c r="E60" s="5"/>
      <c r="F60" s="5"/>
      <c r="G60" s="5">
        <v>1414</v>
      </c>
      <c r="H60" s="5">
        <v>1396</v>
      </c>
      <c r="I60" s="5"/>
      <c r="J60" s="5"/>
      <c r="K60" s="5">
        <v>1631</v>
      </c>
      <c r="L60" s="5">
        <v>1609</v>
      </c>
      <c r="M60" s="5">
        <v>1785</v>
      </c>
      <c r="N60" s="5">
        <v>1913</v>
      </c>
      <c r="O60" s="2">
        <v>2037</v>
      </c>
      <c r="P60" s="2">
        <v>2223</v>
      </c>
      <c r="Q60" s="2">
        <v>2234</v>
      </c>
      <c r="R60" s="2">
        <v>2541</v>
      </c>
      <c r="S60" s="2">
        <v>2966</v>
      </c>
      <c r="T60" s="2">
        <v>3336</v>
      </c>
      <c r="U60" s="2">
        <v>3683</v>
      </c>
      <c r="AP60" s="2">
        <f t="shared" si="113"/>
        <v>2541</v>
      </c>
    </row>
    <row r="61" spans="2:42" s="2" customFormat="1" x14ac:dyDescent="0.2">
      <c r="B61" s="2" t="s">
        <v>31</v>
      </c>
      <c r="C61" s="5"/>
      <c r="D61" s="5"/>
      <c r="E61" s="5"/>
      <c r="F61" s="5"/>
      <c r="G61" s="5">
        <v>18774</v>
      </c>
      <c r="H61" s="5">
        <v>21147</v>
      </c>
      <c r="I61" s="5"/>
      <c r="J61" s="5"/>
      <c r="K61" s="5">
        <v>26320</v>
      </c>
      <c r="L61" s="5">
        <v>23851</v>
      </c>
      <c r="M61" s="5">
        <v>21349</v>
      </c>
      <c r="N61" s="5">
        <v>22101</v>
      </c>
      <c r="O61" s="2">
        <v>24520</v>
      </c>
      <c r="P61" s="2">
        <v>27501</v>
      </c>
      <c r="Q61" s="2">
        <v>33265</v>
      </c>
      <c r="R61" s="2">
        <v>42978</v>
      </c>
      <c r="S61" s="2">
        <v>49142</v>
      </c>
      <c r="T61" s="2">
        <v>58157</v>
      </c>
      <c r="U61" s="2">
        <v>65899</v>
      </c>
      <c r="AP61" s="2">
        <f t="shared" si="113"/>
        <v>42978</v>
      </c>
    </row>
    <row r="62" spans="2:42" s="2" customFormat="1" x14ac:dyDescent="0.2">
      <c r="B62" s="2" t="s">
        <v>30</v>
      </c>
      <c r="C62" s="5"/>
      <c r="D62" s="5"/>
      <c r="E62" s="5"/>
      <c r="F62" s="5"/>
      <c r="G62" s="2">
        <f t="shared" ref="G62:H62" si="114">SUM(G56:G61)</f>
        <v>30796</v>
      </c>
      <c r="H62" s="2">
        <f t="shared" si="114"/>
        <v>38650</v>
      </c>
      <c r="I62" s="5"/>
      <c r="J62" s="5"/>
      <c r="K62" s="2">
        <f t="shared" ref="K62:M62" si="115">SUM(K56:K61)</f>
        <v>45212</v>
      </c>
      <c r="L62" s="2">
        <f t="shared" si="115"/>
        <v>43476</v>
      </c>
      <c r="M62" s="2">
        <f t="shared" si="115"/>
        <v>40488</v>
      </c>
      <c r="N62" s="2">
        <f t="shared" ref="N62:O62" si="116">SUM(N56:N61)</f>
        <v>41182</v>
      </c>
      <c r="O62" s="2">
        <f t="shared" si="116"/>
        <v>44460</v>
      </c>
      <c r="P62" s="2">
        <f t="shared" ref="P62:U62" si="117">SUM(P56:P61)</f>
        <v>49555</v>
      </c>
      <c r="Q62" s="2">
        <f t="shared" si="117"/>
        <v>54148</v>
      </c>
      <c r="R62" s="2">
        <f t="shared" si="117"/>
        <v>65728</v>
      </c>
      <c r="S62" s="2">
        <f t="shared" si="117"/>
        <v>77072</v>
      </c>
      <c r="T62" s="2">
        <f t="shared" si="117"/>
        <v>85227</v>
      </c>
      <c r="U62" s="2">
        <f t="shared" si="117"/>
        <v>96013</v>
      </c>
      <c r="AP62" s="2">
        <f>SUM(AP56:AP61)</f>
        <v>65728</v>
      </c>
    </row>
    <row r="63" spans="2:42" x14ac:dyDescent="0.2">
      <c r="O63" s="5"/>
      <c r="P63" s="2"/>
      <c r="Q63" s="2"/>
    </row>
    <row r="64" spans="2:42" x14ac:dyDescent="0.2">
      <c r="B64" s="2" t="s">
        <v>173</v>
      </c>
      <c r="G64" s="5">
        <f>G34</f>
        <v>1912</v>
      </c>
      <c r="H64" s="5">
        <f t="shared" ref="H64:N64" si="118">H34</f>
        <v>2374</v>
      </c>
      <c r="I64" s="5">
        <f t="shared" si="118"/>
        <v>2464</v>
      </c>
      <c r="J64" s="5">
        <f t="shared" si="118"/>
        <v>3003</v>
      </c>
      <c r="K64" s="5">
        <f t="shared" si="118"/>
        <v>2971</v>
      </c>
      <c r="L64" s="5">
        <f t="shared" si="118"/>
        <v>656</v>
      </c>
      <c r="M64" s="5">
        <f t="shared" si="118"/>
        <v>680</v>
      </c>
      <c r="N64" s="5">
        <f t="shared" si="118"/>
        <v>1227</v>
      </c>
      <c r="O64" s="5">
        <f t="shared" ref="O64:U64" si="119">O34</f>
        <v>2043</v>
      </c>
      <c r="P64" s="5">
        <f t="shared" si="119"/>
        <v>6188</v>
      </c>
      <c r="Q64" s="5">
        <f t="shared" si="119"/>
        <v>9243</v>
      </c>
      <c r="R64" s="5">
        <f t="shared" si="119"/>
        <v>12320</v>
      </c>
      <c r="S64" s="5">
        <f t="shared" si="119"/>
        <v>14881</v>
      </c>
      <c r="T64" s="5">
        <f t="shared" si="119"/>
        <v>16599</v>
      </c>
      <c r="U64" s="5">
        <f t="shared" si="119"/>
        <v>19309</v>
      </c>
      <c r="AB64" s="5"/>
      <c r="AC64" s="5"/>
      <c r="AD64" s="5"/>
      <c r="AE64" s="5"/>
      <c r="AP64" s="2">
        <f>SUM(O64:R64)</f>
        <v>29794</v>
      </c>
    </row>
    <row r="65" spans="2:42" x14ac:dyDescent="0.2">
      <c r="B65" s="2" t="s">
        <v>177</v>
      </c>
      <c r="G65" s="5">
        <v>1912</v>
      </c>
      <c r="H65" s="5">
        <f>4285-G65</f>
        <v>2373</v>
      </c>
      <c r="I65" s="5"/>
      <c r="J65" s="5"/>
      <c r="K65" s="5">
        <v>1618</v>
      </c>
      <c r="L65" s="5">
        <f>2274-K65</f>
        <v>656</v>
      </c>
      <c r="M65" s="5">
        <f>2954-L65-K65</f>
        <v>680</v>
      </c>
      <c r="N65" s="5">
        <f>4368-M65-L65-K65</f>
        <v>1414</v>
      </c>
      <c r="O65" s="5"/>
      <c r="P65" s="5"/>
      <c r="Q65" s="5"/>
      <c r="R65" s="5"/>
      <c r="S65" s="5"/>
      <c r="T65" s="5"/>
      <c r="U65" s="5"/>
      <c r="AB65" s="5"/>
      <c r="AC65" s="5"/>
      <c r="AD65" s="5"/>
      <c r="AE65" s="5"/>
      <c r="AP65" s="2"/>
    </row>
    <row r="66" spans="2:42" x14ac:dyDescent="0.2">
      <c r="B66" s="2" t="s">
        <v>174</v>
      </c>
      <c r="G66" s="5">
        <v>0</v>
      </c>
      <c r="H66" s="5">
        <v>0</v>
      </c>
      <c r="I66" s="5"/>
      <c r="J66" s="5"/>
      <c r="K66" s="5">
        <v>1353</v>
      </c>
      <c r="L66" s="5">
        <f>1353-K66</f>
        <v>0</v>
      </c>
      <c r="M66" s="5">
        <f>1353-L66-K66</f>
        <v>0</v>
      </c>
      <c r="N66" s="5">
        <f>1353-M66-L66-K66</f>
        <v>0</v>
      </c>
      <c r="O66" s="5"/>
      <c r="P66" s="5"/>
      <c r="Q66" s="5"/>
      <c r="R66" s="5"/>
      <c r="S66" s="5"/>
      <c r="T66" s="5"/>
      <c r="U66" s="5"/>
      <c r="AB66" s="5"/>
      <c r="AC66" s="5"/>
      <c r="AD66" s="5"/>
      <c r="AE66" s="5"/>
      <c r="AP66" s="2"/>
    </row>
    <row r="67" spans="2:42" x14ac:dyDescent="0.2">
      <c r="B67" s="2" t="s">
        <v>53</v>
      </c>
      <c r="G67" s="3">
        <v>429</v>
      </c>
      <c r="H67" s="3">
        <f>894-G67</f>
        <v>465</v>
      </c>
      <c r="K67" s="5">
        <v>578</v>
      </c>
      <c r="L67" s="5">
        <f>1226-K67</f>
        <v>648</v>
      </c>
      <c r="M67" s="5">
        <f>1971-L67-K67</f>
        <v>745</v>
      </c>
      <c r="N67" s="5">
        <f>2709-M67-L67-K67</f>
        <v>738</v>
      </c>
      <c r="O67" s="5">
        <v>735</v>
      </c>
      <c r="P67" s="2">
        <f>1576-O67</f>
        <v>841</v>
      </c>
      <c r="Q67" s="2">
        <f>2555-P67-O67</f>
        <v>979</v>
      </c>
      <c r="R67" s="2">
        <f>3549-Q67-P67-O67</f>
        <v>994</v>
      </c>
      <c r="S67" s="2">
        <v>1011</v>
      </c>
      <c r="T67" s="2">
        <f>2164-S67</f>
        <v>1153</v>
      </c>
      <c r="U67" s="2">
        <f>3416-T67-S67</f>
        <v>1252</v>
      </c>
      <c r="AB67" s="2"/>
      <c r="AC67" s="2"/>
      <c r="AD67" s="2"/>
      <c r="AE67" s="2"/>
      <c r="AP67" s="2">
        <f t="shared" ref="AP67:AP72" si="120">SUM(O67:R67)</f>
        <v>3549</v>
      </c>
    </row>
    <row r="68" spans="2:42" x14ac:dyDescent="0.2">
      <c r="B68" s="2" t="s">
        <v>55</v>
      </c>
      <c r="G68" s="3">
        <v>281</v>
      </c>
      <c r="H68" s="3">
        <f>567-G68</f>
        <v>286</v>
      </c>
      <c r="K68" s="5">
        <v>334</v>
      </c>
      <c r="L68" s="5">
        <f>712-K68</f>
        <v>378</v>
      </c>
      <c r="M68" s="5">
        <f>1118-L68-K68</f>
        <v>406</v>
      </c>
      <c r="N68" s="5">
        <f>1544-M68-L68-K68</f>
        <v>426</v>
      </c>
      <c r="O68" s="5">
        <v>384</v>
      </c>
      <c r="P68" s="2">
        <f>749-O68</f>
        <v>365</v>
      </c>
      <c r="Q68" s="2">
        <f>1121-P68-O68</f>
        <v>372</v>
      </c>
      <c r="R68" s="2">
        <f>1508-Q68-P68-O68</f>
        <v>387</v>
      </c>
      <c r="S68">
        <v>410</v>
      </c>
      <c r="T68">
        <f>843-S68</f>
        <v>433</v>
      </c>
      <c r="U68">
        <f>1321-T68-S68</f>
        <v>478</v>
      </c>
      <c r="AP68" s="2">
        <f t="shared" si="120"/>
        <v>1508</v>
      </c>
    </row>
    <row r="69" spans="2:42" x14ac:dyDescent="0.2">
      <c r="B69" s="2" t="s">
        <v>56</v>
      </c>
      <c r="G69" s="3">
        <v>-133</v>
      </c>
      <c r="H69" s="3">
        <f>-133-G69</f>
        <v>0</v>
      </c>
      <c r="K69" s="5">
        <v>17</v>
      </c>
      <c r="L69" s="5">
        <f>24-K69</f>
        <v>7</v>
      </c>
      <c r="M69" s="5">
        <f>35-L69-K69</f>
        <v>11</v>
      </c>
      <c r="N69" s="5">
        <f>45-M69-L69-K69</f>
        <v>10</v>
      </c>
      <c r="O69" s="5">
        <v>14</v>
      </c>
      <c r="P69" s="2">
        <f>-45-O69</f>
        <v>-59</v>
      </c>
      <c r="Q69" s="2">
        <f>24-P69-O69</f>
        <v>69</v>
      </c>
      <c r="R69" s="2">
        <f>-238-Q69-P69-O69</f>
        <v>-262</v>
      </c>
      <c r="S69">
        <v>-69</v>
      </c>
      <c r="T69">
        <f>-264-S69</f>
        <v>-195</v>
      </c>
      <c r="U69">
        <f>-302-T69-S69</f>
        <v>-38</v>
      </c>
      <c r="AP69" s="2">
        <f t="shared" si="120"/>
        <v>-238</v>
      </c>
    </row>
    <row r="70" spans="2:42" x14ac:dyDescent="0.2">
      <c r="B70" s="2" t="s">
        <v>57</v>
      </c>
      <c r="G70" s="3">
        <v>24</v>
      </c>
      <c r="H70" s="3">
        <f>-161-G70</f>
        <v>-185</v>
      </c>
      <c r="K70" s="5">
        <v>-542</v>
      </c>
      <c r="L70" s="5">
        <f>-985-K70</f>
        <v>-443</v>
      </c>
      <c r="M70" s="5">
        <f>-1517-L70-K70</f>
        <v>-532</v>
      </c>
      <c r="N70" s="5">
        <f>-2164-M70-L70-K70</f>
        <v>-647</v>
      </c>
      <c r="O70" s="5">
        <v>-1135</v>
      </c>
      <c r="P70" s="2">
        <f>-1881-O70</f>
        <v>-746</v>
      </c>
      <c r="Q70" s="2">
        <f>-2411-P70-O70</f>
        <v>-530</v>
      </c>
      <c r="R70" s="2">
        <f>-2489-Q70-P70-O70</f>
        <v>-78</v>
      </c>
      <c r="S70" s="2">
        <v>-1577</v>
      </c>
      <c r="T70" s="2">
        <f>-3276-S70</f>
        <v>-1699</v>
      </c>
      <c r="U70" s="2">
        <f>-3879-T70-S70</f>
        <v>-603</v>
      </c>
      <c r="AB70" s="2"/>
      <c r="AC70" s="2"/>
      <c r="AD70" s="2"/>
      <c r="AE70" s="2"/>
      <c r="AP70" s="2">
        <f t="shared" si="120"/>
        <v>-2489</v>
      </c>
    </row>
    <row r="71" spans="2:42" x14ac:dyDescent="0.2">
      <c r="B71" s="2" t="s">
        <v>46</v>
      </c>
      <c r="G71" s="3">
        <v>-3</v>
      </c>
      <c r="H71" s="3">
        <f>16-G71</f>
        <v>19</v>
      </c>
      <c r="K71" s="5">
        <v>23</v>
      </c>
      <c r="L71" s="5">
        <f>18-K71</f>
        <v>-5</v>
      </c>
      <c r="M71" s="5">
        <f>-27-L71-K71</f>
        <v>-45</v>
      </c>
      <c r="N71" s="5">
        <f>-7-M71-L71-K71</f>
        <v>20</v>
      </c>
      <c r="O71" s="5">
        <v>-34</v>
      </c>
      <c r="P71" s="2">
        <f>-102-O71</f>
        <v>-68</v>
      </c>
      <c r="Q71" s="2">
        <f>-170-P71-O71</f>
        <v>-68</v>
      </c>
      <c r="R71" s="2">
        <f>-278-Q71-P71-O71</f>
        <v>-108</v>
      </c>
      <c r="S71">
        <v>-145</v>
      </c>
      <c r="T71">
        <f>-288-S71</f>
        <v>-143</v>
      </c>
      <c r="U71">
        <f>-365-T71-S71</f>
        <v>-77</v>
      </c>
      <c r="AP71" s="2">
        <f t="shared" si="120"/>
        <v>-278</v>
      </c>
    </row>
    <row r="72" spans="2:42" x14ac:dyDescent="0.2">
      <c r="B72" s="2" t="s">
        <v>58</v>
      </c>
      <c r="G72" s="3">
        <f>-595-159+2+70-1+47</f>
        <v>-636</v>
      </c>
      <c r="H72" s="3">
        <f>-1157-282+18+279+132+98-G72</f>
        <v>-276</v>
      </c>
      <c r="K72" s="5">
        <f>-788-560-1261+255+634+70</f>
        <v>-1650</v>
      </c>
      <c r="L72" s="5">
        <f>-668-1285-1554+559+1267+60-K72</f>
        <v>29</v>
      </c>
      <c r="M72" s="5">
        <f>-258-1848-1307-358+1175+102-L72-K72</f>
        <v>-873</v>
      </c>
      <c r="N72" s="5">
        <f>822-2554-1517-551+1341+252-M72-L72-K72</f>
        <v>287</v>
      </c>
      <c r="O72" s="5">
        <f>-252+566-215+11+689+105</f>
        <v>904</v>
      </c>
      <c r="P72" s="2">
        <f>-3239+861-592+789+2675+236-O72</f>
        <v>-174</v>
      </c>
      <c r="Q72" s="2">
        <f>-4482+405-337+1250+953+208-P72-O72</f>
        <v>-2733</v>
      </c>
      <c r="R72" s="2">
        <f>-6172-98-1522+1531+2025+514-Q72-P72-O72</f>
        <v>-1719</v>
      </c>
      <c r="S72">
        <f>-2366-577-726-22+4202+323</f>
        <v>834</v>
      </c>
      <c r="T72" s="2">
        <f>-4133-1380-12+801+3314+584-S72</f>
        <v>-1660</v>
      </c>
      <c r="U72" s="2">
        <f>-7694-2357-726+2490+3918+849-T72-S72</f>
        <v>-2694</v>
      </c>
      <c r="AC72" s="2"/>
      <c r="AD72" s="2"/>
      <c r="AE72" s="2"/>
      <c r="AP72" s="2">
        <f t="shared" si="120"/>
        <v>-3722</v>
      </c>
    </row>
    <row r="73" spans="2:42" x14ac:dyDescent="0.2">
      <c r="B73" t="s">
        <v>54</v>
      </c>
      <c r="G73" s="5">
        <f>SUM(G65:G72)</f>
        <v>1874</v>
      </c>
      <c r="H73" s="5">
        <f>SUM(H65:H72)</f>
        <v>2682</v>
      </c>
      <c r="K73" s="5">
        <f>SUM(K65:K72)</f>
        <v>1731</v>
      </c>
      <c r="L73" s="5">
        <f>SUM(L65:L72)</f>
        <v>1270</v>
      </c>
      <c r="M73" s="5">
        <f>SUM(M65:M72)</f>
        <v>392</v>
      </c>
      <c r="N73" s="5">
        <f>SUM(N65:N72)</f>
        <v>2248</v>
      </c>
      <c r="O73" s="5">
        <f t="shared" ref="O73:U73" si="121">SUM(O64:O72)</f>
        <v>2911</v>
      </c>
      <c r="P73" s="5">
        <f t="shared" si="121"/>
        <v>6347</v>
      </c>
      <c r="Q73" s="5">
        <f t="shared" si="121"/>
        <v>7332</v>
      </c>
      <c r="R73" s="5">
        <f t="shared" si="121"/>
        <v>11534</v>
      </c>
      <c r="S73" s="5">
        <f t="shared" si="121"/>
        <v>15345</v>
      </c>
      <c r="T73" s="5">
        <f t="shared" si="121"/>
        <v>14488</v>
      </c>
      <c r="U73" s="5">
        <f t="shared" si="121"/>
        <v>17627</v>
      </c>
      <c r="AB73" s="5"/>
      <c r="AC73" s="5"/>
      <c r="AD73" s="5"/>
      <c r="AE73" s="5"/>
      <c r="AP73" s="2">
        <f>SUM(AP64:AP72)</f>
        <v>28124</v>
      </c>
    </row>
    <row r="74" spans="2:42" x14ac:dyDescent="0.2">
      <c r="K74" s="5"/>
      <c r="O74" s="5"/>
      <c r="P74" s="2"/>
      <c r="Q74" s="2"/>
    </row>
    <row r="75" spans="2:42" x14ac:dyDescent="0.2">
      <c r="B75" s="2" t="s">
        <v>59</v>
      </c>
      <c r="G75" s="5">
        <f>3140+358-4470-2</f>
        <v>-974</v>
      </c>
      <c r="H75" s="5">
        <f>5236+705-9268-G75+3</f>
        <v>-2350</v>
      </c>
      <c r="K75" s="5">
        <f>5947+1029-3932-35</f>
        <v>3009</v>
      </c>
      <c r="L75" s="5">
        <f>10983+1731-7576-65-K75</f>
        <v>2064</v>
      </c>
      <c r="M75" s="5">
        <f>16792+1806-9764-83-L75-K75</f>
        <v>3678</v>
      </c>
      <c r="N75" s="5">
        <f>19425+1806-11897-77-M75-L75-K75</f>
        <v>506</v>
      </c>
      <c r="O75" s="5">
        <f>2512-2801-221</f>
        <v>-510</v>
      </c>
      <c r="P75" s="2">
        <f>5111-5343-O75-435</f>
        <v>-157</v>
      </c>
      <c r="Q75" s="2">
        <f>8001-10688-P75-O75-872</f>
        <v>-2892</v>
      </c>
      <c r="R75" s="2">
        <f>9732+50-18211-Q75-P75-O75-985</f>
        <v>-5855</v>
      </c>
      <c r="S75" s="2">
        <f>4004+149-9303-135</f>
        <v>-5285</v>
      </c>
      <c r="T75" s="2">
        <f>8098+164-15047-S75-534+105</f>
        <v>-1929</v>
      </c>
      <c r="U75" s="2">
        <f>9485+318+171-19565-T75-S75-1008</f>
        <v>-3385</v>
      </c>
      <c r="AB75" s="2"/>
      <c r="AC75" s="2"/>
      <c r="AD75" s="2"/>
      <c r="AE75" s="2"/>
      <c r="AP75" s="2">
        <f t="shared" ref="AP75:AP77" si="122">SUM(O75:R75)</f>
        <v>-9414</v>
      </c>
    </row>
    <row r="76" spans="2:42" x14ac:dyDescent="0.2">
      <c r="B76" s="2" t="s">
        <v>60</v>
      </c>
      <c r="G76" s="5">
        <v>-298</v>
      </c>
      <c r="H76" s="5">
        <f>-481-G76</f>
        <v>-183</v>
      </c>
      <c r="K76" s="5">
        <v>-361</v>
      </c>
      <c r="L76" s="5">
        <f>-794-K76</f>
        <v>-433</v>
      </c>
      <c r="M76" s="5">
        <f>-1324-L76-K76</f>
        <v>-530</v>
      </c>
      <c r="N76" s="5">
        <f>-1833-M76-L76-K76</f>
        <v>-509</v>
      </c>
      <c r="O76" s="5">
        <v>-248</v>
      </c>
      <c r="P76" s="2">
        <f>-537-O76</f>
        <v>-289</v>
      </c>
      <c r="Q76" s="2">
        <f>-815-P76-O76</f>
        <v>-278</v>
      </c>
      <c r="R76" s="2">
        <f>-1069-Q76-P76-O76</f>
        <v>-254</v>
      </c>
      <c r="S76" s="2">
        <v>-369</v>
      </c>
      <c r="T76" s="2">
        <f>-1346-S76</f>
        <v>-977</v>
      </c>
      <c r="U76" s="2">
        <f>-2159-T76-S76</f>
        <v>-813</v>
      </c>
      <c r="AB76" s="2"/>
      <c r="AC76" s="2"/>
      <c r="AD76" s="2"/>
      <c r="AE76" s="2"/>
      <c r="AP76" s="2">
        <f t="shared" si="122"/>
        <v>-1069</v>
      </c>
    </row>
    <row r="77" spans="2:42" x14ac:dyDescent="0.2">
      <c r="B77" s="2" t="s">
        <v>61</v>
      </c>
      <c r="G77" s="5">
        <v>0</v>
      </c>
      <c r="H77" s="5">
        <v>0</v>
      </c>
      <c r="K77" s="5">
        <v>-36</v>
      </c>
      <c r="L77" s="5">
        <f>-49-K77</f>
        <v>-13</v>
      </c>
      <c r="M77" s="5">
        <f>-49-L77-K77</f>
        <v>0</v>
      </c>
      <c r="N77" s="5">
        <f>-49-M77-L77-K77</f>
        <v>0</v>
      </c>
      <c r="O77" s="5">
        <v>-83</v>
      </c>
      <c r="P77" s="2">
        <f>-83-O77</f>
        <v>0</v>
      </c>
      <c r="Q77" s="2">
        <f>-83-P77-O77</f>
        <v>0</v>
      </c>
      <c r="R77" s="2">
        <f>-83-Q77-P77-O77</f>
        <v>0</v>
      </c>
      <c r="S77" s="2">
        <v>-39</v>
      </c>
      <c r="T77" s="2">
        <f>-317-S77</f>
        <v>-278</v>
      </c>
      <c r="U77" s="2">
        <f>-465-T77-S77</f>
        <v>-148</v>
      </c>
      <c r="AB77" s="2"/>
      <c r="AC77" s="2"/>
      <c r="AD77" s="2"/>
      <c r="AE77" s="2"/>
      <c r="AP77" s="2">
        <f t="shared" si="122"/>
        <v>-83</v>
      </c>
    </row>
    <row r="78" spans="2:42" x14ac:dyDescent="0.2">
      <c r="B78" s="2" t="s">
        <v>62</v>
      </c>
      <c r="G78" s="5">
        <f>SUM(G75:G77)</f>
        <v>-1272</v>
      </c>
      <c r="H78" s="5">
        <f>SUM(H75:H77)</f>
        <v>-2533</v>
      </c>
      <c r="K78" s="5">
        <f t="shared" ref="K78:U78" si="123">SUM(K75:K77)</f>
        <v>2612</v>
      </c>
      <c r="L78" s="5">
        <f t="shared" si="123"/>
        <v>1618</v>
      </c>
      <c r="M78" s="5">
        <f t="shared" si="123"/>
        <v>3148</v>
      </c>
      <c r="N78" s="5">
        <f t="shared" si="123"/>
        <v>-3</v>
      </c>
      <c r="O78" s="5">
        <f t="shared" si="123"/>
        <v>-841</v>
      </c>
      <c r="P78" s="5">
        <f t="shared" si="123"/>
        <v>-446</v>
      </c>
      <c r="Q78" s="5">
        <f t="shared" si="123"/>
        <v>-3170</v>
      </c>
      <c r="R78" s="5">
        <f t="shared" si="123"/>
        <v>-6109</v>
      </c>
      <c r="S78" s="5">
        <f t="shared" si="123"/>
        <v>-5693</v>
      </c>
      <c r="T78" s="5">
        <f t="shared" si="123"/>
        <v>-3184</v>
      </c>
      <c r="U78" s="5">
        <f t="shared" si="123"/>
        <v>-4346</v>
      </c>
      <c r="AB78" s="5"/>
      <c r="AC78" s="5"/>
      <c r="AD78" s="5"/>
      <c r="AE78" s="5"/>
      <c r="AP78" s="2">
        <f>SUM(AP75:AP77)</f>
        <v>-10566</v>
      </c>
    </row>
    <row r="79" spans="2:42" x14ac:dyDescent="0.2">
      <c r="K79" s="5"/>
    </row>
    <row r="80" spans="2:42" s="2" customFormat="1" x14ac:dyDescent="0.2">
      <c r="B80" s="2" t="s">
        <v>65</v>
      </c>
      <c r="C80" s="5"/>
      <c r="D80" s="5"/>
      <c r="E80" s="5"/>
      <c r="F80" s="5"/>
      <c r="G80" s="5">
        <v>126</v>
      </c>
      <c r="H80" s="5">
        <f>128-G80</f>
        <v>2</v>
      </c>
      <c r="I80" s="5"/>
      <c r="J80" s="5"/>
      <c r="K80" s="5">
        <v>204</v>
      </c>
      <c r="L80" s="5">
        <f>205-K80</f>
        <v>1</v>
      </c>
      <c r="M80" s="5">
        <f>349-L80-K80</f>
        <v>144</v>
      </c>
      <c r="N80" s="5">
        <f>355-M80-L80-K80</f>
        <v>6</v>
      </c>
      <c r="O80" s="5">
        <f>246</f>
        <v>246</v>
      </c>
      <c r="P80" s="2">
        <f>247-O80</f>
        <v>1</v>
      </c>
      <c r="Q80" s="2">
        <f>403-P80-O80</f>
        <v>156</v>
      </c>
      <c r="R80" s="2">
        <f>403-Q80-P80-O80</f>
        <v>0</v>
      </c>
      <c r="S80" s="2">
        <v>285</v>
      </c>
      <c r="T80" s="2">
        <f>285-S80</f>
        <v>0</v>
      </c>
      <c r="U80" s="2">
        <f>489-T80-S80</f>
        <v>204</v>
      </c>
      <c r="AP80" s="2">
        <f t="shared" ref="AP80:AP85" si="124">SUM(O80:R80)</f>
        <v>403</v>
      </c>
    </row>
    <row r="81" spans="2:52" s="2" customFormat="1" x14ac:dyDescent="0.2">
      <c r="B81" s="2" t="s">
        <v>66</v>
      </c>
      <c r="C81" s="5"/>
      <c r="D81" s="5"/>
      <c r="E81" s="5"/>
      <c r="F81" s="5"/>
      <c r="G81" s="5">
        <v>-477</v>
      </c>
      <c r="H81" s="5">
        <f>-843-G81</f>
        <v>-366</v>
      </c>
      <c r="I81" s="5"/>
      <c r="J81" s="5"/>
      <c r="K81" s="5">
        <v>-532</v>
      </c>
      <c r="L81" s="5">
        <f>-837-K81</f>
        <v>-305</v>
      </c>
      <c r="M81" s="5">
        <f>-1131-L81-K81</f>
        <v>-294</v>
      </c>
      <c r="N81" s="5">
        <f>-1475-M81-L81-K81</f>
        <v>-344</v>
      </c>
      <c r="O81" s="5">
        <v>-507</v>
      </c>
      <c r="P81" s="2">
        <f>-1179-O81</f>
        <v>-672</v>
      </c>
      <c r="Q81" s="2">
        <f>-1942-P81-O81</f>
        <v>-763</v>
      </c>
      <c r="R81" s="2">
        <f>-2783-Q81-P81-O81</f>
        <v>-841</v>
      </c>
      <c r="S81" s="2">
        <v>-1752</v>
      </c>
      <c r="T81" s="2">
        <f>-3389-S81</f>
        <v>-1637</v>
      </c>
      <c r="U81" s="2">
        <f>-5068-T81-S81</f>
        <v>-1679</v>
      </c>
      <c r="AP81" s="2">
        <f t="shared" si="124"/>
        <v>-2783</v>
      </c>
    </row>
    <row r="82" spans="2:52" s="2" customFormat="1" x14ac:dyDescent="0.2">
      <c r="B82" s="2" t="s">
        <v>67</v>
      </c>
      <c r="C82" s="5"/>
      <c r="D82" s="5"/>
      <c r="E82" s="5"/>
      <c r="F82" s="5"/>
      <c r="G82" s="5">
        <v>-99</v>
      </c>
      <c r="H82" s="5">
        <f>-198-G82</f>
        <v>-99</v>
      </c>
      <c r="I82" s="5"/>
      <c r="J82" s="5"/>
      <c r="K82" s="5">
        <v>-100</v>
      </c>
      <c r="L82" s="5">
        <f>-200-K82</f>
        <v>-100</v>
      </c>
      <c r="M82" s="5">
        <f>-300-L82-K82</f>
        <v>-100</v>
      </c>
      <c r="N82" s="5">
        <f>-398-M82-L82-K82</f>
        <v>-98</v>
      </c>
      <c r="O82" s="5">
        <v>-99</v>
      </c>
      <c r="P82" s="2">
        <f>-199-O82</f>
        <v>-100</v>
      </c>
      <c r="Q82" s="2">
        <f>-296-P82-O82</f>
        <v>-97</v>
      </c>
      <c r="R82" s="2">
        <f>-395-Q82-P82-O82</f>
        <v>-99</v>
      </c>
      <c r="S82" s="2">
        <v>-98</v>
      </c>
      <c r="T82" s="2">
        <f>-344-S82</f>
        <v>-246</v>
      </c>
      <c r="U82" s="2">
        <f>-589-T82-S82</f>
        <v>-245</v>
      </c>
      <c r="AP82" s="2">
        <f t="shared" si="124"/>
        <v>-395</v>
      </c>
    </row>
    <row r="83" spans="2:52" s="2" customFormat="1" x14ac:dyDescent="0.2">
      <c r="B83" s="2" t="s">
        <v>69</v>
      </c>
      <c r="C83" s="5"/>
      <c r="D83" s="5"/>
      <c r="E83" s="5"/>
      <c r="F83" s="5"/>
      <c r="G83" s="5">
        <v>0</v>
      </c>
      <c r="H83" s="5">
        <v>0</v>
      </c>
      <c r="I83" s="5"/>
      <c r="J83" s="5"/>
      <c r="K83" s="5">
        <v>-1996</v>
      </c>
      <c r="L83" s="5">
        <f>-5341-K83</f>
        <v>-3345</v>
      </c>
      <c r="M83" s="5">
        <f>-8826-L83-K83</f>
        <v>-3485</v>
      </c>
      <c r="N83" s="5">
        <f>-10039-M83-L83-K83</f>
        <v>-1213</v>
      </c>
      <c r="O83" s="5">
        <v>0</v>
      </c>
      <c r="P83" s="2">
        <f>-3067-O83</f>
        <v>-3067</v>
      </c>
      <c r="Q83" s="2">
        <f>-6874-P83-O83</f>
        <v>-3807</v>
      </c>
      <c r="R83" s="2">
        <f>-9533-Q83-P83-O83</f>
        <v>-2659</v>
      </c>
      <c r="S83" s="2">
        <v>-7740</v>
      </c>
      <c r="T83" s="2">
        <f>-14898-S83</f>
        <v>-7158</v>
      </c>
      <c r="U83" s="2">
        <f>-25895-T83-S83</f>
        <v>-10997</v>
      </c>
      <c r="AP83" s="2">
        <f t="shared" si="124"/>
        <v>-9533</v>
      </c>
    </row>
    <row r="84" spans="2:52" x14ac:dyDescent="0.2">
      <c r="B84" s="2" t="s">
        <v>34</v>
      </c>
      <c r="G84" s="5">
        <v>0</v>
      </c>
      <c r="H84" s="5">
        <f>4985-G84</f>
        <v>4985</v>
      </c>
      <c r="K84" s="5">
        <v>-22</v>
      </c>
      <c r="L84" s="5">
        <f>0-K84</f>
        <v>22</v>
      </c>
      <c r="M84" s="5">
        <f>1-L84-K84</f>
        <v>1</v>
      </c>
      <c r="N84" s="5">
        <f>-2-M84-L84-K84</f>
        <v>-3</v>
      </c>
      <c r="O84" s="5">
        <v>0</v>
      </c>
      <c r="P84" s="2">
        <f>-1250-O84</f>
        <v>-1250</v>
      </c>
      <c r="Q84" s="2">
        <f>-1250-P84-O84</f>
        <v>0</v>
      </c>
      <c r="R84" s="2">
        <f>-1250-Q84-P84-O84</f>
        <v>0</v>
      </c>
      <c r="S84">
        <v>0</v>
      </c>
      <c r="T84" s="2">
        <v>-1250</v>
      </c>
      <c r="U84" s="2">
        <f>-1250-T84-S84</f>
        <v>0</v>
      </c>
      <c r="AC84" s="2"/>
      <c r="AD84" s="2"/>
      <c r="AE84" s="2"/>
      <c r="AP84" s="2">
        <f t="shared" si="124"/>
        <v>-1250</v>
      </c>
    </row>
    <row r="85" spans="2:52" x14ac:dyDescent="0.2">
      <c r="B85" s="2" t="s">
        <v>68</v>
      </c>
      <c r="G85" s="5">
        <f>-19-2</f>
        <v>-21</v>
      </c>
      <c r="H85" s="5">
        <f>-40-2-G85</f>
        <v>-21</v>
      </c>
      <c r="K85" s="5">
        <v>0</v>
      </c>
      <c r="L85" s="5">
        <f>-36+1-K85</f>
        <v>-35</v>
      </c>
      <c r="M85" s="5">
        <f>-54-L85-K85</f>
        <v>-19</v>
      </c>
      <c r="N85" s="5">
        <f>-58-M85-L85-K85</f>
        <v>-4</v>
      </c>
      <c r="O85" s="5">
        <v>-20</v>
      </c>
      <c r="P85" s="2">
        <f>-31-O85</f>
        <v>-11</v>
      </c>
      <c r="Q85" s="2">
        <f>-44-P85-O85</f>
        <v>-13</v>
      </c>
      <c r="R85" s="2">
        <f>-74-Q85-P85-O85</f>
        <v>-30</v>
      </c>
      <c r="S85">
        <v>-40</v>
      </c>
      <c r="T85">
        <f>-69-S85</f>
        <v>-29</v>
      </c>
      <c r="U85">
        <f>-97-T85-S85</f>
        <v>-28</v>
      </c>
      <c r="AP85" s="2">
        <f t="shared" si="124"/>
        <v>-74</v>
      </c>
    </row>
    <row r="86" spans="2:52" x14ac:dyDescent="0.2">
      <c r="B86" t="s">
        <v>64</v>
      </c>
      <c r="G86" s="5">
        <f>SUM(G80:G85)</f>
        <v>-471</v>
      </c>
      <c r="H86" s="5">
        <f>SUM(H80:H85)</f>
        <v>4501</v>
      </c>
      <c r="K86" s="5">
        <f t="shared" ref="K86:U86" si="125">SUM(K80:K85)</f>
        <v>-2446</v>
      </c>
      <c r="L86" s="5">
        <f t="shared" si="125"/>
        <v>-3762</v>
      </c>
      <c r="M86" s="5">
        <f t="shared" si="125"/>
        <v>-3753</v>
      </c>
      <c r="N86" s="5">
        <f t="shared" si="125"/>
        <v>-1656</v>
      </c>
      <c r="O86" s="5">
        <f t="shared" si="125"/>
        <v>-380</v>
      </c>
      <c r="P86" s="5">
        <f t="shared" si="125"/>
        <v>-5099</v>
      </c>
      <c r="Q86" s="5">
        <f t="shared" si="125"/>
        <v>-4524</v>
      </c>
      <c r="R86" s="5">
        <f t="shared" si="125"/>
        <v>-3629</v>
      </c>
      <c r="S86" s="5">
        <f t="shared" si="125"/>
        <v>-9345</v>
      </c>
      <c r="T86" s="5">
        <f t="shared" si="125"/>
        <v>-10320</v>
      </c>
      <c r="U86" s="5">
        <f t="shared" si="125"/>
        <v>-12745</v>
      </c>
      <c r="AB86" s="5"/>
      <c r="AC86" s="5"/>
      <c r="AD86" s="5"/>
      <c r="AE86" s="5"/>
      <c r="AP86" s="2">
        <f>SUM(AP80:AP85)</f>
        <v>-13632</v>
      </c>
    </row>
    <row r="87" spans="2:52" x14ac:dyDescent="0.2">
      <c r="B87" t="s">
        <v>63</v>
      </c>
      <c r="G87" s="5">
        <f>G86+G78+G73</f>
        <v>131</v>
      </c>
      <c r="H87" s="5">
        <f>H86+H78+H73</f>
        <v>4650</v>
      </c>
      <c r="K87" s="5">
        <f t="shared" ref="K87:U87" si="126">K86+K78+K73</f>
        <v>1897</v>
      </c>
      <c r="L87" s="5">
        <f t="shared" si="126"/>
        <v>-874</v>
      </c>
      <c r="M87" s="5">
        <f t="shared" si="126"/>
        <v>-213</v>
      </c>
      <c r="N87" s="5">
        <f t="shared" si="126"/>
        <v>589</v>
      </c>
      <c r="O87" s="5">
        <f t="shared" si="126"/>
        <v>1690</v>
      </c>
      <c r="P87" s="5">
        <f t="shared" si="126"/>
        <v>802</v>
      </c>
      <c r="Q87" s="5">
        <f t="shared" si="126"/>
        <v>-362</v>
      </c>
      <c r="R87" s="5">
        <f t="shared" si="126"/>
        <v>1796</v>
      </c>
      <c r="S87" s="5">
        <f t="shared" si="126"/>
        <v>307</v>
      </c>
      <c r="T87" s="5">
        <f t="shared" si="126"/>
        <v>984</v>
      </c>
      <c r="U87" s="5">
        <f t="shared" si="126"/>
        <v>536</v>
      </c>
      <c r="AB87" s="5"/>
      <c r="AC87" s="5"/>
      <c r="AD87" s="5"/>
      <c r="AE87" s="5"/>
      <c r="AP87" s="5">
        <f>AP86+AP78+AP73</f>
        <v>3926</v>
      </c>
    </row>
    <row r="89" spans="2:52" x14ac:dyDescent="0.2">
      <c r="B89" t="s">
        <v>70</v>
      </c>
      <c r="G89" s="5">
        <f>(G46/G24)*90</f>
        <v>48.076311605723369</v>
      </c>
      <c r="H89" s="5">
        <f>(H46/H24)*90</f>
        <v>49.598893499308438</v>
      </c>
      <c r="K89" s="5">
        <f t="shared" ref="K89:U89" si="127">(K46/K24)*90</f>
        <v>59.051640926640928</v>
      </c>
      <c r="L89" s="5">
        <f t="shared" si="127"/>
        <v>71.379773269689736</v>
      </c>
      <c r="M89" s="5">
        <f t="shared" si="127"/>
        <v>74.476479514415786</v>
      </c>
      <c r="N89" s="5">
        <f t="shared" si="127"/>
        <v>56.921170054536439</v>
      </c>
      <c r="O89" s="5">
        <f t="shared" si="127"/>
        <v>51.056729699666299</v>
      </c>
      <c r="P89" s="5">
        <f t="shared" si="127"/>
        <v>47.082253646257499</v>
      </c>
      <c r="Q89" s="5">
        <f t="shared" si="127"/>
        <v>41.269867549668874</v>
      </c>
      <c r="R89" s="5">
        <f t="shared" si="127"/>
        <v>40.650013551359656</v>
      </c>
      <c r="S89" s="5">
        <f t="shared" si="127"/>
        <v>42.729611426816156</v>
      </c>
      <c r="T89" s="5">
        <f t="shared" si="127"/>
        <v>42.339547270306255</v>
      </c>
      <c r="U89" s="5">
        <f t="shared" si="127"/>
        <v>45.389943560800411</v>
      </c>
      <c r="AB89" s="5"/>
      <c r="AC89" s="5"/>
      <c r="AD89" s="5"/>
      <c r="AE89" s="5"/>
    </row>
    <row r="91" spans="2:52" x14ac:dyDescent="0.2">
      <c r="B91" t="s">
        <v>147</v>
      </c>
      <c r="S91">
        <v>5.65</v>
      </c>
      <c r="T91">
        <v>6.03</v>
      </c>
      <c r="U91">
        <v>6.58</v>
      </c>
      <c r="V91">
        <v>7.19</v>
      </c>
      <c r="AQ91">
        <v>25.36</v>
      </c>
      <c r="AR91">
        <v>31.51</v>
      </c>
      <c r="AS91">
        <v>34.94</v>
      </c>
      <c r="AT91">
        <v>37.049999999999997</v>
      </c>
      <c r="AU91">
        <v>36.58</v>
      </c>
      <c r="AV91">
        <v>44.15</v>
      </c>
      <c r="AW91">
        <v>49.91</v>
      </c>
      <c r="AX91">
        <v>81.459999999999994</v>
      </c>
      <c r="AY91">
        <v>92.67</v>
      </c>
      <c r="AZ91">
        <v>105.45</v>
      </c>
    </row>
    <row r="92" spans="2:52" x14ac:dyDescent="0.2">
      <c r="B92" t="s">
        <v>148</v>
      </c>
      <c r="S92" s="14">
        <v>24.69</v>
      </c>
      <c r="T92" s="14">
        <v>26.8</v>
      </c>
      <c r="U92" s="14">
        <v>29.36</v>
      </c>
      <c r="V92" s="14">
        <v>31.95</v>
      </c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4" spans="2:52" x14ac:dyDescent="0.2">
      <c r="B94" t="s">
        <v>76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>
        <v>16</v>
      </c>
      <c r="Q94" s="5">
        <v>25</v>
      </c>
      <c r="R94" s="5">
        <v>50</v>
      </c>
      <c r="S94" s="5">
        <v>50</v>
      </c>
      <c r="T94" s="5">
        <v>60</v>
      </c>
      <c r="U94" s="5">
        <v>70</v>
      </c>
      <c r="V94" s="5">
        <v>50</v>
      </c>
      <c r="W94" s="5"/>
      <c r="X94" s="5"/>
      <c r="Y94" s="5"/>
      <c r="Z94" s="5"/>
      <c r="AA94" s="5"/>
      <c r="AB94" s="5"/>
      <c r="AC94" s="5"/>
      <c r="AD94" s="5"/>
      <c r="AE94" s="5"/>
      <c r="AF94" s="5"/>
      <c r="AQ94" s="2">
        <f>SUM(S94:V94)</f>
        <v>230</v>
      </c>
    </row>
    <row r="95" spans="2:52" x14ac:dyDescent="0.2">
      <c r="B95" t="s">
        <v>77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>
        <v>15</v>
      </c>
      <c r="Q95" s="5">
        <v>25</v>
      </c>
      <c r="R95" s="5">
        <v>25</v>
      </c>
      <c r="S95" s="5">
        <v>25</v>
      </c>
      <c r="T95" s="5">
        <v>25</v>
      </c>
      <c r="U95" s="5">
        <v>25</v>
      </c>
      <c r="V95" s="5">
        <v>25</v>
      </c>
      <c r="W95" s="5"/>
      <c r="X95" s="5"/>
      <c r="Y95" s="5"/>
      <c r="Z95" s="5"/>
      <c r="AA95" s="5"/>
      <c r="AB95" s="5"/>
      <c r="AC95" s="5"/>
      <c r="AD95" s="5"/>
      <c r="AE95" s="5"/>
      <c r="AF95" s="5"/>
      <c r="AQ95" s="2">
        <f t="shared" ref="AQ95:AQ113" si="128">SUM(S95:V95)</f>
        <v>100</v>
      </c>
    </row>
    <row r="96" spans="2:52" x14ac:dyDescent="0.2">
      <c r="B96" t="s">
        <v>87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>
        <v>15</v>
      </c>
      <c r="Q96" s="5">
        <v>25</v>
      </c>
      <c r="R96" s="5">
        <v>50</v>
      </c>
      <c r="S96" s="5">
        <v>50</v>
      </c>
      <c r="T96" s="5">
        <v>50</v>
      </c>
      <c r="U96" s="5">
        <v>50</v>
      </c>
      <c r="V96" s="5">
        <v>50</v>
      </c>
      <c r="W96" s="5"/>
      <c r="X96" s="5"/>
      <c r="Y96" s="5"/>
      <c r="Z96" s="5"/>
      <c r="AA96" s="5"/>
      <c r="AB96" s="5"/>
      <c r="AC96" s="5"/>
      <c r="AD96" s="5"/>
      <c r="AE96" s="5"/>
      <c r="AF96" s="5"/>
      <c r="AQ96" s="2">
        <f t="shared" si="128"/>
        <v>200</v>
      </c>
    </row>
    <row r="97" spans="2:43" x14ac:dyDescent="0.2">
      <c r="B97" t="s">
        <v>78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>
        <v>25</v>
      </c>
      <c r="Q97" s="5">
        <v>25</v>
      </c>
      <c r="R97" s="5">
        <v>50</v>
      </c>
      <c r="S97" s="5">
        <v>50</v>
      </c>
      <c r="T97" s="5">
        <v>50</v>
      </c>
      <c r="U97" s="5">
        <v>50</v>
      </c>
      <c r="V97" s="5">
        <v>50</v>
      </c>
      <c r="W97" s="5"/>
      <c r="X97" s="5"/>
      <c r="Y97" s="5"/>
      <c r="Z97" s="5"/>
      <c r="AA97" s="5"/>
      <c r="AB97" s="5"/>
      <c r="AC97" s="5"/>
      <c r="AD97" s="5"/>
      <c r="AE97" s="5"/>
      <c r="AF97" s="5"/>
      <c r="AQ97" s="2">
        <f t="shared" si="128"/>
        <v>200</v>
      </c>
    </row>
    <row r="98" spans="2:43" x14ac:dyDescent="0.2">
      <c r="B98" t="s">
        <v>79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>
        <v>16</v>
      </c>
      <c r="Q98" s="5">
        <v>20</v>
      </c>
      <c r="R98" s="5">
        <v>25</v>
      </c>
      <c r="S98" s="5">
        <v>25</v>
      </c>
      <c r="T98" s="5">
        <v>25</v>
      </c>
      <c r="U98" s="5">
        <v>25</v>
      </c>
      <c r="V98" s="5">
        <v>25</v>
      </c>
      <c r="W98" s="5"/>
      <c r="X98" s="5"/>
      <c r="Y98" s="5"/>
      <c r="Z98" s="5"/>
      <c r="AA98" s="5"/>
      <c r="AB98" s="5"/>
      <c r="AC98" s="5"/>
      <c r="AD98" s="5"/>
      <c r="AE98" s="5"/>
      <c r="AF98" s="5"/>
      <c r="AQ98" s="2">
        <f t="shared" si="128"/>
        <v>100</v>
      </c>
    </row>
    <row r="99" spans="2:43" x14ac:dyDescent="0.2">
      <c r="B99" t="s">
        <v>88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>
        <v>25</v>
      </c>
      <c r="Q99" s="5">
        <v>30</v>
      </c>
      <c r="R99" s="5">
        <v>75</v>
      </c>
      <c r="S99" s="5">
        <v>100</v>
      </c>
      <c r="T99" s="5">
        <v>100</v>
      </c>
      <c r="U99" s="5">
        <v>100</v>
      </c>
      <c r="V99" s="5">
        <v>100</v>
      </c>
      <c r="W99" s="5"/>
      <c r="X99" s="5"/>
      <c r="Y99" s="5"/>
      <c r="Z99" s="5"/>
      <c r="AA99" s="5"/>
      <c r="AB99" s="5"/>
      <c r="AC99" s="5"/>
      <c r="AD99" s="5"/>
      <c r="AE99" s="5"/>
      <c r="AF99" s="5"/>
      <c r="AQ99" s="2">
        <f t="shared" si="128"/>
        <v>400</v>
      </c>
    </row>
    <row r="100" spans="2:43" x14ac:dyDescent="0.2">
      <c r="B100" t="s">
        <v>80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>
        <v>6</v>
      </c>
      <c r="Q100" s="5">
        <v>5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Q100" s="2">
        <f t="shared" si="128"/>
        <v>0</v>
      </c>
    </row>
    <row r="101" spans="2:43" x14ac:dyDescent="0.2">
      <c r="B101" t="s">
        <v>81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>
        <v>15</v>
      </c>
      <c r="Q101" s="5">
        <v>30</v>
      </c>
      <c r="R101" s="5">
        <v>40</v>
      </c>
      <c r="S101" s="5">
        <v>100</v>
      </c>
      <c r="T101" s="5">
        <v>100</v>
      </c>
      <c r="U101" s="5">
        <v>100</v>
      </c>
      <c r="V101" s="5">
        <v>100</v>
      </c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Q101" s="2">
        <f t="shared" si="128"/>
        <v>400</v>
      </c>
    </row>
    <row r="102" spans="2:43" x14ac:dyDescent="0.2">
      <c r="B102" t="s">
        <v>89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>
        <v>7</v>
      </c>
      <c r="Q102" s="5">
        <v>25</v>
      </c>
      <c r="R102" s="5">
        <v>25</v>
      </c>
      <c r="S102" s="5">
        <v>25</v>
      </c>
      <c r="T102" s="5">
        <v>25</v>
      </c>
      <c r="U102" s="5">
        <v>25</v>
      </c>
      <c r="V102" s="5">
        <v>25</v>
      </c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Q102" s="2">
        <f t="shared" si="128"/>
        <v>100</v>
      </c>
    </row>
    <row r="103" spans="2:43" x14ac:dyDescent="0.2">
      <c r="B103" s="11" t="s">
        <v>82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>
        <v>10</v>
      </c>
      <c r="Q103" s="5">
        <v>20</v>
      </c>
      <c r="R103" s="5">
        <v>20</v>
      </c>
      <c r="S103" s="5">
        <v>25</v>
      </c>
      <c r="T103" s="5">
        <v>25</v>
      </c>
      <c r="U103" s="5">
        <v>25</v>
      </c>
      <c r="V103" s="5">
        <v>25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Q103" s="2">
        <f t="shared" si="128"/>
        <v>100</v>
      </c>
    </row>
    <row r="104" spans="2:43" x14ac:dyDescent="0.2">
      <c r="B104" t="s">
        <v>83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>
        <v>10</v>
      </c>
      <c r="Q104" s="5">
        <v>20</v>
      </c>
      <c r="R104" s="5">
        <v>20</v>
      </c>
      <c r="S104" s="5">
        <v>30</v>
      </c>
      <c r="T104" s="5">
        <v>50</v>
      </c>
      <c r="U104" s="5">
        <v>60</v>
      </c>
      <c r="V104" s="5">
        <v>70</v>
      </c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Q104" s="2">
        <f t="shared" si="128"/>
        <v>210</v>
      </c>
    </row>
    <row r="105" spans="2:43" x14ac:dyDescent="0.2">
      <c r="B105" t="s">
        <v>164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>
        <v>6</v>
      </c>
      <c r="Q105" s="5">
        <v>5</v>
      </c>
      <c r="R105" s="5">
        <v>0</v>
      </c>
      <c r="S105" s="5">
        <v>0</v>
      </c>
      <c r="T105" s="5">
        <v>20</v>
      </c>
      <c r="U105" s="5">
        <v>30</v>
      </c>
      <c r="V105" s="5">
        <v>40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Q105" s="2">
        <f t="shared" si="128"/>
        <v>90</v>
      </c>
    </row>
    <row r="106" spans="2:43" x14ac:dyDescent="0.2">
      <c r="B106" t="s">
        <v>84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>
        <v>5</v>
      </c>
      <c r="Q106" s="5">
        <v>5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Q106" s="2">
        <f t="shared" si="128"/>
        <v>0</v>
      </c>
    </row>
    <row r="107" spans="2:43" x14ac:dyDescent="0.2">
      <c r="B107" t="s">
        <v>85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>
        <v>25</v>
      </c>
      <c r="Q107" s="5">
        <v>30</v>
      </c>
      <c r="R107" s="5">
        <v>35</v>
      </c>
      <c r="S107" s="5">
        <v>15</v>
      </c>
      <c r="T107" s="5">
        <v>20</v>
      </c>
      <c r="U107" s="5">
        <v>30</v>
      </c>
      <c r="V107" s="5">
        <v>30</v>
      </c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Q107" s="2">
        <f t="shared" si="128"/>
        <v>95</v>
      </c>
    </row>
    <row r="108" spans="2:43" x14ac:dyDescent="0.2">
      <c r="B108" t="s">
        <v>86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>
        <v>25</v>
      </c>
      <c r="Q108" s="5">
        <v>30</v>
      </c>
      <c r="R108" s="5">
        <v>20</v>
      </c>
      <c r="S108" s="5">
        <v>15</v>
      </c>
      <c r="T108" s="5">
        <v>20</v>
      </c>
      <c r="U108" s="5">
        <v>25</v>
      </c>
      <c r="V108" s="5">
        <v>25</v>
      </c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Q108" s="2">
        <f t="shared" si="128"/>
        <v>85</v>
      </c>
    </row>
    <row r="109" spans="2:43" x14ac:dyDescent="0.2">
      <c r="B109" t="s">
        <v>90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>
        <v>5</v>
      </c>
      <c r="Q109" s="5">
        <v>5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Q109" s="2">
        <f t="shared" si="128"/>
        <v>0</v>
      </c>
    </row>
    <row r="110" spans="2:43" x14ac:dyDescent="0.2">
      <c r="B110" t="s">
        <v>93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>
        <v>15</v>
      </c>
      <c r="Q110" s="5">
        <v>20</v>
      </c>
      <c r="R110" s="5">
        <v>20</v>
      </c>
      <c r="S110" s="5">
        <v>40</v>
      </c>
      <c r="T110" s="5">
        <v>50</v>
      </c>
      <c r="U110" s="5">
        <v>50</v>
      </c>
      <c r="V110" s="5">
        <v>50</v>
      </c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Q110" s="2">
        <f t="shared" si="128"/>
        <v>190</v>
      </c>
    </row>
    <row r="111" spans="2:43" x14ac:dyDescent="0.2">
      <c r="B111" t="s">
        <v>94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>
        <v>5</v>
      </c>
      <c r="Q111" s="5">
        <v>5</v>
      </c>
      <c r="R111" s="5">
        <v>5</v>
      </c>
      <c r="S111" s="5">
        <v>10</v>
      </c>
      <c r="T111" s="5">
        <v>50</v>
      </c>
      <c r="U111" s="5">
        <v>50</v>
      </c>
      <c r="V111" s="5">
        <v>50</v>
      </c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Q111" s="2">
        <f t="shared" si="128"/>
        <v>160</v>
      </c>
    </row>
    <row r="112" spans="2:43" x14ac:dyDescent="0.2">
      <c r="B112" t="s">
        <v>91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>
        <v>6</v>
      </c>
      <c r="Q112" s="5">
        <v>5</v>
      </c>
      <c r="R112" s="5">
        <v>0</v>
      </c>
      <c r="S112" s="5">
        <v>5</v>
      </c>
      <c r="T112" s="5">
        <v>10</v>
      </c>
      <c r="U112" s="5">
        <v>10</v>
      </c>
      <c r="V112" s="5">
        <v>10</v>
      </c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Q112" s="2">
        <f t="shared" si="128"/>
        <v>35</v>
      </c>
    </row>
    <row r="113" spans="2:43" x14ac:dyDescent="0.2">
      <c r="B113" t="s">
        <v>92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>
        <v>6</v>
      </c>
      <c r="Q113" s="5">
        <v>5</v>
      </c>
      <c r="R113" s="5">
        <v>0</v>
      </c>
      <c r="S113" s="5">
        <v>5</v>
      </c>
      <c r="T113" s="5">
        <v>10</v>
      </c>
      <c r="U113" s="5">
        <v>10</v>
      </c>
      <c r="V113" s="5">
        <v>10</v>
      </c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Q113" s="2">
        <f t="shared" si="128"/>
        <v>35</v>
      </c>
    </row>
    <row r="114" spans="2:43" s="11" customFormat="1" x14ac:dyDescent="0.2">
      <c r="B114" s="11" t="s">
        <v>95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9">
        <f>SUM(P94:P113)</f>
        <v>258</v>
      </c>
      <c r="Q114" s="9">
        <f>SUM(Q94:Q113)</f>
        <v>360</v>
      </c>
      <c r="R114" s="9">
        <f t="shared" ref="R114:V114" si="129">SUM(R94:R113)</f>
        <v>460</v>
      </c>
      <c r="S114" s="9">
        <f t="shared" si="129"/>
        <v>570</v>
      </c>
      <c r="T114" s="9">
        <f t="shared" si="129"/>
        <v>690</v>
      </c>
      <c r="U114" s="9">
        <f t="shared" si="129"/>
        <v>735</v>
      </c>
      <c r="V114" s="9">
        <f t="shared" si="129"/>
        <v>735</v>
      </c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Q114" s="8">
        <f>SUM(AQ94:AQ113)</f>
        <v>2730</v>
      </c>
    </row>
    <row r="115" spans="2:43" s="11" customFormat="1" x14ac:dyDescent="0.2">
      <c r="B115" s="11" t="s">
        <v>160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9"/>
      <c r="Q115" s="9"/>
      <c r="R115" s="9">
        <f>+R95+R96+R98+R99+R101+R102+R103+R104</f>
        <v>280</v>
      </c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2:43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2:43" s="11" customFormat="1" x14ac:dyDescent="0.2">
      <c r="B117" s="11" t="s">
        <v>74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9">
        <f>+P22/P118</f>
        <v>258.07499999999999</v>
      </c>
      <c r="Q117" s="9">
        <f>+Q22/Q118</f>
        <v>362.85</v>
      </c>
      <c r="R117" s="9">
        <f>+R22/R118</f>
        <v>460.1</v>
      </c>
      <c r="S117" s="9">
        <f>+S22/S118</f>
        <v>564.07500000000005</v>
      </c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spans="2:43" x14ac:dyDescent="0.2">
      <c r="B118" t="s">
        <v>75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>
        <v>40</v>
      </c>
      <c r="Q118" s="5">
        <v>40</v>
      </c>
      <c r="R118" s="5">
        <v>40</v>
      </c>
      <c r="S118" s="5">
        <v>40</v>
      </c>
      <c r="T118" s="5">
        <f>+S118</f>
        <v>40</v>
      </c>
      <c r="U118" s="5">
        <f>+T118</f>
        <v>40</v>
      </c>
      <c r="V118" s="5">
        <v>50</v>
      </c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21" spans="2:43" x14ac:dyDescent="0.2">
      <c r="B121" t="s">
        <v>1</v>
      </c>
      <c r="O121" s="2">
        <f t="shared" ref="O121:T121" si="130">O24</f>
        <v>7192</v>
      </c>
      <c r="P121" s="2">
        <f t="shared" si="130"/>
        <v>13507</v>
      </c>
      <c r="Q121" s="2">
        <f t="shared" si="130"/>
        <v>18120</v>
      </c>
      <c r="R121" s="2">
        <f t="shared" si="130"/>
        <v>22138</v>
      </c>
      <c r="S121" s="2">
        <f t="shared" si="130"/>
        <v>26044</v>
      </c>
      <c r="T121" s="2">
        <f t="shared" si="130"/>
        <v>30040</v>
      </c>
      <c r="U121" s="2">
        <f>U24</f>
        <v>35082</v>
      </c>
      <c r="V121" s="2">
        <f>V24</f>
        <v>40857.4</v>
      </c>
      <c r="W121" s="2">
        <f>+W123*0.5</f>
        <v>43740.27</v>
      </c>
      <c r="X121" s="2">
        <f>+X123*0.5</f>
        <v>46441.600000000006</v>
      </c>
      <c r="Y121" s="2">
        <f>+Y123*0.5</f>
        <v>49180.475000000006</v>
      </c>
      <c r="Z121" s="2">
        <f>+Z123*0.5</f>
        <v>59314.570000000007</v>
      </c>
    </row>
    <row r="122" spans="2:43" x14ac:dyDescent="0.2">
      <c r="B122" t="s">
        <v>22</v>
      </c>
      <c r="O122" s="5">
        <f>O22</f>
        <v>4284</v>
      </c>
      <c r="P122" s="5">
        <f t="shared" ref="P122:V122" si="131">P22</f>
        <v>10323</v>
      </c>
      <c r="Q122" s="5">
        <f t="shared" si="131"/>
        <v>14514</v>
      </c>
      <c r="R122" s="5">
        <f t="shared" si="131"/>
        <v>18404</v>
      </c>
      <c r="S122" s="5">
        <f t="shared" si="131"/>
        <v>22563</v>
      </c>
      <c r="T122" s="5">
        <f t="shared" si="131"/>
        <v>26272</v>
      </c>
      <c r="U122" s="5">
        <f t="shared" si="131"/>
        <v>30771</v>
      </c>
      <c r="V122" s="5">
        <f t="shared" si="131"/>
        <v>36750</v>
      </c>
      <c r="W122" s="5">
        <f>+W123*0.45</f>
        <v>39366.242999999995</v>
      </c>
      <c r="X122" s="5">
        <f>+X123*0.45</f>
        <v>41797.44000000001</v>
      </c>
      <c r="Y122" s="5">
        <f>+Y123*0.45</f>
        <v>44262.427500000005</v>
      </c>
      <c r="Z122" s="5">
        <f>+Z123*0.45</f>
        <v>53383.113000000005</v>
      </c>
    </row>
    <row r="123" spans="2:43" s="11" customFormat="1" x14ac:dyDescent="0.2">
      <c r="B123" s="11" t="s">
        <v>202</v>
      </c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8">
        <f>SUM(O124:O132)</f>
        <v>36225.571428571428</v>
      </c>
      <c r="P123" s="8">
        <f t="shared" ref="P123:Z123" si="132">SUM(P124:P132)</f>
        <v>39615.238095238092</v>
      </c>
      <c r="Q123" s="8">
        <f t="shared" si="132"/>
        <v>41142.238095238092</v>
      </c>
      <c r="R123" s="8">
        <f t="shared" si="132"/>
        <v>46004.238095238092</v>
      </c>
      <c r="S123" s="8">
        <f t="shared" si="132"/>
        <v>50584.571428571428</v>
      </c>
      <c r="T123" s="8">
        <f t="shared" si="132"/>
        <v>62022.571428571428</v>
      </c>
      <c r="U123" s="8">
        <f t="shared" si="132"/>
        <v>68837</v>
      </c>
      <c r="V123" s="8">
        <f t="shared" si="132"/>
        <v>82314</v>
      </c>
      <c r="W123" s="8">
        <f t="shared" si="132"/>
        <v>87480.54</v>
      </c>
      <c r="X123" s="8">
        <f t="shared" si="132"/>
        <v>92883.200000000012</v>
      </c>
      <c r="Y123" s="8">
        <f t="shared" si="132"/>
        <v>98360.950000000012</v>
      </c>
      <c r="Z123" s="8">
        <f t="shared" si="132"/>
        <v>118629.14000000001</v>
      </c>
    </row>
    <row r="124" spans="2:43" s="2" customFormat="1" x14ac:dyDescent="0.2">
      <c r="B124" s="2" t="s">
        <v>198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>
        <v>0</v>
      </c>
      <c r="P124" s="2">
        <v>0</v>
      </c>
      <c r="Q124" s="2">
        <v>0</v>
      </c>
      <c r="R124" s="2">
        <v>125</v>
      </c>
      <c r="S124" s="2">
        <v>125</v>
      </c>
      <c r="T124" s="2">
        <v>3000</v>
      </c>
      <c r="U124" s="2">
        <v>3000</v>
      </c>
      <c r="V124" s="2">
        <v>6000</v>
      </c>
      <c r="W124" s="2">
        <v>10000</v>
      </c>
      <c r="X124" s="2">
        <v>5000</v>
      </c>
      <c r="Y124" s="2">
        <v>2500</v>
      </c>
      <c r="Z124" s="2">
        <v>2500</v>
      </c>
    </row>
    <row r="125" spans="2:43" s="2" customFormat="1" x14ac:dyDescent="0.2">
      <c r="B125" s="2" t="s">
        <v>91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>
        <v>450</v>
      </c>
      <c r="P125" s="2">
        <v>4000</v>
      </c>
      <c r="Q125" s="2">
        <v>2000</v>
      </c>
      <c r="R125" s="2">
        <v>750</v>
      </c>
      <c r="S125" s="2">
        <v>442</v>
      </c>
      <c r="T125" s="2">
        <v>442</v>
      </c>
      <c r="U125" s="2">
        <v>4000</v>
      </c>
      <c r="V125" s="2">
        <v>1000</v>
      </c>
      <c r="W125" s="2">
        <v>3000</v>
      </c>
      <c r="X125" s="2">
        <v>1000</v>
      </c>
      <c r="Y125" s="2">
        <v>1000</v>
      </c>
      <c r="Z125" s="2">
        <v>1000</v>
      </c>
    </row>
    <row r="126" spans="2:43" s="2" customFormat="1" x14ac:dyDescent="0.2">
      <c r="B126" s="2" t="s">
        <v>199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2">
        <v>6607</v>
      </c>
      <c r="P126" s="2">
        <v>8943</v>
      </c>
      <c r="Q126" s="2">
        <v>9917</v>
      </c>
      <c r="R126" s="2">
        <v>9735</v>
      </c>
      <c r="S126" s="2">
        <v>10952</v>
      </c>
      <c r="T126" s="2">
        <v>13873</v>
      </c>
      <c r="U126" s="2">
        <v>14923</v>
      </c>
      <c r="V126" s="2">
        <v>15804</v>
      </c>
      <c r="W126" s="2">
        <f>+S126*1.44</f>
        <v>15770.88</v>
      </c>
      <c r="X126" s="2">
        <f>+T126*1.44</f>
        <v>19977.12</v>
      </c>
      <c r="Y126" s="2">
        <f>+U126*1.44</f>
        <v>21489.119999999999</v>
      </c>
      <c r="Z126" s="2">
        <f>+V126*1.44</f>
        <v>22757.759999999998</v>
      </c>
    </row>
    <row r="127" spans="2:43" x14ac:dyDescent="0.2">
      <c r="B127" t="s">
        <v>200</v>
      </c>
      <c r="O127" s="5">
        <v>6289</v>
      </c>
      <c r="P127" s="5">
        <f>13177-O127</f>
        <v>6888</v>
      </c>
      <c r="Q127" s="5">
        <v>8055</v>
      </c>
      <c r="R127" s="5">
        <v>11019</v>
      </c>
      <c r="S127" s="5">
        <v>12012</v>
      </c>
      <c r="T127" s="5">
        <f>25198-S127</f>
        <v>13186</v>
      </c>
      <c r="U127" s="5">
        <f>38259-T127-S127</f>
        <v>13061</v>
      </c>
      <c r="V127" s="5">
        <f>52535-U127-T127-S127</f>
        <v>14276</v>
      </c>
      <c r="W127" s="2">
        <f>+S127*1.43</f>
        <v>17177.16</v>
      </c>
      <c r="X127" s="2">
        <f>+T127*1.43</f>
        <v>18855.98</v>
      </c>
      <c r="Y127" s="2">
        <f>+U127*1.43</f>
        <v>18677.23</v>
      </c>
      <c r="Z127" s="2">
        <f>+V127*1.43</f>
        <v>20414.68</v>
      </c>
    </row>
    <row r="128" spans="2:43" x14ac:dyDescent="0.2">
      <c r="B128" t="s">
        <v>201</v>
      </c>
      <c r="O128" s="2">
        <v>14207</v>
      </c>
      <c r="P128" s="2">
        <v>11455</v>
      </c>
      <c r="Q128" s="2">
        <v>12479</v>
      </c>
      <c r="R128" s="2">
        <v>14588</v>
      </c>
      <c r="S128" s="2">
        <v>14925</v>
      </c>
      <c r="T128" s="2">
        <v>17620</v>
      </c>
      <c r="U128" s="2">
        <v>22620</v>
      </c>
      <c r="V128" s="2">
        <v>27834</v>
      </c>
      <c r="W128" s="2">
        <f>+S128*1.3</f>
        <v>19402.5</v>
      </c>
      <c r="X128" s="2">
        <f>+T128*1.3</f>
        <v>22906</v>
      </c>
      <c r="Y128" s="2">
        <f>+U128*1.3</f>
        <v>29406</v>
      </c>
      <c r="Z128" s="2">
        <f>+V128*1.3</f>
        <v>36184.200000000004</v>
      </c>
    </row>
    <row r="129" spans="2:26" x14ac:dyDescent="0.2">
      <c r="B129" t="s">
        <v>78</v>
      </c>
      <c r="N129" s="5">
        <v>1428.5714285714287</v>
      </c>
      <c r="O129" s="5">
        <v>1428.5714285714287</v>
      </c>
      <c r="P129" s="5">
        <v>1428.5714285714287</v>
      </c>
      <c r="Q129" s="5">
        <v>1428.5714285714287</v>
      </c>
      <c r="R129" s="5">
        <v>1428.5714285714287</v>
      </c>
      <c r="S129" s="5">
        <v>1428.5714285714287</v>
      </c>
      <c r="T129" s="5">
        <v>1428.5714285714287</v>
      </c>
      <c r="U129" s="2">
        <v>2650</v>
      </c>
      <c r="V129" s="2">
        <v>2650</v>
      </c>
      <c r="W129" s="2">
        <v>10000</v>
      </c>
      <c r="X129" s="2">
        <v>10000</v>
      </c>
      <c r="Y129" s="2">
        <v>10000</v>
      </c>
      <c r="Z129" s="2">
        <v>10000</v>
      </c>
    </row>
    <row r="130" spans="2:26" x14ac:dyDescent="0.2">
      <c r="B130" t="s">
        <v>203</v>
      </c>
      <c r="N130" s="5">
        <v>100</v>
      </c>
      <c r="O130" s="5">
        <f>200+221</f>
        <v>421</v>
      </c>
      <c r="P130" s="2">
        <v>766.66666666666663</v>
      </c>
      <c r="Q130" s="2">
        <v>766.66666666666663</v>
      </c>
      <c r="R130" s="2">
        <v>766.66666666666663</v>
      </c>
      <c r="S130" s="2">
        <v>4300</v>
      </c>
      <c r="T130" s="2">
        <v>4300</v>
      </c>
      <c r="U130" s="2">
        <v>325</v>
      </c>
      <c r="V130" s="2">
        <v>325</v>
      </c>
      <c r="W130" s="2">
        <f>5000/4</f>
        <v>1250</v>
      </c>
      <c r="X130" s="2">
        <f>5000/4</f>
        <v>1250</v>
      </c>
      <c r="Y130" s="2">
        <f>5000/4</f>
        <v>1250</v>
      </c>
      <c r="Z130" s="2">
        <f>5000/4</f>
        <v>1250</v>
      </c>
    </row>
    <row r="131" spans="2:26" x14ac:dyDescent="0.2">
      <c r="B131" t="s">
        <v>204</v>
      </c>
      <c r="O131" s="5">
        <v>6823</v>
      </c>
      <c r="P131" s="5">
        <v>6134</v>
      </c>
      <c r="Q131" s="5">
        <v>6496</v>
      </c>
      <c r="R131" s="2">
        <v>7592</v>
      </c>
      <c r="S131" s="2">
        <v>6400</v>
      </c>
      <c r="T131" s="2">
        <v>8173</v>
      </c>
      <c r="U131" s="2">
        <v>8258</v>
      </c>
      <c r="V131" s="2">
        <v>14425</v>
      </c>
      <c r="W131" s="2">
        <f>+S131*1.7</f>
        <v>10880</v>
      </c>
      <c r="X131" s="2">
        <f>+T131*1.7</f>
        <v>13894.1</v>
      </c>
      <c r="Y131" s="2">
        <f>+U131*1.7</f>
        <v>14038.6</v>
      </c>
      <c r="Z131" s="2">
        <f>+V131*1.7</f>
        <v>24522.5</v>
      </c>
    </row>
    <row r="132" spans="2:26" x14ac:dyDescent="0.2">
      <c r="B132" t="s">
        <v>205</v>
      </c>
    </row>
    <row r="134" spans="2:26" x14ac:dyDescent="0.2">
      <c r="B134" t="s">
        <v>206</v>
      </c>
      <c r="O134" s="7">
        <f>+O122/O123</f>
        <v>0.11825900409734245</v>
      </c>
      <c r="P134" s="7">
        <f t="shared" ref="P134:W134" si="133">+P122/P123</f>
        <v>0.26058154630252911</v>
      </c>
      <c r="Q134" s="7">
        <f t="shared" si="133"/>
        <v>0.35277614130768176</v>
      </c>
      <c r="R134" s="7">
        <f t="shared" si="133"/>
        <v>0.40005009890393123</v>
      </c>
      <c r="S134" s="7">
        <f t="shared" si="133"/>
        <v>0.44604509562486588</v>
      </c>
      <c r="T134" s="7">
        <f t="shared" si="133"/>
        <v>0.42358772612735457</v>
      </c>
      <c r="U134" s="7">
        <f t="shared" si="133"/>
        <v>0.44701250780830076</v>
      </c>
      <c r="V134" s="7">
        <f t="shared" si="133"/>
        <v>0.4464611123259713</v>
      </c>
      <c r="W134" s="7">
        <f t="shared" si="133"/>
        <v>0.44999999999999996</v>
      </c>
    </row>
    <row r="135" spans="2:26" x14ac:dyDescent="0.2">
      <c r="B135" t="s">
        <v>207</v>
      </c>
      <c r="O135" s="7">
        <f>+O121/O123</f>
        <v>0.19853379025865708</v>
      </c>
      <c r="P135" s="7">
        <f t="shared" ref="P135:W135" si="134">+P121/P123</f>
        <v>0.34095465910183675</v>
      </c>
      <c r="Q135" s="7">
        <f t="shared" si="134"/>
        <v>0.44042329340603509</v>
      </c>
      <c r="R135" s="7">
        <f t="shared" si="134"/>
        <v>0.48121653388041891</v>
      </c>
      <c r="S135" s="7">
        <f t="shared" si="134"/>
        <v>0.51486054471719211</v>
      </c>
      <c r="T135" s="7">
        <f t="shared" si="134"/>
        <v>0.48433980256035825</v>
      </c>
      <c r="U135" s="7">
        <f t="shared" si="134"/>
        <v>0.50963871173932629</v>
      </c>
      <c r="V135" s="7">
        <f t="shared" si="134"/>
        <v>0.49636027893189494</v>
      </c>
      <c r="W135" s="7">
        <f t="shared" si="134"/>
        <v>0.5</v>
      </c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7D43-A391-463A-AB92-A7E5F2B81574}">
  <dimension ref="A1:J15"/>
  <sheetViews>
    <sheetView topLeftCell="A4" zoomScale="220" zoomScaleNormal="220" workbookViewId="0">
      <selection activeCell="C11" sqref="C11"/>
    </sheetView>
  </sheetViews>
  <sheetFormatPr defaultRowHeight="12.75" x14ac:dyDescent="0.2"/>
  <cols>
    <col min="1" max="1" width="4.5703125" bestFit="1" customWidth="1"/>
    <col min="2" max="2" width="12.5703125" bestFit="1" customWidth="1"/>
    <col min="5" max="5" width="12.5703125" bestFit="1" customWidth="1"/>
    <col min="9" max="9" width="14.140625" customWidth="1"/>
  </cols>
  <sheetData>
    <row r="1" spans="1:10" x14ac:dyDescent="0.2">
      <c r="A1" s="18" t="s">
        <v>0</v>
      </c>
      <c r="I1" s="34">
        <v>0.18063657407407407</v>
      </c>
    </row>
    <row r="2" spans="1:10" x14ac:dyDescent="0.2">
      <c r="G2" t="s">
        <v>218</v>
      </c>
      <c r="I2" s="34">
        <v>0.1807175925925926</v>
      </c>
    </row>
    <row r="3" spans="1:10" x14ac:dyDescent="0.2">
      <c r="I3" s="34">
        <v>0.18059027777777778</v>
      </c>
    </row>
    <row r="4" spans="1:10" x14ac:dyDescent="0.2">
      <c r="B4" t="s">
        <v>208</v>
      </c>
      <c r="C4" s="11">
        <v>38250</v>
      </c>
      <c r="E4" t="s">
        <v>209</v>
      </c>
      <c r="F4" s="11">
        <v>42260</v>
      </c>
      <c r="I4" t="s">
        <v>210</v>
      </c>
      <c r="J4" s="15">
        <v>132</v>
      </c>
    </row>
    <row r="5" spans="1:10" x14ac:dyDescent="0.2">
      <c r="B5">
        <f t="shared" ref="B5:B7" si="0">+B6-750</f>
        <v>35250</v>
      </c>
      <c r="C5" s="10">
        <v>-0.3</v>
      </c>
      <c r="E5">
        <f t="shared" ref="E5:E7" si="1">+E6-1000</f>
        <v>38260</v>
      </c>
      <c r="F5" s="10">
        <v>-0.25</v>
      </c>
      <c r="I5" t="s">
        <v>211</v>
      </c>
      <c r="J5" s="16">
        <v>1.4999999999999999E-2</v>
      </c>
    </row>
    <row r="6" spans="1:10" x14ac:dyDescent="0.2">
      <c r="B6">
        <f t="shared" si="0"/>
        <v>36000</v>
      </c>
      <c r="C6" s="10">
        <v>-0.25</v>
      </c>
      <c r="E6">
        <f t="shared" si="1"/>
        <v>39260</v>
      </c>
      <c r="F6" s="10">
        <v>-0.2</v>
      </c>
      <c r="I6" t="s">
        <v>212</v>
      </c>
      <c r="J6">
        <v>6.35</v>
      </c>
    </row>
    <row r="7" spans="1:10" x14ac:dyDescent="0.2">
      <c r="B7">
        <f t="shared" si="0"/>
        <v>36750</v>
      </c>
      <c r="C7" s="10">
        <v>-0.2</v>
      </c>
      <c r="E7">
        <f t="shared" si="1"/>
        <v>40260</v>
      </c>
      <c r="F7" s="10">
        <v>-0.15</v>
      </c>
      <c r="I7" t="s">
        <v>213</v>
      </c>
      <c r="J7" s="15">
        <v>5.6</v>
      </c>
    </row>
    <row r="8" spans="1:10" x14ac:dyDescent="0.2">
      <c r="B8">
        <f>+B9-750</f>
        <v>37500</v>
      </c>
      <c r="C8" s="10">
        <v>-0.15</v>
      </c>
      <c r="E8">
        <f>+E9-1000</f>
        <v>41260</v>
      </c>
      <c r="F8" s="10">
        <v>-0.1</v>
      </c>
      <c r="I8" t="s">
        <v>214</v>
      </c>
      <c r="J8" s="15">
        <f>+J7+J6</f>
        <v>11.95</v>
      </c>
    </row>
    <row r="9" spans="1:10" x14ac:dyDescent="0.2">
      <c r="B9">
        <f>+C4</f>
        <v>38250</v>
      </c>
      <c r="C9" s="10">
        <v>-0.1</v>
      </c>
      <c r="E9">
        <v>42260</v>
      </c>
      <c r="F9" s="10">
        <v>-0.05</v>
      </c>
      <c r="I9" t="s">
        <v>215</v>
      </c>
      <c r="J9">
        <f>+J5*J4</f>
        <v>1.98</v>
      </c>
    </row>
    <row r="10" spans="1:10" x14ac:dyDescent="0.2">
      <c r="B10">
        <f>+B9+1000</f>
        <v>39250</v>
      </c>
      <c r="C10" s="10">
        <v>-0.05</v>
      </c>
      <c r="E10" s="32">
        <f>+E9+1000</f>
        <v>43260</v>
      </c>
      <c r="F10" s="33">
        <v>0</v>
      </c>
    </row>
    <row r="11" spans="1:10" x14ac:dyDescent="0.2">
      <c r="B11" s="32">
        <f t="shared" ref="B11:B15" si="2">+B10+1000</f>
        <v>40250</v>
      </c>
      <c r="C11" s="33">
        <v>0</v>
      </c>
      <c r="E11" s="30">
        <f t="shared" ref="E11:E15" si="3">+E10+1000</f>
        <v>44260</v>
      </c>
      <c r="F11" s="31">
        <v>2.5000000000000001E-2</v>
      </c>
    </row>
    <row r="12" spans="1:10" x14ac:dyDescent="0.2">
      <c r="B12" s="30">
        <f t="shared" si="2"/>
        <v>41250</v>
      </c>
      <c r="C12" s="31">
        <v>2.5000000000000001E-2</v>
      </c>
      <c r="E12">
        <f t="shared" si="3"/>
        <v>45260</v>
      </c>
      <c r="F12" s="10">
        <v>0.05</v>
      </c>
      <c r="I12" t="s">
        <v>217</v>
      </c>
      <c r="J12" s="15">
        <v>3.2</v>
      </c>
    </row>
    <row r="13" spans="1:10" x14ac:dyDescent="0.2">
      <c r="B13">
        <f t="shared" si="2"/>
        <v>42250</v>
      </c>
      <c r="C13" s="10">
        <v>0.05</v>
      </c>
      <c r="E13">
        <f t="shared" si="3"/>
        <v>46260</v>
      </c>
      <c r="F13" s="10">
        <v>7.4999999999999997E-2</v>
      </c>
      <c r="I13" t="s">
        <v>216</v>
      </c>
      <c r="J13" s="15">
        <v>2.92</v>
      </c>
    </row>
    <row r="14" spans="1:10" x14ac:dyDescent="0.2">
      <c r="B14">
        <f t="shared" si="2"/>
        <v>43250</v>
      </c>
      <c r="C14" s="10">
        <v>7.4999999999999997E-2</v>
      </c>
      <c r="E14">
        <f t="shared" si="3"/>
        <v>47260</v>
      </c>
      <c r="F14" s="10">
        <v>0.1</v>
      </c>
      <c r="I14" t="s">
        <v>214</v>
      </c>
      <c r="J14" s="15">
        <f>+J12+J13</f>
        <v>6.12</v>
      </c>
    </row>
    <row r="15" spans="1:10" x14ac:dyDescent="0.2">
      <c r="B15">
        <f t="shared" si="2"/>
        <v>44250</v>
      </c>
      <c r="C15" s="10">
        <v>0.1</v>
      </c>
      <c r="E15">
        <f t="shared" si="3"/>
        <v>48260</v>
      </c>
      <c r="F15" s="10">
        <v>0.105</v>
      </c>
      <c r="I15" t="s">
        <v>215</v>
      </c>
      <c r="J15" s="15">
        <v>0</v>
      </c>
    </row>
  </sheetData>
  <hyperlinks>
    <hyperlink ref="A1" location="Main!A1" display="Main" xr:uid="{E8E60E99-D254-4BC9-B0E8-4D7465BE2F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16.85546875" customWidth="1"/>
    <col min="6" max="6" width="11.85546875" bestFit="1" customWidth="1"/>
  </cols>
  <sheetData>
    <row r="1" spans="1:11" x14ac:dyDescent="0.2">
      <c r="A1" t="s">
        <v>0</v>
      </c>
    </row>
    <row r="4" spans="1:11" x14ac:dyDescent="0.2">
      <c r="B4" t="s">
        <v>149</v>
      </c>
      <c r="F4" t="s">
        <v>154</v>
      </c>
    </row>
    <row r="5" spans="1:11" x14ac:dyDescent="0.2">
      <c r="B5" t="s">
        <v>150</v>
      </c>
      <c r="C5">
        <v>24690</v>
      </c>
      <c r="F5" t="s">
        <v>150</v>
      </c>
      <c r="G5">
        <v>26820</v>
      </c>
    </row>
    <row r="6" spans="1:11" x14ac:dyDescent="0.2">
      <c r="B6" t="s">
        <v>151</v>
      </c>
      <c r="C6">
        <v>23520</v>
      </c>
    </row>
    <row r="7" spans="1:11" x14ac:dyDescent="0.2">
      <c r="B7" t="s">
        <v>152</v>
      </c>
      <c r="C7">
        <v>24480</v>
      </c>
    </row>
    <row r="10" spans="1:11" x14ac:dyDescent="0.2">
      <c r="B10" t="s">
        <v>153</v>
      </c>
      <c r="C10">
        <v>24690</v>
      </c>
      <c r="D10" s="10">
        <v>-0.1</v>
      </c>
      <c r="F10" t="s">
        <v>153</v>
      </c>
      <c r="G10">
        <v>26820</v>
      </c>
      <c r="H10" s="10">
        <v>-0.1</v>
      </c>
      <c r="K10" s="10">
        <f>+D10+H10</f>
        <v>-0.2</v>
      </c>
    </row>
    <row r="11" spans="1:11" x14ac:dyDescent="0.2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x14ac:dyDescent="0.2">
      <c r="C12" s="11">
        <v>25500</v>
      </c>
      <c r="D12" s="17">
        <v>-0.03</v>
      </c>
      <c r="E12" s="11"/>
      <c r="F12" s="11"/>
      <c r="G12" s="11">
        <f t="shared" ref="G12:G18" si="0">G11+500</f>
        <v>27820</v>
      </c>
      <c r="H12" s="17">
        <v>-0.03</v>
      </c>
    </row>
    <row r="13" spans="1:11" x14ac:dyDescent="0.2">
      <c r="C13" s="11">
        <v>26000</v>
      </c>
      <c r="D13" s="17">
        <v>-0.01</v>
      </c>
      <c r="E13" s="11"/>
      <c r="F13" s="11"/>
      <c r="G13" s="11">
        <f t="shared" si="0"/>
        <v>28320</v>
      </c>
      <c r="H13" s="17">
        <v>-0.01</v>
      </c>
    </row>
    <row r="14" spans="1:11" x14ac:dyDescent="0.2">
      <c r="C14" s="11">
        <v>26500</v>
      </c>
      <c r="D14" s="17">
        <v>0</v>
      </c>
      <c r="E14" s="11"/>
      <c r="F14" s="11"/>
      <c r="G14" s="11">
        <f t="shared" si="0"/>
        <v>28820</v>
      </c>
      <c r="H14" s="17">
        <v>0</v>
      </c>
    </row>
    <row r="15" spans="1:11" x14ac:dyDescent="0.2">
      <c r="C15" s="11">
        <v>27000</v>
      </c>
      <c r="D15" s="17">
        <v>0</v>
      </c>
      <c r="E15" s="11"/>
      <c r="F15" s="11"/>
      <c r="G15" s="11">
        <f t="shared" si="0"/>
        <v>29320</v>
      </c>
      <c r="H15" s="17">
        <v>0</v>
      </c>
    </row>
    <row r="16" spans="1:11" x14ac:dyDescent="0.2">
      <c r="C16" s="11">
        <v>27500</v>
      </c>
      <c r="D16" s="17">
        <v>0.03</v>
      </c>
      <c r="E16" s="11"/>
      <c r="F16" s="11"/>
      <c r="G16" s="11">
        <f t="shared" si="0"/>
        <v>29820</v>
      </c>
      <c r="H16" s="17">
        <v>0.03</v>
      </c>
    </row>
    <row r="17" spans="2:11" x14ac:dyDescent="0.2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">
      <c r="B20" t="s">
        <v>155</v>
      </c>
      <c r="C20" s="15">
        <v>954</v>
      </c>
    </row>
    <row r="21" spans="2:11" x14ac:dyDescent="0.2">
      <c r="B21" t="s">
        <v>156</v>
      </c>
      <c r="C21" s="15">
        <v>39</v>
      </c>
    </row>
    <row r="22" spans="2:11" x14ac:dyDescent="0.2">
      <c r="B22" t="s">
        <v>157</v>
      </c>
      <c r="C22" s="15">
        <v>40</v>
      </c>
    </row>
    <row r="23" spans="2:11" x14ac:dyDescent="0.2">
      <c r="B23" t="s">
        <v>158</v>
      </c>
      <c r="C23" s="15">
        <f>C21+C22</f>
        <v>79</v>
      </c>
    </row>
    <row r="24" spans="2:11" x14ac:dyDescent="0.2">
      <c r="C24" s="16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Q424 Quarterly Earnings Preview</vt:lpstr>
      <vt:lpstr>Q1 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2025-02-27T01:08:36Z</dcterms:modified>
</cp:coreProperties>
</file>