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3B899A1-6EB5-489F-9FD2-AACD175A4F8B}" xr6:coauthVersionLast="47" xr6:coauthVersionMax="47" xr10:uidLastSave="{00000000-0000-0000-0000-000000000000}"/>
  <bookViews>
    <workbookView xWindow="2380" yWindow="3360" windowWidth="22990" windowHeight="13690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94" i="2" l="1"/>
  <c r="AC92" i="2"/>
  <c r="AC91" i="2"/>
  <c r="AC66" i="2"/>
  <c r="AC64" i="2"/>
  <c r="AD72" i="2"/>
  <c r="AB72" i="2"/>
  <c r="AA72" i="2"/>
  <c r="BF2" i="2"/>
  <c r="BE2" i="2"/>
  <c r="BD2" i="2"/>
  <c r="BC2" i="2"/>
  <c r="BB2" i="2"/>
  <c r="AU69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U41" i="2"/>
  <c r="AB74" i="2"/>
  <c r="AD41" i="2"/>
  <c r="AD40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K6" i="1"/>
  <c r="K5" i="1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D69" i="2"/>
  <c r="AD61" i="2"/>
  <c r="AD60" i="2"/>
  <c r="AA53" i="2"/>
  <c r="AA75" i="2" s="1"/>
  <c r="AD50" i="2"/>
  <c r="AD49" i="2"/>
  <c r="AD57" i="2" s="1"/>
  <c r="AD47" i="2"/>
  <c r="AD55" i="2" s="1"/>
  <c r="AD46" i="2"/>
  <c r="AD36" i="2"/>
  <c r="AD35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42" i="2" s="1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Z115" i="2" l="1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V60" i="2" s="1"/>
  <c r="AU61" i="2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AC37" i="2"/>
  <c r="AC72" i="2" s="1"/>
  <c r="AB73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AV62" i="2" l="1"/>
  <c r="AW60" i="2"/>
  <c r="AX60" i="2" s="1"/>
  <c r="AY60" i="2" s="1"/>
  <c r="AZ60" i="2" s="1"/>
  <c r="BA60" i="2" s="1"/>
  <c r="BB60" i="2" s="1"/>
  <c r="AU37" i="2"/>
  <c r="AU118" i="2" s="1"/>
  <c r="AU44" i="2" s="1"/>
  <c r="AU121" i="2"/>
  <c r="AU20" i="2"/>
  <c r="AU33" i="2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BB69" i="2" s="1"/>
  <c r="BC69" i="2" s="1"/>
  <c r="BD69" i="2" s="1"/>
  <c r="BE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BC60" i="2" l="1"/>
  <c r="BB62" i="2"/>
  <c r="BF69" i="2"/>
  <c r="AD52" i="2"/>
  <c r="AD53" i="2" s="1"/>
  <c r="AD75" i="2" s="1"/>
  <c r="AD48" i="2"/>
  <c r="AD51" i="2"/>
  <c r="AD56" i="2"/>
  <c r="AD59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BD60" i="2" l="1"/>
  <c r="BC62" i="2"/>
  <c r="X94" i="2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BE60" i="2" l="1"/>
  <c r="BD62" i="2"/>
  <c r="AD71" i="2"/>
  <c r="AD66" i="2"/>
  <c r="AD67" i="2" s="1"/>
  <c r="AT56" i="2"/>
  <c r="Z59" i="2"/>
  <c r="Y67" i="2"/>
  <c r="Y95" i="2" s="1"/>
  <c r="Z75" i="2"/>
  <c r="AU72" i="2"/>
  <c r="AX62" i="2"/>
  <c r="AV37" i="2"/>
  <c r="AV118" i="2" s="1"/>
  <c r="AW42" i="2"/>
  <c r="AV73" i="2"/>
  <c r="AS76" i="2"/>
  <c r="AS63" i="2"/>
  <c r="AT71" i="2"/>
  <c r="V76" i="2"/>
  <c r="V63" i="2"/>
  <c r="V65" i="2" s="1"/>
  <c r="V67" i="2" s="1"/>
  <c r="BE62" i="2" l="1"/>
  <c r="BF60" i="2"/>
  <c r="BF62" i="2" s="1"/>
  <c r="AV121" i="2"/>
  <c r="AV44" i="2"/>
  <c r="AD79" i="2"/>
  <c r="AD68" i="2"/>
  <c r="Y79" i="2"/>
  <c r="Y94" i="2"/>
  <c r="Y106" i="2"/>
  <c r="Y68" i="2"/>
  <c r="AV72" i="2"/>
  <c r="AY62" i="2"/>
  <c r="AW37" i="2"/>
  <c r="AW118" i="2" s="1"/>
  <c r="AW73" i="2"/>
  <c r="AX42" i="2"/>
  <c r="V68" i="2"/>
  <c r="V79" i="2"/>
  <c r="Z76" i="2"/>
  <c r="Z63" i="2"/>
  <c r="Z65" i="2" s="1"/>
  <c r="AT59" i="2"/>
  <c r="AW121" i="2" l="1"/>
  <c r="AW44" i="2"/>
  <c r="AW72" i="2"/>
  <c r="AT63" i="2"/>
  <c r="AT65" i="2" s="1"/>
  <c r="AT76" i="2"/>
  <c r="AY42" i="2"/>
  <c r="AX73" i="2"/>
  <c r="AX37" i="2"/>
  <c r="AX118" i="2" s="1"/>
  <c r="BA62" i="2"/>
  <c r="AZ62" i="2"/>
  <c r="Z67" i="2"/>
  <c r="AT66" i="2"/>
  <c r="AX121" i="2" l="1"/>
  <c r="AX44" i="2"/>
  <c r="Z94" i="2"/>
  <c r="AT94" i="2" s="1"/>
  <c r="Z106" i="2"/>
  <c r="AT67" i="2"/>
  <c r="AT68" i="2" s="1"/>
  <c r="AX72" i="2"/>
  <c r="AZ42" i="2"/>
  <c r="AY37" i="2"/>
  <c r="AY118" i="2" s="1"/>
  <c r="AY73" i="2"/>
  <c r="Z79" i="2"/>
  <c r="Z68" i="2"/>
  <c r="AY121" i="2" l="1"/>
  <c r="AY44" i="2"/>
  <c r="AY72" i="2"/>
  <c r="AZ37" i="2"/>
  <c r="AZ118" i="2" s="1"/>
  <c r="BA42" i="2"/>
  <c r="BB42" i="2" s="1"/>
  <c r="AZ73" i="2"/>
  <c r="BB37" i="2" l="1"/>
  <c r="BC42" i="2"/>
  <c r="BB73" i="2"/>
  <c r="AZ121" i="2"/>
  <c r="AZ44" i="2"/>
  <c r="AZ72" i="2"/>
  <c r="BA37" i="2"/>
  <c r="BA118" i="2" s="1"/>
  <c r="BA73" i="2"/>
  <c r="BA121" i="2" l="1"/>
  <c r="BA44" i="2"/>
  <c r="BD42" i="2"/>
  <c r="BC37" i="2"/>
  <c r="BC73" i="2"/>
  <c r="BB72" i="2"/>
  <c r="BB118" i="2"/>
  <c r="BA72" i="2"/>
  <c r="BB121" i="2" l="1"/>
  <c r="BB44" i="2"/>
  <c r="BC72" i="2"/>
  <c r="BC118" i="2"/>
  <c r="BE42" i="2"/>
  <c r="BD37" i="2"/>
  <c r="BD73" i="2"/>
  <c r="AB48" i="2"/>
  <c r="AB75" i="2"/>
  <c r="AB38" i="2"/>
  <c r="AC38" i="2" s="1"/>
  <c r="BC121" i="2" l="1"/>
  <c r="BC44" i="2"/>
  <c r="BD72" i="2"/>
  <c r="BD118" i="2"/>
  <c r="BF42" i="2"/>
  <c r="BE37" i="2"/>
  <c r="BE73" i="2"/>
  <c r="AU52" i="2"/>
  <c r="AC48" i="2"/>
  <c r="AU45" i="2"/>
  <c r="AC74" i="2"/>
  <c r="AB51" i="2"/>
  <c r="AB71" i="2" s="1"/>
  <c r="AB56" i="2"/>
  <c r="AB59" i="2" s="1"/>
  <c r="AB63" i="2" s="1"/>
  <c r="AB65" i="2" s="1"/>
  <c r="AU9" i="2" l="1"/>
  <c r="AU48" i="2"/>
  <c r="AU51" i="2" s="1"/>
  <c r="AU71" i="2" s="1"/>
  <c r="BE118" i="2"/>
  <c r="BE72" i="2"/>
  <c r="BF37" i="2"/>
  <c r="BF73" i="2"/>
  <c r="BD121" i="2"/>
  <c r="BD44" i="2"/>
  <c r="AU38" i="2"/>
  <c r="AV38" i="2" s="1"/>
  <c r="AC53" i="2"/>
  <c r="AC75" i="2" s="1"/>
  <c r="AC51" i="2"/>
  <c r="AC71" i="2" s="1"/>
  <c r="AC56" i="2"/>
  <c r="AC59" i="2" s="1"/>
  <c r="AB76" i="2"/>
  <c r="AB67" i="2"/>
  <c r="BF118" i="2" l="1"/>
  <c r="BF72" i="2"/>
  <c r="BE121" i="2"/>
  <c r="BE44" i="2"/>
  <c r="AV45" i="2"/>
  <c r="AW38" i="2"/>
  <c r="AU53" i="2"/>
  <c r="AU75" i="2" s="1"/>
  <c r="AU56" i="2"/>
  <c r="AU59" i="2"/>
  <c r="AC76" i="2"/>
  <c r="AC63" i="2"/>
  <c r="AC65" i="2" s="1"/>
  <c r="AB79" i="2"/>
  <c r="AB68" i="2"/>
  <c r="AV48" i="2" l="1"/>
  <c r="AV51" i="2" s="1"/>
  <c r="AV52" i="2"/>
  <c r="BF121" i="2"/>
  <c r="BF44" i="2"/>
  <c r="AX38" i="2"/>
  <c r="AW45" i="2"/>
  <c r="AV71" i="2"/>
  <c r="AC67" i="2"/>
  <c r="AU66" i="2"/>
  <c r="AU76" i="2"/>
  <c r="AU63" i="2"/>
  <c r="AU65" i="2" s="1"/>
  <c r="AW48" i="2" l="1"/>
  <c r="AW51" i="2" s="1"/>
  <c r="AW71" i="2" s="1"/>
  <c r="AW52" i="2"/>
  <c r="AV56" i="2"/>
  <c r="AV59" i="2" s="1"/>
  <c r="AV63" i="2" s="1"/>
  <c r="AY38" i="2"/>
  <c r="AX45" i="2"/>
  <c r="AX48" i="2" s="1"/>
  <c r="AX51" i="2" s="1"/>
  <c r="AU67" i="2"/>
  <c r="AU68" i="2" s="1"/>
  <c r="AC79" i="2"/>
  <c r="AC68" i="2"/>
  <c r="AV76" i="2" l="1"/>
  <c r="AX52" i="2"/>
  <c r="AX56" i="2"/>
  <c r="AX59" i="2" s="1"/>
  <c r="AW56" i="2"/>
  <c r="AW59" i="2" s="1"/>
  <c r="AW63" i="2" s="1"/>
  <c r="AX71" i="2"/>
  <c r="AZ38" i="2"/>
  <c r="AY45" i="2"/>
  <c r="AY48" i="2" s="1"/>
  <c r="AY51" i="2" s="1"/>
  <c r="AU94" i="2"/>
  <c r="AW76" i="2" l="1"/>
  <c r="AV64" i="2"/>
  <c r="AV65" i="2" s="1"/>
  <c r="AV66" i="2" s="1"/>
  <c r="AV67" i="2" s="1"/>
  <c r="AV68" i="2" s="1"/>
  <c r="AY52" i="2"/>
  <c r="AY56" i="2" s="1"/>
  <c r="AY59" i="2" s="1"/>
  <c r="AX63" i="2"/>
  <c r="AX76" i="2"/>
  <c r="AY71" i="2"/>
  <c r="BA38" i="2"/>
  <c r="AZ45" i="2"/>
  <c r="AZ48" i="2" s="1"/>
  <c r="AZ51" i="2" s="1"/>
  <c r="BA45" i="2" l="1"/>
  <c r="BA48" i="2" s="1"/>
  <c r="BA51" i="2" s="1"/>
  <c r="BA71" i="2" s="1"/>
  <c r="BB38" i="2"/>
  <c r="AV94" i="2"/>
  <c r="AW64" i="2" s="1"/>
  <c r="AW65" i="2" s="1"/>
  <c r="AW66" i="2" s="1"/>
  <c r="AW67" i="2" s="1"/>
  <c r="AW68" i="2" s="1"/>
  <c r="AZ52" i="2"/>
  <c r="AZ56" i="2" s="1"/>
  <c r="AZ59" i="2" s="1"/>
  <c r="AY63" i="2"/>
  <c r="AY76" i="2"/>
  <c r="AZ71" i="2"/>
  <c r="BA52" i="2" l="1"/>
  <c r="BA56" i="2" s="1"/>
  <c r="BA59" i="2" s="1"/>
  <c r="BA63" i="2" s="1"/>
  <c r="AW94" i="2"/>
  <c r="BC38" i="2"/>
  <c r="BB45" i="2"/>
  <c r="BB48" i="2" s="1"/>
  <c r="BB51" i="2" s="1"/>
  <c r="AZ76" i="2"/>
  <c r="AZ63" i="2"/>
  <c r="AX64" i="2"/>
  <c r="AX65" i="2" s="1"/>
  <c r="BA76" i="2" l="1"/>
  <c r="BB52" i="2"/>
  <c r="BB56" i="2" s="1"/>
  <c r="BB59" i="2" s="1"/>
  <c r="BB71" i="2"/>
  <c r="BD38" i="2"/>
  <c r="BC45" i="2"/>
  <c r="BC48" i="2" s="1"/>
  <c r="BC51" i="2" s="1"/>
  <c r="AX66" i="2"/>
  <c r="AX67" i="2" s="1"/>
  <c r="BC71" i="2" l="1"/>
  <c r="BC52" i="2"/>
  <c r="BC56" i="2" s="1"/>
  <c r="BC59" i="2" s="1"/>
  <c r="BE38" i="2"/>
  <c r="BD45" i="2"/>
  <c r="BD48" i="2" s="1"/>
  <c r="BD51" i="2" s="1"/>
  <c r="BB76" i="2"/>
  <c r="BB63" i="2"/>
  <c r="AX68" i="2"/>
  <c r="AX94" i="2"/>
  <c r="BC63" i="2" l="1"/>
  <c r="BC76" i="2"/>
  <c r="BD52" i="2"/>
  <c r="BD56" i="2" s="1"/>
  <c r="BD59" i="2" s="1"/>
  <c r="BD71" i="2"/>
  <c r="BF38" i="2"/>
  <c r="BF45" i="2" s="1"/>
  <c r="BF48" i="2" s="1"/>
  <c r="BF51" i="2" s="1"/>
  <c r="BE45" i="2"/>
  <c r="BE48" i="2" s="1"/>
  <c r="BE51" i="2" s="1"/>
  <c r="AY64" i="2"/>
  <c r="AY65" i="2" s="1"/>
  <c r="BD63" i="2" l="1"/>
  <c r="BD76" i="2"/>
  <c r="BE71" i="2"/>
  <c r="BE52" i="2"/>
  <c r="BE56" i="2" s="1"/>
  <c r="BE59" i="2" s="1"/>
  <c r="BF52" i="2"/>
  <c r="BF71" i="2"/>
  <c r="BF56" i="2"/>
  <c r="BF59" i="2" s="1"/>
  <c r="AY66" i="2"/>
  <c r="AY67" i="2" s="1"/>
  <c r="BF76" i="2" l="1"/>
  <c r="BF63" i="2"/>
  <c r="BE76" i="2"/>
  <c r="BE63" i="2"/>
  <c r="AY68" i="2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 s="1"/>
  <c r="BB68" i="2" l="1"/>
  <c r="BB94" i="2"/>
  <c r="BC64" i="2" l="1"/>
  <c r="BC65" i="2" s="1"/>
  <c r="BC66" i="2" l="1"/>
  <c r="BC67" i="2" s="1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F94" i="2"/>
  <c r="BH80" i="2" l="1"/>
  <c r="BH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<sst xmlns="http://schemas.openxmlformats.org/spreadsheetml/2006/main" count="192" uniqueCount="177">
  <si>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</si>
  <si>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</si>
  <si>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</si>
  <si>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</si>
  <si>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</si>
  <si>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</si>
  <si>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</si>
  <si>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</si>
  <si>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</si>
  <si>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</si>
  <si>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</si>
  <si>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</si>
  <si>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</si>
  <si>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</si>
  <si>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</si>
  <si>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</si>
  <si>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</si>
  <si>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</si>
  <si>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</si>
  <si>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</si>
  <si>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</si>
  <si>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</si>
  <si>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</si>
  <si>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</si>
  <si>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</si>
  <si>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</si>
  <si>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</si>
  <si>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</si>
  <si>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</si>
  <si>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</si>
  <si>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</si>
  <si>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</si>
  <si>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</si>
  <si>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</si>
  <si>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</si>
  <si>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</si>
  <si>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</si>
  <si>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</si>
  <si>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</si>
  <si>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</si>
  <si>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</si>
  <si>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</si>
  <si>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</si>
  <si>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</si>
  <si>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</si>
  <si>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</si>
  <si>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</si>
  <si>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</si>
  <si>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</si>
  <si>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</si>
  <si>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</si>
  <si>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</si>
  <si>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</si>
  <si>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</si>
  <si>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</si>
  <si>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</si>
  <si>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</si>
  <si>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</si>
  <si>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</si>
  <si>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</si>
  <si>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</si>
  <si>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</si>
  <si>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</si>
  <si>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</si>
  <si>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</si>
  <si>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</si>
  <si>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</si>
  <si>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</si>
  <si>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</si>
  <si>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</si>
  <si>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</si>
  <si>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</si>
  <si>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</si>
  <si>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</si>
  <si>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</si>
  <si>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</si>
  <si>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</si>
  <si>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</si>
  <si>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</si>
  <si>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</si>
  <si>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</si>
  <si>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</si>
  <si>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</si>
  <si>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</si>
  <si>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</si>
  <si>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</si>
  <si>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</si>
  <si>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</si>
  <si>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</si>
  <si>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</si>
  <si>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</si>
  <si>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</si>
  <si>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</si>
  <si>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</si>
  <si>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</si>
  <si>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</si>
  <si>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</si>
  <si>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</si>
  <si>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</si>
  <si>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</si>
  <si>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</si>
  <si>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</si>
  <si>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</si>
  <si>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</si>
  <si>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</si>
  <si>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</si>
  <si>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</si>
  <si>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</si>
  <si>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</si>
  <si>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</si>
  <si>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</si>
  <si>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</si>
  <si>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</si>
  <si>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</si>
  <si>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</si>
  <si>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</si>
  <si>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</si>
  <si>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</si>
  <si>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</si>
  <si>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</si>
  <si>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</si>
  <si>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</si>
  <si>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</si>
  <si>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</si>
  <si>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</si>
  <si>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</si>
  <si>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</si>
  <si>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</si>
  <si>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</si>
  <si>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</si>
  <si>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</si>
  <si>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</si>
  <si>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</si>
  <si>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</si>
  <si>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</si>
  <si>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</si>
  <si>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</si>
  <si>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</si>
  <si>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</si>
  <si>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</si>
  <si>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</si>
  <si>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</si>
  <si>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</si>
  <si>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</si>
  <si>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</si>
  <si>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</si>
  <si>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</si>
  <si>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</si>
  <si>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</si>
  <si>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</si>
  <si>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</si>
  <si>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</si>
  <si>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</si>
  <si>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</si>
  <si>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</si>
  <si>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</si>
  <si>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</si>
  <si>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</si>
  <si>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</si>
  <si>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</si>
  <si>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</si>
  <si>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</si>
  <si>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</si>
  <si>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</si>
  <si>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</si>
  <si>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Energy Storage</t>
  </si>
  <si>
    <t>Powerwall - consumer product</t>
  </si>
  <si>
    <t>Megapack - industrial</t>
  </si>
  <si>
    <t>Model S: four-door sedan</t>
  </si>
  <si>
    <t>Model Y: $30,990 - compact SUV</t>
  </si>
  <si>
    <t>Model X: mid-sized SUV</t>
  </si>
  <si>
    <t>Cybercab: Robotaxi style product, will compete with Cruise and Waymo. Launch 2025.</t>
  </si>
  <si>
    <t>Solar Roof</t>
  </si>
  <si>
    <t>Insurance</t>
  </si>
  <si>
    <t>IPO 6/29/2010</t>
  </si>
  <si>
    <t>August 2020 split</t>
  </si>
  <si>
    <t>August 2022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</si>
</sst>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2" fontId="9" fillId="0" borderId="0" xfId="0" applyNumberFormat="1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13" fillId="0" borderId="0" xfId="1" applyFont="1"/>
    <xf numFmtId="0" fontId="7" fillId="0" borderId="0" xfId="0" applyFont="1"/>
    <xf numFmtId="0" fontId="7" fillId="0" borderId="0" xfId="0" applyFont="1" applyAlignment="1">
      <alignment horizontal="right"/>
    </xf>
    <xf numFmtId="9" fontId="10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10" fillId="0" borderId="0" xfId="0" applyNumberFormat="1" applyFont="1"/>
    <xf numFmtId="0" fontId="5" fillId="0" borderId="0" xfId="0" applyFont="1"/>
    <xf numFmtId="9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9" fontId="11" fillId="0" borderId="0" xfId="0" applyNumberFormat="1" applyFont="1"/>
    <xf numFmtId="9" fontId="10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164" fontId="10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12" fillId="0" borderId="0" xfId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4" fillId="0" borderId="0" xfId="1" applyFont="1"/>
    <xf numFmtId="3" fontId="10" fillId="2" borderId="0" xfId="0" applyNumberFormat="1" applyFont="1" applyFill="1"/>
    <xf numFmtId="3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35161</xdr:colOff>
      <xdr:row>0</xdr:row>
      <xdr:rowOff>39414</xdr:rowOff>
    </xdr:from>
    <xdr:to>
      <xdr:col>29</xdr:col>
      <xdr:colOff>39414</xdr:colOff>
      <xdr:row>139</xdr:row>
      <xdr:rowOff>45983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8625333" y="39414"/>
          <a:ext cx="4253" cy="22833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127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abSelected="1" zoomScale="160" zoomScaleNormal="160" workbookViewId="0">
      <selection activeCell="J22" sqref="J22"/>
    </sheetView>
  </sheetViews>
  <sheetFormatPr defaultColWidth="9.1796875" defaultRowHeight="12.5" x14ac:dyDescent="0.25"/>
  <cols>
    <col min="1" max="16384" width="9.1796875" style="9"/>
  </cols>
  <sheetData>
    <row r="2" spans="2:12" x14ac:dyDescent="0.25">
      <c r="B2" s="9" t="s">
        <v>125</v>
      </c>
      <c r="J2" s="9" t="s">
        <v>0</v>
      </c>
      <c r="K2" s="11">
        <v>362</v>
      </c>
    </row>
    <row r="3" spans="2:12" x14ac:dyDescent="0.25">
      <c r="B3" s="43" t="s">
        <v>169</v>
      </c>
      <c r="C3" s="32"/>
      <c r="J3" s="9" t="s">
        <v>1</v>
      </c>
      <c r="K3" s="10">
        <v>3194.6404149999998</v>
      </c>
      <c r="L3" s="31" t="s">
        <v>118</v>
      </c>
    </row>
    <row r="4" spans="2:12" x14ac:dyDescent="0.25">
      <c r="B4" s="33" t="s">
        <v>155</v>
      </c>
      <c r="J4" s="9" t="s">
        <v>2</v>
      </c>
      <c r="K4" s="10">
        <f>K2*K3</f>
        <v>1156459.83023</v>
      </c>
    </row>
    <row r="5" spans="2:12" x14ac:dyDescent="0.25">
      <c r="B5" s="43" t="s">
        <v>168</v>
      </c>
      <c r="J5" s="9" t="s">
        <v>3</v>
      </c>
      <c r="K5" s="10">
        <f>14635+16085</f>
        <v>30720</v>
      </c>
      <c r="L5" s="31" t="s">
        <v>118</v>
      </c>
    </row>
    <row r="6" spans="2:12" x14ac:dyDescent="0.25">
      <c r="B6" s="43" t="s">
        <v>170</v>
      </c>
      <c r="J6" s="9" t="s">
        <v>4</v>
      </c>
      <c r="K6" s="18">
        <f>2264+5481</f>
        <v>7745</v>
      </c>
      <c r="L6" s="31" t="s">
        <v>118</v>
      </c>
    </row>
    <row r="7" spans="2:12" x14ac:dyDescent="0.25">
      <c r="B7" s="33" t="s">
        <v>107</v>
      </c>
      <c r="J7" s="9" t="s">
        <v>5</v>
      </c>
      <c r="K7" s="10">
        <f>K4-K5+K6</f>
        <v>1133484.83023</v>
      </c>
    </row>
    <row r="8" spans="2:12" x14ac:dyDescent="0.25">
      <c r="B8" s="33" t="s">
        <v>158</v>
      </c>
    </row>
    <row r="9" spans="2:12" x14ac:dyDescent="0.25">
      <c r="B9" s="33" t="s">
        <v>105</v>
      </c>
    </row>
    <row r="10" spans="2:12" x14ac:dyDescent="0.25">
      <c r="B10" s="33" t="s">
        <v>126</v>
      </c>
    </row>
    <row r="11" spans="2:12" x14ac:dyDescent="0.25">
      <c r="B11" s="43" t="s">
        <v>171</v>
      </c>
      <c r="J11" s="9" t="s">
        <v>7</v>
      </c>
    </row>
    <row r="12" spans="2:12" x14ac:dyDescent="0.25">
      <c r="B12" s="43" t="s">
        <v>172</v>
      </c>
    </row>
    <row r="13" spans="2:12" x14ac:dyDescent="0.25">
      <c r="B13" s="43" t="s">
        <v>173</v>
      </c>
    </row>
    <row r="15" spans="2:12" ht="13" x14ac:dyDescent="0.3">
      <c r="B15" s="44" t="s">
        <v>165</v>
      </c>
    </row>
    <row r="16" spans="2:12" x14ac:dyDescent="0.25">
      <c r="B16" s="43" t="s">
        <v>166</v>
      </c>
    </row>
    <row r="17" spans="2:10" x14ac:dyDescent="0.25">
      <c r="B17" s="43" t="s">
        <v>167</v>
      </c>
    </row>
    <row r="19" spans="2:10" x14ac:dyDescent="0.25">
      <c r="J19" s="43" t="s">
        <v>174</v>
      </c>
    </row>
    <row r="20" spans="2:10" x14ac:dyDescent="0.25">
      <c r="B20" s="9" t="s">
        <v>6</v>
      </c>
      <c r="J20" s="43" t="s">
        <v>175</v>
      </c>
    </row>
    <row r="21" spans="2:10" x14ac:dyDescent="0.25">
      <c r="J21" s="43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zoomScale="145" zoomScaleNormal="145" workbookViewId="0">
      <pane xSplit="2" ySplit="2" topLeftCell="W92" activePane="bottomRight" state="frozen"/>
      <selection pane="topRight" activeCell="C1" sqref="C1"/>
      <selection pane="bottomLeft" activeCell="A3" sqref="A3"/>
      <selection pane="bottomRight" activeCell="AC94" sqref="AC94"/>
    </sheetView>
  </sheetViews>
  <sheetFormatPr defaultColWidth="9.1796875" defaultRowHeight="12.5" x14ac:dyDescent="0.25"/>
  <cols>
    <col min="1" max="1" width="5.1796875" style="1" bestFit="1" customWidth="1"/>
    <col min="2" max="2" width="25" style="1" customWidth="1"/>
    <col min="3" max="18" width="9.1796875" style="2"/>
    <col min="19" max="19" width="8.7265625" style="2" customWidth="1"/>
    <col min="20" max="23" width="9.1796875" style="2"/>
    <col min="24" max="24" width="9.7265625" style="2" customWidth="1"/>
    <col min="25" max="26" width="9.1796875" style="2"/>
    <col min="27" max="30" width="9.54296875" style="2" customWidth="1"/>
    <col min="31" max="34" width="8.453125" style="2" customWidth="1"/>
    <col min="35" max="43" width="9.1796875" style="1"/>
    <col min="44" max="46" width="9.7265625" style="1" customWidth="1"/>
    <col min="47" max="47" width="10.7265625" style="1" customWidth="1"/>
    <col min="48" max="58" width="9.7265625" style="1" customWidth="1"/>
    <col min="59" max="59" width="9.1796875" style="1"/>
    <col min="60" max="60" width="9.54296875" style="1" customWidth="1"/>
    <col min="61" max="16384" width="9.1796875" style="1"/>
  </cols>
  <sheetData>
    <row r="1" spans="1:58" x14ac:dyDescent="0.25">
      <c r="A1" s="14" t="s">
        <v>8</v>
      </c>
    </row>
    <row r="2" spans="1:58" x14ac:dyDescent="0.25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5">
      <c r="A3" s="14"/>
      <c r="B3" s="33" t="s">
        <v>135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5">
      <c r="A4" s="14"/>
      <c r="B4" s="33" t="s">
        <v>127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5">
      <c r="A5" s="14"/>
      <c r="B5" s="33" t="s">
        <v>141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5">
      <c r="A6" s="14"/>
      <c r="B6" s="33" t="s">
        <v>150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5">
      <c r="A7" s="14"/>
      <c r="B7" s="33" t="s">
        <v>151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5">
      <c r="A8" s="14"/>
      <c r="B8" s="33" t="s">
        <v>137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ht="13" x14ac:dyDescent="0.3">
      <c r="A9" s="38"/>
      <c r="B9" s="23" t="s">
        <v>132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77854.031137321028</v>
      </c>
    </row>
    <row r="10" spans="1:58" x14ac:dyDescent="0.25">
      <c r="A10" s="14"/>
      <c r="B10" s="33" t="s">
        <v>128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5">
      <c r="A11" s="14"/>
      <c r="B11" s="33" t="s">
        <v>131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5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5">
      <c r="A13" s="14"/>
      <c r="B13" s="33" t="s">
        <v>130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5">
      <c r="A14" s="14"/>
      <c r="B14" s="33" t="s">
        <v>136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5">
      <c r="A15" s="14"/>
      <c r="B15" s="33" t="s">
        <v>152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5">
      <c r="A16" s="14"/>
      <c r="B16" s="33" t="s">
        <v>139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5">
      <c r="A17" s="14"/>
      <c r="B17" s="33" t="s">
        <v>129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5">
      <c r="A18" s="14"/>
      <c r="B18" s="33" t="s">
        <v>140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5">
      <c r="A19" s="14"/>
      <c r="B19" s="33" t="s">
        <v>138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ht="13" x14ac:dyDescent="0.3">
      <c r="A20" s="38"/>
      <c r="B20" s="23" t="s">
        <v>134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1831207.5</v>
      </c>
    </row>
    <row r="21" spans="1:47" x14ac:dyDescent="0.25">
      <c r="A21" s="14"/>
      <c r="B21" s="33" t="s">
        <v>133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5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5">
      <c r="A23" s="14"/>
      <c r="B23" s="33" t="s">
        <v>142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5">
      <c r="A24" s="14"/>
      <c r="B24" s="33" t="s">
        <v>143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5">
      <c r="A25" s="14"/>
      <c r="B25" s="33" t="s">
        <v>144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5">
      <c r="A26" s="14"/>
      <c r="B26" s="33" t="s">
        <v>153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5">
      <c r="A27" s="14"/>
      <c r="B27" s="33" t="s">
        <v>145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5">
      <c r="A28" s="14"/>
      <c r="B28" s="33" t="s">
        <v>146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5">
      <c r="A29" s="14"/>
      <c r="B29" s="33" t="s">
        <v>147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5">
      <c r="A30" s="14"/>
      <c r="B30" s="33" t="s">
        <v>148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5">
      <c r="A31" s="14"/>
      <c r="B31" s="33" t="s">
        <v>149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5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5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14649.66</v>
      </c>
    </row>
    <row r="34" spans="1:58" s="4" customFormat="1" x14ac:dyDescent="0.25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5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v>22915</v>
      </c>
      <c r="AD35" s="5">
        <f>+Z35*1.3</f>
        <v>29859.7</v>
      </c>
      <c r="AE35" s="5"/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91352.7</v>
      </c>
    </row>
    <row r="36" spans="1:58" s="4" customFormat="1" x14ac:dyDescent="0.25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v>439975</v>
      </c>
      <c r="AD36" s="5">
        <f>+Z36*1.1</f>
        <v>507691.80000000005</v>
      </c>
      <c r="AE36" s="5"/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1739854.8</v>
      </c>
    </row>
    <row r="37" spans="1:58" s="6" customFormat="1" ht="13" x14ac:dyDescent="0.3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462890</v>
      </c>
      <c r="AD37" s="7">
        <f t="shared" si="12"/>
        <v>537551.5</v>
      </c>
      <c r="AE37" s="7"/>
      <c r="AF37" s="7"/>
      <c r="AG37" s="7"/>
      <c r="AH37" s="7"/>
      <c r="AP37" s="6">
        <f t="shared" ref="AP37:AT37" si="13">+AP35+AP36</f>
        <v>367656</v>
      </c>
      <c r="AQ37" s="6">
        <f t="shared" si="13"/>
        <v>499016</v>
      </c>
      <c r="AR37" s="6">
        <f t="shared" si="13"/>
        <v>935950</v>
      </c>
      <c r="AS37" s="6">
        <f t="shared" si="13"/>
        <v>1313851</v>
      </c>
      <c r="AT37" s="6">
        <f t="shared" si="13"/>
        <v>1808581</v>
      </c>
      <c r="AU37" s="6">
        <f>+AU35+AU36</f>
        <v>1831207.5</v>
      </c>
      <c r="AV37" s="6">
        <f t="shared" ref="AV37:AY37" si="14">AV42</f>
        <v>2273713</v>
      </c>
      <c r="AW37" s="6">
        <f t="shared" si="14"/>
        <v>2842141.25</v>
      </c>
      <c r="AX37" s="6">
        <f t="shared" si="14"/>
        <v>3410569.5</v>
      </c>
      <c r="AY37" s="6">
        <f t="shared" si="14"/>
        <v>4092683.4</v>
      </c>
      <c r="AZ37" s="6">
        <f t="shared" ref="AZ37:BA37" si="15">AZ42</f>
        <v>4706585.9099999992</v>
      </c>
      <c r="BA37" s="6">
        <f t="shared" si="15"/>
        <v>5177244.5009999992</v>
      </c>
      <c r="BB37" s="6">
        <f t="shared" ref="BB37:BF37" si="16">BB42</f>
        <v>5436106.7260499997</v>
      </c>
      <c r="BC37" s="6">
        <f t="shared" si="16"/>
        <v>5707912.0623524999</v>
      </c>
      <c r="BD37" s="6">
        <f t="shared" si="16"/>
        <v>5993307.6654701252</v>
      </c>
      <c r="BE37" s="6">
        <f t="shared" si="16"/>
        <v>6292973.0487436317</v>
      </c>
      <c r="BF37" s="6">
        <f t="shared" si="16"/>
        <v>6607621.7011808138</v>
      </c>
    </row>
    <row r="38" spans="1:58" s="4" customFormat="1" x14ac:dyDescent="0.25">
      <c r="B38" s="4" t="s">
        <v>12</v>
      </c>
      <c r="C38" s="5"/>
      <c r="D38" s="5"/>
      <c r="E38" s="5"/>
      <c r="F38" s="5"/>
      <c r="G38" s="5">
        <f t="shared" ref="G38:AB38" si="17">G45*1000000/G37</f>
        <v>55681.619828940478</v>
      </c>
      <c r="H38" s="5">
        <f t="shared" si="17"/>
        <v>54196.904232560089</v>
      </c>
      <c r="I38" s="5">
        <f t="shared" si="17"/>
        <v>52805.95970613051</v>
      </c>
      <c r="J38" s="5">
        <f t="shared" si="17"/>
        <v>54801.730674873994</v>
      </c>
      <c r="K38" s="5">
        <f t="shared" si="17"/>
        <v>55290.634604953899</v>
      </c>
      <c r="L38" s="5">
        <f t="shared" si="17"/>
        <v>54175.399889685606</v>
      </c>
      <c r="M38" s="5">
        <f t="shared" si="17"/>
        <v>52735.10409188801</v>
      </c>
      <c r="N38" s="5">
        <f t="shared" si="17"/>
        <v>47809.713684443705</v>
      </c>
      <c r="O38" s="5">
        <f t="shared" si="17"/>
        <v>44301.948051948049</v>
      </c>
      <c r="P38" s="5">
        <f t="shared" si="17"/>
        <v>47304.34782608696</v>
      </c>
      <c r="Q38" s="5">
        <f t="shared" si="17"/>
        <v>47215.084956485705</v>
      </c>
      <c r="R38" s="5">
        <f t="shared" si="17"/>
        <v>48687.621516526247</v>
      </c>
      <c r="S38" s="5">
        <f t="shared" si="17"/>
        <v>50037.413561771078</v>
      </c>
      <c r="T38" s="5">
        <f t="shared" si="17"/>
        <v>53672.039105596894</v>
      </c>
      <c r="U38" s="5">
        <f t="shared" si="17"/>
        <v>51726.143733821948</v>
      </c>
      <c r="V38" s="5">
        <f t="shared" si="17"/>
        <v>51902.644604444358</v>
      </c>
      <c r="W38" s="5">
        <f t="shared" si="17"/>
        <v>44642.033697901272</v>
      </c>
      <c r="X38" s="5">
        <f t="shared" si="17"/>
        <v>43804.436435405674</v>
      </c>
      <c r="Y38" s="5">
        <f t="shared" si="17"/>
        <v>42711.448332295156</v>
      </c>
      <c r="Z38" s="5">
        <f t="shared" si="17"/>
        <v>42579.364178432923</v>
      </c>
      <c r="AA38" s="5">
        <f t="shared" si="17"/>
        <v>42553.191489361699</v>
      </c>
      <c r="AB38" s="5">
        <f t="shared" si="17"/>
        <v>41738.370469145593</v>
      </c>
      <c r="AC38" s="5">
        <f>+AB38*0.99</f>
        <v>41320.986764454137</v>
      </c>
      <c r="AD38" s="5">
        <f>+Z38*1.05</f>
        <v>44708.332387354574</v>
      </c>
      <c r="AE38" s="5"/>
      <c r="AF38" s="5"/>
      <c r="AG38" s="5"/>
      <c r="AH38" s="5"/>
      <c r="AP38" s="5">
        <f t="shared" ref="AP38:AU38" si="18">AP45/AP37*1000000</f>
        <v>54268.120199316756</v>
      </c>
      <c r="AQ38" s="5">
        <f t="shared" si="18"/>
        <v>51667.681998172404</v>
      </c>
      <c r="AR38" s="5">
        <f t="shared" si="18"/>
        <v>47144.612425877451</v>
      </c>
      <c r="AS38" s="5">
        <f t="shared" si="18"/>
        <v>51759.293862089384</v>
      </c>
      <c r="AT38" s="5">
        <f t="shared" si="18"/>
        <v>43409.169951470241</v>
      </c>
      <c r="AU38" s="5">
        <f t="shared" si="18"/>
        <v>42515.133395489604</v>
      </c>
      <c r="AV38" s="4">
        <f>AU38*1.03</f>
        <v>43790.587397354291</v>
      </c>
      <c r="AW38" s="4">
        <f>AV38*1.03</f>
        <v>45104.305019274922</v>
      </c>
      <c r="AX38" s="4">
        <f>AW38*1.03</f>
        <v>46457.434169853172</v>
      </c>
      <c r="AY38" s="4">
        <f>AX38*1.03</f>
        <v>47851.15719494877</v>
      </c>
      <c r="AZ38" s="4">
        <f t="shared" ref="AZ38:BA38" si="19">AY38*1.03</f>
        <v>49286.691910797235</v>
      </c>
      <c r="BA38" s="4">
        <f t="shared" si="19"/>
        <v>50765.292668121154</v>
      </c>
      <c r="BB38" s="4">
        <f t="shared" ref="BB38" si="20">BA38*1.03</f>
        <v>52288.251448164789</v>
      </c>
      <c r="BC38" s="4">
        <f t="shared" ref="BC38" si="21">BB38*1.03</f>
        <v>53856.898991609734</v>
      </c>
      <c r="BD38" s="4">
        <f t="shared" ref="BD38" si="22">BC38*1.03</f>
        <v>55472.605961358029</v>
      </c>
      <c r="BE38" s="4">
        <f t="shared" ref="BE38" si="23">BD38*1.03</f>
        <v>57136.784140198768</v>
      </c>
      <c r="BF38" s="4">
        <f t="shared" ref="BF38" si="24">BE38*1.03</f>
        <v>58850.887664404734</v>
      </c>
    </row>
    <row r="39" spans="1:58" s="4" customFormat="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5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v>26128</v>
      </c>
      <c r="AD40" s="5">
        <f>+Z40</f>
        <v>18212</v>
      </c>
      <c r="AE40" s="5"/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5">SUM(W40:Z40)</f>
        <v>70826</v>
      </c>
      <c r="AU40" s="4">
        <f t="shared" ref="AU40:AU41" si="26">SUM(AA40:AD40)</f>
        <v>89590</v>
      </c>
    </row>
    <row r="41" spans="1:58" s="4" customFormat="1" x14ac:dyDescent="0.25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v>443668</v>
      </c>
      <c r="AD41" s="5">
        <f>+Y41</f>
        <v>416800</v>
      </c>
      <c r="AE41" s="5"/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5"/>
        <v>1775159</v>
      </c>
      <c r="AU41" s="4">
        <f t="shared" si="26"/>
        <v>1659420</v>
      </c>
    </row>
    <row r="42" spans="1:58" s="6" customFormat="1" ht="13" x14ac:dyDescent="0.3">
      <c r="B42" s="6" t="s">
        <v>15</v>
      </c>
      <c r="C42" s="7"/>
      <c r="D42" s="7"/>
      <c r="E42" s="7"/>
      <c r="F42" s="7"/>
      <c r="G42" s="7">
        <f t="shared" ref="G42:R42" si="27">G41+G40</f>
        <v>77138</v>
      </c>
      <c r="H42" s="7">
        <f t="shared" si="27"/>
        <v>87048</v>
      </c>
      <c r="I42" s="7">
        <f t="shared" si="27"/>
        <v>96155</v>
      </c>
      <c r="J42" s="7">
        <f t="shared" si="27"/>
        <v>104891</v>
      </c>
      <c r="K42" s="7">
        <f t="shared" si="27"/>
        <v>102672</v>
      </c>
      <c r="L42" s="7">
        <f t="shared" si="27"/>
        <v>82272</v>
      </c>
      <c r="M42" s="7">
        <f t="shared" si="27"/>
        <v>145036</v>
      </c>
      <c r="N42" s="7">
        <f t="shared" si="27"/>
        <v>179757</v>
      </c>
      <c r="O42" s="7">
        <f t="shared" si="27"/>
        <v>180338</v>
      </c>
      <c r="P42" s="7">
        <f t="shared" si="27"/>
        <v>206421</v>
      </c>
      <c r="Q42" s="7">
        <f t="shared" si="27"/>
        <v>237823</v>
      </c>
      <c r="R42" s="7">
        <f t="shared" si="27"/>
        <v>305840</v>
      </c>
      <c r="S42" s="7">
        <f>S41+S40</f>
        <v>305407</v>
      </c>
      <c r="T42" s="7">
        <f>T41+T40</f>
        <v>258580</v>
      </c>
      <c r="U42" s="7">
        <f t="shared" ref="U42:AB42" si="28">+U40+U41</f>
        <v>365923</v>
      </c>
      <c r="V42" s="7">
        <f t="shared" si="28"/>
        <v>439701</v>
      </c>
      <c r="W42" s="7">
        <f t="shared" si="28"/>
        <v>440808</v>
      </c>
      <c r="X42" s="7">
        <f t="shared" si="28"/>
        <v>479700</v>
      </c>
      <c r="Y42" s="7">
        <f t="shared" si="28"/>
        <v>430488</v>
      </c>
      <c r="Z42" s="7">
        <f t="shared" si="28"/>
        <v>494989</v>
      </c>
      <c r="AA42" s="7">
        <f t="shared" si="28"/>
        <v>433371</v>
      </c>
      <c r="AB42" s="7">
        <f t="shared" si="28"/>
        <v>410831</v>
      </c>
      <c r="AC42" s="7">
        <f>+AC40+AC41</f>
        <v>469796</v>
      </c>
      <c r="AD42" s="7">
        <f>+Z42</f>
        <v>494989</v>
      </c>
      <c r="AE42" s="7"/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1749010</v>
      </c>
      <c r="AV42" s="6">
        <f>AU42*1.3</f>
        <v>2273713</v>
      </c>
      <c r="AW42" s="6">
        <f>AV42*1.25</f>
        <v>2842141.25</v>
      </c>
      <c r="AX42" s="6">
        <f>AW42*1.2</f>
        <v>3410569.5</v>
      </c>
      <c r="AY42" s="6">
        <f>AX42*1.2</f>
        <v>4092683.4</v>
      </c>
      <c r="AZ42" s="6">
        <f>AY42*1.15</f>
        <v>4706585.9099999992</v>
      </c>
      <c r="BA42" s="6">
        <f>AZ42*1.1</f>
        <v>5177244.5009999992</v>
      </c>
      <c r="BB42" s="6">
        <f>+BA42*1.05</f>
        <v>5436106.7260499997</v>
      </c>
      <c r="BC42" s="6">
        <f t="shared" ref="BC42:BF42" si="29">+BB42*1.05</f>
        <v>5707912.0623524999</v>
      </c>
      <c r="BD42" s="6">
        <f t="shared" si="29"/>
        <v>5993307.6654701252</v>
      </c>
      <c r="BE42" s="6">
        <f t="shared" si="29"/>
        <v>6292973.0487436317</v>
      </c>
      <c r="BF42" s="6">
        <f t="shared" si="29"/>
        <v>6607621.7011808138</v>
      </c>
    </row>
    <row r="43" spans="1:58" s="4" customFormat="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5">
      <c r="B44" s="40" t="s">
        <v>164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+AU118-AT118</f>
        <v>556.95920000000001</v>
      </c>
      <c r="AV44" s="4">
        <f>+AV118-$AT$118</f>
        <v>1709.3526400000001</v>
      </c>
      <c r="AW44" s="4">
        <f t="shared" ref="AW44:BF44" si="30">+AW118-$AT$118</f>
        <v>3346.4260000000004</v>
      </c>
      <c r="AX44" s="4">
        <f t="shared" si="30"/>
        <v>5347.2934399999995</v>
      </c>
      <c r="AY44" s="4">
        <f t="shared" si="30"/>
        <v>7966.6108160000022</v>
      </c>
      <c r="AZ44" s="4">
        <f t="shared" si="30"/>
        <v>10847.859929599999</v>
      </c>
      <c r="BA44" s="4">
        <f t="shared" si="30"/>
        <v>13709.464162879998</v>
      </c>
      <c r="BB44" s="4">
        <f t="shared" si="30"/>
        <v>14889.875909107997</v>
      </c>
      <c r="BC44" s="4">
        <f t="shared" si="30"/>
        <v>16151.052669551598</v>
      </c>
      <c r="BD44" s="4">
        <f t="shared" si="30"/>
        <v>17498.119916266791</v>
      </c>
      <c r="BE44" s="4">
        <f t="shared" si="30"/>
        <v>18936.513755979624</v>
      </c>
      <c r="BF44" s="4">
        <f t="shared" si="30"/>
        <v>20471.999179873066</v>
      </c>
    </row>
    <row r="45" spans="1:58" s="4" customFormat="1" x14ac:dyDescent="0.25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v>18831</v>
      </c>
      <c r="AD45" s="5">
        <f>+AD38*AD37/1000000</f>
        <v>24033.031137321035</v>
      </c>
      <c r="AE45" s="5"/>
      <c r="AF45" s="5"/>
      <c r="AG45" s="5"/>
      <c r="AH45" s="5"/>
      <c r="AP45" s="4">
        <f t="shared" ref="AP45:AP50" si="31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77854.031137321028</v>
      </c>
      <c r="AV45" s="4">
        <f t="shared" ref="AV45:BA45" si="32">AV38*AV42/1000000</f>
        <v>99567.227843000612</v>
      </c>
      <c r="AW45" s="4">
        <f t="shared" si="32"/>
        <v>128192.8058478633</v>
      </c>
      <c r="AX45" s="4">
        <f t="shared" si="32"/>
        <v>158446.30802795905</v>
      </c>
      <c r="AY45" s="4">
        <f t="shared" si="32"/>
        <v>195839.63672255739</v>
      </c>
      <c r="AZ45" s="4">
        <f t="shared" si="32"/>
        <v>231972.0496978692</v>
      </c>
      <c r="BA45" s="4">
        <f t="shared" si="32"/>
        <v>262824.33230768581</v>
      </c>
      <c r="BB45" s="4">
        <f t="shared" ref="BB45:BF45" si="33">BB38*BB42/1000000</f>
        <v>284244.51539076224</v>
      </c>
      <c r="BC45" s="4">
        <f t="shared" si="33"/>
        <v>307410.44339510938</v>
      </c>
      <c r="BD45" s="4">
        <f t="shared" si="33"/>
        <v>332464.39453181083</v>
      </c>
      <c r="BE45" s="4">
        <f t="shared" si="33"/>
        <v>359560.24268615345</v>
      </c>
      <c r="BF45" s="4">
        <f t="shared" si="33"/>
        <v>388864.40246507496</v>
      </c>
    </row>
    <row r="46" spans="1:58" s="4" customFormat="1" x14ac:dyDescent="0.25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4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v>739</v>
      </c>
      <c r="AD46" s="5">
        <f t="shared" ref="AD46:AD47" si="35">+Z46</f>
        <v>433</v>
      </c>
      <c r="AE46" s="5"/>
      <c r="AF46" s="5"/>
      <c r="AG46" s="5"/>
      <c r="AH46" s="5"/>
      <c r="AP46" s="4">
        <f t="shared" si="31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2504</v>
      </c>
    </row>
    <row r="47" spans="1:58" s="4" customFormat="1" x14ac:dyDescent="0.25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4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v>446</v>
      </c>
      <c r="AD47" s="5">
        <f t="shared" si="35"/>
        <v>500</v>
      </c>
      <c r="AE47" s="5"/>
      <c r="AF47" s="5"/>
      <c r="AG47" s="5"/>
      <c r="AH47" s="5"/>
      <c r="AP47" s="4">
        <f t="shared" si="31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1880</v>
      </c>
    </row>
    <row r="48" spans="1:58" s="6" customFormat="1" ht="13" x14ac:dyDescent="0.3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20016</v>
      </c>
      <c r="AD48" s="7">
        <f t="shared" si="41"/>
        <v>24966.031137321035</v>
      </c>
      <c r="AE48" s="7"/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82238.031137321028</v>
      </c>
      <c r="AV48" s="6">
        <f>AV45+AV46+AV47</f>
        <v>99567.227843000612</v>
      </c>
      <c r="AW48" s="6">
        <f>AW45+AW46+AW47</f>
        <v>128192.8058478633</v>
      </c>
      <c r="AX48" s="6">
        <f>AX45+AX46+AX47</f>
        <v>158446.30802795905</v>
      </c>
      <c r="AY48" s="6">
        <f>AY45+AY46+AY47</f>
        <v>195839.63672255739</v>
      </c>
      <c r="AZ48" s="6">
        <f t="shared" ref="AZ48:BF48" si="42">AZ45+AZ46+AZ47</f>
        <v>231972.0496978692</v>
      </c>
      <c r="BA48" s="6">
        <f t="shared" si="42"/>
        <v>262824.33230768581</v>
      </c>
      <c r="BB48" s="6">
        <f t="shared" si="42"/>
        <v>284244.51539076224</v>
      </c>
      <c r="BC48" s="6">
        <f t="shared" si="42"/>
        <v>307410.44339510938</v>
      </c>
      <c r="BD48" s="6">
        <f t="shared" si="42"/>
        <v>332464.39453181083</v>
      </c>
      <c r="BE48" s="6">
        <f t="shared" si="42"/>
        <v>359560.24268615345</v>
      </c>
      <c r="BF48" s="6">
        <f t="shared" si="42"/>
        <v>388864.40246507496</v>
      </c>
    </row>
    <row r="49" spans="2:58" s="4" customFormat="1" x14ac:dyDescent="0.25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3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v>2376</v>
      </c>
      <c r="AD49" s="5">
        <f t="shared" ref="AD49:AD50" si="44">+Z49</f>
        <v>1438</v>
      </c>
      <c r="AE49" s="5"/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1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8463</v>
      </c>
    </row>
    <row r="50" spans="2:58" s="4" customFormat="1" x14ac:dyDescent="0.25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3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v>2790</v>
      </c>
      <c r="AD50" s="5">
        <f t="shared" si="44"/>
        <v>2166</v>
      </c>
      <c r="AE50" s="5"/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1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9852</v>
      </c>
    </row>
    <row r="51" spans="2:58" s="6" customFormat="1" ht="13" x14ac:dyDescent="0.3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25182</v>
      </c>
      <c r="AD51" s="7">
        <f t="shared" si="48"/>
        <v>28570.031137321035</v>
      </c>
      <c r="AE51" s="7"/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49">SUM(AP48:AP50)</f>
        <v>24578</v>
      </c>
      <c r="AQ51" s="6">
        <f t="shared" si="49"/>
        <v>31536</v>
      </c>
      <c r="AR51" s="6">
        <f t="shared" si="49"/>
        <v>53823</v>
      </c>
      <c r="AS51" s="6">
        <f t="shared" si="49"/>
        <v>81950.600000000006</v>
      </c>
      <c r="AT51" s="6">
        <f>SUM(AT48:AT50)</f>
        <v>96773</v>
      </c>
      <c r="AU51" s="6">
        <f>SUM(AU48:AU50)+AU44</f>
        <v>101109.99033732103</v>
      </c>
      <c r="AV51" s="6">
        <f>SUM(AV48:AV50)+AV44</f>
        <v>101276.58048300061</v>
      </c>
      <c r="AW51" s="6">
        <f>SUM(AW48:AW50)+AW44</f>
        <v>131539.2318478633</v>
      </c>
      <c r="AX51" s="6">
        <f t="shared" ref="AX51:BA51" si="50">SUM(AX48:AX50)+AX44</f>
        <v>163793.60146795906</v>
      </c>
      <c r="AY51" s="6">
        <f t="shared" si="50"/>
        <v>203806.24753855739</v>
      </c>
      <c r="AZ51" s="6">
        <f t="shared" si="50"/>
        <v>242819.9096274692</v>
      </c>
      <c r="BA51" s="6">
        <f t="shared" si="50"/>
        <v>276533.79647056578</v>
      </c>
      <c r="BB51" s="6">
        <f t="shared" ref="BB51" si="51">SUM(BB48:BB50)+BB44</f>
        <v>299134.39129987021</v>
      </c>
      <c r="BC51" s="6">
        <f t="shared" ref="BC51" si="52">SUM(BC48:BC50)+BC44</f>
        <v>323561.49606466095</v>
      </c>
      <c r="BD51" s="6">
        <f t="shared" ref="BD51" si="53">SUM(BD48:BD50)+BD44</f>
        <v>349962.51444807765</v>
      </c>
      <c r="BE51" s="6">
        <f t="shared" ref="BE51" si="54">SUM(BE48:BE50)+BE44</f>
        <v>378496.75644213305</v>
      </c>
      <c r="BF51" s="6">
        <f t="shared" ref="BF51" si="55">SUM(BF48:BF50)+BF44</f>
        <v>409336.40164494806</v>
      </c>
    </row>
    <row r="52" spans="2:58" s="4" customFormat="1" x14ac:dyDescent="0.25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v>15743</v>
      </c>
      <c r="AD52" s="5">
        <f>+AD45*0.85</f>
        <v>20428.07646672288</v>
      </c>
      <c r="AE52" s="5"/>
      <c r="AF52" s="5"/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6">SUM(W52:Z52)</f>
        <v>65121</v>
      </c>
      <c r="AU52" s="4">
        <f t="shared" ref="AU52:AU59" si="57">SUM(AA52:AD52)</f>
        <v>66030.07646672288</v>
      </c>
      <c r="AV52" s="4">
        <f>AV45*0.8</f>
        <v>79653.782274400495</v>
      </c>
      <c r="AW52" s="4">
        <f>AW45*0.79</f>
        <v>101272.31661981202</v>
      </c>
      <c r="AX52" s="4">
        <f>AX51*0.78</f>
        <v>127759.00914500807</v>
      </c>
      <c r="AY52" s="4">
        <f>AY51*0.77</f>
        <v>156930.81060468921</v>
      </c>
      <c r="AZ52" s="4">
        <f>AZ51*0.76</f>
        <v>184543.13131687659</v>
      </c>
      <c r="BA52" s="4">
        <f>BA51*0.75</f>
        <v>207400.34735292435</v>
      </c>
      <c r="BB52" s="4">
        <f t="shared" ref="BB52:BF52" si="58">BB51*0.75</f>
        <v>224350.79347490266</v>
      </c>
      <c r="BC52" s="4">
        <f t="shared" si="58"/>
        <v>242671.12204849572</v>
      </c>
      <c r="BD52" s="4">
        <f t="shared" si="58"/>
        <v>262471.88583605824</v>
      </c>
      <c r="BE52" s="4">
        <f t="shared" si="58"/>
        <v>283872.56733159977</v>
      </c>
      <c r="BF52" s="4">
        <f t="shared" si="58"/>
        <v>307002.30123371107</v>
      </c>
    </row>
    <row r="53" spans="2:58" s="4" customFormat="1" x14ac:dyDescent="0.25">
      <c r="B53" s="4" t="s">
        <v>40</v>
      </c>
      <c r="C53" s="5"/>
      <c r="D53" s="5"/>
      <c r="E53" s="5"/>
      <c r="F53" s="5"/>
      <c r="G53" s="5">
        <f t="shared" ref="G53:N53" si="59">G45-G52</f>
        <v>653</v>
      </c>
      <c r="H53" s="5">
        <f t="shared" si="59"/>
        <v>914</v>
      </c>
      <c r="I53" s="5">
        <f t="shared" si="59"/>
        <v>1118</v>
      </c>
      <c r="J53" s="5">
        <f t="shared" si="59"/>
        <v>1328</v>
      </c>
      <c r="K53" s="5">
        <f t="shared" si="59"/>
        <v>1194</v>
      </c>
      <c r="L53" s="5">
        <f t="shared" si="59"/>
        <v>1197</v>
      </c>
      <c r="M53" s="5">
        <f t="shared" si="59"/>
        <v>1985</v>
      </c>
      <c r="N53" s="5">
        <f t="shared" si="59"/>
        <v>1711</v>
      </c>
      <c r="O53" s="5">
        <f t="shared" ref="O53:R53" si="60">O45-O52</f>
        <v>1730</v>
      </c>
      <c r="P53" s="5">
        <f t="shared" si="60"/>
        <v>2401</v>
      </c>
      <c r="Q53" s="5">
        <f t="shared" si="60"/>
        <v>3243</v>
      </c>
      <c r="R53" s="5">
        <f t="shared" si="60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1">V45-V52</f>
        <v>5602</v>
      </c>
      <c r="W53" s="5">
        <f>W45-W52</f>
        <v>3456</v>
      </c>
      <c r="X53" s="5">
        <f t="shared" si="61"/>
        <v>3578</v>
      </c>
      <c r="Y53" s="5">
        <f t="shared" si="61"/>
        <v>2926</v>
      </c>
      <c r="Z53" s="5">
        <f t="shared" si="61"/>
        <v>3428</v>
      </c>
      <c r="AA53" s="5">
        <f>AA45-AA52</f>
        <v>2563</v>
      </c>
      <c r="AB53" s="5">
        <f>AB45-AB52</f>
        <v>2568</v>
      </c>
      <c r="AC53" s="5">
        <f>AC45-AC52</f>
        <v>3088</v>
      </c>
      <c r="AD53" s="5">
        <f>AD45-AD52</f>
        <v>3604.9546705981556</v>
      </c>
      <c r="AE53" s="5"/>
      <c r="AF53" s="5"/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6"/>
        <v>13388</v>
      </c>
      <c r="AU53" s="4">
        <f t="shared" si="57"/>
        <v>11823.954670598156</v>
      </c>
    </row>
    <row r="54" spans="2:58" s="4" customFormat="1" x14ac:dyDescent="0.25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7"/>
        <v>0</v>
      </c>
    </row>
    <row r="55" spans="2:58" s="4" customFormat="1" x14ac:dyDescent="0.25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v>247</v>
      </c>
      <c r="AD55" s="5">
        <f>+AD47*0.5</f>
        <v>250</v>
      </c>
      <c r="AE55" s="5"/>
      <c r="AF55" s="5"/>
      <c r="AG55" s="5"/>
      <c r="AH55" s="5"/>
      <c r="AS55" s="4">
        <f t="shared" si="37"/>
        <v>1510</v>
      </c>
      <c r="AT55" s="4">
        <f t="shared" si="56"/>
        <v>1268</v>
      </c>
      <c r="AU55" s="4">
        <f t="shared" si="57"/>
        <v>1011</v>
      </c>
    </row>
    <row r="56" spans="2:58" s="4" customFormat="1" x14ac:dyDescent="0.25">
      <c r="B56" s="4" t="s">
        <v>42</v>
      </c>
      <c r="C56" s="5"/>
      <c r="D56" s="5"/>
      <c r="E56" s="5"/>
      <c r="F56" s="5"/>
      <c r="G56" s="5">
        <f t="shared" ref="G56:K56" si="62">G48-G55-G52</f>
        <v>751</v>
      </c>
      <c r="H56" s="5">
        <f t="shared" si="62"/>
        <v>1016</v>
      </c>
      <c r="I56" s="5">
        <f t="shared" si="62"/>
        <v>1222</v>
      </c>
      <c r="J56" s="5">
        <f t="shared" si="62"/>
        <v>1434</v>
      </c>
      <c r="K56" s="5">
        <f t="shared" si="62"/>
        <v>1311</v>
      </c>
      <c r="L56" s="5">
        <f t="shared" ref="L56" si="63">L48-L55-L52</f>
        <v>1317</v>
      </c>
      <c r="M56" s="5">
        <f t="shared" ref="M56:N56" si="64">M48-M55-M52</f>
        <v>2105</v>
      </c>
      <c r="N56" s="5">
        <f t="shared" si="64"/>
        <v>2244</v>
      </c>
      <c r="O56" s="5">
        <f>O48-O55-O52</f>
        <v>2385</v>
      </c>
      <c r="P56" s="5">
        <f t="shared" ref="P56:S56" si="65">P48-P55-P52</f>
        <v>2899</v>
      </c>
      <c r="Q56" s="5">
        <f t="shared" si="65"/>
        <v>3673</v>
      </c>
      <c r="R56" s="5">
        <f t="shared" si="65"/>
        <v>4882</v>
      </c>
      <c r="S56" s="5">
        <f t="shared" si="65"/>
        <v>5539</v>
      </c>
      <c r="T56" s="5">
        <f>T48-T55-T52</f>
        <v>4080</v>
      </c>
      <c r="U56" s="5">
        <f>U48-U55-U52</f>
        <v>5212</v>
      </c>
      <c r="V56" s="5">
        <f t="shared" ref="V56:AD56" si="66">V48-V55-V52</f>
        <v>6568.7999999999993</v>
      </c>
      <c r="W56" s="5">
        <f>W48-W55-W52</f>
        <v>4208</v>
      </c>
      <c r="X56" s="5">
        <f t="shared" si="66"/>
        <v>4089</v>
      </c>
      <c r="Y56" s="5">
        <f t="shared" si="66"/>
        <v>3668</v>
      </c>
      <c r="Z56" s="5">
        <f t="shared" si="66"/>
        <v>4065</v>
      </c>
      <c r="AA56" s="5">
        <f t="shared" si="66"/>
        <v>3212</v>
      </c>
      <c r="AB56" s="5">
        <f>AB48-AB55-AB52</f>
        <v>3671</v>
      </c>
      <c r="AC56" s="5">
        <f t="shared" si="66"/>
        <v>4026</v>
      </c>
      <c r="AD56" s="5">
        <f t="shared" si="66"/>
        <v>4287.9546705981556</v>
      </c>
      <c r="AE56" s="5"/>
      <c r="AF56" s="5"/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7"/>
        <v>15196.954670598156</v>
      </c>
      <c r="AV56" s="4">
        <f>AV51-AV52</f>
        <v>21622.798208600114</v>
      </c>
      <c r="AW56" s="4">
        <f t="shared" ref="AW56:BF56" si="67">AW51-AW52</f>
        <v>30266.915228051279</v>
      </c>
      <c r="AX56" s="4">
        <f t="shared" si="67"/>
        <v>36034.592322950994</v>
      </c>
      <c r="AY56" s="4">
        <f t="shared" si="67"/>
        <v>46875.436933868186</v>
      </c>
      <c r="AZ56" s="4">
        <f t="shared" si="67"/>
        <v>58276.778310592606</v>
      </c>
      <c r="BA56" s="4">
        <f t="shared" si="67"/>
        <v>69133.44911764143</v>
      </c>
      <c r="BB56" s="4">
        <f t="shared" si="67"/>
        <v>74783.597824967554</v>
      </c>
      <c r="BC56" s="4">
        <f t="shared" si="67"/>
        <v>80890.374016165239</v>
      </c>
      <c r="BD56" s="4">
        <f t="shared" si="67"/>
        <v>87490.628612019413</v>
      </c>
      <c r="BE56" s="4">
        <f t="shared" si="67"/>
        <v>94624.189110533276</v>
      </c>
      <c r="BF56" s="4">
        <f t="shared" si="67"/>
        <v>102334.10041123698</v>
      </c>
    </row>
    <row r="57" spans="2:58" s="4" customFormat="1" x14ac:dyDescent="0.25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v>1651</v>
      </c>
      <c r="AD57" s="5">
        <f>+AD49*0.9</f>
        <v>1294.2</v>
      </c>
      <c r="AE57" s="5"/>
      <c r="AF57" s="5"/>
      <c r="AG57" s="5"/>
      <c r="AH57" s="5"/>
      <c r="AS57" s="4">
        <f t="shared" si="37"/>
        <v>3621</v>
      </c>
      <c r="AT57" s="4">
        <f t="shared" si="56"/>
        <v>4894</v>
      </c>
      <c r="AU57" s="4">
        <f t="shared" si="57"/>
        <v>6451.2</v>
      </c>
    </row>
    <row r="58" spans="2:58" s="4" customFormat="1" x14ac:dyDescent="0.25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v>2544</v>
      </c>
      <c r="AD58" s="5">
        <f>+AD50</f>
        <v>2166</v>
      </c>
      <c r="AE58" s="5"/>
      <c r="AF58" s="5"/>
      <c r="AG58" s="5"/>
      <c r="AH58" s="5"/>
      <c r="AS58" s="4">
        <f t="shared" si="37"/>
        <v>5880</v>
      </c>
      <c r="AT58" s="4">
        <f t="shared" si="56"/>
        <v>7830</v>
      </c>
      <c r="AU58" s="4">
        <f t="shared" si="57"/>
        <v>9358</v>
      </c>
    </row>
    <row r="59" spans="2:58" s="4" customFormat="1" x14ac:dyDescent="0.25">
      <c r="B59" s="4" t="s">
        <v>45</v>
      </c>
      <c r="C59" s="5"/>
      <c r="D59" s="5"/>
      <c r="E59" s="5"/>
      <c r="F59" s="5"/>
      <c r="G59" s="5">
        <f t="shared" ref="G59:K59" si="68">G56+G49+G50-G57-G58</f>
        <v>566</v>
      </c>
      <c r="H59" s="5">
        <f t="shared" si="68"/>
        <v>921</v>
      </c>
      <c r="I59" s="5">
        <f t="shared" si="68"/>
        <v>1191</v>
      </c>
      <c r="J59" s="5">
        <f t="shared" si="68"/>
        <v>1391</v>
      </c>
      <c r="K59" s="5">
        <f t="shared" si="68"/>
        <v>1234</v>
      </c>
      <c r="L59" s="5">
        <f t="shared" ref="L59" si="69">L56+L49+L50-L57-L58</f>
        <v>1267</v>
      </c>
      <c r="M59" s="5">
        <f t="shared" ref="M59:T59" si="70">M56+M49+M50-M57-M58</f>
        <v>2063</v>
      </c>
      <c r="N59" s="5">
        <f t="shared" si="70"/>
        <v>2066</v>
      </c>
      <c r="O59" s="5">
        <f t="shared" si="70"/>
        <v>2215</v>
      </c>
      <c r="P59" s="5">
        <f t="shared" si="70"/>
        <v>2884</v>
      </c>
      <c r="Q59" s="5">
        <f t="shared" si="70"/>
        <v>3660</v>
      </c>
      <c r="R59" s="5">
        <f t="shared" si="70"/>
        <v>4847</v>
      </c>
      <c r="S59" s="5">
        <f t="shared" si="70"/>
        <v>5460</v>
      </c>
      <c r="T59" s="5">
        <f t="shared" si="70"/>
        <v>4233</v>
      </c>
      <c r="U59" s="5">
        <f t="shared" ref="U59:AD59" si="71">U56+U49+U50-U57-U58</f>
        <v>5382</v>
      </c>
      <c r="V59" s="5">
        <f t="shared" si="71"/>
        <v>6265.5999999999985</v>
      </c>
      <c r="W59" s="5">
        <f t="shared" si="71"/>
        <v>4511</v>
      </c>
      <c r="X59" s="5">
        <f t="shared" si="71"/>
        <v>4533</v>
      </c>
      <c r="Y59" s="5">
        <f t="shared" si="71"/>
        <v>4178</v>
      </c>
      <c r="Z59" s="5">
        <f t="shared" si="71"/>
        <v>4438</v>
      </c>
      <c r="AA59" s="5">
        <f t="shared" si="71"/>
        <v>3696</v>
      </c>
      <c r="AB59" s="5">
        <f t="shared" si="71"/>
        <v>4578</v>
      </c>
      <c r="AC59" s="5">
        <f t="shared" si="71"/>
        <v>4997</v>
      </c>
      <c r="AD59" s="5">
        <f t="shared" si="71"/>
        <v>4431.7546705981558</v>
      </c>
      <c r="AE59" s="5"/>
      <c r="AF59" s="5"/>
      <c r="AG59" s="5"/>
      <c r="AH59" s="5"/>
      <c r="AS59" s="5">
        <f t="shared" ref="AS59" si="72">+AS51*0.25</f>
        <v>20487.650000000001</v>
      </c>
      <c r="AT59" s="4">
        <f t="shared" si="56"/>
        <v>17660</v>
      </c>
      <c r="AU59" s="4">
        <f t="shared" si="57"/>
        <v>17702.754670598155</v>
      </c>
      <c r="AV59" s="4">
        <f>+AV56+AV44</f>
        <v>23332.150848600115</v>
      </c>
      <c r="AW59" s="4">
        <f t="shared" ref="AW59:BF59" si="73">+AW56+AW44</f>
        <v>33613.341228051278</v>
      </c>
      <c r="AX59" s="4">
        <f t="shared" si="73"/>
        <v>41381.885762950995</v>
      </c>
      <c r="AY59" s="4">
        <f t="shared" si="73"/>
        <v>54842.047749868187</v>
      </c>
      <c r="AZ59" s="4">
        <f t="shared" si="73"/>
        <v>69124.638240192609</v>
      </c>
      <c r="BA59" s="4">
        <f t="shared" si="73"/>
        <v>82842.913280521432</v>
      </c>
      <c r="BB59" s="4">
        <f t="shared" si="73"/>
        <v>89673.473734075553</v>
      </c>
      <c r="BC59" s="4">
        <f t="shared" si="73"/>
        <v>97041.42668571684</v>
      </c>
      <c r="BD59" s="4">
        <f t="shared" si="73"/>
        <v>104988.7485282862</v>
      </c>
      <c r="BE59" s="4">
        <f t="shared" si="73"/>
        <v>113560.7028665129</v>
      </c>
      <c r="BF59" s="4">
        <f t="shared" si="73"/>
        <v>122806.09959111005</v>
      </c>
    </row>
    <row r="60" spans="2:58" s="4" customFormat="1" x14ac:dyDescent="0.25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v>1039</v>
      </c>
      <c r="AD60" s="5">
        <f t="shared" ref="AD60:AD61" si="74">+Z60*1.1</f>
        <v>1203.4000000000001</v>
      </c>
      <c r="AE60" s="5"/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5">SUM(AA60:AD60)</f>
        <v>4467.3999999999996</v>
      </c>
      <c r="AV60" s="4">
        <f>AU60*1.04</f>
        <v>4646.0959999999995</v>
      </c>
      <c r="AW60" s="4">
        <f t="shared" ref="AW60:BA60" si="76">AV60*1.04</f>
        <v>4831.93984</v>
      </c>
      <c r="AX60" s="4">
        <f t="shared" si="76"/>
        <v>5025.2174335999998</v>
      </c>
      <c r="AY60" s="4">
        <f t="shared" si="76"/>
        <v>5226.226130944</v>
      </c>
      <c r="AZ60" s="4">
        <f t="shared" si="76"/>
        <v>5435.2751761817599</v>
      </c>
      <c r="BA60" s="4">
        <f t="shared" si="76"/>
        <v>5652.6861832290306</v>
      </c>
      <c r="BB60" s="4">
        <f t="shared" ref="BB60:BF60" si="77">BA60*1.04</f>
        <v>5878.7936305581916</v>
      </c>
      <c r="BC60" s="4">
        <f t="shared" si="77"/>
        <v>6113.9453757805195</v>
      </c>
      <c r="BD60" s="4">
        <f t="shared" si="77"/>
        <v>6358.5031908117408</v>
      </c>
      <c r="BE60" s="4">
        <f t="shared" si="77"/>
        <v>6612.843318444211</v>
      </c>
      <c r="BF60" s="4">
        <f t="shared" si="77"/>
        <v>6877.3570511819798</v>
      </c>
    </row>
    <row r="61" spans="2:58" s="4" customFormat="1" x14ac:dyDescent="0.25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v>1186</v>
      </c>
      <c r="AD61" s="5">
        <f t="shared" si="74"/>
        <v>1408</v>
      </c>
      <c r="AE61" s="5"/>
      <c r="AF61" s="5"/>
      <c r="AG61" s="5"/>
      <c r="AH61" s="5"/>
      <c r="AS61" s="4">
        <f t="shared" si="37"/>
        <v>4706.8</v>
      </c>
      <c r="AT61" s="4">
        <f t="shared" si="56"/>
        <v>4800</v>
      </c>
      <c r="AU61" s="4">
        <f t="shared" si="75"/>
        <v>5245</v>
      </c>
      <c r="AV61" s="4">
        <f>AU61*1.04</f>
        <v>5454.8</v>
      </c>
      <c r="AW61" s="4">
        <f t="shared" ref="AW61:BA61" si="78">AV61*1.04</f>
        <v>5672.9920000000002</v>
      </c>
      <c r="AX61" s="4">
        <f t="shared" si="78"/>
        <v>5899.9116800000002</v>
      </c>
      <c r="AY61" s="4">
        <f t="shared" si="78"/>
        <v>6135.9081472000007</v>
      </c>
      <c r="AZ61" s="4">
        <f t="shared" si="78"/>
        <v>6381.344473088001</v>
      </c>
      <c r="BA61" s="4">
        <f t="shared" si="78"/>
        <v>6636.5982520115213</v>
      </c>
      <c r="BB61" s="4">
        <f t="shared" ref="BB61:BF61" si="79">BA61*1.04</f>
        <v>6902.0621820919823</v>
      </c>
      <c r="BC61" s="4">
        <f t="shared" si="79"/>
        <v>7178.1446693756616</v>
      </c>
      <c r="BD61" s="4">
        <f t="shared" si="79"/>
        <v>7465.270456150688</v>
      </c>
      <c r="BE61" s="4">
        <f t="shared" si="79"/>
        <v>7763.8812743967155</v>
      </c>
      <c r="BF61" s="4">
        <f t="shared" si="79"/>
        <v>8074.4365253725846</v>
      </c>
    </row>
    <row r="62" spans="2:58" s="4" customFormat="1" x14ac:dyDescent="0.25">
      <c r="B62" s="4" t="s">
        <v>48</v>
      </c>
      <c r="C62" s="5"/>
      <c r="D62" s="5"/>
      <c r="E62" s="5"/>
      <c r="F62" s="5"/>
      <c r="G62" s="5">
        <f t="shared" ref="G62" si="80">G60+G61</f>
        <v>1044</v>
      </c>
      <c r="H62" s="5">
        <f t="shared" ref="H62:I62" si="81">H60+H61</f>
        <v>971</v>
      </c>
      <c r="I62" s="5">
        <f t="shared" si="81"/>
        <v>930</v>
      </c>
      <c r="J62" s="5">
        <f t="shared" ref="J62:L62" si="82">J60+J61</f>
        <v>1044</v>
      </c>
      <c r="K62" s="5">
        <f t="shared" si="82"/>
        <v>951</v>
      </c>
      <c r="L62" s="5">
        <f t="shared" si="82"/>
        <v>940</v>
      </c>
      <c r="M62" s="5">
        <f t="shared" ref="M62:N62" si="83">M60+M61</f>
        <v>1254</v>
      </c>
      <c r="N62" s="5">
        <f t="shared" si="83"/>
        <v>1491</v>
      </c>
      <c r="O62" s="5">
        <f t="shared" ref="O62:R62" si="84">O60+O61</f>
        <v>1722</v>
      </c>
      <c r="P62" s="5">
        <f t="shared" si="84"/>
        <v>1549</v>
      </c>
      <c r="Q62" s="5">
        <f t="shared" si="84"/>
        <v>1605</v>
      </c>
      <c r="R62" s="5">
        <f t="shared" si="84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D62" si="85">V60+V61</f>
        <v>2602.8000000000002</v>
      </c>
      <c r="W62" s="5">
        <f>W60+W61</f>
        <v>1847</v>
      </c>
      <c r="X62" s="5">
        <f t="shared" si="85"/>
        <v>2134</v>
      </c>
      <c r="Y62" s="5">
        <f t="shared" si="85"/>
        <v>2414</v>
      </c>
      <c r="Z62" s="5">
        <f t="shared" si="85"/>
        <v>2374</v>
      </c>
      <c r="AA62" s="5">
        <f t="shared" si="85"/>
        <v>2525</v>
      </c>
      <c r="AB62" s="5">
        <f t="shared" si="85"/>
        <v>2351</v>
      </c>
      <c r="AC62" s="5">
        <f t="shared" si="85"/>
        <v>2225</v>
      </c>
      <c r="AD62" s="5">
        <f t="shared" si="85"/>
        <v>2611.4</v>
      </c>
      <c r="AE62" s="5"/>
      <c r="AF62" s="5"/>
      <c r="AG62" s="5"/>
      <c r="AH62" s="5"/>
      <c r="AS62" s="4">
        <f t="shared" ref="AS62" si="86">+AS60+AS61</f>
        <v>7781.8</v>
      </c>
      <c r="AT62" s="4">
        <f>+AT60+AT61</f>
        <v>8769</v>
      </c>
      <c r="AU62" s="4">
        <f t="shared" ref="AU62:AY62" si="87">+AU60+AU61</f>
        <v>9712.4</v>
      </c>
      <c r="AV62" s="4">
        <f>+AV60+AV61</f>
        <v>10100.896000000001</v>
      </c>
      <c r="AW62" s="4">
        <f t="shared" si="87"/>
        <v>10504.931840000001</v>
      </c>
      <c r="AX62" s="4">
        <f t="shared" si="87"/>
        <v>10925.1291136</v>
      </c>
      <c r="AY62" s="4">
        <f t="shared" si="87"/>
        <v>11362.134278144</v>
      </c>
      <c r="AZ62" s="4">
        <f t="shared" ref="AZ62" si="88">+AZ60+AZ61</f>
        <v>11816.61964926976</v>
      </c>
      <c r="BA62" s="4">
        <f t="shared" ref="BA62:BF62" si="89">+BA60+BA61</f>
        <v>12289.284435240552</v>
      </c>
      <c r="BB62" s="4">
        <f t="shared" si="89"/>
        <v>12780.855812650174</v>
      </c>
      <c r="BC62" s="4">
        <f t="shared" si="89"/>
        <v>13292.090045156181</v>
      </c>
      <c r="BD62" s="4">
        <f t="shared" si="89"/>
        <v>13823.773646962429</v>
      </c>
      <c r="BE62" s="4">
        <f t="shared" si="89"/>
        <v>14376.724592840927</v>
      </c>
      <c r="BF62" s="4">
        <f t="shared" si="89"/>
        <v>14951.793576554564</v>
      </c>
    </row>
    <row r="63" spans="2:58" s="4" customFormat="1" x14ac:dyDescent="0.25">
      <c r="B63" s="4" t="s">
        <v>49</v>
      </c>
      <c r="C63" s="5"/>
      <c r="D63" s="5"/>
      <c r="E63" s="5"/>
      <c r="F63" s="5"/>
      <c r="G63" s="5">
        <f t="shared" ref="G63" si="90">G59-G62</f>
        <v>-478</v>
      </c>
      <c r="H63" s="5">
        <f t="shared" ref="H63:I63" si="91">H59-H62</f>
        <v>-50</v>
      </c>
      <c r="I63" s="5">
        <f t="shared" si="91"/>
        <v>261</v>
      </c>
      <c r="J63" s="5">
        <f t="shared" ref="J63:L63" si="92">J59-J62</f>
        <v>347</v>
      </c>
      <c r="K63" s="5">
        <f t="shared" si="92"/>
        <v>283</v>
      </c>
      <c r="L63" s="5">
        <f t="shared" si="92"/>
        <v>327</v>
      </c>
      <c r="M63" s="5">
        <f t="shared" ref="M63:N63" si="93">M59-M62</f>
        <v>809</v>
      </c>
      <c r="N63" s="5">
        <f t="shared" si="93"/>
        <v>575</v>
      </c>
      <c r="O63" s="5">
        <f t="shared" ref="O63:R63" si="94">O59-O62</f>
        <v>493</v>
      </c>
      <c r="P63" s="5">
        <f t="shared" si="94"/>
        <v>1335</v>
      </c>
      <c r="Q63" s="5">
        <f t="shared" si="94"/>
        <v>2055</v>
      </c>
      <c r="R63" s="5">
        <f t="shared" si="94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95">V59-V62</f>
        <v>3662.7999999999984</v>
      </c>
      <c r="W63" s="5">
        <f>W59-W62</f>
        <v>2664</v>
      </c>
      <c r="X63" s="5">
        <f t="shared" si="95"/>
        <v>2399</v>
      </c>
      <c r="Y63" s="5">
        <f t="shared" si="95"/>
        <v>1764</v>
      </c>
      <c r="Z63" s="5">
        <f t="shared" si="95"/>
        <v>2064</v>
      </c>
      <c r="AA63" s="5">
        <f t="shared" si="95"/>
        <v>1171</v>
      </c>
      <c r="AB63" s="5">
        <f t="shared" si="95"/>
        <v>2227</v>
      </c>
      <c r="AC63" s="5">
        <f t="shared" si="95"/>
        <v>2772</v>
      </c>
      <c r="AD63" s="5">
        <f t="shared" si="95"/>
        <v>1820.3546705981557</v>
      </c>
      <c r="AE63" s="5"/>
      <c r="AF63" s="5"/>
      <c r="AG63" s="5"/>
      <c r="AH63" s="5"/>
      <c r="AS63" s="5">
        <f t="shared" ref="AS63:AT63" si="96">AS59-AS62</f>
        <v>12705.850000000002</v>
      </c>
      <c r="AT63" s="5">
        <f t="shared" si="96"/>
        <v>8891</v>
      </c>
      <c r="AU63" s="5">
        <f t="shared" ref="AU63:BA63" si="97">AU59-AU62</f>
        <v>7990.3546705981553</v>
      </c>
      <c r="AV63" s="5">
        <f>AV59-AV62</f>
        <v>13231.254848600114</v>
      </c>
      <c r="AW63" s="5">
        <f t="shared" si="97"/>
        <v>23108.409388051277</v>
      </c>
      <c r="AX63" s="5">
        <f t="shared" si="97"/>
        <v>30456.756649350995</v>
      </c>
      <c r="AY63" s="5">
        <f t="shared" si="97"/>
        <v>43479.913471724183</v>
      </c>
      <c r="AZ63" s="5">
        <f t="shared" si="97"/>
        <v>57308.018590922846</v>
      </c>
      <c r="BA63" s="5">
        <f t="shared" si="97"/>
        <v>70553.62884528088</v>
      </c>
      <c r="BB63" s="5">
        <f t="shared" ref="BB63:BF63" si="98">BB59-BB62</f>
        <v>76892.617921425379</v>
      </c>
      <c r="BC63" s="5">
        <f t="shared" si="98"/>
        <v>83749.336640560665</v>
      </c>
      <c r="BD63" s="5">
        <f t="shared" si="98"/>
        <v>91164.974881323782</v>
      </c>
      <c r="BE63" s="5">
        <f t="shared" si="98"/>
        <v>99183.978273671979</v>
      </c>
      <c r="BF63" s="5">
        <f t="shared" si="98"/>
        <v>107854.30601455548</v>
      </c>
    </row>
    <row r="64" spans="2:58" s="4" customFormat="1" x14ac:dyDescent="0.25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>
        <f>429-92-270</f>
        <v>67</v>
      </c>
      <c r="AD64" s="5"/>
      <c r="AE64" s="5"/>
      <c r="AF64" s="5"/>
      <c r="AG64" s="5"/>
      <c r="AH64" s="5"/>
      <c r="AT64" s="4">
        <f t="shared" si="56"/>
        <v>1082</v>
      </c>
      <c r="AU64" s="4">
        <f t="shared" ref="AU64" si="99">SUM(AA64:AD64)</f>
        <v>731</v>
      </c>
      <c r="AV64" s="4">
        <f t="shared" ref="AV64:BF64" si="100">AU94*$BH$81</f>
        <v>3077.1283736478526</v>
      </c>
      <c r="AW64" s="4">
        <f t="shared" si="100"/>
        <v>4463.3409475389299</v>
      </c>
      <c r="AX64" s="4">
        <f t="shared" si="100"/>
        <v>6806.9397260640972</v>
      </c>
      <c r="AY64" s="4">
        <f t="shared" si="100"/>
        <v>9974.3539179743802</v>
      </c>
      <c r="AZ64" s="4">
        <f t="shared" si="100"/>
        <v>14517.966646098759</v>
      </c>
      <c r="BA64" s="4">
        <f t="shared" si="100"/>
        <v>20623.175391245597</v>
      </c>
      <c r="BB64" s="4">
        <f t="shared" si="100"/>
        <v>28373.203751350346</v>
      </c>
      <c r="BC64" s="4">
        <f t="shared" si="100"/>
        <v>37320.798593536281</v>
      </c>
      <c r="BD64" s="4">
        <f t="shared" si="100"/>
        <v>47611.76008843453</v>
      </c>
      <c r="BE64" s="4">
        <f t="shared" si="100"/>
        <v>59407.782560863976</v>
      </c>
      <c r="BF64" s="4">
        <f t="shared" si="100"/>
        <v>72888.082231799533</v>
      </c>
    </row>
    <row r="65" spans="2:109" s="4" customFormat="1" x14ac:dyDescent="0.25">
      <c r="B65" s="4" t="s">
        <v>51</v>
      </c>
      <c r="C65" s="5"/>
      <c r="D65" s="5"/>
      <c r="E65" s="5"/>
      <c r="F65" s="5"/>
      <c r="G65" s="5">
        <f t="shared" ref="G65:N65" si="101">G63+G64</f>
        <v>-601</v>
      </c>
      <c r="H65" s="5">
        <f t="shared" si="101"/>
        <v>-253</v>
      </c>
      <c r="I65" s="5">
        <f t="shared" si="101"/>
        <v>176</v>
      </c>
      <c r="J65" s="5">
        <f t="shared" si="101"/>
        <v>160</v>
      </c>
      <c r="K65" s="5">
        <f t="shared" si="101"/>
        <v>70</v>
      </c>
      <c r="L65" s="5">
        <f t="shared" si="101"/>
        <v>150</v>
      </c>
      <c r="M65" s="5">
        <f t="shared" si="101"/>
        <v>555</v>
      </c>
      <c r="N65" s="5">
        <f t="shared" si="101"/>
        <v>379</v>
      </c>
      <c r="O65" s="5">
        <f t="shared" ref="O65:R65" si="102">O63+O64</f>
        <v>432</v>
      </c>
      <c r="P65" s="5">
        <f t="shared" si="102"/>
        <v>1316</v>
      </c>
      <c r="Q65" s="5">
        <f t="shared" si="102"/>
        <v>1933</v>
      </c>
      <c r="R65" s="5">
        <f t="shared" si="102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D65" si="103">V63+V64</f>
        <v>3744.7999999999984</v>
      </c>
      <c r="W65" s="5">
        <f t="shared" si="103"/>
        <v>2800</v>
      </c>
      <c r="X65" s="5">
        <f t="shared" si="103"/>
        <v>2937</v>
      </c>
      <c r="Y65" s="5">
        <f t="shared" si="103"/>
        <v>2045</v>
      </c>
      <c r="Z65" s="5">
        <f t="shared" si="103"/>
        <v>2191</v>
      </c>
      <c r="AA65" s="5">
        <f t="shared" si="103"/>
        <v>1553</v>
      </c>
      <c r="AB65" s="5">
        <f t="shared" si="103"/>
        <v>2509</v>
      </c>
      <c r="AC65" s="5">
        <f t="shared" si="103"/>
        <v>2839</v>
      </c>
      <c r="AD65" s="5">
        <f t="shared" si="103"/>
        <v>1820.3546705981557</v>
      </c>
      <c r="AE65" s="5"/>
      <c r="AF65" s="5"/>
      <c r="AG65" s="5"/>
      <c r="AH65" s="5"/>
      <c r="AT65" s="4">
        <f>+AT63+AT64</f>
        <v>9973</v>
      </c>
      <c r="AU65" s="4">
        <f t="shared" ref="AU65:BF65" si="104">+AU63+AU64</f>
        <v>8721.3546705981553</v>
      </c>
      <c r="AV65" s="4">
        <f t="shared" si="104"/>
        <v>16308.383222247967</v>
      </c>
      <c r="AW65" s="4">
        <f t="shared" si="104"/>
        <v>27571.750335590208</v>
      </c>
      <c r="AX65" s="4">
        <f t="shared" si="104"/>
        <v>37263.696375415093</v>
      </c>
      <c r="AY65" s="4">
        <f t="shared" si="104"/>
        <v>53454.267389698565</v>
      </c>
      <c r="AZ65" s="4">
        <f t="shared" si="104"/>
        <v>71825.98523702161</v>
      </c>
      <c r="BA65" s="4">
        <f t="shared" si="104"/>
        <v>91176.804236526485</v>
      </c>
      <c r="BB65" s="4">
        <f t="shared" si="104"/>
        <v>105265.82167277572</v>
      </c>
      <c r="BC65" s="4">
        <f t="shared" si="104"/>
        <v>121070.13523409695</v>
      </c>
      <c r="BD65" s="4">
        <f t="shared" si="104"/>
        <v>138776.73496975831</v>
      </c>
      <c r="BE65" s="4">
        <f t="shared" si="104"/>
        <v>158591.76083453596</v>
      </c>
      <c r="BF65" s="4">
        <f t="shared" si="104"/>
        <v>180742.388246355</v>
      </c>
    </row>
    <row r="66" spans="2:109" s="4" customFormat="1" x14ac:dyDescent="0.25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601+16</f>
        <v>617</v>
      </c>
      <c r="AD66" s="5">
        <f>+AD65*0.2</f>
        <v>364.07093411963115</v>
      </c>
      <c r="AE66" s="5"/>
      <c r="AF66" s="5"/>
      <c r="AG66" s="5"/>
      <c r="AH66" s="5"/>
      <c r="AT66" s="4">
        <f t="shared" si="56"/>
        <v>728</v>
      </c>
      <c r="AU66" s="4">
        <f t="shared" ref="AU66" si="105">SUM(AA66:AD66)</f>
        <v>1814.0709341196311</v>
      </c>
      <c r="AV66" s="4">
        <f t="shared" ref="AV66:BA66" si="106">+AV65*0.15</f>
        <v>2446.257483337195</v>
      </c>
      <c r="AW66" s="4">
        <f t="shared" si="106"/>
        <v>4135.7625503385307</v>
      </c>
      <c r="AX66" s="4">
        <f t="shared" si="106"/>
        <v>5589.5544563122639</v>
      </c>
      <c r="AY66" s="4">
        <f t="shared" si="106"/>
        <v>8018.1401084547842</v>
      </c>
      <c r="AZ66" s="4">
        <f t="shared" si="106"/>
        <v>10773.897785553241</v>
      </c>
      <c r="BA66" s="4">
        <f t="shared" si="106"/>
        <v>13676.520635478972</v>
      </c>
      <c r="BB66" s="4">
        <f t="shared" ref="BB66:BF66" si="107">+BB65*0.15</f>
        <v>15789.873250916358</v>
      </c>
      <c r="BC66" s="4">
        <f t="shared" si="107"/>
        <v>18160.52028511454</v>
      </c>
      <c r="BD66" s="4">
        <f t="shared" si="107"/>
        <v>20816.510245463745</v>
      </c>
      <c r="BE66" s="4">
        <f t="shared" si="107"/>
        <v>23788.764125180394</v>
      </c>
      <c r="BF66" s="4">
        <f t="shared" si="107"/>
        <v>27111.358236953249</v>
      </c>
    </row>
    <row r="67" spans="2:109" s="4" customFormat="1" x14ac:dyDescent="0.25">
      <c r="B67" s="4" t="s">
        <v>53</v>
      </c>
      <c r="C67" s="5"/>
      <c r="D67" s="5"/>
      <c r="E67" s="5"/>
      <c r="F67" s="5"/>
      <c r="G67" s="5">
        <f t="shared" ref="G67:N67" si="108">G65-G66</f>
        <v>-658</v>
      </c>
      <c r="H67" s="5">
        <f t="shared" si="108"/>
        <v>-291</v>
      </c>
      <c r="I67" s="5">
        <f t="shared" si="108"/>
        <v>143</v>
      </c>
      <c r="J67" s="5">
        <f t="shared" si="108"/>
        <v>91</v>
      </c>
      <c r="K67" s="5">
        <f t="shared" si="108"/>
        <v>16</v>
      </c>
      <c r="L67" s="5">
        <f t="shared" si="108"/>
        <v>104</v>
      </c>
      <c r="M67" s="5">
        <f t="shared" si="108"/>
        <v>300</v>
      </c>
      <c r="N67" s="5">
        <f t="shared" si="108"/>
        <v>270</v>
      </c>
      <c r="O67" s="5">
        <f t="shared" ref="O67:R67" si="109">O65-O66</f>
        <v>337</v>
      </c>
      <c r="P67" s="5">
        <f t="shared" si="109"/>
        <v>1165</v>
      </c>
      <c r="Q67" s="5">
        <f t="shared" si="109"/>
        <v>1669</v>
      </c>
      <c r="R67" s="5">
        <f t="shared" si="109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D67" si="110">V65-V66</f>
        <v>3468.7999999999984</v>
      </c>
      <c r="W67" s="5">
        <f t="shared" si="110"/>
        <v>2513</v>
      </c>
      <c r="X67" s="5">
        <f t="shared" si="110"/>
        <v>2703</v>
      </c>
      <c r="Y67" s="5">
        <f t="shared" si="110"/>
        <v>1853</v>
      </c>
      <c r="Z67" s="5">
        <f t="shared" si="110"/>
        <v>2176</v>
      </c>
      <c r="AA67" s="5">
        <f t="shared" si="110"/>
        <v>1129</v>
      </c>
      <c r="AB67" s="5">
        <f t="shared" si="110"/>
        <v>2100</v>
      </c>
      <c r="AC67" s="5">
        <f t="shared" si="110"/>
        <v>2222</v>
      </c>
      <c r="AD67" s="5">
        <f t="shared" si="110"/>
        <v>1456.2837364785246</v>
      </c>
      <c r="AE67" s="5"/>
      <c r="AF67" s="5"/>
      <c r="AG67" s="5"/>
      <c r="AH67" s="5"/>
      <c r="AT67" s="4">
        <f>+AT65-AT66</f>
        <v>9245</v>
      </c>
      <c r="AU67" s="4">
        <f t="shared" ref="AU67" si="111">+AU65-AU66</f>
        <v>6907.2837364785246</v>
      </c>
      <c r="AV67" s="4">
        <f t="shared" ref="AV67:BA67" si="112">+AV65-AV66</f>
        <v>13862.125738910772</v>
      </c>
      <c r="AW67" s="4">
        <f t="shared" si="112"/>
        <v>23435.987785251677</v>
      </c>
      <c r="AX67" s="4">
        <f t="shared" si="112"/>
        <v>31674.141919102829</v>
      </c>
      <c r="AY67" s="4">
        <f t="shared" si="112"/>
        <v>45436.127281243782</v>
      </c>
      <c r="AZ67" s="4">
        <f t="shared" si="112"/>
        <v>61052.087451468367</v>
      </c>
      <c r="BA67" s="4">
        <f t="shared" si="112"/>
        <v>77500.283601047515</v>
      </c>
      <c r="BB67" s="4">
        <f t="shared" ref="BB67:BF67" si="113">+BB65-BB66</f>
        <v>89475.948421859372</v>
      </c>
      <c r="BC67" s="4">
        <f t="shared" si="113"/>
        <v>102909.6149489824</v>
      </c>
      <c r="BD67" s="4">
        <f t="shared" si="113"/>
        <v>117960.22472429456</v>
      </c>
      <c r="BE67" s="4">
        <f t="shared" si="113"/>
        <v>134802.99670935556</v>
      </c>
      <c r="BF67" s="4">
        <f t="shared" si="113"/>
        <v>153631.03000940176</v>
      </c>
      <c r="BG67" s="4">
        <f t="shared" ref="BG67:CL67" si="114">BF67*(1+$BH$78)</f>
        <v>152094.71970930774</v>
      </c>
      <c r="BH67" s="4">
        <f t="shared" si="114"/>
        <v>150573.77251221467</v>
      </c>
      <c r="BI67" s="4">
        <f t="shared" si="114"/>
        <v>149068.0347870925</v>
      </c>
      <c r="BJ67" s="4">
        <f t="shared" si="114"/>
        <v>147577.35443922158</v>
      </c>
      <c r="BK67" s="4">
        <f t="shared" si="114"/>
        <v>146101.58089482936</v>
      </c>
      <c r="BL67" s="4">
        <f t="shared" si="114"/>
        <v>144640.56508588107</v>
      </c>
      <c r="BM67" s="4">
        <f t="shared" si="114"/>
        <v>143194.15943502224</v>
      </c>
      <c r="BN67" s="4">
        <f t="shared" si="114"/>
        <v>141762.21784067203</v>
      </c>
      <c r="BO67" s="4">
        <f t="shared" si="114"/>
        <v>140344.59566226532</v>
      </c>
      <c r="BP67" s="4">
        <f t="shared" si="114"/>
        <v>138941.14970564266</v>
      </c>
      <c r="BQ67" s="4">
        <f t="shared" si="114"/>
        <v>137551.73820858623</v>
      </c>
      <c r="BR67" s="4">
        <f t="shared" si="114"/>
        <v>136176.22082650036</v>
      </c>
      <c r="BS67" s="4">
        <f t="shared" si="114"/>
        <v>134814.45861823537</v>
      </c>
      <c r="BT67" s="4">
        <f t="shared" si="114"/>
        <v>133466.31403205302</v>
      </c>
      <c r="BU67" s="4">
        <f t="shared" si="114"/>
        <v>132131.65089173248</v>
      </c>
      <c r="BV67" s="4">
        <f t="shared" si="114"/>
        <v>130810.33438281516</v>
      </c>
      <c r="BW67" s="4">
        <f t="shared" si="114"/>
        <v>129502.231038987</v>
      </c>
      <c r="BX67" s="4">
        <f t="shared" si="114"/>
        <v>128207.20872859712</v>
      </c>
      <c r="BY67" s="4">
        <f t="shared" si="114"/>
        <v>126925.13664131115</v>
      </c>
      <c r="BZ67" s="4">
        <f t="shared" si="114"/>
        <v>125655.88527489804</v>
      </c>
      <c r="CA67" s="4">
        <f t="shared" si="114"/>
        <v>124399.32642214907</v>
      </c>
      <c r="CB67" s="4">
        <f t="shared" si="114"/>
        <v>123155.33315792757</v>
      </c>
      <c r="CC67" s="4">
        <f t="shared" si="114"/>
        <v>121923.7798263483</v>
      </c>
      <c r="CD67" s="4">
        <f t="shared" si="114"/>
        <v>120704.54202808482</v>
      </c>
      <c r="CE67" s="4">
        <f t="shared" si="114"/>
        <v>119497.49660780397</v>
      </c>
      <c r="CF67" s="4">
        <f t="shared" si="114"/>
        <v>118302.52164172594</v>
      </c>
      <c r="CG67" s="4">
        <f t="shared" si="114"/>
        <v>117119.49642530868</v>
      </c>
      <c r="CH67" s="4">
        <f t="shared" si="114"/>
        <v>115948.3014610556</v>
      </c>
      <c r="CI67" s="4">
        <f t="shared" si="114"/>
        <v>114788.81844644505</v>
      </c>
      <c r="CJ67" s="4">
        <f t="shared" si="114"/>
        <v>113640.9302619806</v>
      </c>
      <c r="CK67" s="4">
        <f t="shared" si="114"/>
        <v>112504.52095936079</v>
      </c>
      <c r="CL67" s="4">
        <f t="shared" si="114"/>
        <v>111379.47574976718</v>
      </c>
      <c r="CM67" s="4">
        <f t="shared" ref="CM67:DE67" si="115">CL67*(1+$BH$78)</f>
        <v>110265.68099226951</v>
      </c>
      <c r="CN67" s="4">
        <f t="shared" si="115"/>
        <v>109163.02418234681</v>
      </c>
      <c r="CO67" s="4">
        <f t="shared" si="115"/>
        <v>108071.39394052334</v>
      </c>
      <c r="CP67" s="4">
        <f t="shared" si="115"/>
        <v>106990.6800011181</v>
      </c>
      <c r="CQ67" s="4">
        <f t="shared" si="115"/>
        <v>105920.77320110692</v>
      </c>
      <c r="CR67" s="4">
        <f t="shared" si="115"/>
        <v>104861.56546909585</v>
      </c>
      <c r="CS67" s="4">
        <f t="shared" si="115"/>
        <v>103812.94981440488</v>
      </c>
      <c r="CT67" s="4">
        <f t="shared" si="115"/>
        <v>102774.82031626084</v>
      </c>
      <c r="CU67" s="4">
        <f t="shared" si="115"/>
        <v>101747.07211309823</v>
      </c>
      <c r="CV67" s="4">
        <f t="shared" si="115"/>
        <v>100729.60139196724</v>
      </c>
      <c r="CW67" s="4">
        <f t="shared" si="115"/>
        <v>99722.30537804756</v>
      </c>
      <c r="CX67" s="4">
        <f t="shared" si="115"/>
        <v>98725.082324267089</v>
      </c>
      <c r="CY67" s="4">
        <f t="shared" si="115"/>
        <v>97737.831501024411</v>
      </c>
      <c r="CZ67" s="4">
        <f t="shared" si="115"/>
        <v>96760.453186014172</v>
      </c>
      <c r="DA67" s="4">
        <f t="shared" si="115"/>
        <v>95792.848654154033</v>
      </c>
      <c r="DB67" s="4">
        <f t="shared" si="115"/>
        <v>94834.920167612494</v>
      </c>
      <c r="DC67" s="4">
        <f t="shared" si="115"/>
        <v>93886.570965936364</v>
      </c>
      <c r="DD67" s="4">
        <f t="shared" si="115"/>
        <v>92947.705256276997</v>
      </c>
      <c r="DE67" s="4">
        <f t="shared" si="115"/>
        <v>92018.228203714229</v>
      </c>
    </row>
    <row r="68" spans="2:109" x14ac:dyDescent="0.25">
      <c r="B68" s="1" t="s">
        <v>54</v>
      </c>
      <c r="C68" s="3"/>
      <c r="D68" s="3"/>
      <c r="E68" s="3"/>
      <c r="F68" s="3"/>
      <c r="G68" s="3">
        <f t="shared" ref="G68:K68" si="116">G67/G69</f>
        <v>-0.76069364161849706</v>
      </c>
      <c r="H68" s="3">
        <f t="shared" si="116"/>
        <v>-0.32881355932203388</v>
      </c>
      <c r="I68" s="3">
        <f t="shared" si="116"/>
        <v>0.15509761388286333</v>
      </c>
      <c r="J68" s="3">
        <f t="shared" si="116"/>
        <v>9.8913043478260868E-2</v>
      </c>
      <c r="K68" s="3">
        <f t="shared" si="116"/>
        <v>1.7112299465240642E-2</v>
      </c>
      <c r="L68" s="3">
        <f t="shared" ref="L68" si="117">L67/L69</f>
        <v>0.10048309178743961</v>
      </c>
      <c r="M68" s="3">
        <f t="shared" ref="M68:O68" si="118">M67/M69</f>
        <v>0.27149321266968324</v>
      </c>
      <c r="N68" s="3">
        <f t="shared" si="118"/>
        <v>0.2402135231316726</v>
      </c>
      <c r="O68" s="3">
        <f t="shared" si="118"/>
        <v>0.29744042365401591</v>
      </c>
      <c r="P68" s="3">
        <f t="shared" ref="P68" si="119">P67/P69</f>
        <v>1.0411081322609472</v>
      </c>
      <c r="Q68" s="3">
        <f t="shared" ref="Q68" si="120">Q67/Q69</f>
        <v>1.4861976847729297</v>
      </c>
      <c r="R68" s="3">
        <f t="shared" ref="R68" si="121">R67/R69</f>
        <v>2.044933920704846</v>
      </c>
      <c r="S68" s="3">
        <f t="shared" ref="S68:U68" si="122">S67/S69</f>
        <v>2.867761452031115</v>
      </c>
      <c r="T68" s="3">
        <f t="shared" si="122"/>
        <v>2.032900432900433</v>
      </c>
      <c r="U68" s="3">
        <f t="shared" si="122"/>
        <v>0.96049596309111884</v>
      </c>
      <c r="V68" s="3">
        <f t="shared" ref="V68:AD68" si="123">V67/V69</f>
        <v>0.99936617689426632</v>
      </c>
      <c r="W68" s="3">
        <f t="shared" si="123"/>
        <v>0.7246251441753172</v>
      </c>
      <c r="X68" s="3">
        <f t="shared" si="123"/>
        <v>0.77717078780908566</v>
      </c>
      <c r="Y68" s="3">
        <f t="shared" si="123"/>
        <v>0.53048955052963065</v>
      </c>
      <c r="Z68" s="3">
        <f t="shared" si="123"/>
        <v>0.62313860252004583</v>
      </c>
      <c r="AA68" s="3">
        <f t="shared" si="123"/>
        <v>0.32405281285878301</v>
      </c>
      <c r="AB68" s="3">
        <f t="shared" si="123"/>
        <v>0.60327492099971269</v>
      </c>
      <c r="AC68" s="3">
        <f t="shared" si="123"/>
        <v>0.63540177294824129</v>
      </c>
      <c r="AD68" s="3">
        <f t="shared" si="123"/>
        <v>0.41643801443480827</v>
      </c>
      <c r="AE68" s="3"/>
      <c r="AF68" s="3"/>
      <c r="AG68" s="3"/>
      <c r="AH68" s="3"/>
      <c r="AT68" s="20">
        <f>+AT67/AT69</f>
        <v>2.6545115210681214</v>
      </c>
      <c r="AU68" s="20">
        <f t="shared" ref="AU68:BA68" si="124">+AU67/AU69</f>
        <v>1.979306178516663</v>
      </c>
      <c r="AV68" s="20">
        <f t="shared" si="124"/>
        <v>3.9722403435520515</v>
      </c>
      <c r="AW68" s="20">
        <f t="shared" si="124"/>
        <v>6.7156638112333766</v>
      </c>
      <c r="AX68" s="20">
        <f t="shared" si="124"/>
        <v>9.0763355309414226</v>
      </c>
      <c r="AY68" s="20">
        <f t="shared" si="124"/>
        <v>13.019880301237562</v>
      </c>
      <c r="AZ68" s="20">
        <f t="shared" si="124"/>
        <v>17.494688000993872</v>
      </c>
      <c r="BA68" s="20">
        <f t="shared" si="124"/>
        <v>22.207975815186622</v>
      </c>
      <c r="BB68" s="20">
        <f t="shared" ref="BB68:BF68" si="125">+BB67/BB69</f>
        <v>25.639644221465542</v>
      </c>
      <c r="BC68" s="20">
        <f t="shared" si="125"/>
        <v>29.489108087680322</v>
      </c>
      <c r="BD68" s="20">
        <f t="shared" si="125"/>
        <v>33.801912665461586</v>
      </c>
      <c r="BE68" s="20">
        <f t="shared" si="125"/>
        <v>38.628267557663314</v>
      </c>
      <c r="BF68" s="20">
        <f t="shared" si="125"/>
        <v>44.023505984497959</v>
      </c>
    </row>
    <row r="69" spans="2:109" s="4" customFormat="1" x14ac:dyDescent="0.25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v>3497</v>
      </c>
      <c r="AD69" s="5">
        <f>+AC69</f>
        <v>3497</v>
      </c>
      <c r="AE69" s="5"/>
      <c r="AF69" s="5"/>
      <c r="AG69" s="5"/>
      <c r="AH69" s="5"/>
      <c r="AT69" s="4">
        <f>AVERAGE(W69:Z69)</f>
        <v>3482.75</v>
      </c>
      <c r="AU69" s="4">
        <f>AVERAGE(AA69:AD69)</f>
        <v>3489.75</v>
      </c>
      <c r="AV69" s="4">
        <f t="shared" ref="AV69:AY69" si="126">AU69</f>
        <v>3489.75</v>
      </c>
      <c r="AW69" s="4">
        <f t="shared" si="126"/>
        <v>3489.75</v>
      </c>
      <c r="AX69" s="4">
        <f t="shared" si="126"/>
        <v>3489.75</v>
      </c>
      <c r="AY69" s="4">
        <f t="shared" si="126"/>
        <v>3489.75</v>
      </c>
      <c r="AZ69" s="4">
        <f t="shared" ref="AZ69:BA69" si="127">AY69</f>
        <v>3489.75</v>
      </c>
      <c r="BA69" s="4">
        <f t="shared" si="127"/>
        <v>3489.75</v>
      </c>
      <c r="BB69" s="4">
        <f t="shared" ref="BB69" si="128">BA69</f>
        <v>3489.75</v>
      </c>
      <c r="BC69" s="4">
        <f t="shared" ref="BC69" si="129">BB69</f>
        <v>3489.75</v>
      </c>
      <c r="BD69" s="4">
        <f t="shared" ref="BD69" si="130">BC69</f>
        <v>3489.75</v>
      </c>
      <c r="BE69" s="4">
        <f t="shared" ref="BE69" si="131">BD69</f>
        <v>3489.75</v>
      </c>
      <c r="BF69" s="4">
        <f t="shared" ref="BF69" si="132">BE69</f>
        <v>3489.75</v>
      </c>
    </row>
    <row r="71" spans="2:109" s="23" customFormat="1" ht="13" x14ac:dyDescent="0.3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3">L51/H51-1</f>
        <v>-4.9448818897637747E-2</v>
      </c>
      <c r="M71" s="22">
        <f t="shared" ref="M71" si="134">M51/I51-1</f>
        <v>0.39155957480564818</v>
      </c>
      <c r="N71" s="22">
        <f t="shared" ref="N71" si="135">N51/J51-1</f>
        <v>0.45503791982665232</v>
      </c>
      <c r="O71" s="22">
        <f t="shared" ref="O71" si="136">O51/K51-1</f>
        <v>0.73583959899749374</v>
      </c>
      <c r="P71" s="22">
        <f t="shared" ref="P71:Q71" si="137">P51/L51-1</f>
        <v>0.98111332007952279</v>
      </c>
      <c r="Q71" s="22">
        <f t="shared" si="137"/>
        <v>0.56846425721126437</v>
      </c>
      <c r="R71" s="22">
        <f t="shared" ref="R71:S71" si="138">R51/N51-1</f>
        <v>0.64919955323901712</v>
      </c>
      <c r="S71" s="22">
        <f t="shared" si="138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D71" si="139">W51/S51-1</f>
        <v>0.24381531243335464</v>
      </c>
      <c r="X71" s="22">
        <f t="shared" si="139"/>
        <v>0.47200897602456604</v>
      </c>
      <c r="Y71" s="22">
        <f t="shared" si="139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39"/>
        <v>2.2987122397400306E-2</v>
      </c>
      <c r="AC71" s="22">
        <f t="shared" si="139"/>
        <v>7.8458244111349051E-2</v>
      </c>
      <c r="AD71" s="22">
        <f t="shared" si="139"/>
        <v>0.13521798932415607</v>
      </c>
      <c r="AE71" s="22"/>
      <c r="AF71" s="22"/>
      <c r="AG71" s="22"/>
      <c r="AH71" s="22"/>
      <c r="AK71" s="25">
        <f t="shared" ref="AK71:AM71" si="140">AK51/AJ51-1</f>
        <v>0.58845907814070664</v>
      </c>
      <c r="AL71" s="25">
        <f t="shared" si="140"/>
        <v>0.26503272306147285</v>
      </c>
      <c r="AM71" s="25">
        <f t="shared" si="140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1">+AU51/AT51-1</f>
        <v>4.4816119551124967E-2</v>
      </c>
      <c r="AV71" s="25">
        <f t="shared" si="141"/>
        <v>1.6476131104732339E-3</v>
      </c>
      <c r="AW71" s="25">
        <f t="shared" si="141"/>
        <v>0.29881193875757206</v>
      </c>
      <c r="AX71" s="25">
        <f t="shared" si="141"/>
        <v>0.24520722195945899</v>
      </c>
      <c r="AY71" s="25">
        <f t="shared" si="141"/>
        <v>0.24428699114003871</v>
      </c>
      <c r="AZ71" s="25">
        <f t="shared" ref="AZ71:BA71" si="142">+AZ51/AY51-1</f>
        <v>0.19142525099251895</v>
      </c>
      <c r="BA71" s="25">
        <f t="shared" si="142"/>
        <v>0.13884317350591191</v>
      </c>
      <c r="BB71" s="25">
        <f t="shared" ref="BB71" si="143">+BB51/BA51-1</f>
        <v>8.172814722018984E-2</v>
      </c>
      <c r="BC71" s="25">
        <f t="shared" ref="BC71" si="144">+BC51/BB51-1</f>
        <v>8.1659299215460557E-2</v>
      </c>
      <c r="BD71" s="25">
        <f t="shared" ref="BD71" si="145">+BD51/BC51-1</f>
        <v>8.1595055977058184E-2</v>
      </c>
      <c r="BE71" s="25">
        <f t="shared" ref="BE71" si="146">+BE51/BD51-1</f>
        <v>8.1535138239181126E-2</v>
      </c>
      <c r="BF71" s="25">
        <f t="shared" ref="BF71" si="147">+BF51/BE51-1</f>
        <v>8.1479285298789561E-2</v>
      </c>
    </row>
    <row r="72" spans="2:109" x14ac:dyDescent="0.25">
      <c r="B72" s="21" t="s">
        <v>92</v>
      </c>
      <c r="K72" s="17">
        <f t="shared" ref="K72:Z72" si="148">+K37/G37-1</f>
        <v>0.40427490122026688</v>
      </c>
      <c r="L72" s="17">
        <f t="shared" si="148"/>
        <v>-4.9351902344897058E-2</v>
      </c>
      <c r="M72" s="17">
        <f t="shared" si="148"/>
        <v>0.43333401930319182</v>
      </c>
      <c r="N72" s="17">
        <f t="shared" si="148"/>
        <v>0.61086578348722065</v>
      </c>
      <c r="O72" s="17">
        <f t="shared" si="148"/>
        <v>1.088229976496113</v>
      </c>
      <c r="P72" s="17">
        <f t="shared" si="148"/>
        <v>1.2200772200772199</v>
      </c>
      <c r="Q72" s="17">
        <f t="shared" si="148"/>
        <v>0.73223259152907394</v>
      </c>
      <c r="R72" s="17">
        <f t="shared" si="148"/>
        <v>0.70903250816857732</v>
      </c>
      <c r="S72" s="17">
        <f t="shared" si="148"/>
        <v>0.67774891774891777</v>
      </c>
      <c r="T72" s="17">
        <f t="shared" si="148"/>
        <v>0.26556521739130434</v>
      </c>
      <c r="U72" s="17">
        <f t="shared" si="148"/>
        <v>0.42490675507666809</v>
      </c>
      <c r="V72" s="17">
        <f t="shared" si="148"/>
        <v>0.31327932598833441</v>
      </c>
      <c r="W72" s="17">
        <f t="shared" si="148"/>
        <v>0.36390171844359576</v>
      </c>
      <c r="X72" s="17">
        <f t="shared" si="148"/>
        <v>0.83018904964761764</v>
      </c>
      <c r="Y72" s="17">
        <f t="shared" si="148"/>
        <v>0.26533170462146982</v>
      </c>
      <c r="Z72" s="17">
        <f t="shared" si="148"/>
        <v>0.19549297025745282</v>
      </c>
      <c r="AA72" s="17">
        <f>+AA37/W37-1</f>
        <v>-8.5285249778303318E-2</v>
      </c>
      <c r="AB72" s="17">
        <f>+AB37/X37-1</f>
        <v>-4.7590852533573647E-2</v>
      </c>
      <c r="AC72" s="17">
        <f>+AC37/Y37-1</f>
        <v>6.3970633868050131E-2</v>
      </c>
      <c r="AD72" s="17">
        <f>+AD37/Z37-1</f>
        <v>0.10948139036174909</v>
      </c>
      <c r="AE72" s="17"/>
      <c r="AF72" s="17"/>
      <c r="AG72" s="17"/>
      <c r="AH72" s="17"/>
      <c r="AQ72" s="26">
        <f t="shared" ref="AQ72:BA72" si="149">+AQ37/AP37-1</f>
        <v>0.35729051069477991</v>
      </c>
      <c r="AR72" s="26">
        <f t="shared" si="149"/>
        <v>0.87559116340959009</v>
      </c>
      <c r="AS72" s="26">
        <f t="shared" si="149"/>
        <v>0.403761953095785</v>
      </c>
      <c r="AT72" s="26">
        <f t="shared" si="149"/>
        <v>0.37654954785588313</v>
      </c>
      <c r="AU72" s="26">
        <f t="shared" si="149"/>
        <v>1.2510636792048668E-2</v>
      </c>
      <c r="AV72" s="26">
        <f t="shared" si="149"/>
        <v>0.24164683685491672</v>
      </c>
      <c r="AW72" s="26">
        <f t="shared" si="149"/>
        <v>0.25</v>
      </c>
      <c r="AX72" s="26">
        <f t="shared" si="149"/>
        <v>0.19999999999999996</v>
      </c>
      <c r="AY72" s="26">
        <f t="shared" si="149"/>
        <v>0.19999999999999996</v>
      </c>
      <c r="AZ72" s="26">
        <f t="shared" si="149"/>
        <v>0.14999999999999991</v>
      </c>
      <c r="BA72" s="26">
        <f t="shared" si="149"/>
        <v>0.10000000000000009</v>
      </c>
      <c r="BB72" s="26">
        <f t="shared" ref="BB72:BF72" si="150">+BB37/BA37-1</f>
        <v>5.0000000000000044E-2</v>
      </c>
      <c r="BC72" s="26">
        <f t="shared" si="150"/>
        <v>5.0000000000000044E-2</v>
      </c>
      <c r="BD72" s="26">
        <f t="shared" si="150"/>
        <v>5.0000000000000044E-2</v>
      </c>
      <c r="BE72" s="26">
        <f t="shared" si="150"/>
        <v>5.0000000000000044E-2</v>
      </c>
      <c r="BF72" s="26">
        <f t="shared" si="150"/>
        <v>5.0000000000000044E-2</v>
      </c>
    </row>
    <row r="73" spans="2:109" x14ac:dyDescent="0.25">
      <c r="B73" s="21" t="s">
        <v>93</v>
      </c>
      <c r="K73" s="17">
        <f t="shared" ref="K73:AD73" si="151">+K42/G42-1</f>
        <v>0.33101713811610356</v>
      </c>
      <c r="L73" s="17">
        <f t="shared" si="151"/>
        <v>-5.4866280672732248E-2</v>
      </c>
      <c r="M73" s="17">
        <f t="shared" si="151"/>
        <v>0.50835629972440333</v>
      </c>
      <c r="N73" s="17">
        <f t="shared" si="151"/>
        <v>0.71375046476818782</v>
      </c>
      <c r="O73" s="17">
        <f t="shared" si="151"/>
        <v>0.75644771700171409</v>
      </c>
      <c r="P73" s="17">
        <f t="shared" si="151"/>
        <v>1.5090067094515751</v>
      </c>
      <c r="Q73" s="17">
        <f t="shared" si="151"/>
        <v>0.63975150996993846</v>
      </c>
      <c r="R73" s="17">
        <f t="shared" si="151"/>
        <v>0.7014080119272128</v>
      </c>
      <c r="S73" s="17">
        <f t="shared" si="151"/>
        <v>0.69352549102241356</v>
      </c>
      <c r="T73" s="17">
        <f t="shared" si="151"/>
        <v>0.25268262434539124</v>
      </c>
      <c r="U73" s="17">
        <f t="shared" si="151"/>
        <v>0.53863587626091669</v>
      </c>
      <c r="V73" s="17">
        <f t="shared" si="151"/>
        <v>0.43768310227569973</v>
      </c>
      <c r="W73" s="17">
        <f t="shared" si="151"/>
        <v>0.44334609226376598</v>
      </c>
      <c r="X73" s="17">
        <f t="shared" si="151"/>
        <v>0.85513187408152214</v>
      </c>
      <c r="Y73" s="17">
        <f t="shared" si="151"/>
        <v>0.17644422460462983</v>
      </c>
      <c r="Z73" s="17">
        <f t="shared" si="151"/>
        <v>0.12573999149421988</v>
      </c>
      <c r="AA73" s="17">
        <f t="shared" si="151"/>
        <v>-1.687129090216144E-2</v>
      </c>
      <c r="AB73" s="17">
        <f t="shared" si="151"/>
        <v>-0.14356681259120285</v>
      </c>
      <c r="AC73" s="17">
        <f t="shared" si="151"/>
        <v>9.1310326884837645E-2</v>
      </c>
      <c r="AD73" s="17">
        <f t="shared" si="151"/>
        <v>0</v>
      </c>
      <c r="AE73" s="17"/>
      <c r="AF73" s="17"/>
      <c r="AG73" s="17"/>
      <c r="AH73" s="17"/>
      <c r="AQ73" s="26">
        <f t="shared" ref="AQ73:BA73" si="152">+AQ42/AP42-1</f>
        <v>0.39565262627590125</v>
      </c>
      <c r="AR73" s="26">
        <f t="shared" si="152"/>
        <v>0.8252981439448186</v>
      </c>
      <c r="AS73" s="26">
        <f t="shared" si="152"/>
        <v>0.47203204567389845</v>
      </c>
      <c r="AT73" s="26">
        <f t="shared" si="152"/>
        <v>0.34781700789494252</v>
      </c>
      <c r="AU73" s="26">
        <f t="shared" si="152"/>
        <v>-5.2532929574183984E-2</v>
      </c>
      <c r="AV73" s="26">
        <f t="shared" si="152"/>
        <v>0.30000000000000004</v>
      </c>
      <c r="AW73" s="26">
        <f t="shared" si="152"/>
        <v>0.25</v>
      </c>
      <c r="AX73" s="26">
        <f t="shared" si="152"/>
        <v>0.19999999999999996</v>
      </c>
      <c r="AY73" s="26">
        <f t="shared" si="152"/>
        <v>0.19999999999999996</v>
      </c>
      <c r="AZ73" s="26">
        <f t="shared" si="152"/>
        <v>0.14999999999999991</v>
      </c>
      <c r="BA73" s="26">
        <f t="shared" si="152"/>
        <v>0.10000000000000009</v>
      </c>
      <c r="BB73" s="26">
        <f t="shared" ref="BB73:BF73" si="153">+BB42/BA42-1</f>
        <v>5.0000000000000044E-2</v>
      </c>
      <c r="BC73" s="26">
        <f t="shared" si="153"/>
        <v>5.0000000000000044E-2</v>
      </c>
      <c r="BD73" s="26">
        <f t="shared" si="153"/>
        <v>5.0000000000000044E-2</v>
      </c>
      <c r="BE73" s="26">
        <f t="shared" si="153"/>
        <v>5.0000000000000044E-2</v>
      </c>
      <c r="BF73" s="26">
        <f t="shared" si="153"/>
        <v>5.0000000000000044E-2</v>
      </c>
    </row>
    <row r="74" spans="2:109" x14ac:dyDescent="0.25">
      <c r="B74" s="19" t="s">
        <v>91</v>
      </c>
      <c r="K74" s="17">
        <f t="shared" ref="K74:O74" si="154">K45/G45-1</f>
        <v>0.39441436306640076</v>
      </c>
      <c r="L74" s="17">
        <f t="shared" si="154"/>
        <v>-4.9729102167182626E-2</v>
      </c>
      <c r="M74" s="17">
        <f t="shared" si="154"/>
        <v>0.43141075604053003</v>
      </c>
      <c r="N74" s="17">
        <f t="shared" si="154"/>
        <v>0.4053394107113788</v>
      </c>
      <c r="O74" s="17">
        <f t="shared" si="154"/>
        <v>0.67320662170447587</v>
      </c>
      <c r="P74" s="17">
        <f>P45/L45-1</f>
        <v>0.9385053960496843</v>
      </c>
      <c r="Q74" s="17">
        <f t="shared" ref="Q74" si="155">Q45/M45-1</f>
        <v>0.55091206098557044</v>
      </c>
      <c r="R74" s="17">
        <f>R45/N45-1</f>
        <v>0.74041468782578468</v>
      </c>
      <c r="S74" s="17">
        <f t="shared" ref="S74:U74" si="156">S45/O45-1</f>
        <v>0.89495541712470983</v>
      </c>
      <c r="T74" s="17">
        <f t="shared" si="156"/>
        <v>0.43592436974789917</v>
      </c>
      <c r="U74" s="17">
        <f t="shared" si="156"/>
        <v>0.561046256473273</v>
      </c>
      <c r="V74" s="17">
        <f t="shared" ref="V74" si="157">V45/R45-1</f>
        <v>0.39999999999999991</v>
      </c>
      <c r="W74" s="17">
        <f>W45/S45-1</f>
        <v>0.21683640582699493</v>
      </c>
      <c r="X74" s="17">
        <f t="shared" ref="X74" si="158">X45/T45-1</f>
        <v>0.49370885149963417</v>
      </c>
      <c r="Y74" s="17">
        <f t="shared" ref="Y74" si="159">Y45/U45-1</f>
        <v>4.4813044700590332E-2</v>
      </c>
      <c r="Z74" s="17">
        <f t="shared" ref="Z74:AD74" si="160">Z45/V45-1</f>
        <v>-1.9253624910862799E-2</v>
      </c>
      <c r="AA74" s="17">
        <f t="shared" si="160"/>
        <v>-0.12808560228837795</v>
      </c>
      <c r="AB74" s="17">
        <f>AB45/X45-1</f>
        <v>-9.2511876193741127E-2</v>
      </c>
      <c r="AC74" s="17">
        <f t="shared" si="160"/>
        <v>1.3400064578624526E-2</v>
      </c>
      <c r="AD74" s="17">
        <f t="shared" si="160"/>
        <v>0.16495545987983684</v>
      </c>
      <c r="AE74" s="17"/>
      <c r="AF74" s="17"/>
      <c r="AG74" s="17"/>
      <c r="AH74" s="17"/>
    </row>
    <row r="75" spans="2:109" x14ac:dyDescent="0.25">
      <c r="B75" s="19" t="s">
        <v>90</v>
      </c>
      <c r="C75" s="17"/>
      <c r="D75" s="17"/>
      <c r="E75" s="17"/>
      <c r="F75" s="17"/>
      <c r="G75" s="17">
        <f t="shared" ref="G75:K75" si="161">G53/G45</f>
        <v>0.18609290396124251</v>
      </c>
      <c r="H75" s="17">
        <f t="shared" si="161"/>
        <v>0.17685758513931887</v>
      </c>
      <c r="I75" s="17">
        <f t="shared" si="161"/>
        <v>0.21784879189399844</v>
      </c>
      <c r="J75" s="17">
        <f t="shared" si="161"/>
        <v>0.21618101904606871</v>
      </c>
      <c r="K75" s="17">
        <f t="shared" si="161"/>
        <v>0.2440220723482526</v>
      </c>
      <c r="L75" s="17">
        <f t="shared" ref="L75" si="162">L53/L45</f>
        <v>0.24373854612095297</v>
      </c>
      <c r="M75" s="17">
        <f t="shared" ref="M75" si="163">M53/M45</f>
        <v>0.27021508303838826</v>
      </c>
      <c r="N75" s="17">
        <f t="shared" ref="N75:U75" si="164">N53/N45</f>
        <v>0.19819298042395458</v>
      </c>
      <c r="O75" s="17">
        <f t="shared" si="164"/>
        <v>0.21131061438866497</v>
      </c>
      <c r="P75" s="17">
        <f t="shared" si="164"/>
        <v>0.25220588235294117</v>
      </c>
      <c r="Q75" s="17">
        <f t="shared" si="164"/>
        <v>0.28464846835776353</v>
      </c>
      <c r="R75" s="17">
        <f t="shared" si="164"/>
        <v>0.28858569051580701</v>
      </c>
      <c r="S75" s="17">
        <f t="shared" si="164"/>
        <v>0.29650638133298957</v>
      </c>
      <c r="T75" s="17">
        <f t="shared" si="164"/>
        <v>0.25727871250914414</v>
      </c>
      <c r="U75" s="17">
        <f t="shared" si="164"/>
        <v>0.26348046106269329</v>
      </c>
      <c r="V75" s="17">
        <f t="shared" ref="V75:AD75" si="165">V53/V45</f>
        <v>0.26631804135963871</v>
      </c>
      <c r="W75" s="17">
        <f>W53/W45</f>
        <v>0.1830702404915775</v>
      </c>
      <c r="X75" s="17">
        <f t="shared" si="165"/>
        <v>0.17522895342573094</v>
      </c>
      <c r="Y75" s="17">
        <f t="shared" si="165"/>
        <v>0.15746421267893659</v>
      </c>
      <c r="Z75" s="17">
        <f t="shared" si="165"/>
        <v>0.16616577799321378</v>
      </c>
      <c r="AA75" s="17">
        <f t="shared" si="165"/>
        <v>0.15571081409477522</v>
      </c>
      <c r="AB75" s="17">
        <f t="shared" si="165"/>
        <v>0.13858607663248787</v>
      </c>
      <c r="AC75" s="17">
        <f t="shared" si="165"/>
        <v>0.16398491848547608</v>
      </c>
      <c r="AD75" s="17">
        <f t="shared" si="165"/>
        <v>0.15000000000000002</v>
      </c>
      <c r="AE75" s="17"/>
      <c r="AF75" s="17"/>
      <c r="AG75" s="17"/>
      <c r="AH75" s="17"/>
      <c r="AQ75" s="17">
        <f t="shared" ref="AQ75:AU75" si="166">AQ53/AQ45</f>
        <v>0</v>
      </c>
      <c r="AR75" s="17">
        <f t="shared" si="166"/>
        <v>0.38841926345609062</v>
      </c>
      <c r="AS75" s="17">
        <f t="shared" si="166"/>
        <v>0.27064584436209632</v>
      </c>
      <c r="AT75" s="17">
        <f t="shared" si="166"/>
        <v>0.17052821969455731</v>
      </c>
      <c r="AU75" s="17">
        <f t="shared" si="166"/>
        <v>0.15187337762565881</v>
      </c>
      <c r="AV75" s="17"/>
      <c r="AW75" s="17"/>
      <c r="AX75" s="17"/>
    </row>
    <row r="76" spans="2:109" x14ac:dyDescent="0.25">
      <c r="B76" s="19" t="s">
        <v>45</v>
      </c>
      <c r="C76" s="17"/>
      <c r="D76" s="17"/>
      <c r="E76" s="17"/>
      <c r="F76" s="17"/>
      <c r="G76" s="17">
        <f t="shared" ref="G76:K76" si="167">+G59/G51</f>
        <v>0.1246421493063202</v>
      </c>
      <c r="H76" s="17">
        <f t="shared" si="167"/>
        <v>0.14503937007874015</v>
      </c>
      <c r="I76" s="17">
        <f t="shared" si="167"/>
        <v>0.18895763921941933</v>
      </c>
      <c r="J76" s="17">
        <f t="shared" si="167"/>
        <v>0.18838028169014084</v>
      </c>
      <c r="K76" s="17">
        <f t="shared" si="167"/>
        <v>0.20618212197159566</v>
      </c>
      <c r="L76" s="17">
        <f t="shared" ref="L76" si="168">+L59/L51</f>
        <v>0.20990722332670642</v>
      </c>
      <c r="M76" s="17">
        <f t="shared" ref="M76" si="169">+M59/M51</f>
        <v>0.23520693193478509</v>
      </c>
      <c r="N76" s="17">
        <f>+N59/N51</f>
        <v>0.19229337304542071</v>
      </c>
      <c r="O76" s="17">
        <f t="shared" ref="O76:AD76" si="170">+O59/O51</f>
        <v>0.21320627586870727</v>
      </c>
      <c r="P76" s="17">
        <f t="shared" si="170"/>
        <v>0.24117745442381669</v>
      </c>
      <c r="Q76" s="17">
        <f t="shared" si="170"/>
        <v>0.26604637639020134</v>
      </c>
      <c r="R76" s="17">
        <f t="shared" si="170"/>
        <v>0.27354816863254133</v>
      </c>
      <c r="S76" s="17">
        <f t="shared" si="170"/>
        <v>0.29110684580934099</v>
      </c>
      <c r="T76" s="17">
        <f t="shared" si="170"/>
        <v>0.24997047360340144</v>
      </c>
      <c r="U76" s="17">
        <f t="shared" si="170"/>
        <v>0.25086231005873033</v>
      </c>
      <c r="V76" s="17">
        <f t="shared" si="170"/>
        <v>0.25257794296679104</v>
      </c>
      <c r="W76" s="17">
        <f t="shared" si="170"/>
        <v>0.19336448197522396</v>
      </c>
      <c r="X76" s="17">
        <f t="shared" si="170"/>
        <v>0.18185100493440848</v>
      </c>
      <c r="Y76" s="17">
        <f t="shared" si="170"/>
        <v>0.17892933618843684</v>
      </c>
      <c r="Z76" s="17">
        <f t="shared" si="170"/>
        <v>0.17634203520483172</v>
      </c>
      <c r="AA76" s="17">
        <f t="shared" si="170"/>
        <v>0.1735129806112389</v>
      </c>
      <c r="AB76" s="41">
        <f t="shared" si="170"/>
        <v>0.17952941176470588</v>
      </c>
      <c r="AC76" s="17">
        <f t="shared" si="170"/>
        <v>0.19843539035819235</v>
      </c>
      <c r="AD76" s="17">
        <f t="shared" si="170"/>
        <v>0.15511900037130005</v>
      </c>
      <c r="AE76" s="17"/>
      <c r="AF76" s="17"/>
      <c r="AG76" s="17"/>
      <c r="AH76" s="17"/>
      <c r="AQ76" s="17">
        <f t="shared" ref="AQ76:BF76" si="171">+AQ59/AQ51</f>
        <v>0</v>
      </c>
      <c r="AR76" s="17">
        <f t="shared" si="171"/>
        <v>0</v>
      </c>
      <c r="AS76" s="17">
        <f t="shared" si="171"/>
        <v>0.25</v>
      </c>
      <c r="AT76" s="17">
        <f t="shared" si="171"/>
        <v>0.18248891736331416</v>
      </c>
      <c r="AU76" s="17">
        <f t="shared" si="171"/>
        <v>0.17508412978320537</v>
      </c>
      <c r="AV76" s="17">
        <f t="shared" si="171"/>
        <v>0.23038051578485555</v>
      </c>
      <c r="AW76" s="17">
        <f t="shared" si="171"/>
        <v>0.25553852455918297</v>
      </c>
      <c r="AX76" s="17">
        <f t="shared" si="171"/>
        <v>0.25264653437055068</v>
      </c>
      <c r="AY76" s="17">
        <f t="shared" si="171"/>
        <v>0.269089139377304</v>
      </c>
      <c r="AZ76" s="17">
        <f t="shared" si="171"/>
        <v>0.28467450772979297</v>
      </c>
      <c r="BA76" s="17">
        <f t="shared" si="171"/>
        <v>0.29957608920810236</v>
      </c>
      <c r="BB76" s="17">
        <f t="shared" si="171"/>
        <v>0.29977654305947554</v>
      </c>
      <c r="BC76" s="17">
        <f t="shared" si="171"/>
        <v>0.29991648532346987</v>
      </c>
      <c r="BD76" s="17">
        <f t="shared" si="171"/>
        <v>0.29999998340925998</v>
      </c>
      <c r="BE76" s="17">
        <f t="shared" si="171"/>
        <v>0.30003084817418979</v>
      </c>
      <c r="BF76" s="17">
        <f t="shared" si="171"/>
        <v>0.30001265242378838</v>
      </c>
    </row>
    <row r="77" spans="2:109" x14ac:dyDescent="0.25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5">
      <c r="BG78" s="28" t="s">
        <v>110</v>
      </c>
      <c r="BH78" s="26">
        <v>-0.01</v>
      </c>
    </row>
    <row r="79" spans="2:109" s="4" customFormat="1" x14ac:dyDescent="0.25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2">M67</f>
        <v>300</v>
      </c>
      <c r="N79" s="5">
        <f t="shared" si="172"/>
        <v>270</v>
      </c>
      <c r="O79" s="5">
        <f t="shared" si="172"/>
        <v>337</v>
      </c>
      <c r="P79" s="5">
        <f t="shared" si="172"/>
        <v>1165</v>
      </c>
      <c r="Q79" s="5">
        <f t="shared" si="172"/>
        <v>1669</v>
      </c>
      <c r="R79" s="5">
        <f t="shared" si="172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D79" si="173">V67</f>
        <v>3468.7999999999984</v>
      </c>
      <c r="W79" s="5">
        <f t="shared" si="173"/>
        <v>2513</v>
      </c>
      <c r="X79" s="5">
        <f t="shared" si="173"/>
        <v>2703</v>
      </c>
      <c r="Y79" s="5">
        <f t="shared" si="173"/>
        <v>1853</v>
      </c>
      <c r="Z79" s="5">
        <f t="shared" si="173"/>
        <v>2176</v>
      </c>
      <c r="AA79" s="5">
        <f t="shared" si="173"/>
        <v>1129</v>
      </c>
      <c r="AB79" s="5">
        <f t="shared" si="173"/>
        <v>2100</v>
      </c>
      <c r="AC79" s="5">
        <f>AC67</f>
        <v>2222</v>
      </c>
      <c r="AD79" s="5">
        <f t="shared" si="173"/>
        <v>1456.2837364785246</v>
      </c>
      <c r="AE79" s="5"/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25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BG80" s="28" t="s">
        <v>112</v>
      </c>
      <c r="BH80" s="4">
        <f>NPV(BH79,AV67:DF67)+Main!K5-Main!K6</f>
        <v>1216195.9994596136</v>
      </c>
    </row>
    <row r="81" spans="2:60" s="4" customFormat="1" x14ac:dyDescent="0.25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25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BG82" s="28" t="s">
        <v>113</v>
      </c>
      <c r="BH82" s="20">
        <f>BH80/Main!K3</f>
        <v>380.69887106828378</v>
      </c>
    </row>
    <row r="83" spans="2:60" s="4" customFormat="1" x14ac:dyDescent="0.25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</row>
    <row r="84" spans="2:60" s="4" customFormat="1" x14ac:dyDescent="0.25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</row>
    <row r="85" spans="2:60" s="4" customFormat="1" x14ac:dyDescent="0.25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</row>
    <row r="86" spans="2:60" s="4" customFormat="1" x14ac:dyDescent="0.25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</row>
    <row r="87" spans="2:60" s="4" customFormat="1" x14ac:dyDescent="0.25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</row>
    <row r="88" spans="2:60" s="4" customFormat="1" x14ac:dyDescent="0.25">
      <c r="B88" s="4" t="s">
        <v>62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74">SUM(N80:N87)</f>
        <v>3019</v>
      </c>
      <c r="O88" s="5">
        <f t="shared" si="174"/>
        <v>1641</v>
      </c>
      <c r="P88" s="5">
        <f t="shared" si="174"/>
        <v>2124</v>
      </c>
      <c r="Q88" s="5">
        <f t="shared" si="174"/>
        <v>3147</v>
      </c>
      <c r="R88" s="5">
        <f t="shared" si="174"/>
        <v>4585</v>
      </c>
      <c r="S88" s="5">
        <f t="shared" ref="S88:AA88" si="175">SUM(S80:S87)</f>
        <v>3995</v>
      </c>
      <c r="T88" s="5">
        <f t="shared" si="175"/>
        <v>2351</v>
      </c>
      <c r="U88" s="5">
        <f t="shared" si="175"/>
        <v>5100</v>
      </c>
      <c r="V88" s="5">
        <f t="shared" si="175"/>
        <v>3278</v>
      </c>
      <c r="W88" s="5">
        <f t="shared" si="175"/>
        <v>2513</v>
      </c>
      <c r="X88" s="5">
        <f t="shared" si="175"/>
        <v>3065</v>
      </c>
      <c r="Y88" s="5">
        <f t="shared" si="175"/>
        <v>3308</v>
      </c>
      <c r="Z88" s="5">
        <f t="shared" si="175"/>
        <v>4370</v>
      </c>
      <c r="AA88" s="5">
        <f t="shared" si="175"/>
        <v>242</v>
      </c>
      <c r="AB88" s="5">
        <v>3612</v>
      </c>
      <c r="AC88" s="5">
        <v>6255</v>
      </c>
      <c r="AD88" s="5"/>
      <c r="AE88" s="5"/>
      <c r="AF88" s="5"/>
      <c r="AG88" s="5"/>
      <c r="AH88" s="5"/>
      <c r="AR88" s="4">
        <f>SUM(O88:R88)</f>
        <v>11497</v>
      </c>
      <c r="AS88" s="4">
        <f>SUM(S88:V88)</f>
        <v>14724</v>
      </c>
      <c r="AT88" s="4">
        <f>SUM(W88:Z88)</f>
        <v>13256</v>
      </c>
    </row>
    <row r="89" spans="2:60" s="4" customFormat="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5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>
        <v>3513</v>
      </c>
      <c r="AD90" s="5"/>
      <c r="AE90" s="5"/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5">
      <c r="B91" s="10" t="s">
        <v>82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76">O88-O90</f>
        <v>293</v>
      </c>
      <c r="P91" s="5">
        <f t="shared" si="176"/>
        <v>619</v>
      </c>
      <c r="Q91" s="5">
        <f t="shared" si="176"/>
        <v>1328</v>
      </c>
      <c r="R91" s="5">
        <f t="shared" si="176"/>
        <v>2775</v>
      </c>
      <c r="S91" s="5">
        <f t="shared" ref="S91" si="177">S88-S90</f>
        <v>2228</v>
      </c>
      <c r="T91" s="5">
        <f t="shared" ref="T91:AC91" si="178">T88-T90</f>
        <v>621</v>
      </c>
      <c r="U91" s="5">
        <f t="shared" si="178"/>
        <v>3297</v>
      </c>
      <c r="V91" s="5">
        <f t="shared" si="178"/>
        <v>1420</v>
      </c>
      <c r="W91" s="5">
        <f t="shared" si="178"/>
        <v>441</v>
      </c>
      <c r="X91" s="5">
        <f t="shared" si="178"/>
        <v>1005</v>
      </c>
      <c r="Y91" s="5">
        <f t="shared" si="178"/>
        <v>848</v>
      </c>
      <c r="Z91" s="5">
        <f t="shared" si="178"/>
        <v>2064</v>
      </c>
      <c r="AA91" s="5">
        <f t="shared" si="178"/>
        <v>-2531</v>
      </c>
      <c r="AB91" s="5">
        <f t="shared" si="178"/>
        <v>1342</v>
      </c>
      <c r="AC91" s="5">
        <f t="shared" si="178"/>
        <v>2742</v>
      </c>
      <c r="AD91" s="5"/>
      <c r="AE91" s="5"/>
      <c r="AF91" s="5"/>
      <c r="AG91" s="5"/>
      <c r="AH91" s="5"/>
      <c r="AR91" s="4">
        <f>+AR88-AR90</f>
        <v>5015</v>
      </c>
      <c r="AS91" s="4">
        <f>+AS88-AS90</f>
        <v>7566</v>
      </c>
      <c r="AT91" s="4">
        <f>+AT88-AT90</f>
        <v>4358</v>
      </c>
    </row>
    <row r="92" spans="2:60" s="4" customFormat="1" ht="13" x14ac:dyDescent="0.3">
      <c r="B92" s="10" t="s">
        <v>83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79">SUM(N91:Q91)</f>
        <v>4108</v>
      </c>
      <c r="R92" s="7">
        <f t="shared" si="179"/>
        <v>5015</v>
      </c>
      <c r="S92" s="7">
        <f t="shared" si="179"/>
        <v>6950</v>
      </c>
      <c r="T92" s="7">
        <f t="shared" si="179"/>
        <v>6952</v>
      </c>
      <c r="U92" s="7">
        <f t="shared" si="179"/>
        <v>8921</v>
      </c>
      <c r="V92" s="7">
        <f t="shared" si="179"/>
        <v>7566</v>
      </c>
      <c r="W92" s="7">
        <f t="shared" ref="W92:AC92" si="180">SUM(T91:W91)</f>
        <v>5779</v>
      </c>
      <c r="X92" s="7">
        <f t="shared" si="180"/>
        <v>6163</v>
      </c>
      <c r="Y92" s="7">
        <f t="shared" si="180"/>
        <v>3714</v>
      </c>
      <c r="Z92" s="7">
        <f t="shared" si="180"/>
        <v>4358</v>
      </c>
      <c r="AA92" s="7">
        <f t="shared" si="180"/>
        <v>1386</v>
      </c>
      <c r="AB92" s="7">
        <f t="shared" si="180"/>
        <v>1723</v>
      </c>
      <c r="AC92" s="7">
        <f t="shared" si="180"/>
        <v>3617</v>
      </c>
      <c r="AD92" s="5"/>
      <c r="AE92" s="5"/>
      <c r="AF92" s="5"/>
      <c r="AG92" s="5"/>
      <c r="AH92" s="5"/>
    </row>
    <row r="93" spans="2:60" s="4" customFormat="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5">
      <c r="B94" s="29" t="s">
        <v>115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C94" si="181">X95-X112</f>
        <v>25105</v>
      </c>
      <c r="Y94" s="5">
        <f t="shared" si="181"/>
        <v>26958</v>
      </c>
      <c r="Z94" s="5">
        <f t="shared" si="181"/>
        <v>23864</v>
      </c>
      <c r="AA94" s="5">
        <f t="shared" si="181"/>
        <v>21503</v>
      </c>
      <c r="AB94" s="5">
        <f t="shared" si="181"/>
        <v>22975</v>
      </c>
      <c r="AC94" s="5">
        <f t="shared" si="181"/>
        <v>0</v>
      </c>
      <c r="AD94" s="5"/>
      <c r="AE94" s="5"/>
      <c r="AF94" s="5"/>
      <c r="AG94" s="5"/>
      <c r="AH94" s="5"/>
      <c r="AT94" s="4">
        <f>Z94</f>
        <v>23864</v>
      </c>
      <c r="AU94" s="4">
        <f>AT94+AU67</f>
        <v>30771.283736478523</v>
      </c>
      <c r="AV94" s="4">
        <f t="shared" ref="AV94:BA94" si="182">AU94+AV67</f>
        <v>44633.409475389293</v>
      </c>
      <c r="AW94" s="4">
        <f t="shared" si="182"/>
        <v>68069.397260640966</v>
      </c>
      <c r="AX94" s="4">
        <f t="shared" si="182"/>
        <v>99743.539179743791</v>
      </c>
      <c r="AY94" s="4">
        <f t="shared" si="182"/>
        <v>145179.66646098759</v>
      </c>
      <c r="AZ94" s="4">
        <f t="shared" si="182"/>
        <v>206231.75391245596</v>
      </c>
      <c r="BA94" s="4">
        <f t="shared" si="182"/>
        <v>283732.03751350346</v>
      </c>
      <c r="BB94" s="4">
        <f t="shared" ref="BB94" si="183">BA94+BB67</f>
        <v>373207.98593536281</v>
      </c>
      <c r="BC94" s="4">
        <f t="shared" ref="BC94" si="184">BB94+BC67</f>
        <v>476117.60088434524</v>
      </c>
      <c r="BD94" s="4">
        <f t="shared" ref="BD94" si="185">BC94+BD67</f>
        <v>594077.82560863975</v>
      </c>
      <c r="BE94" s="4">
        <f t="shared" ref="BE94" si="186">BD94+BE67</f>
        <v>728880.82231799536</v>
      </c>
      <c r="BF94" s="4">
        <f t="shared" ref="BF94" si="187">BE94+BF67</f>
        <v>882511.85232739709</v>
      </c>
    </row>
    <row r="95" spans="2:60" s="4" customFormat="1" x14ac:dyDescent="0.25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88">X95+Y67</f>
        <v>26958</v>
      </c>
      <c r="Z95" s="36">
        <f>16398+12696</f>
        <v>29094</v>
      </c>
      <c r="AA95" s="5">
        <v>26863</v>
      </c>
      <c r="AB95" s="5">
        <f>14635+16085</f>
        <v>30720</v>
      </c>
      <c r="AC95" s="5"/>
      <c r="AD95" s="5"/>
      <c r="AE95" s="5"/>
      <c r="AF95" s="5"/>
      <c r="AG95" s="5"/>
      <c r="AH95" s="5"/>
    </row>
    <row r="96" spans="2:60" s="4" customFormat="1" x14ac:dyDescent="0.25">
      <c r="B96" s="10" t="s">
        <v>63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/>
      <c r="AD96" s="5"/>
      <c r="AE96" s="5"/>
      <c r="AF96" s="5"/>
      <c r="AG96" s="5"/>
      <c r="AH96" s="5"/>
    </row>
    <row r="97" spans="2:34" s="4" customFormat="1" x14ac:dyDescent="0.25">
      <c r="B97" s="10" t="s">
        <v>59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/>
      <c r="AD97" s="5"/>
      <c r="AE97" s="5"/>
      <c r="AF97" s="5"/>
      <c r="AG97" s="5"/>
      <c r="AH97" s="5"/>
    </row>
    <row r="98" spans="2:34" s="4" customFormat="1" x14ac:dyDescent="0.25">
      <c r="B98" s="10" t="s">
        <v>64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/>
      <c r="AD98" s="5"/>
      <c r="AE98" s="5"/>
      <c r="AF98" s="5"/>
      <c r="AG98" s="5"/>
      <c r="AH98" s="5"/>
    </row>
    <row r="99" spans="2:34" s="4" customFormat="1" x14ac:dyDescent="0.25">
      <c r="B99" s="10" t="s">
        <v>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/>
      <c r="AD99" s="5"/>
      <c r="AE99" s="5"/>
      <c r="AF99" s="5"/>
      <c r="AG99" s="5"/>
      <c r="AH99" s="5"/>
    </row>
    <row r="100" spans="2:34" s="4" customFormat="1" x14ac:dyDescent="0.25">
      <c r="B100" s="10" t="s">
        <v>66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/>
      <c r="AD100" s="5"/>
      <c r="AE100" s="5"/>
      <c r="AF100" s="5"/>
      <c r="AG100" s="5"/>
      <c r="AH100" s="5"/>
    </row>
    <row r="101" spans="2:34" s="4" customFormat="1" x14ac:dyDescent="0.25">
      <c r="B101" s="10" t="s">
        <v>67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42">
        <v>32902</v>
      </c>
      <c r="AC101" s="5"/>
      <c r="AD101" s="5"/>
      <c r="AE101" s="5"/>
      <c r="AF101" s="5"/>
      <c r="AG101" s="5"/>
      <c r="AH101" s="5"/>
    </row>
    <row r="102" spans="2:34" s="4" customFormat="1" x14ac:dyDescent="0.25">
      <c r="B102" s="10" t="s">
        <v>68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/>
      <c r="AD102" s="5"/>
      <c r="AE102" s="5"/>
      <c r="AF102" s="5"/>
      <c r="AG102" s="5"/>
      <c r="AH102" s="5"/>
    </row>
    <row r="103" spans="2:34" s="4" customFormat="1" x14ac:dyDescent="0.25">
      <c r="B103" s="10" t="s">
        <v>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/>
      <c r="AD103" s="5"/>
      <c r="AE103" s="5"/>
      <c r="AF103" s="5"/>
      <c r="AG103" s="5"/>
      <c r="AH103" s="5"/>
    </row>
    <row r="104" spans="2:34" s="4" customFormat="1" x14ac:dyDescent="0.25">
      <c r="B104" s="10" t="s">
        <v>70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/>
      <c r="AD104" s="5"/>
      <c r="AE104" s="5"/>
      <c r="AF104" s="5"/>
      <c r="AG104" s="5"/>
      <c r="AH104" s="5"/>
    </row>
    <row r="105" spans="2:34" s="4" customFormat="1" x14ac:dyDescent="0.25">
      <c r="B105" s="10" t="s">
        <v>71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/>
      <c r="AD105" s="5"/>
      <c r="AE105" s="5"/>
      <c r="AF105" s="5"/>
      <c r="AG105" s="5"/>
      <c r="AH105" s="5"/>
    </row>
    <row r="106" spans="2:34" s="4" customFormat="1" x14ac:dyDescent="0.25">
      <c r="B106" s="10" t="s">
        <v>72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B106" si="189">SUM(T95:T105)</f>
        <v>68513</v>
      </c>
      <c r="U106" s="5">
        <f t="shared" si="189"/>
        <v>74426</v>
      </c>
      <c r="V106" s="5">
        <f t="shared" si="189"/>
        <v>0</v>
      </c>
      <c r="W106" s="5">
        <f t="shared" si="189"/>
        <v>86833</v>
      </c>
      <c r="X106" s="5">
        <f t="shared" si="189"/>
        <v>25105</v>
      </c>
      <c r="Y106" s="5">
        <f t="shared" si="189"/>
        <v>26958</v>
      </c>
      <c r="Z106" s="5">
        <f t="shared" si="189"/>
        <v>106618</v>
      </c>
      <c r="AA106" s="5">
        <f t="shared" si="189"/>
        <v>109226</v>
      </c>
      <c r="AB106" s="5">
        <f t="shared" si="189"/>
        <v>112832</v>
      </c>
      <c r="AC106" s="5"/>
      <c r="AD106" s="5"/>
      <c r="AE106" s="5"/>
      <c r="AF106" s="5"/>
      <c r="AG106" s="5"/>
      <c r="AH106" s="5"/>
    </row>
    <row r="107" spans="2:34" x14ac:dyDescent="0.25">
      <c r="S107" s="5"/>
      <c r="T107" s="5"/>
      <c r="U107" s="5"/>
      <c r="AA107" s="5"/>
      <c r="AB107" s="5"/>
    </row>
    <row r="108" spans="2:34" x14ac:dyDescent="0.25">
      <c r="B108" s="9" t="s">
        <v>73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</row>
    <row r="109" spans="2:34" x14ac:dyDescent="0.25">
      <c r="B109" s="9" t="s">
        <v>74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</row>
    <row r="110" spans="2:34" x14ac:dyDescent="0.25">
      <c r="B110" s="9" t="s">
        <v>75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</row>
    <row r="111" spans="2:34" x14ac:dyDescent="0.25">
      <c r="B111" s="9" t="s">
        <v>76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</row>
    <row r="112" spans="2:34" x14ac:dyDescent="0.25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/>
      <c r="AD112" s="5"/>
      <c r="AE112" s="5"/>
      <c r="AF112" s="5"/>
      <c r="AG112" s="5"/>
      <c r="AH112" s="5"/>
    </row>
    <row r="113" spans="2:58" x14ac:dyDescent="0.25">
      <c r="B113" s="9" t="s">
        <v>77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</row>
    <row r="114" spans="2:58" x14ac:dyDescent="0.25">
      <c r="B114" s="9" t="s">
        <v>78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</row>
    <row r="115" spans="2:58" x14ac:dyDescent="0.25">
      <c r="B115" s="9" t="s">
        <v>79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</row>
    <row r="116" spans="2:58" x14ac:dyDescent="0.25">
      <c r="S116" s="5"/>
    </row>
    <row r="117" spans="2:58" x14ac:dyDescent="0.25">
      <c r="B117" s="33" t="s">
        <v>154</v>
      </c>
      <c r="S117" s="5"/>
      <c r="Z117" s="5">
        <v>3540</v>
      </c>
      <c r="AA117" s="5"/>
      <c r="AB117" s="5">
        <v>3660</v>
      </c>
      <c r="AS117" s="4">
        <v>2913</v>
      </c>
      <c r="AT117" s="4">
        <v>3536</v>
      </c>
    </row>
    <row r="118" spans="2:58" x14ac:dyDescent="0.25">
      <c r="B118" s="33" t="s">
        <v>159</v>
      </c>
      <c r="S118" s="5"/>
      <c r="Z118" s="5"/>
      <c r="AA118" s="5"/>
      <c r="AB118" s="5"/>
      <c r="AS118" s="4">
        <v>1178</v>
      </c>
      <c r="AT118" s="4">
        <v>1201</v>
      </c>
      <c r="AU118" s="4">
        <f t="shared" ref="AU118:BA118" si="190">+AU37*AU123*8/1000</f>
        <v>1757.9592</v>
      </c>
      <c r="AV118" s="4">
        <f t="shared" si="190"/>
        <v>2910.3526400000001</v>
      </c>
      <c r="AW118" s="4">
        <f t="shared" si="190"/>
        <v>4547.4260000000004</v>
      </c>
      <c r="AX118" s="4">
        <f t="shared" si="190"/>
        <v>6548.2934399999995</v>
      </c>
      <c r="AY118" s="4">
        <f t="shared" si="190"/>
        <v>9167.6108160000022</v>
      </c>
      <c r="AZ118" s="4">
        <f t="shared" si="190"/>
        <v>12048.859929599999</v>
      </c>
      <c r="BA118" s="4">
        <f t="shared" si="190"/>
        <v>14910.464162879998</v>
      </c>
      <c r="BB118" s="4">
        <f t="shared" ref="BB118:BF118" si="191">+BB37*BB123*8/1000</f>
        <v>16090.875909107997</v>
      </c>
      <c r="BC118" s="4">
        <f t="shared" si="191"/>
        <v>17352.052669551598</v>
      </c>
      <c r="BD118" s="4">
        <f t="shared" si="191"/>
        <v>18699.119916266791</v>
      </c>
      <c r="BE118" s="4">
        <f t="shared" si="191"/>
        <v>20137.513755979624</v>
      </c>
      <c r="BF118" s="4">
        <f t="shared" si="191"/>
        <v>21672.999179873066</v>
      </c>
    </row>
    <row r="119" spans="2:58" x14ac:dyDescent="0.25">
      <c r="B119" s="33" t="s">
        <v>160</v>
      </c>
      <c r="S119" s="5"/>
      <c r="Z119" s="5"/>
      <c r="AA119" s="5"/>
      <c r="AB119" s="5"/>
      <c r="AS119" s="4">
        <v>580</v>
      </c>
      <c r="AT119" s="4">
        <v>595</v>
      </c>
    </row>
    <row r="120" spans="2:58" x14ac:dyDescent="0.25">
      <c r="B120" s="33"/>
      <c r="S120" s="5"/>
      <c r="Z120" s="5"/>
      <c r="AA120" s="5"/>
      <c r="AB120" s="5"/>
      <c r="AS120" s="4"/>
      <c r="AT120" s="4"/>
    </row>
    <row r="121" spans="2:58" ht="13" x14ac:dyDescent="0.3">
      <c r="B121" s="33" t="s">
        <v>161</v>
      </c>
      <c r="S121" s="5"/>
      <c r="Z121" s="5"/>
      <c r="AA121" s="5"/>
      <c r="AB121" s="5"/>
      <c r="AS121" s="4"/>
      <c r="AT121" s="6">
        <f>+AT118/8</f>
        <v>150.125</v>
      </c>
      <c r="AU121" s="4">
        <f>+AU118/8</f>
        <v>219.7449</v>
      </c>
      <c r="AV121" s="4">
        <f t="shared" ref="AV121:BA121" si="192">+AV118/8</f>
        <v>363.79408000000001</v>
      </c>
      <c r="AW121" s="4">
        <f t="shared" si="192"/>
        <v>568.42825000000005</v>
      </c>
      <c r="AX121" s="4">
        <f t="shared" si="192"/>
        <v>818.53667999999993</v>
      </c>
      <c r="AY121" s="4">
        <f t="shared" si="192"/>
        <v>1145.9513520000003</v>
      </c>
      <c r="AZ121" s="4">
        <f t="shared" si="192"/>
        <v>1506.1074911999999</v>
      </c>
      <c r="BA121" s="4">
        <f t="shared" si="192"/>
        <v>1863.8080203599998</v>
      </c>
      <c r="BB121" s="4">
        <f t="shared" ref="BB121:BF121" si="193">+BB118/8</f>
        <v>2011.3594886384997</v>
      </c>
      <c r="BC121" s="4">
        <f t="shared" si="193"/>
        <v>2169.0065836939498</v>
      </c>
      <c r="BD121" s="4">
        <f t="shared" si="193"/>
        <v>2337.3899895333489</v>
      </c>
      <c r="BE121" s="4">
        <f t="shared" si="193"/>
        <v>2517.189219497453</v>
      </c>
      <c r="BF121" s="4">
        <f t="shared" si="193"/>
        <v>2709.1248974841333</v>
      </c>
    </row>
    <row r="122" spans="2:58" x14ac:dyDescent="0.25">
      <c r="B122" s="33" t="s">
        <v>162</v>
      </c>
      <c r="S122" s="5"/>
      <c r="AT122" s="26">
        <f>+AT117/AS117-1</f>
        <v>0.21386886371438374</v>
      </c>
    </row>
    <row r="123" spans="2:58" x14ac:dyDescent="0.25">
      <c r="B123" s="33" t="s">
        <v>163</v>
      </c>
      <c r="S123" s="5"/>
      <c r="AT123" s="26">
        <f>+AT121*1000/AT37</f>
        <v>8.3007064654555152E-2</v>
      </c>
      <c r="AU123" s="26">
        <v>0.12</v>
      </c>
      <c r="AV123" s="26">
        <v>0.16</v>
      </c>
      <c r="AW123" s="26">
        <v>0.2</v>
      </c>
      <c r="AX123" s="26">
        <v>0.24</v>
      </c>
      <c r="AY123" s="26">
        <v>0.28000000000000003</v>
      </c>
      <c r="AZ123" s="26">
        <v>0.32</v>
      </c>
      <c r="BA123" s="26">
        <v>0.36</v>
      </c>
      <c r="BB123" s="26">
        <v>0.37</v>
      </c>
      <c r="BC123" s="26">
        <v>0.38</v>
      </c>
      <c r="BD123" s="26">
        <v>0.39</v>
      </c>
      <c r="BE123" s="26">
        <v>0.4</v>
      </c>
      <c r="BF123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796875" defaultRowHeight="12.5" x14ac:dyDescent="0.25"/>
  <cols>
    <col min="1" max="1" width="5" style="28" bestFit="1" customWidth="1"/>
    <col min="2" max="2" width="9.1796875" style="28"/>
    <col min="3" max="3" width="11.7265625" style="28" customWidth="1"/>
    <col min="4" max="16384" width="9.1796875" style="28"/>
  </cols>
  <sheetData>
    <row r="1" spans="1:5" ht="14.5" x14ac:dyDescent="0.35">
      <c r="A1" s="34" t="s">
        <v>8</v>
      </c>
    </row>
    <row r="4" spans="1:5" x14ac:dyDescent="0.25">
      <c r="B4" s="28" t="s">
        <v>98</v>
      </c>
      <c r="C4" s="28" t="s">
        <v>99</v>
      </c>
      <c r="D4" s="28">
        <v>100000</v>
      </c>
    </row>
    <row r="5" spans="1:5" x14ac:dyDescent="0.25">
      <c r="C5" s="28" t="s">
        <v>100</v>
      </c>
      <c r="D5" s="28">
        <v>550000</v>
      </c>
    </row>
    <row r="6" spans="1:5" x14ac:dyDescent="0.25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25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25">
      <c r="B8" s="28" t="s">
        <v>104</v>
      </c>
      <c r="C8" s="28" t="s">
        <v>103</v>
      </c>
      <c r="D8" s="28">
        <v>250000</v>
      </c>
    </row>
    <row r="9" spans="1:5" x14ac:dyDescent="0.25">
      <c r="C9" s="28" t="s">
        <v>105</v>
      </c>
      <c r="D9" s="28">
        <v>300000</v>
      </c>
      <c r="E9" s="28">
        <v>125000</v>
      </c>
    </row>
    <row r="10" spans="1:5" x14ac:dyDescent="0.25">
      <c r="B10" s="28" t="s">
        <v>106</v>
      </c>
      <c r="C10" s="28" t="s">
        <v>107</v>
      </c>
      <c r="D10" s="28">
        <v>300000</v>
      </c>
    </row>
    <row r="11" spans="1:5" x14ac:dyDescent="0.25">
      <c r="C11" s="28" t="s">
        <v>108</v>
      </c>
      <c r="D11" s="28">
        <v>300000</v>
      </c>
    </row>
    <row r="12" spans="1:5" x14ac:dyDescent="0.25">
      <c r="C12" s="28" t="s">
        <v>109</v>
      </c>
      <c r="D12" s="28">
        <v>300000</v>
      </c>
    </row>
    <row r="13" spans="1:5" x14ac:dyDescent="0.25">
      <c r="B13" s="33" t="s">
        <v>156</v>
      </c>
    </row>
    <row r="14" spans="1:5" x14ac:dyDescent="0.25">
      <c r="B14" s="33" t="s">
        <v>157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 x14ac:dyDescent="0.25"/>
  <cols>
    <col min="1" max="1" width="5" style="33" bestFit="1" customWidth="1"/>
    <col min="2" max="16384" width="9.1796875" style="33"/>
  </cols>
  <sheetData>
    <row r="1" spans="1:1" x14ac:dyDescent="0.25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2025-02-20T17:51:09Z</dcterms:modified>
  <cp:category/>
  <cp:contentStatus/>
</cp:coreProperties>
</file>