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793DE721-DF27-4027-809A-D0EC54E2214C}" xr6:coauthVersionLast="47" xr6:coauthVersionMax="47" xr10:uidLastSave="{00000000-0000-0000-0000-000000000000}"/>
  <bookViews>
    <workbookView xWindow="-49065" yWindow="1875" windowWidth="25590" windowHeight="1534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4" i="1" l="1"/>
  <c r="A223" i="1"/>
  <c r="P1" i="2"/>
  <c r="Q1" i="2"/>
  <c r="R1" i="2"/>
  <c r="T1" i="2"/>
  <c r="S1" i="2"/>
  <c r="A353" i="2"/>
  <c r="A352" i="2"/>
  <c r="A351" i="2"/>
  <c r="A350" i="2"/>
  <c r="A349" i="2"/>
  <c r="A348" i="2"/>
  <c r="A347" i="2" l="1"/>
  <c r="A346" i="2"/>
  <c r="A345" i="2"/>
  <c r="A344" i="2"/>
  <c r="A343" i="2"/>
  <c r="A342" i="2"/>
  <c r="A341" i="2"/>
  <c r="A340" i="2"/>
  <c r="A339" i="2" l="1"/>
  <c r="A338" i="2"/>
  <c r="AC16" i="1"/>
  <c r="D16" i="1"/>
  <c r="D167" i="1"/>
  <c r="AC225" i="1"/>
  <c r="AC10" i="1"/>
  <c r="AC71" i="1"/>
  <c r="AC210" i="1"/>
  <c r="AC69" i="1"/>
  <c r="AC120" i="1"/>
  <c r="AC252" i="1"/>
  <c r="AC64" i="1"/>
  <c r="A6" i="1"/>
  <c r="A337" i="2"/>
  <c r="A336" i="2"/>
  <c r="A335" i="2"/>
  <c r="A334" i="2"/>
  <c r="A333" i="2"/>
  <c r="A332" i="2"/>
  <c r="A331" i="2"/>
  <c r="A330" i="2"/>
  <c r="A329" i="2"/>
  <c r="A328" i="2"/>
  <c r="A327" i="2"/>
  <c r="A326" i="2"/>
  <c r="A325" i="2"/>
  <c r="A324" i="2"/>
  <c r="Q149" i="2"/>
  <c r="A323" i="2"/>
  <c r="A322" i="2"/>
  <c r="A321" i="2"/>
  <c r="A320" i="2"/>
  <c r="A319" i="2"/>
  <c r="A318" i="2" l="1"/>
  <c r="A317" i="2"/>
  <c r="D1" i="3"/>
  <c r="A316" i="2"/>
  <c r="A315" i="2"/>
  <c r="Q211" i="1"/>
  <c r="S211" i="1"/>
  <c r="R211"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J1" i="1"/>
  <c r="A274" i="2"/>
  <c r="A273" i="2"/>
  <c r="V1" i="2"/>
  <c r="W1" i="2"/>
  <c r="A84" i="2" l="1"/>
  <c r="AI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60" i="1"/>
  <c r="T1" i="1" s="1"/>
  <c r="R260" i="1"/>
  <c r="T81" i="2"/>
  <c r="Q13" i="1"/>
  <c r="S13" i="1"/>
  <c r="R13" i="1"/>
  <c r="Q260" i="1"/>
  <c r="S260" i="1"/>
  <c r="Q47" i="2"/>
  <c r="R47" i="2"/>
  <c r="Q18" i="2"/>
  <c r="S47" i="2"/>
  <c r="O1" i="1"/>
  <c r="P1" i="1"/>
  <c r="Q7" i="2"/>
  <c r="R7" i="2"/>
  <c r="T7" i="2"/>
  <c r="S7" i="2"/>
  <c r="I44" i="8"/>
  <c r="F38" i="8"/>
  <c r="G38" i="8" s="1"/>
  <c r="H38" i="8" s="1"/>
  <c r="I38" i="8" s="1"/>
  <c r="J38" i="8" s="1"/>
  <c r="K38" i="8" s="1"/>
  <c r="F41" i="8"/>
  <c r="G41" i="8" s="1"/>
  <c r="H41" i="8" s="1"/>
  <c r="I41" i="8" s="1"/>
  <c r="J41" i="8" s="1"/>
  <c r="K41" i="8" s="1"/>
  <c r="F44" i="8"/>
  <c r="E44" i="8" s="1"/>
  <c r="Z1" i="1"/>
  <c r="D4" i="1"/>
  <c r="C2" i="11"/>
  <c r="E50" i="8"/>
  <c r="F96" i="8" s="1"/>
  <c r="I50" i="8"/>
  <c r="J66" i="8" s="1"/>
  <c r="E5" i="7"/>
  <c r="S1" i="1" l="1"/>
  <c r="Q1" i="1"/>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4" i="2"/>
  <c r="A98" i="1" l="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5" i="2"/>
  <c r="E428" i="5"/>
  <c r="E418" i="5"/>
  <c r="E336" i="5"/>
  <c r="E329" i="5"/>
  <c r="A134" i="1" l="1"/>
  <c r="A135" i="1" s="1"/>
  <c r="A136" i="1" s="1"/>
  <c r="A137" i="1" s="1"/>
  <c r="A6" i="2"/>
  <c r="A7" i="2" s="1"/>
  <c r="A8" i="2" s="1"/>
  <c r="A9" i="2" s="1"/>
  <c r="A10" i="2" s="1"/>
  <c r="A11" i="2" s="1"/>
  <c r="A12" i="2" s="1"/>
  <c r="A13" i="2" s="1"/>
  <c r="A14" i="2" s="1"/>
  <c r="A15" i="2" s="1"/>
  <c r="AA40" i="1"/>
  <c r="AZ2" i="1"/>
  <c r="BA2" i="1" s="1"/>
  <c r="BB2" i="1" s="1"/>
  <c r="BC2" i="1" s="1"/>
  <c r="BD2" i="1" s="1"/>
  <c r="BE2" i="1" s="1"/>
  <c r="BF2" i="1" s="1"/>
  <c r="BG2" i="1" s="1"/>
  <c r="BH2" i="1" s="1"/>
  <c r="BI2" i="1" s="1"/>
  <c r="BJ2" i="1" s="1"/>
  <c r="BK2" i="1" s="1"/>
  <c r="BL2" i="1" s="1"/>
  <c r="BM2" i="1" s="1"/>
  <c r="BN2" i="1" s="1"/>
  <c r="BO2" i="1" s="1"/>
  <c r="A138" i="1" l="1"/>
  <c r="A139" i="1" s="1"/>
  <c r="A140" i="1" s="1"/>
  <c r="F61" i="8"/>
  <c r="F57" i="8"/>
  <c r="F66" i="8"/>
  <c r="F63" i="8"/>
  <c r="F52" i="8"/>
  <c r="F65" i="8"/>
  <c r="F67" i="8"/>
  <c r="F58" i="8"/>
  <c r="F56" i="8"/>
  <c r="F53" i="8"/>
  <c r="F68" i="8"/>
  <c r="F60" i="8"/>
  <c r="F59" i="8"/>
  <c r="F62" i="8"/>
  <c r="F55" i="8"/>
  <c r="F54" i="8"/>
  <c r="F69" i="8"/>
  <c r="F72" i="8"/>
  <c r="F71" i="8"/>
  <c r="F73" i="8"/>
  <c r="F70" i="8"/>
  <c r="F74" i="8"/>
  <c r="F64" i="8"/>
  <c r="F51" i="8"/>
  <c r="F75" i="8"/>
  <c r="A141" i="1" l="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179" i="1" l="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l="1"/>
  <c r="A202" i="1" s="1"/>
  <c r="A203" i="1" s="1"/>
  <c r="A204" i="1" s="1"/>
  <c r="A205" i="1" s="1"/>
  <c r="A206" i="1" s="1"/>
  <c r="A207" i="1" s="1"/>
  <c r="A208" i="1" s="1"/>
  <c r="A209" i="1" s="1"/>
  <c r="A210" i="1" s="1"/>
  <c r="A211" i="1" s="1"/>
  <c r="A212" i="1" s="1"/>
  <c r="A213" i="1" s="1"/>
  <c r="A214" i="1" s="1"/>
  <c r="A215" i="1" s="1"/>
  <c r="A216" i="1" s="1"/>
  <c r="A217" i="1" s="1"/>
  <c r="A218" i="1" l="1"/>
  <c r="A219" i="1" s="1"/>
  <c r="A220" i="1" s="1"/>
  <c r="A221" i="1" s="1"/>
  <c r="A222"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tc={D9C97D89-C43E-458D-9B15-7D2957C13EFF}</author>
    <author>tc={571E6B33-9F0B-402B-B6AF-3026724B96B6}</author>
    <author>tc={65A0F6CF-356C-4A90-96D2-FFE35AFE2E62}</author>
    <author>tc={267E6B37-EE49-4656-A61F-E5E2C45BA32F}</author>
    <author>tc={7F716EA0-1B25-4893-A936-13BB135D38E2}</author>
    <author>tc={A64FBD4E-3404-47A5-8666-77C4F6F6B281}</author>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tc={3BFF8831-5FC4-4D85-A902-6E8F2F01E8F9}</author>
    <author>tc={62D2835D-0C81-46A4-9A2B-2062F3D3F475}</author>
  </authors>
  <commentList>
    <comment ref="D4" authorId="0"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X4" authorId="1"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Q4" authorId="2"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R4" authorId="3"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D5" authorId="4" shapeId="0" xr:uid="{7F716EA0-1B25-4893-A936-13BB135D38E2}">
      <text>
        <t>[Threaded comment]
Your version of Excel allows you to read this threaded comment; however, any edits to it will get removed if the file is opened in a newer version of Excel. Learn more: https://go.microsoft.com/fwlink/?linkid=870924
Comment:
    14B mutual funds?</t>
      </text>
    </comment>
    <comment ref="P5" authorId="5"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6" authorId="6"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6" authorId="7"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6" authorId="8"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6" authorId="9"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6" authorId="10"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7" authorId="11"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7" authorId="12"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7" authorId="13"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7" authorId="14"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8" authorId="15"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8" authorId="16"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8" authorId="17"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8" authorId="18"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9" authorId="19"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9" authorId="20"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9" authorId="21"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9" authorId="22"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11" authorId="23"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1" authorId="24"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1" authorId="25"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2" authorId="26"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3" authorId="27"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4" authorId="28"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4" authorId="29"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6" authorId="30"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6" authorId="31"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7" authorId="32"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8" authorId="33"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8" authorId="34"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8" authorId="35"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8" authorId="36"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R36" authorId="37"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8"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9"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40"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1"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J39" authorId="42"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3"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N40" authorId="44"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5"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6"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7"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8"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9"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50"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1"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2"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3"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4"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AO88" authorId="56" shapeId="0" xr:uid="{3BFF8831-5FC4-4D85-A902-6E8F2F01E8F9}">
      <text>
        <t>[Threaded comment]
Your version of Excel allows you to read this threaded comment; however, any edits to it will get removed if the file is opened in a newer version of Excel. Learn more: https://go.microsoft.com/fwlink/?linkid=870924
Comment:
    3B AUM</t>
      </text>
    </comment>
    <comment ref="D140" authorId="57" shapeId="0" xr:uid="{62D2835D-0C81-46A4-9A2B-2062F3D3F475}">
      <text>
        <t>[Threaded comment]
Your version of Excel allows you to read this threaded comment; however, any edits to it will get removed if the file is opened in a newer version of Excel. Learn more: https://go.microsoft.com/fwlink/?linkid=870924
Comment:
    11.5B quant, 6.1B discretionary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<sst xmlns="http://schemas.openxmlformats.org/spreadsheetml/2006/main" count="3190" uniqueCount="2381">
  <si>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</si>
  <si>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</si>
  <si>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</si>
  <si>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</si>
  <si>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</si>
  <si>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</si>
  <si>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</si>
  <si>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</si>
  <si>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</si>
  <si>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</si>
  <si>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</si>
  <si>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</si>
  <si>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</si>
  <si>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</si>
  <si>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</si>
  <si>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</si>
  <si>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</si>
  <si>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</si>
  <si>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</si>
  <si>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</si>
  <si>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</si>
  <si>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</si>
  <si>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</si>
  <si>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</si>
  <si>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</si>
  <si>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</si>
  <si>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</si>
  <si>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</si>
  <si>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</si>
  <si>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</si>
  <si>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</si>
  <si>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</si>
  <si>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</si>
  <si>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</si>
  <si>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</si>
  <si>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</si>
  <si>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</si>
  <si>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</si>
  <si>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</si>
  <si>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Berkshire</t>
  </si>
  <si>
    <t>Chase Coleman</t>
  </si>
  <si>
    <t>Tiger Global</t>
  </si>
  <si>
    <t>Healthcor</t>
  </si>
  <si>
    <t>Phillipe Lafonte</t>
  </si>
  <si>
    <t>Lee Ainslie III</t>
  </si>
  <si>
    <t>John Overdeck/David Siegel/Mark Pickard</t>
  </si>
  <si>
    <t>Rob Pohly</t>
  </si>
  <si>
    <t>Scopia</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</si>
  <si>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</si>
  <si>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</si>
  <si>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</si>
  <si>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</si>
  <si>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</si>
  <si>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</si>
  <si>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</si>
  <si>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</si>
  <si>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</si>
  <si>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</si>
  <si>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</si>
  <si>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</si>
  <si>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</si>
  <si>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</si>
  <si>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</si>
  <si>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</si>
  <si>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</si>
  <si>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</si>
  <si>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</si>
  <si>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</si>
  <si>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</si>
  <si>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</si>
  <si>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</si>
  <si>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</si>
  <si>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</si>
  <si>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</si>
  <si>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</si>
  <si>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</si>
  <si>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</si>
  <si>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</si>
  <si>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</si>
  <si>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</si>
  <si>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</si>
  <si>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</si>
  <si>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</si>
  <si>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</si>
  <si>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</si>
  <si>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</si>
  <si>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</si>
  <si>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</si>
  <si>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</si>
  <si>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</si>
  <si>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</si>
  <si>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</si>
  <si>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</si>
  <si>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</si>
  <si>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</si>
  <si>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</si>
  <si>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</si>
  <si>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</si>
  <si>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</si>
  <si>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</si>
  <si>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</si>
  <si>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</si>
  <si>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</si>
  <si>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</si>
  <si>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</si>
  <si>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</si>
  <si>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</si>
  <si>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</si>
  <si>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</si>
  <si>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</si>
  <si>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</si>
  <si>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</si>
  <si>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</si>
  <si>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</si>
  <si>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</si>
  <si>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</si>
  <si>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</si>
  <si>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</si>
  <si>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</si>
  <si>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</si>
  <si>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</si>
  <si>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</si>
  <si>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</si>
  <si>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</si>
  <si>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</si>
  <si>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</si>
  <si>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</si>
  <si>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</si>
  <si>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</si>
  <si>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</si>
  <si>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</si>
  <si>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</si>
  <si>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</si>
  <si>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</si>
  <si>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</si>
  <si>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</si>
  <si>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</si>
  <si>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</si>
  <si>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</si>
  <si>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</si>
  <si>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</si>
  <si>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</si>
  <si>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</si>
  <si>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</si>
  <si>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</si>
  <si>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</si>
  <si>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</si>
  <si>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</si>
  <si>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</si>
  <si>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</si>
  <si>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</si>
  <si>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</si>
  <si>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</si>
  <si>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</si>
  <si>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</si>
  <si>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</si>
  <si>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</si>
  <si>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</si>
  <si>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</si>
  <si>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</si>
  <si>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</si>
  <si>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</si>
  <si>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</si>
  <si>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</si>
  <si>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</si>
  <si>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</si>
  <si>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</si>
  <si>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</si>
  <si>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</si>
  <si>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</si>
  <si>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</si>
  <si>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</si>
  <si>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</si>
  <si>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</si>
  <si>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</si>
  <si>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</si>
  <si>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</si>
  <si>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</si>
  <si>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</si>
  <si>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</si>
  <si>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</si>
  <si>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</si>
  <si>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</si>
  <si>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</si>
  <si>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</si>
  <si>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</si>
  <si>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</si>
  <si>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</si>
  <si>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</si>
  <si>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</si>
  <si>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</si>
  <si>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</si>
  <si>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</si>
  <si>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</si>
  <si>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</si>
  <si>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</si>
  <si>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</si>
  <si>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</si>
  <si>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</si>
  <si>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</si>
  <si>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</si>
  <si>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</si>
  <si>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</si>
  <si>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</si>
  <si>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</si>
  <si>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</si>
  <si>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</si>
  <si>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</si>
  <si>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</si>
  <si>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</si>
  <si>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</si>
  <si>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</si>
  <si>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</si>
  <si>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</si>
  <si>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</si>
  <si>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</si>
  <si>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</si>
  <si>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</si>
  <si>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</si>
  <si>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</si>
  <si>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</si>
  <si>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</si>
  <si>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</si>
  <si>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</si>
  <si>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</si>
  <si>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</si>
  <si>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</si>
  <si>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</si>
  <si>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</si>
  <si>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</si>
  <si>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</si>
  <si>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</si>
  <si>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</si>
  <si>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</si>
  <si>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</si>
  <si>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</si>
  <si>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</si>
  <si>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</si>
  <si>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</si>
  <si>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</si>
  <si>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</si>
  <si>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</si>
  <si>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</si>
  <si>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</si>
  <si>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</si>
  <si>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</si>
  <si>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</si>
  <si>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</si>
  <si>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</si>
  <si>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</si>
  <si>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</si>
  <si>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</si>
  <si>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</si>
  <si>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</si>
  <si>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</si>
  <si>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</si>
  <si>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</si>
  <si>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</si>
  <si>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</si>
  <si>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</si>
  <si>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</si>
  <si>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</si>
  <si>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</si>
  <si>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</si>
  <si>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</si>
  <si>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</si>
  <si>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</si>
  <si>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</si>
  <si>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</si>
  <si>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</si>
  <si>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</si>
  <si>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</si>
  <si>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</si>
  <si>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</si>
  <si>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</si>
  <si>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</si>
  <si>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</si>
  <si>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</si>
  <si>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</si>
  <si>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</si>
  <si>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</si>
  <si>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</si>
  <si>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</si>
  <si>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</si>
  <si>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</si>
  <si>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</si>
  <si>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</si>
  <si>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</si>
  <si>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</si>
  <si>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</si>
  <si>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</si>
  <si>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</si>
  <si>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</si>
  <si>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</si>
  <si>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</si>
  <si>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</si>
  <si>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</si>
  <si>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</si>
  <si>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</si>
  <si>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</si>
  <si>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</si>
  <si>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</si>
  <si>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</si>
  <si>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</si>
  <si>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</si>
  <si>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</si>
  <si>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</si>
  <si>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</si>
  <si>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</si>
  <si>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</si>
  <si>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</si>
  <si>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</si>
  <si>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</si>
  <si>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</si>
  <si>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</si>
  <si>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</si>
  <si>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</si>
  <si>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</si>
  <si>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</si>
  <si>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</si>
  <si>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</si>
  <si>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</si>
  <si>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</si>
  <si>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</si>
  <si>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</si>
  <si>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</si>
  <si>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</si>
  <si>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</si>
  <si>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</si>
  <si>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</si>
  <si>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</si>
  <si>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</si>
  <si>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</si>
  <si>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</si>
  <si>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</si>
  <si>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</si>
  <si>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</si>
  <si>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</si>
  <si>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</si>
  <si>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</si>
  <si>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</si>
  <si>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</si>
  <si>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</si>
  <si>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</si>
  <si>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</si>
  <si>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</si>
  <si>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</si>
  <si>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</si>
  <si>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</si>
  <si>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</si>
  <si>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</si>
  <si>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</si>
  <si>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</si>
  <si>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</si>
  <si>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</si>
  <si>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</si>
  <si>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</si>
  <si>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</si>
  <si>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</si>
  <si>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</si>
  <si>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</si>
  <si>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</si>
  <si>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</si>
  <si>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</si>
  <si>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</si>
  <si>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</si>
  <si>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</si>
  <si>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</si>
  <si>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</si>
  <si>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</si>
  <si>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</si>
  <si>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</si>
  <si>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</si>
  <si>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</si>
  <si>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</si>
  <si>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</si>
  <si>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</si>
  <si>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</si>
  <si>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</si>
  <si>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</si>
  <si>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</si>
  <si>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</si>
  <si>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</si>
  <si>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</si>
  <si>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</si>
  <si>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</si>
  <si>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</si>
  <si>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</si>
  <si>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</si>
  <si>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</si>
  <si>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</si>
  <si>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</si>
  <si>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</si>
  <si>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</si>
  <si>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</si>
  <si>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</si>
  <si>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</si>
  <si>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</si>
  <si>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</si>
  <si>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</si>
  <si>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</si>
  <si>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</si>
  <si>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</si>
  <si>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</si>
  <si>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</si>
  <si>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</si>
  <si>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</si>
  <si>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</si>
  <si>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</si>
  <si>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</si>
  <si>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</si>
  <si>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</si>
  <si>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</si>
  <si>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</si>
  <si>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</si>
  <si>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</si>
  <si>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</si>
  <si>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</si>
  <si>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</si>
  <si>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</si>
  <si>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</si>
  <si>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</si>
  <si>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</si>
  <si>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</si>
  <si>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</si>
  <si>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</si>
  <si>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</si>
  <si>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</si>
  <si>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</si>
  <si>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</si>
  <si>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</si>
  <si>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</si>
  <si>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</si>
  <si>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</si>
  <si>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</si>
  <si>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</si>
  <si>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</si>
  <si>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</si>
  <si>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</si>
  <si>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</si>
  <si>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</si>
  <si>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</si>
  <si>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</si>
  <si>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</si>
  <si>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</si>
  <si>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</si>
  <si>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</si>
  <si>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</si>
  <si>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</si>
  <si>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</si>
  <si>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</si>
  <si>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</si>
  <si>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</si>
  <si>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</si>
  <si>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</si>
  <si>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</si>
  <si>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</si>
  <si>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</si>
  <si>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</si>
  <si>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</si>
  <si>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</si>
  <si>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</si>
  <si>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</si>
  <si>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</si>
  <si>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</si>
  <si>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</si>
  <si>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</si>
  <si>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</si>
  <si>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</si>
  <si>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</si>
  <si>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</si>
  <si>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</si>
  <si>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</si>
  <si>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</si>
  <si>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</si>
  <si>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</si>
  <si>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</si>
  <si>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</si>
  <si>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</si>
  <si>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</si>
  <si>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</si>
  <si>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</si>
  <si>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</si>
  <si>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</si>
  <si>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</si>
  <si>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</si>
  <si>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</si>
  <si>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</si>
  <si>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</si>
  <si>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</si>
  <si>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</si>
  <si>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</si>
  <si>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</si>
  <si>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</si>
  <si>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</si>
  <si>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</si>
  <si>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</si>
  <si>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</si>
  <si>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</si>
  <si>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</si>
  <si>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</si>
  <si>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</si>
  <si>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</si>
  <si>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</si>
  <si>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</si>
  <si>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</si>
  <si>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</si>
  <si>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</si>
  <si>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</si>
  <si>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</si>
  <si>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</si>
  <si>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</si>
  <si>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</si>
  <si>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</si>
  <si>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</si>
  <si>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</si>
  <si>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</si>
  <si>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</si>
  <si>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</si>
  <si>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</si>
  <si>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</si>
  <si>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</si>
  <si>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</si>
  <si>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</si>
  <si>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</si>
  <si>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</si>
  <si>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</si>
  <si>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</si>
  <si>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</si>
  <si>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</si>
  <si>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</si>
  <si>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</si>
  <si>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</si>
  <si>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</si>
  <si>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</si>
  <si>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</si>
  <si>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</si>
  <si>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</si>
  <si>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</si>
  <si>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</si>
  <si>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</si>
  <si>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</si>
  <si>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</si>
  <si>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</si>
  <si>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</si>
  <si>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</si>
  <si>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</si>
  <si>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</si>
  <si>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</si>
  <si>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</si>
  <si>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</si>
  <si>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</si>
  <si>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</si>
  <si>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</si>
  <si>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</si>
  <si>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</si>
  <si>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</si>
  <si>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</si>
  <si>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</si>
  <si>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</si>
  <si>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</si>
  <si>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</si>
  <si>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</si>
  <si>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</si>
  <si>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</si>
  <si>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</si>
  <si>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</si>
  <si>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</si>
  <si>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</si>
  <si>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</si>
  <si>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</si>
  <si>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</si>
  <si>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</si>
  <si>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</si>
  <si>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</si>
  <si>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</si>
  <si>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</si>
  <si>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</si>
  <si>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</si>
  <si>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</si>
  <si>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</si>
  <si>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</si>
  <si>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</si>
  <si>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</si>
  <si>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</si>
  <si>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</si>
  <si>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</si>
  <si>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</si>
  <si>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</si>
  <si>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</si>
  <si>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</si>
  <si>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</si>
  <si>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</si>
  <si>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</si>
  <si>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</si>
  <si>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</si>
  <si>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</si>
  <si>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</si>
  <si>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</si>
  <si>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</si>
  <si>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</si>
  <si>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</si>
  <si>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</si>
  <si>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</si>
  <si>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</si>
  <si>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</si>
  <si>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</si>
  <si>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</si>
  <si>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</si>
  <si>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</si>
  <si>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</si>
  <si>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</si>
  <si>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</si>
  <si>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</si>
  <si>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</si>
  <si>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</si>
  <si>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</si>
  <si>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</si>
  <si>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</si>
  <si>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</si>
  <si>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</si>
  <si>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</si>
  <si>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</si>
  <si>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</si>
  <si>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</si>
  <si>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</si>
  <si>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</si>
  <si>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</si>
  <si>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</si>
  <si>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</si>
  <si>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</si>
  <si>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</si>
  <si>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</si>
  <si>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</si>
  <si>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</si>
  <si>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</si>
  <si>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</si>
  <si>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</si>
  <si>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</si>
  <si>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</si>
  <si>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</si>
  <si>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</si>
  <si>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</si>
  <si>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</si>
  <si>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</si>
  <si>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</si>
  <si>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</si>
  <si>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</si>
  <si>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</si>
  <si>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</si>
  <si>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</si>
  <si>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</si>
  <si>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</si>
  <si>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</si>
  <si>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</si>
  <si>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</si>
  <si>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</si>
  <si>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</si>
  <si>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</si>
  <si>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</si>
  <si>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</si>
  <si>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</si>
  <si>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</si>
  <si>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</si>
  <si>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</si>
  <si>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</si>
  <si>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</si>
  <si>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</si>
  <si>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</si>
  <si>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</si>
  <si>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</si>
  <si>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</si>
  <si>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</si>
  <si>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</si>
  <si>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</si>
  <si>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</si>
  <si>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</si>
  <si>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</si>
  <si>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</si>
  <si>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</si>
  <si>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</si>
  <si>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</si>
  <si>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</si>
  <si>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</si>
  <si>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</si>
  <si>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</si>
  <si>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</si>
  <si>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</si>
  <si>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</si>
  <si>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</si>
  <si>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</si>
  <si>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</si>
  <si>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</si>
  <si>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</si>
  <si>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</si>
  <si>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</si>
  <si>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</si>
  <si>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</si>
  <si>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</si>
  <si>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</si>
  <si>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</si>
  <si>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</si>
  <si>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</si>
  <si>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</si>
  <si>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</si>
  <si>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</si>
  <si>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</si>
  <si>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</si>
  <si>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</si>
  <si>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</si>
  <si>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</si>
  <si>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</si>
  <si>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</si>
  <si>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</si>
  <si>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</si>
  <si>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</si>
  <si>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</si>
  <si>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</si>
  <si>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</si>
  <si>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</si>
  <si>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</si>
  <si>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</si>
  <si>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</si>
  <si>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</si>
  <si>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</si>
  <si>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</si>
  <si>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</si>
  <si>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</si>
  <si>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</si>
  <si>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</si>
  <si>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</si>
  <si>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</si>
  <si>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</si>
  <si>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</si>
  <si>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</si>
  <si>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</si>
  <si>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</si>
  <si>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</si>
  <si>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</si>
  <si>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</si>
  <si>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</si>
  <si>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</si>
  <si>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</si>
  <si>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</si>
  <si>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</si>
  <si>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</si>
  <si>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</si>
  <si>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</si>
  <si>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</si>
  <si>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</si>
  <si>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</si>
  <si>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</si>
  <si>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</si>
  <si>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</si>
  <si>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</si>
  <si>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</si>
  <si>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</si>
  <si>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</si>
  <si>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</si>
  <si>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</si>
  <si>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</si>
  <si>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</si>
  <si>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</si>
  <si>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</si>
  <si>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</si>
  <si>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</si>
  <si>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</si>
  <si>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</si>
  <si>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</si>
  <si>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</si>
  <si>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</si>
  <si>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</si>
  <si>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</si>
  <si>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</si>
  <si>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</si>
  <si>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</si>
  <si>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</si>
  <si>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</si>
  <si>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</si>
  <si>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</si>
  <si>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</si>
  <si>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</si>
  <si>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</si>
  <si>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</si>
  <si>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</si>
  <si>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</si>
  <si>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</si>
  <si>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</si>
  <si>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</si>
  <si>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</si>
  <si>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</si>
  <si>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</si>
  <si>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</si>
  <si>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</si>
  <si>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</si>
  <si>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</si>
  <si>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</si>
  <si>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</si>
  <si>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</si>
  <si>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</si>
  <si>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</si>
  <si>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</si>
  <si>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</si>
  <si>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</si>
  <si>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</si>
  <si>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</si>
  <si>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</si>
  <si>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</si>
  <si>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</si>
  <si>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</si>
  <si>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</si>
  <si>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</si>
  <si>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</si>
  <si>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</si>
  <si>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</si>
  <si>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</si>
  <si>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</si>
  <si>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</si>
  <si>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</si>
  <si>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</si>
  <si>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</si>
  <si>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</si>
  <si>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</si>
  <si>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</si>
  <si>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</si>
  <si>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</si>
  <si>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</si>
  <si>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</si>
  <si>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</si>
  <si>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</si>
  <si>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</si>
  <si>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</si>
  <si>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</si>
  <si>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</si>
  <si>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</si>
  <si>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</si>
  <si>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</si>
  <si>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</si>
  <si>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</si>
  <si>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</si>
  <si>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</si>
  <si>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</si>
  <si>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</si>
  <si>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</si>
  <si>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</si>
  <si>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</si>
  <si>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</si>
  <si>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</si>
  <si>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</si>
  <si>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</si>
  <si>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</si>
  <si>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</si>
  <si>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</si>
  <si>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</si>
  <si>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</si>
  <si>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</si>
  <si>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</si>
  <si>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</si>
  <si>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</si>
  <si>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</si>
  <si>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</si>
  <si>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</si>
  <si>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</si>
  <si>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</si>
  <si>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</si>
  <si>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</si>
  <si>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</si>
  <si>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</si>
  <si>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</si>
  <si>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</si>
  <si>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</si>
  <si>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</si>
  <si>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</si>
  <si>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</si>
  <si>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</si>
  <si>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</si>
  <si>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</si>
  <si>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</si>
  <si>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</si>
  <si>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</si>
  <si>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</si>
  <si>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</si>
  <si>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</si>
  <si>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</si>
  <si>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</si>
  <si>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</si>
  <si>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</si>
  <si>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</si>
  <si>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</si>
  <si>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</si>
  <si>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</si>
  <si>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</si>
  <si>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</si>
  <si>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</si>
  <si>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</si>
  <si>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</si>
  <si>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</si>
  <si>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</si>
  <si>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</si>
  <si>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</si>
  <si>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</si>
  <si>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</si>
  <si>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</si>
  <si>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</si>
  <si>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</si>
  <si>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</si>
  <si>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</si>
  <si>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</si>
  <si>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</si>
  <si>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</si>
  <si>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</si>
  <si>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</si>
  <si>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</si>
  <si>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</si>
  <si>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</si>
  <si>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</si>
  <si>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</si>
  <si>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</si>
  <si>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</si>
  <si>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</si>
  <si>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</si>
  <si>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</si>
  <si>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</si>
  <si>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</si>
  <si>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</si>
  <si>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</si>
  <si>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</si>
  <si>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</si>
  <si>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</si>
  <si>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</si>
  <si>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</si>
  <si>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</si>
  <si>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</si>
  <si>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</si>
  <si>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</si>
  <si>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</si>
  <si>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</si>
  <si>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</si>
  <si>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</si>
  <si>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</si>
  <si>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</si>
  <si>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</si>
  <si>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</si>
  <si>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</si>
  <si>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</si>
  <si>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</si>
  <si>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</si>
  <si>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</si>
  <si>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</si>
  <si>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</si>
  <si>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</si>
  <si>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</si>
  <si>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</si>
  <si>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</si>
  <si>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</si>
  <si>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</si>
  <si>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</si>
  <si>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</si>
  <si>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</si>
  <si>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</si>
  <si>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</si>
  <si>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</si>
  <si>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</si>
  <si>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</si>
  <si>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</si>
  <si>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</si>
  <si>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</si>
  <si>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</si>
  <si>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</si>
  <si>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</si>
  <si>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</si>
  <si>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</si>
  <si>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</si>
  <si>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</si>
  <si>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</si>
  <si>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</si>
  <si>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</si>
  <si>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</si>
  <si>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</si>
  <si>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</si>
  <si>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</si>
  <si>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</si>
  <si>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</si>
  <si>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</si>
  <si>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</si>
  <si>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</si>
  <si>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</si>
  <si>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</si>
  <si>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</si>
  <si>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</si>
  <si>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</si>
  <si>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</si>
  <si>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</si>
  <si>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</si>
  <si>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</si>
  <si>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</si>
  <si>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</si>
  <si>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</si>
  <si>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</si>
  <si>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</si>
  <si>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</si>
  <si>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</si>
  <si>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</si>
  <si>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</si>
  <si>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</si>
  <si>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</si>
  <si>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</si>
  <si>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</si>
  <si>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</si>
  <si>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</si>
  <si>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</si>
  <si>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</si>
  <si>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</si>
  <si>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</si>
  <si>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</si>
  <si>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</si>
  <si>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</si>
  <si>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</si>
  <si>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</si>
  <si>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</si>
  <si>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</si>
  <si>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</si>
  <si>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</si>
  <si>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</si>
  <si>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</si>
  <si>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</si>
  <si>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</si>
  <si>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</si>
  <si>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</si>
  <si>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</si>
  <si>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</si>
  <si>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</si>
  <si>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</si>
  <si>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</si>
  <si>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</si>
  <si>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</si>
  <si>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</si>
  <si>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</si>
  <si>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</si>
  <si>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</si>
  <si>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</si>
  <si>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</si>
  <si>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</si>
  <si>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</si>
  <si>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</si>
  <si>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</si>
  <si>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</si>
  <si>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</si>
  <si>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</si>
  <si>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</si>
  <si>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</si>
  <si>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</si>
  <si>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</si>
  <si>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</si>
  <si>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</si>
  <si>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</si>
  <si>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</si>
  <si>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</si>
  <si>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</si>
  <si>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</si>
  <si>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</si>
  <si>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</si>
  <si>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</si>
  <si>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</si>
  <si>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</si>
  <si>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</si>
  <si>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</si>
  <si>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</si>
  <si>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</si>
  <si>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</si>
  <si>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</si>
  <si>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</si>
  <si>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</si>
  <si>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</si>
  <si>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</si>
  <si>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</si>
  <si>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</si>
  <si>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</si>
  <si>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</si>
  <si>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</si>
  <si>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</si>
  <si>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</si>
  <si>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</si>
  <si>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</si>
  <si>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</si>
  <si>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</si>
  <si>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</si>
  <si>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</si>
  <si>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</si>
  <si>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</si>
  <si>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</si>
  <si>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</si>
  <si>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</si>
  <si>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</si>
  <si>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</si>
  <si>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</si>
  <si>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</si>
  <si>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</si>
  <si>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</si>
  <si>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</si>
  <si>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</si>
  <si>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</si>
  <si>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</si>
  <si>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</si>
  <si>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</si>
  <si>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</si>
  <si>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</si>
  <si>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</si>
  <si>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</si>
  <si>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</si>
  <si>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</si>
  <si>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</si>
  <si>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</si>
  <si>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</si>
  <si>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</si>
  <si>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</si>
  <si>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</si>
  <si>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</si>
  <si>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</si>
  <si>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</si>
  <si>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</si>
  <si>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</si>
  <si>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</si>
  <si>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</si>
  <si>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</si>
  <si>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</si>
  <si>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</si>
  <si>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</si>
  <si>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</si>
  <si>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</si>
  <si>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</si>
  <si>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</si>
  <si>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</si>
  <si>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</si>
  <si>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</si>
  <si>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</si>
  <si>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</si>
  <si>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</si>
  <si>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</si>
  <si>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</si>
  <si>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</si>
  <si>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</si>
  <si>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</si>
  <si>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</si>
  <si>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</si>
  <si>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</si>
  <si>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</si>
  <si>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</si>
  <si>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</si>
  <si>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</si>
  <si>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</si>
  <si>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</si>
  <si>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</si>
  <si>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</si>
  <si>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</si>
  <si>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</si>
  <si>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</si>
  <si>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</si>
  <si>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</si>
  <si>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</si>
  <si>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</si>
  <si>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</si>
  <si>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</si>
  <si>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</si>
  <si>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</si>
  <si>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</si>
  <si>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</si>
  <si>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</si>
  <si>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</si>
  <si>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</si>
  <si>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</si>
  <si>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</si>
  <si>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</si>
  <si>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</si>
  <si>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</si>
  <si>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</si>
  <si>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</si>
  <si>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</si>
  <si>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</si>
  <si>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</si>
  <si>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</si>
  <si>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</si>
  <si>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</si>
  <si>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</si>
  <si>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</si>
  <si>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</si>
  <si>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</si>
  <si>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</si>
  <si>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</si>
  <si>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</si>
  <si>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</si>
  <si>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</si>
  <si>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</si>
  <si>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</si>
  <si>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</si>
  <si>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</si>
  <si>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</si>
  <si>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</si>
  <si>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</si>
  <si>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</si>
  <si>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</si>
  <si>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</si>
  <si>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</si>
  <si>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</si>
  <si>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</si>
  <si>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</si>
  <si>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</si>
  <si>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</si>
  <si>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</si>
  <si>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</si>
  <si>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</si>
  <si>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</si>
  <si>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</si>
  <si>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</si>
  <si>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</si>
  <si>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</si>
  <si>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</si>
  <si>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</si>
  <si>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</si>
  <si>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</si>
  <si>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</si>
  <si>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</si>
  <si>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</si>
  <si>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</si>
  <si>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</si>
  <si>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</si>
  <si>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</si>
  <si>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</si>
  <si>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</si>
  <si>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</si>
  <si>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</si>
  <si>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</si>
  <si>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</si>
  <si>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</si>
  <si>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</si>
  <si>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</si>
  <si>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</si>
  <si>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</si>
  <si>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</si>
  <si>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</si>
  <si>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</si>
  <si>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</si>
  <si>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</si>
  <si>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</si>
  <si>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</si>
  <si>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</si>
  <si>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</si>
  <si>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</si>
  <si>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</si>
  <si>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</si>
  <si>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</si>
  <si>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</si>
  <si>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</si>
  <si>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</si>
  <si>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</si>
  <si>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</si>
  <si>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</si>
  <si>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</si>
  <si>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</si>
  <si>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</si>
  <si>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</si>
  <si>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</si>
  <si>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</si>
  <si>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</si>
  <si>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</si>
  <si>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</si>
  <si>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</si>
  <si>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</si>
  <si>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</si>
  <si>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</si>
  <si>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</si>
  <si>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</si>
  <si>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</si>
  <si>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</si>
  <si>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</si>
  <si>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</si>
  <si>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</si>
  <si>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</si>
  <si>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</si>
  <si>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</si>
  <si>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</si>
  <si>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</si>
  <si>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</si>
  <si>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</si>
  <si>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</si>
  <si>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</si>
  <si>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</si>
  <si>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</si>
  <si>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</si>
  <si>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</si>
  <si>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</si>
  <si>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</si>
  <si>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</si>
  <si>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</si>
  <si>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</si>
  <si>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</si>
  <si>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</si>
  <si>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</si>
  <si>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</si>
  <si>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</si>
  <si>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</si>
  <si>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</si>
  <si>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</si>
  <si>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</si>
  <si>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</si>
  <si>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</si>
  <si>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</si>
  <si>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</si>
  <si>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</si>
  <si>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</si>
  <si>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</si>
  <si>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</si>
  <si>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</si>
  <si>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</si>
  <si>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</si>
  <si>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</si>
  <si>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</si>
  <si>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</si>
  <si>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</si>
  <si>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</si>
  <si>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</si>
  <si>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</si>
  <si>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</si>
  <si>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</si>
  <si>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</si>
  <si>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</si>
  <si>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</si>
  <si>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</si>
  <si>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</si>
  <si>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</si>
  <si>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</si>
  <si>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</si>
  <si>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</si>
  <si>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</si>
  <si>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</si>
  <si>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</si>
  <si>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</si>
  <si>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</si>
  <si>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</si>
  <si>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</si>
  <si>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</si>
  <si>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</si>
  <si>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</si>
  <si>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</si>
  <si>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</si>
  <si>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</si>
  <si>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</si>
  <si>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</si>
  <si>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</si>
  <si>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</si>
  <si>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</si>
  <si>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</si>
  <si>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</si>
  <si>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</si>
  <si>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</si>
  <si>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</si>
  <si>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</si>
  <si>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</si>
  <si>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</si>
  <si>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</si>
  <si>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</si>
  <si>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</si>
  <si>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</si>
  <si>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</si>
  <si>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</si>
  <si>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</si>
  <si>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</si>
  <si>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</si>
  <si>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</si>
  <si>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</si>
  <si>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</si>
  <si>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</si>
  <si>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</si>
  <si>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</si>
  <si>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</si>
  <si>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</si>
  <si>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</si>
  <si>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</si>
  <si>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</si>
  <si>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</si>
  <si>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</si>
  <si>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</si>
  <si>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</si>
  <si>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</si>
  <si>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</si>
  <si>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</si>
  <si>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</si>
  <si>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</si>
  <si>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</si>
  <si>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</si>
  <si>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</si>
  <si>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</si>
  <si>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</si>
  <si>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</si>
  <si>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</si>
  <si>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</si>
  <si>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</si>
  <si>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</si>
  <si>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</si>
  <si>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</si>
  <si>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</si>
  <si>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</si>
  <si>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</si>
  <si>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</si>
  <si>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</si>
  <si>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</si>
  <si>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</si>
  <si>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</si>
  <si>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</si>
  <si>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</si>
  <si>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</si>
  <si>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</si>
  <si>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</si>
  <si>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</si>
  <si>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</si>
  <si>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</si>
  <si>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</si>
  <si>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</si>
  <si>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</si>
  <si>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</si>
  <si>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</si>
  <si>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</si>
  <si>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</si>
  <si>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</si>
  <si>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</si>
  <si>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</si>
  <si>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</si>
  <si>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</si>
  <si>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</si>
  <si>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</si>
  <si>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</si>
  <si>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</si>
  <si>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</si>
  <si>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</si>
  <si>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</si>
  <si>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</si>
  <si>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</si>
  <si>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</si>
  <si>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</si>
  <si>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</si>
  <si>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</si>
  <si>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</si>
  <si>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</si>
  <si>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</si>
  <si>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</si>
  <si>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</si>
  <si>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</si>
  <si>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</si>
  <si>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</si>
  <si>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</si>
  <si>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</si>
  <si>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</si>
  <si>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</si>
  <si>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</si>
  <si>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</si>
  <si>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</si>
  <si>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</si>
  <si>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</si>
  <si>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</si>
  <si>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</si>
  <si>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</si>
  <si>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</si>
  <si>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</si>
  <si>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</si>
  <si>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</si>
  <si>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</si>
  <si>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</si>
  <si>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</si>
  <si>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</si>
  <si>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</si>
  <si>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</si>
  <si>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</si>
  <si>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</si>
  <si>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</si>
  <si>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</si>
  <si>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</si>
  <si>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</si>
  <si>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</si>
  <si>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</si>
  <si>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</si>
  <si>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</si>
  <si>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</si>
  <si>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</si>
  <si>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</si>
  <si>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</si>
  <si>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</si>
  <si>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</si>
  <si>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</si>
  <si>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</si>
  <si>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</si>
  <si>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</si>
  <si>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</si>
  <si>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</si>
  <si>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</si>
  <si>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</si>
  <si>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</si>
  <si>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</si>
  <si>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</si>
  <si>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</si>
  <si>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</si>
  <si>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</si>
  <si>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</si>
  <si>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</si>
  <si>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</si>
  <si>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</si>
  <si>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</si>
  <si>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</si>
  <si>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</si>
  <si>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</si>
  <si>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</si>
  <si>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</si>
  <si>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</si>
  <si>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</si>
  <si>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</si>
  <si>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</si>
  <si>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</si>
  <si>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</si>
  <si>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</si>
  <si>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</si>
  <si>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</si>
  <si>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</si>
  <si>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</si>
  <si>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</si>
  <si>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</si>
  <si>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</si>
  <si>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</si>
  <si>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</si>
  <si>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</si>
  <si>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</si>
  <si>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</si>
  <si>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</si>
  <si>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</si>
  <si>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</si>
  <si>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</si>
  <si>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</si>
  <si>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</si>
  <si>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</si>
  <si>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</si>
  <si>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</si>
  <si>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</si>
  <si>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</si>
  <si>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</si>
  <si>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</si>
  <si>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</si>
  <si>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</si>
  <si>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</si>
  <si>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</si>
  <si>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</si>
  <si>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</si>
  <si>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</si>
  <si>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</si>
  <si>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</si>
  <si>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</si>
  <si>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</si>
  <si>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</si>
  <si>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</si>
  <si>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</si>
  <si>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</si>
  <si>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</si>
  <si>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</si>
  <si>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</si>
  <si>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</si>
  <si>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</si>
  <si>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</si>
  <si>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</si>
  <si>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</si>
  <si>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</si>
  <si>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</si>
  <si>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</si>
  <si>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</si>
  <si>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</si>
  <si>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</si>
  <si>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</si>
  <si>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</si>
  <si>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</si>
  <si>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</si>
  <si>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</si>
  <si>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</si>
  <si>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</si>
  <si>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</si>
  <si>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</si>
  <si>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</si>
  <si>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</si>
  <si>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</si>
  <si>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</si>
  <si>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</si>
  <si>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</si>
  <si>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</si>
  <si>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</si>
  <si>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</si>
  <si>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</si>
  <si>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</si>
  <si>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</si>
  <si>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</si>
  <si>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</si>
  <si>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</si>
  <si>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</si>
  <si>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</si>
  <si>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</si>
  <si>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</si>
  <si>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</si>
  <si>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</si>
  <si>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</si>
  <si>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</si>
  <si>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</si>
  <si>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</si>
  <si>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</si>
  <si>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</si>
  <si>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</si>
  <si>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</si>
  <si>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</si>
  <si>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</si>
  <si>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</si>
  <si>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</si>
  <si>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</si>
  <si>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</si>
  <si>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</si>
  <si>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</si>
  <si>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</si>
  <si>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</si>
  <si>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</si>
  <si>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</si>
  <si>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</si>
  <si>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</si>
  <si>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</si>
  <si>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</si>
  <si>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</si>
  <si>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</si>
  <si>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</si>
  <si>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</si>
  <si>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</si>
  <si>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</si>
  <si>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</si>
  <si>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</si>
  <si>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</si>
  <si>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</si>
  <si>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</si>
  <si>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</si>
  <si>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</si>
  <si>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</si>
  <si>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</si>
  <si>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</si>
  <si>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</si>
  <si>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</si>
  <si>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</si>
  <si>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</si>
  <si>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</si>
  <si>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</si>
  <si>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</si>
  <si>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</si>
  <si>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</si>
  <si>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</si>
  <si>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</si>
  <si>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</si>
  <si>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</si>
  <si>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</si>
  <si>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</si>
  <si>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</si>
  <si>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</si>
  <si>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</si>
  <si>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</si>
  <si>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</si>
  <si>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</si>
  <si>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</si>
  <si>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</si>
  <si>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</si>
  <si>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</si>
  <si>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</si>
  <si>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</si>
  <si>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</si>
  <si>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</si>
  <si>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</si>
  <si>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</si>
  <si>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</si>
  <si>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</si>
  <si>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</si>
  <si>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</si>
  <si>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</si>
  <si>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</si>
  <si>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</si>
  <si>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</si>
  <si>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</si>
  <si>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</si>
  <si>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</si>
  <si>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</si>
  <si>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</si>
  <si>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</si>
  <si>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</si>
  <si>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</si>
  <si>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</si>
  <si>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</si>
  <si>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</si>
  <si>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</si>
  <si>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</si>
  <si>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</si>
  <si>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</si>
  <si>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</si>
  <si>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</si>
  <si>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</si>
  <si>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</si>
  <si>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</si>
  <si>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</si>
  <si>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</si>
  <si>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</si>
  <si>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</si>
  <si>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</si>
  <si>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</si>
  <si>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</si>
  <si>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</si>
  <si>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</si>
  <si>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</si>
  <si>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</si>
  <si>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</si>
  <si>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</si>
  <si>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</si>
  <si>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</si>
  <si>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</si>
  <si>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</si>
  <si>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</si>
  <si>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</si>
  <si>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</si>
  <si>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</si>
  <si>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</si>
  <si>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</si>
  <si>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</si>
  <si>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</si>
  <si>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</si>
  <si>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</si>
  <si>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</si>
  <si>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</si>
  <si>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</si>
  <si>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</si>
  <si>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</si>
  <si>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</si>
  <si>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</si>
  <si>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</si>
  <si>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</si>
  <si>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</si>
  <si>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</si>
  <si>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</si>
  <si>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</si>
  <si>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</si>
  <si>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</si>
  <si>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</si>
  <si>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</si>
  <si>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</si>
  <si>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</si>
  <si>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</si>
  <si>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</si>
  <si>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</si>
  <si>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</si>
  <si>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</si>
  <si>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</si>
  <si>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</si>
  <si>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</si>
  <si>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</si>
  <si>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</si>
  <si>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</si>
  <si>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</si>
  <si>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</si>
  <si>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</si>
  <si>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</si>
  <si>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</si>
  <si>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</si>
  <si>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</si>
  <si>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</si>
  <si>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</si>
  <si>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</si>
  <si>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</si>
  <si>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</si>
  <si>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</si>
  <si>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</si>
  <si>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</si>
  <si>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</si>
  <si>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</si>
  <si>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</si>
  <si>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</si>
  <si>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</si>
  <si>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</si>
  <si>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</si>
  <si>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</si>
  <si>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</si>
  <si>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</si>
  <si>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</si>
  <si>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</si>
  <si>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</si>
  <si>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</si>
  <si>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</si>
  <si>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</si>
  <si>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</si>
  <si>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</si>
  <si>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</si>
  <si>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</si>
  <si>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</si>
  <si>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</si>
  <si>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</si>
  <si>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</si>
  <si>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</si>
  <si>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</si>
  <si>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</si>
  <si>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</si>
  <si>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</si>
  <si>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</si>
  <si>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</si>
  <si>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</si>
  <si>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</si>
  <si>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</si>
  <si>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</si>
  <si>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</si>
  <si>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</si>
  <si>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</si>
  <si>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</si>
  <si>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</si>
  <si>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</si>
  <si>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</si>
  <si>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</si>
  <si>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</si>
  <si>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</si>
  <si>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</si>
  <si>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</si>
  <si>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</si>
  <si>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</si>
  <si>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</si>
  <si>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</si>
  <si>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</si>
  <si>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</si>
  <si>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</si>
  <si>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</si>
  <si>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</si>
  <si>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</si>
  <si>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</si>
  <si>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</si>
  <si>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</si>
  <si>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</si>
  <si>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</si>
  <si>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</si>
  <si>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</si>
  <si>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</si>
  <si>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</si>
  <si>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</si>
  <si>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</si>
  <si>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</si>
  <si>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</si>
  <si>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</si>
  <si>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</si>
  <si>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</si>
  <si>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</si>
  <si>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</si>
  <si>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62.2% through November</t>
  </si>
  <si>
    <t>-40% through November</t>
  </si>
  <si>
    <t>-25% through November</t>
  </si>
  <si>
    <t>10% in November, -20%ish through November</t>
  </si>
  <si>
    <t>Consonance</t>
  </si>
  <si>
    <t>up</t>
  </si>
  <si>
    <t>up 323% since inception</t>
  </si>
  <si>
    <t>-13% as of September 2023, +0.40% in September</t>
  </si>
  <si>
    <t>-8% as of September 2023, -7.5% in September</t>
  </si>
  <si>
    <t>-7.1% in September, -2% as of September 2023</t>
  </si>
  <si>
    <t>-14% as of September, down 3% in September</t>
  </si>
  <si>
    <t>+0.40% as of September, -4% in September</t>
  </si>
  <si>
    <t>26%, was +0.80% as of September, was -0.60% in September</t>
  </si>
  <si>
    <t>+20% as of September</t>
  </si>
  <si>
    <t>Soleus</t>
  </si>
  <si>
    <t>+20bps in september, +1.5% as of September</t>
  </si>
  <si>
    <t>-12.8% as of April 2023, +6.8% as of June, -12% as of September 2023, down 10% in September.</t>
  </si>
  <si>
    <t>Affinity</t>
  </si>
  <si>
    <t>+7% in March, +30% at end of March</t>
  </si>
  <si>
    <t>+12%, +10% in December. Kishen Mehta (Averill Partners)</t>
  </si>
  <si>
    <t>up +195% to +221%</t>
  </si>
  <si>
    <t>-21% or -28% or -34% for offshore fund, -30% through November.</t>
  </si>
  <si>
    <t>-12%, +10% in December</t>
  </si>
  <si>
    <t>+2% January, +13% February, +14.3% as of October</t>
  </si>
  <si>
    <t>Redmile</t>
  </si>
  <si>
    <t>-3% January, +11.1% February</t>
  </si>
  <si>
    <t>+0% in January, +11.5% in February, +5.6% in March, +17.5% as of March</t>
  </si>
  <si>
    <t>+2.25% January, +8.75% February, +0.73% March, +13% as of October, +10.5% at end of March</t>
  </si>
  <si>
    <t>+3.1% January, +7.2% February, +3% March, +16.7% as of October, +14% as of March</t>
  </si>
  <si>
    <t>+1.8% January, +7.1% February, +2.1% in March, +11.3% at the end of March</t>
  </si>
  <si>
    <t>+7.8% January, +6.2% February, flat March, +14% at end of March</t>
  </si>
  <si>
    <t>+1.9% January, +3.8% February, -3% March, -14.4% as of October, +2% at end of March</t>
  </si>
  <si>
    <t>+5.5% January, +4.5% February, +0.90% March, +12% at end of March (Averill Partners)</t>
  </si>
  <si>
    <t>+23% January, -2% February, -0.10% March, +24% as of March</t>
  </si>
  <si>
    <t>-28% as of April</t>
  </si>
  <si>
    <t>26%, April -3%, +9% as of April</t>
  </si>
  <si>
    <t>Peter Brown</t>
  </si>
  <si>
    <t>+85.4% gross, +45.02% net</t>
  </si>
  <si>
    <t>68.6% gross, 35.62% net</t>
  </si>
  <si>
    <t>75% gross, 39.2% net</t>
  </si>
  <si>
    <t>88.8% gross, 46.93% net</t>
  </si>
  <si>
    <t>57.5% gross, 29.4% net</t>
  </si>
  <si>
    <t>152.1% gross, 82.38% net, -16% RIEF</t>
  </si>
  <si>
    <t>84.1% gross, 44.3% net</t>
  </si>
  <si>
    <t>57.7% gross, 29.51% net</t>
  </si>
  <si>
    <t>49.5% gross, 24.92% net</t>
  </si>
  <si>
    <t>44.1% gross, 21.9% net</t>
  </si>
  <si>
    <t>51.1% gross, 25.82% net</t>
  </si>
  <si>
    <t>35.6% gross, 24.48% net</t>
  </si>
  <si>
    <t>57.1% gross, 41.68% net</t>
  </si>
  <si>
    <t>31.5% gross, 21.1% net</t>
  </si>
  <si>
    <t>44.4% gross, 31.52% net</t>
  </si>
  <si>
    <t>52.9% gross, 38.32% net</t>
  </si>
  <si>
    <t>93.4% gross, 70.72% net</t>
  </si>
  <si>
    <t>47% gross, 33.6% net</t>
  </si>
  <si>
    <t>54.3% gross, 39.44% net</t>
  </si>
  <si>
    <t>53.9% gross, 39.12% net. Closed to external investors.</t>
  </si>
  <si>
    <t>77.8% gross, 58.24% net</t>
  </si>
  <si>
    <t>1% gross, -3.2% net</t>
  </si>
  <si>
    <t>16.3% gross, 9.04% net</t>
  </si>
  <si>
    <t>69.3% gross, 36.01% net. Launches RIEF.</t>
  </si>
  <si>
    <t>+76.4% gross, +39.98% net. RIEF +9%. RIDA +3.2%</t>
  </si>
  <si>
    <t>56.8% gross, 29.01% net. RIDA (Diversified Alpha) launches.</t>
  </si>
  <si>
    <t>Launch</t>
  </si>
  <si>
    <t>38% (Wellington), 32.6% Global Fixed Income, +26.5% Tactical Trading, +26.4% Citadel Equities</t>
  </si>
  <si>
    <t>8-10%</t>
  </si>
  <si>
    <t>10%, PA18%/PA2 +9.46%, AW12% -26%</t>
  </si>
  <si>
    <t>+24.7% composite, +20% Oculus</t>
  </si>
  <si>
    <t>Said Haidar</t>
  </si>
  <si>
    <t>Macro?</t>
  </si>
  <si>
    <t>16.7% main, 34.8% macro</t>
  </si>
  <si>
    <t>Bruce Kovner hands control to Andrew Law.</t>
  </si>
  <si>
    <t>Quellos</t>
  </si>
  <si>
    <t>Odey</t>
  </si>
  <si>
    <t>Crispin Odey</t>
  </si>
  <si>
    <t>Kenneth Tropin</t>
  </si>
  <si>
    <t>Quant</t>
  </si>
  <si>
    <t>20-30%</t>
  </si>
  <si>
    <t>Aron Landy</t>
  </si>
  <si>
    <t>20.1% (master), +28% (Alpha)</t>
  </si>
  <si>
    <t>Yan Huo, Masao Asai</t>
  </si>
  <si>
    <t>ex-JPM</t>
  </si>
  <si>
    <t>Cliff Assness, David Kabiller, John Liew, Robert Krail</t>
  </si>
  <si>
    <t>BD</t>
  </si>
  <si>
    <t>Kirkoswald</t>
  </si>
  <si>
    <t>Greg Coffey</t>
  </si>
  <si>
    <t>ex-GLG</t>
  </si>
  <si>
    <t>Value?</t>
  </si>
  <si>
    <t>42.3% gross, 36.6% net</t>
  </si>
  <si>
    <t>9.7% (Enhanced)</t>
  </si>
  <si>
    <t>Electron</t>
  </si>
  <si>
    <t>43.5% (ARF), +44.7% EMNGV, +39.6% GSS, +49.12% (AQR Helix Composite)</t>
  </si>
  <si>
    <t>+12% as of 9/30</t>
  </si>
  <si>
    <t>Return</t>
  </si>
  <si>
    <t>Max DD</t>
  </si>
  <si>
    <t>DD time</t>
  </si>
  <si>
    <t>+7.21% 1H24</t>
  </si>
  <si>
    <t>Thomas Durkin, Yong Joe</t>
  </si>
  <si>
    <t>Anthony Frascella, William Techar</t>
  </si>
  <si>
    <t>+3.71% 9/30/24</t>
  </si>
  <si>
    <t>One William</t>
  </si>
  <si>
    <t>Pimco Tactical Opportunities</t>
  </si>
  <si>
    <t>+7.84% Q324</t>
  </si>
  <si>
    <t>+4.33% Q324</t>
  </si>
  <si>
    <t>-0.89% as of 10/25/24</t>
  </si>
  <si>
    <t>Josh Birnbaum</t>
  </si>
  <si>
    <t>Varadero</t>
  </si>
  <si>
    <t>-0.91% as of 8/31/24</t>
  </si>
  <si>
    <t>Brian Higgins</t>
  </si>
  <si>
    <t>Distressed</t>
  </si>
  <si>
    <t>+7.57% as of 10/25/24</t>
  </si>
  <si>
    <t>TOPS started 12/31/2004, Eureka started 1/31/1998, Global Opportunities 2/28/2009</t>
  </si>
  <si>
    <t>TOPS -22.60%, Eureka -23.38%, Global Opportunities -7.63%</t>
  </si>
  <si>
    <t>TOPS 17, GO 8</t>
  </si>
  <si>
    <t>TOPS Q324 +8.56%, Eureka Q324 +11.74%, GO Q324 +9.02%</t>
  </si>
  <si>
    <t>GO +7.6%, TOPS +5.77%, Eureka +4.61%</t>
  </si>
  <si>
    <t>+5.28% to +6.7% Q324, 6.7% to 15.64% (TOPS), +3.52% to +4.38% MW Eureka</t>
  </si>
  <si>
    <t>+14.7% (TOPS), +10.84% (Eureka), -6.61% (GO)</t>
  </si>
  <si>
    <t>+11.13% (TOPS), +14.31% (Eureka), +18.51% (GO)</t>
  </si>
  <si>
    <t>+6.12% (TOPS), +13.33% (Eureka), +6.67% (GO)</t>
  </si>
  <si>
    <t>+19.95% as of 10/25/24</t>
  </si>
  <si>
    <t>Mark Kingdon</t>
  </si>
  <si>
    <t>+18.32% as of 10/25/24</t>
  </si>
  <si>
    <t>Paul Marshall, Ian Wace. Anthony Clake (TOPS), Fehim Sever (GO)</t>
  </si>
  <si>
    <t>Platinum Partners</t>
  </si>
  <si>
    <t>Mark Nordlicht</t>
  </si>
  <si>
    <t>Platinum Fund Ltd</t>
  </si>
  <si>
    <t>Kerr Neilson</t>
  </si>
  <si>
    <t>+4.43% as of 10/18/24</t>
  </si>
  <si>
    <t>17.23% as of Q324</t>
  </si>
  <si>
    <t>+16.62%, +35.4% for Glenview Healthcare Partners</t>
  </si>
  <si>
    <t>RIEF +20.44% 10/25/24</t>
  </si>
  <si>
    <t>RIEF +7.06%</t>
  </si>
  <si>
    <t>RIEF +4.91%</t>
  </si>
  <si>
    <t>+9.7% in Q1. RIEF -4.36% Q121, RIEF -5.8% January, RIEF +20.1%</t>
  </si>
  <si>
    <t>-36% RIEF</t>
  </si>
  <si>
    <t>Richard Mashaal</t>
  </si>
  <si>
    <t>+10.08% Q324</t>
  </si>
  <si>
    <t>Energy, Tiger Grandcub</t>
  </si>
  <si>
    <t>Quantedge</t>
  </si>
  <si>
    <t>Millburn</t>
  </si>
  <si>
    <t>+3.54% Q324</t>
  </si>
  <si>
    <t>Brummer</t>
  </si>
  <si>
    <t>Patrik Brummer</t>
  </si>
  <si>
    <t>CFM Stratus Fund</t>
  </si>
  <si>
    <t>Linden</t>
  </si>
  <si>
    <t>Joe Wong</t>
  </si>
  <si>
    <t>Donald Sussman</t>
  </si>
  <si>
    <t>+2.17% as of Q324</t>
  </si>
  <si>
    <t>Sculptor (fka Och-Ziff)</t>
  </si>
  <si>
    <t>+9.84% Q324</t>
  </si>
  <si>
    <t>+6.80% 10/25/24</t>
  </si>
  <si>
    <t>Cassiopeia</t>
  </si>
  <si>
    <t>Alphaquest</t>
  </si>
  <si>
    <t>Zweig-Dimenna</t>
  </si>
  <si>
    <t>Jab Cap</t>
  </si>
  <si>
    <t>-14.57% 4/30/2018</t>
  </si>
  <si>
    <t>Passport</t>
  </si>
  <si>
    <t>Horseman</t>
  </si>
  <si>
    <t>Pelham</t>
  </si>
  <si>
    <t>Ross Turner</t>
  </si>
  <si>
    <t>Alphagen</t>
  </si>
  <si>
    <t>Ben Wallace, Luke Newman</t>
  </si>
  <si>
    <t>Peter Davies, Jonathon Regis</t>
  </si>
  <si>
    <t>+1.06% 4/30/18</t>
  </si>
  <si>
    <t>+4.35% as of 4/20/2018</t>
  </si>
  <si>
    <t>-34.38%, -30.15%</t>
  </si>
  <si>
    <t>22, 2</t>
  </si>
  <si>
    <t>+5.08% (Eureka, 5/7/2018), +2.32% (GO, 5/7/2018)</t>
  </si>
  <si>
    <t>+12.89% (Eureka), +12.88% (GO)</t>
  </si>
  <si>
    <t>+2.07% (Eureka), -0.28% (GO)</t>
  </si>
  <si>
    <t>+12.55% (Eureka), +6.38% (GO)</t>
  </si>
  <si>
    <t>+8.49% (Eureka), +6.3% (GO)</t>
  </si>
  <si>
    <t>+21.79% (Eureka), +13.37% (GO)</t>
  </si>
  <si>
    <t>+3.37% 5/4/2018</t>
  </si>
  <si>
    <t>-5.08% 4/30/2018</t>
  </si>
  <si>
    <t>42.9% to 101.74%</t>
  </si>
  <si>
    <t>+5.75% 5/4/2018</t>
  </si>
  <si>
    <t>49.6% to 51.8%</t>
  </si>
  <si>
    <t>18.9% to 20.3%</t>
  </si>
  <si>
    <t>+0.13% 4/30/2018</t>
  </si>
  <si>
    <t>Thomas Kempner, Anthony Yoseloff</t>
  </si>
  <si>
    <t>-3.15% 4/30/2018</t>
  </si>
  <si>
    <t>Nelson Peltz</t>
  </si>
  <si>
    <t>+1.99% 5/4/2018</t>
  </si>
  <si>
    <t>+5.42% 5/4/2018</t>
  </si>
  <si>
    <t>+2.06% 4/30/2018</t>
  </si>
  <si>
    <t>Paul Tudor Jones</t>
  </si>
  <si>
    <t>Felix Baker, Julian Baker</t>
  </si>
  <si>
    <t>+6.32% as of 4/30/2018</t>
  </si>
  <si>
    <t>-2.91% as of 5/4/2018</t>
  </si>
  <si>
    <t>+5.5% 4/30/2018</t>
  </si>
  <si>
    <t>+27% GO</t>
  </si>
  <si>
    <t>71.1% gross, 37.02% net, +34% RIEF</t>
  </si>
  <si>
    <t>+33.75%, +37.91% ultra</t>
  </si>
  <si>
    <t>+24.24% to 53.8%</t>
  </si>
  <si>
    <t>Leon Cooperman</t>
  </si>
  <si>
    <t>SAB</t>
  </si>
  <si>
    <t>Scott Bommer</t>
  </si>
  <si>
    <t>+0.79% as of 6/30/15</t>
  </si>
  <si>
    <t>10.1% (AR)</t>
  </si>
  <si>
    <t>15%, -0.47% (AR, Q215)</t>
  </si>
  <si>
    <t>11.25% (AR)</t>
  </si>
  <si>
    <t>4.03% (AR)</t>
  </si>
  <si>
    <t>7.04% (AR)</t>
  </si>
  <si>
    <t>-3.3% (AR)</t>
  </si>
  <si>
    <t>Dan Gold</t>
  </si>
  <si>
    <t>+6.82% (YTD, Q215)</t>
  </si>
  <si>
    <t>27%, 51.6% (GO)</t>
  </si>
  <si>
    <t>49% to 53.7%</t>
  </si>
  <si>
    <t>38B peak, family office 2020</t>
  </si>
  <si>
    <t>29-31%, -5% as of 5/15</t>
  </si>
  <si>
    <t>13%, began returning investors funds</t>
  </si>
  <si>
    <t>71%, long-only +86.2%</t>
  </si>
  <si>
    <t>Alex Sacerdote</t>
  </si>
  <si>
    <t>David Sundheim</t>
  </si>
  <si>
    <t>23%-30%</t>
  </si>
  <si>
    <t>29.9%, Mandel steps back</t>
  </si>
  <si>
    <t>40.6%, 28B AUM</t>
  </si>
  <si>
    <t>returned outside capital</t>
  </si>
  <si>
    <t>Andrew Spokes replaced Thomas Steyer</t>
  </si>
  <si>
    <t>48%, 65% (Long-Only, Scott Shleifer); -6.5% Q120, -11% March, +9.7% April, +7% May</t>
  </si>
  <si>
    <t>19.4% (Wellington)</t>
  </si>
  <si>
    <t>24.4% (Wellington), +11.4% as of 5/31/2020 (Wellington)</t>
  </si>
  <si>
    <t>Various</t>
  </si>
  <si>
    <t>Henry Laufer</t>
  </si>
  <si>
    <t>+30% net (Medallion), +25% as of 11/30/2019 (Medallion), +13.48% (RIEF)</t>
  </si>
  <si>
    <t>+76% (Medallion), +9.9% in March (Medallion), +24% through 4/14/20 (Medallion), +51% as of June 2020, RIEF -20%. RIDA -33.58%</t>
  </si>
  <si>
    <t>136.1% gross, 73.42% net, 5/2007 RIEF begins 36% drawdown</t>
  </si>
  <si>
    <t>74.6% gross, 38.98% net, -6.17% RIEF, 4/2009 drawdown ends</t>
  </si>
  <si>
    <t>Nathaniel August</t>
  </si>
  <si>
    <t>8.91% to 9.7%</t>
  </si>
  <si>
    <t>23.58% through April 2021</t>
  </si>
  <si>
    <t>1.24% (international)</t>
  </si>
  <si>
    <t>-9.50% (intl)</t>
  </si>
  <si>
    <t>8.65% (intl)</t>
  </si>
  <si>
    <t>-15.19% (Intl)</t>
  </si>
  <si>
    <t>+20.31% (intl)</t>
  </si>
  <si>
    <t>+20.40% (intl)</t>
  </si>
  <si>
    <t>+8.78% (intl)</t>
  </si>
  <si>
    <t>+4.14% (intl)</t>
  </si>
  <si>
    <t>19.14% (DKIP)</t>
  </si>
  <si>
    <t>9.22% (DKIP)</t>
  </si>
  <si>
    <t>1.32% (DKIP)</t>
  </si>
  <si>
    <t>8.01% - 8.49% (DKIP)</t>
  </si>
  <si>
    <t>9.49% - 10.24% (DKIP)</t>
  </si>
  <si>
    <t>4.64% - 5.15% (DKIP)</t>
  </si>
  <si>
    <t>1.53 - 1.68% (DKIP)</t>
  </si>
  <si>
    <t>6.93% - 7.56% (DKIP)</t>
  </si>
  <si>
    <t>6.15% - 6.39% (DKIP)</t>
  </si>
  <si>
    <t>6.34% (DKIP)</t>
  </si>
  <si>
    <t>2.35% (DKIP), +1.25% as of 5/4/2018</t>
  </si>
  <si>
    <t>7.64% (DKIP)</t>
  </si>
  <si>
    <t>6.24% (DKIP)</t>
  </si>
  <si>
    <t>Markel</t>
  </si>
  <si>
    <t>Savant</t>
  </si>
  <si>
    <t>Sarasin</t>
  </si>
  <si>
    <t>Axiom Advisory</t>
  </si>
  <si>
    <t>New York Life</t>
  </si>
  <si>
    <t>Banco Bilbao</t>
  </si>
  <si>
    <t>QRG (Envestnet)</t>
  </si>
  <si>
    <t>Amazon</t>
  </si>
  <si>
    <t>Advent</t>
  </si>
  <si>
    <t>J. Goldman</t>
  </si>
  <si>
    <t>Jay Goldman</t>
  </si>
  <si>
    <t>Chilton</t>
  </si>
  <si>
    <t>Abrams</t>
  </si>
  <si>
    <t>David Abrams</t>
  </si>
  <si>
    <t>Sylebra</t>
  </si>
  <si>
    <t>Dan Gibson</t>
  </si>
  <si>
    <t>Tiger Grandcub</t>
  </si>
  <si>
    <t>ex-Coatue</t>
  </si>
  <si>
    <t>LIM Partners</t>
  </si>
  <si>
    <t>21.5%, 18.48% as of 10/25/24</t>
  </si>
  <si>
    <t>+34.21% or +29%</t>
  </si>
  <si>
    <t>returns outside capital</t>
  </si>
  <si>
    <t>+LSD</t>
  </si>
  <si>
    <t>Yacktman</t>
  </si>
  <si>
    <t>Advisors Capital Management LLC</t>
  </si>
  <si>
    <t>Started in July</t>
  </si>
  <si>
    <t>+8% YTD as of Q324, +4.4% Q324</t>
  </si>
  <si>
    <t>ex-Greenlight</t>
  </si>
  <si>
    <t>People</t>
  </si>
  <si>
    <t>Ryan Kilstein</t>
  </si>
  <si>
    <t>-3.5% in Q3</t>
  </si>
  <si>
    <t>Alaska Permanent</t>
  </si>
  <si>
    <t>Allen Investment Management</t>
  </si>
  <si>
    <t>Synovus</t>
  </si>
  <si>
    <t>Ricky Sandler</t>
  </si>
  <si>
    <t>Brandes Investment Partners</t>
  </si>
  <si>
    <t>Andra AP-fonden</t>
  </si>
  <si>
    <t>Aptus</t>
  </si>
  <si>
    <t>Richard Chilton</t>
  </si>
  <si>
    <t>5B AUM</t>
  </si>
  <si>
    <t>FrontPoint</t>
  </si>
  <si>
    <t>Andor</t>
  </si>
  <si>
    <t>Dan Benton</t>
  </si>
  <si>
    <t>Eddie Lampert</t>
  </si>
  <si>
    <t>5.2% net</t>
  </si>
  <si>
    <t>Closed fund, had 31% returns over 32 years in Quantum. Moved to the Quantum Endowment Fund.</t>
  </si>
  <si>
    <t>+13% with 7B AUM.</t>
  </si>
  <si>
    <t>+30% net on 5.5B AUM. 2/25.</t>
  </si>
  <si>
    <t>2/25</t>
  </si>
  <si>
    <t>Founded ESL</t>
  </si>
  <si>
    <t>66% gross, 53% net; 24.5% net since 1988. 5B AUM.</t>
  </si>
  <si>
    <t>60% gross, 30% net. 3.7B AUM.</t>
  </si>
  <si>
    <t>-29%</t>
  </si>
  <si>
    <t>+67% net, 969m AUM in Palomino</t>
  </si>
  <si>
    <t>Richard Perry</t>
  </si>
  <si>
    <t>1/20</t>
  </si>
  <si>
    <t>+13.7% net, 4.1B AUM</t>
  </si>
  <si>
    <t>Founded Perry.</t>
  </si>
  <si>
    <t>56.6% gross, 33.02% net; 5.2B Medallion, closed Equimetrics; charges 5/20</t>
  </si>
  <si>
    <t>19% Kensington (4.2B AUM, offshore); 21% Wellington (1.5B AUM, domestic), 7B total AUM</t>
  </si>
  <si>
    <t>Trout</t>
  </si>
  <si>
    <t>Monroe Trout</t>
  </si>
  <si>
    <t>13.6% net, retired and sold firm to Matt Tewksbury</t>
  </si>
  <si>
    <t>21.5% since inception</t>
  </si>
  <si>
    <t>4/22</t>
  </si>
  <si>
    <t>Tewksbury</t>
  </si>
  <si>
    <t>Matt Tewksbury</t>
  </si>
  <si>
    <t>15.5%, 2.9B AUM</t>
  </si>
  <si>
    <t>Joho</t>
  </si>
  <si>
    <t>Robert Karr</t>
  </si>
  <si>
    <t>Asia</t>
  </si>
  <si>
    <t>35%, 2B AUM</t>
  </si>
  <si>
    <t>7.6%, Launch</t>
  </si>
  <si>
    <t>58% to 73.4%</t>
  </si>
  <si>
    <t>46.8% to 94%</t>
  </si>
  <si>
    <t>40.4% to 51%; 4B AUM</t>
  </si>
  <si>
    <t>+22% BVI Global Fund (2.1B, 4/23), +20% Ospraie, -3% Raptor; 5B total AUM</t>
  </si>
  <si>
    <t>Art Samberg</t>
  </si>
  <si>
    <t>Dan Benton joins.</t>
  </si>
  <si>
    <t>+11.1% Andor Tech (3.6B AUM), +17.1% Andor Perrenial (2.1B AUM), +20.8% Andor Technology Aggressive (1.2B AUM)</t>
  </si>
  <si>
    <t>2/20</t>
  </si>
  <si>
    <t>Founded Viking</t>
  </si>
  <si>
    <t>David Ott, Brian Olson</t>
  </si>
  <si>
    <t>John Griffin</t>
  </si>
  <si>
    <t>New York, NY</t>
  </si>
  <si>
    <t>Founded Blue Ridge.</t>
  </si>
  <si>
    <t>Julian Robertson</t>
  </si>
  <si>
    <t>John Griffin joins Tiger.</t>
  </si>
  <si>
    <t>22% (2.5B AUM)</t>
  </si>
  <si>
    <t>Merger Arb</t>
  </si>
  <si>
    <t>San Francisco</t>
  </si>
  <si>
    <t>+13% (7.8B AUM)</t>
  </si>
  <si>
    <t>Hellman &amp; Friedman</t>
  </si>
  <si>
    <t>Glenn Dubin, Henry Swieca</t>
  </si>
  <si>
    <t>Launched</t>
  </si>
  <si>
    <t>12% net, 3.9B AUM</t>
  </si>
  <si>
    <t>Sold firm to JPM</t>
  </si>
  <si>
    <t>Standard Pacific</t>
  </si>
  <si>
    <t>Andrew Midler</t>
  </si>
  <si>
    <t>11-14% 3.7B distressed, 3.4B PE</t>
  </si>
  <si>
    <t>Lee Ainslie joins Tiger.</t>
  </si>
  <si>
    <t>Founded.</t>
  </si>
  <si>
    <t>Clinton</t>
  </si>
  <si>
    <t>George Hall</t>
  </si>
  <si>
    <t>12.1%, 3.7B AUM</t>
  </si>
  <si>
    <t>6.4% (master fund, 5B aum), 4.2% (europe, 550m), +18.5% Credit Opportunity</t>
  </si>
  <si>
    <t>Raptor +91.6%</t>
  </si>
  <si>
    <t>James Pallotta joins.</t>
  </si>
  <si>
    <t>+10.1% (Moore Global), +13% (Moore Fixed Income), 8B AUM</t>
  </si>
  <si>
    <t>Tontine</t>
  </si>
  <si>
    <t>Jeff Gendell</t>
  </si>
  <si>
    <t>ex-Odyssey</t>
  </si>
  <si>
    <t>-1%</t>
  </si>
  <si>
    <t>MSD</t>
  </si>
  <si>
    <t>20%, Tontine Financial +42%; 500m AUM</t>
  </si>
  <si>
    <t>Okumus</t>
  </si>
  <si>
    <t>Ahmet Okumus</t>
  </si>
  <si>
    <t>29% to 35%</t>
  </si>
  <si>
    <t>Dwight Anderson, James Pallotta</t>
  </si>
  <si>
    <t>Raptor +2%, Ospraie +17%</t>
  </si>
  <si>
    <t>Dwight Anderson leaves Tiger.</t>
  </si>
  <si>
    <t>Intrepid</t>
  </si>
  <si>
    <t>Steve Shapiro</t>
  </si>
  <si>
    <t>Martin Shkreli joins Intrepid.</t>
  </si>
  <si>
    <t>Martin Shkreli leaves Intrepid.</t>
  </si>
  <si>
    <t>Michael Au, Martin Shkreli, David Selvers, Joe Bishop, Eric Sheridan, Ari Glass</t>
  </si>
  <si>
    <t>Converted to Family Office.</t>
  </si>
  <si>
    <t>Shuts firm down.</t>
  </si>
  <si>
    <t>Shuts down due to insider trading.</t>
  </si>
  <si>
    <t>Shuts down due to health concerns.</t>
  </si>
  <si>
    <t>Shuts down due to fraud.</t>
  </si>
  <si>
    <t>Shuts down due to SEC ruling. Reforms as Point72.</t>
  </si>
  <si>
    <t>Shuts down due to losses and fraud.</t>
  </si>
  <si>
    <t>Shuts down due to losses.</t>
  </si>
  <si>
    <t>Insider trading.</t>
  </si>
  <si>
    <t>John Paulson</t>
  </si>
  <si>
    <t>-13% as of July</t>
  </si>
  <si>
    <t>Michael Steinhardt</t>
  </si>
  <si>
    <t>+60% gross</t>
  </si>
  <si>
    <t>22m settlement for Salomon Brothers scandal.</t>
  </si>
  <si>
    <t>-25% as of July</t>
  </si>
  <si>
    <t>+109% Quantum emerging growth, +72% Quantum, Quota, +75% Priority II (Druckenmiller) 11B AUM</t>
  </si>
  <si>
    <t>+36%, 2B AUM</t>
  </si>
  <si>
    <t>Japonica</t>
  </si>
  <si>
    <t>Paul Kazarian, Michael Lederman</t>
  </si>
  <si>
    <t>Strome Susskind</t>
  </si>
  <si>
    <t>Mark Strome, Jeff Susskind</t>
  </si>
  <si>
    <t>129% gross, 1B AUM</t>
  </si>
  <si>
    <t>-7% as of July</t>
  </si>
  <si>
    <t>63% net, 3B AUM</t>
  </si>
  <si>
    <t>63% (1B AUM)</t>
  </si>
  <si>
    <t>Leon Levy, Jack Nash</t>
  </si>
  <si>
    <t>51% gross, 1.8B AUM</t>
  </si>
  <si>
    <t>50% net, 1B AUM</t>
  </si>
  <si>
    <t>George Noble</t>
  </si>
  <si>
    <t>Noble Partners, Tom Niedermeyer</t>
  </si>
  <si>
    <t>54% net, 900m AUM</t>
  </si>
  <si>
    <t>Ardsley</t>
  </si>
  <si>
    <t>Philip Hempleman</t>
  </si>
  <si>
    <t>46% gross, 3.8B AUM</t>
  </si>
  <si>
    <t>Chesapeake Capital</t>
  </si>
  <si>
    <t>R. Jerry Parker Jr.</t>
  </si>
  <si>
    <t>61% net</t>
  </si>
  <si>
    <t>John Henry</t>
  </si>
  <si>
    <t>-10.9%</t>
  </si>
  <si>
    <t>46.% net (1.1B AUM)</t>
  </si>
  <si>
    <t>+15%</t>
  </si>
  <si>
    <t>Sam Wyly</t>
  </si>
  <si>
    <t>Harpel</t>
  </si>
  <si>
    <t>James Harpel</t>
  </si>
  <si>
    <t>+70% net</t>
  </si>
  <si>
    <t>+39% net</t>
  </si>
  <si>
    <t>Lipper</t>
  </si>
  <si>
    <t>Kenneth Lipper</t>
  </si>
  <si>
    <t>+23% gross (2B AUM)</t>
  </si>
  <si>
    <t>Cramer Berkowitz</t>
  </si>
  <si>
    <t>Jim Cramer</t>
  </si>
  <si>
    <t>16% (500m AUM)</t>
  </si>
  <si>
    <t>Founded?</t>
  </si>
  <si>
    <t>Joseph DiMenna, Marty Zweig</t>
  </si>
  <si>
    <t>24%-33%</t>
  </si>
  <si>
    <t>Scott Bessent joins.</t>
  </si>
  <si>
    <t>Sandler Capital</t>
  </si>
  <si>
    <t>Harvey Sandler</t>
  </si>
  <si>
    <t>+45% gross</t>
  </si>
  <si>
    <t>John Kornreich, Barry Lewis, Michael Marocco</t>
  </si>
  <si>
    <t>Ethos</t>
  </si>
  <si>
    <t>Stanley Shopkorn</t>
  </si>
  <si>
    <t>50% net (450m AUM)</t>
  </si>
  <si>
    <t>80% gross. 6B AUM. Dwight Anderson joins Tiger. Patrick Duff retires.</t>
  </si>
  <si>
    <t>Patrick Duff, John Griffin, Chris Shumway, Steve Shapiro, Larry Bowman, Steve Mandel, Lee Ainslie, Andreas Halvorsen</t>
  </si>
  <si>
    <t>Greg Panayis, Jeff Susskind</t>
  </si>
  <si>
    <t>Mark Partners</t>
  </si>
  <si>
    <t>Morris Mark</t>
  </si>
  <si>
    <t>32% (800m AUM)</t>
  </si>
  <si>
    <t>Dickstein &amp; Co.</t>
  </si>
  <si>
    <t>Mark Dickstein</t>
  </si>
  <si>
    <t>34.7% (200m)</t>
  </si>
  <si>
    <t>25% (500m AUM)</t>
  </si>
  <si>
    <t>Baker Nye</t>
  </si>
  <si>
    <t>Richard Nye</t>
  </si>
  <si>
    <t>25% gross</t>
  </si>
  <si>
    <t>Montemayor</t>
  </si>
  <si>
    <t>Cesar Montemayor</t>
  </si>
  <si>
    <t>100% net</t>
  </si>
  <si>
    <t>Douglas Floren, Glenn Doshay</t>
  </si>
  <si>
    <t>Stan Druckenmiller, Scott Bessent, Nicholas Roditi, Robert Johnson, Gerard Manolovici, Robert Raif, Walter Burlock, Dale Precoda, Leif Rosenblatt, Gary Gladstein, Elizabeth Larson</t>
  </si>
  <si>
    <t>21.6% to 159.9%</t>
  </si>
  <si>
    <t>+20%</t>
  </si>
  <si>
    <t>Andrew Law succeeded Bruce Kovner</t>
  </si>
  <si>
    <t>14.6% - 16.2%</t>
  </si>
  <si>
    <t>20% net</t>
  </si>
  <si>
    <t>16.9% to 38.5%</t>
  </si>
  <si>
    <t>12.6%-14.0%</t>
  </si>
  <si>
    <t>Centurian</t>
  </si>
  <si>
    <t>Robert Raiff</t>
  </si>
  <si>
    <t>Oracle</t>
  </si>
  <si>
    <t>Larry Feinberg</t>
  </si>
  <si>
    <t>64-72% net</t>
  </si>
  <si>
    <t>Cambridge Investments</t>
  </si>
  <si>
    <t>John Tozzi</t>
  </si>
  <si>
    <t>27% net</t>
  </si>
  <si>
    <t>Joshua Nash, Jeff Gendell</t>
  </si>
  <si>
    <t>West Highland Capital</t>
  </si>
  <si>
    <t>Lang Gerhard</t>
  </si>
  <si>
    <t>43-63% net</t>
  </si>
  <si>
    <t>Jeff Greenblatt</t>
  </si>
  <si>
    <t>Priceton/Newport Partners</t>
  </si>
  <si>
    <t>Edward Thorp</t>
  </si>
  <si>
    <t>Edward O. Thorp &amp; Associates</t>
  </si>
  <si>
    <t>18-31%, 310m AUM</t>
  </si>
  <si>
    <t>Junction Partners</t>
  </si>
  <si>
    <t>Jeffrey Tarr</t>
  </si>
  <si>
    <t>15%, 600m, pre-Caxton (Union Financial)</t>
  </si>
  <si>
    <t>Alpine</t>
  </si>
  <si>
    <t>Robert Zoellner</t>
  </si>
  <si>
    <t>Malcolm Weiner</t>
  </si>
  <si>
    <t>13.4% (1.9B AUM)</t>
  </si>
  <si>
    <t>47% (200m AUM)</t>
  </si>
  <si>
    <t>Charles Davidson, John Lattanzio, Milton Berg</t>
  </si>
  <si>
    <t>2.7% (-2.73% in Q4), 149m AUM</t>
  </si>
  <si>
    <t>14%; Jaguar -7.23%, Jaguar +1.26% Q4, 4.1B AUM</t>
  </si>
  <si>
    <t>-4.59% to -11.44%, 55m AUM</t>
  </si>
  <si>
    <t>-12.88%, -4.8% in Q4, 3.5B AUM</t>
  </si>
  <si>
    <t>Quantum +4.67% (2.14% in Q4), Quantum Industrial +4.24 (-2.26% in Q4), 4.9B AUM, Quantum Emerging Growth -10.26% (-2.58% in Q4, 1.9B AUM), Reality Trust -1.44%  (+2.03% Q4, 655m AUM)</t>
  </si>
  <si>
    <t>James Dinan</t>
  </si>
  <si>
    <t>+6.27% to +9.21% (+0.82% to +1.94% in Q4), 65m AUM</t>
  </si>
  <si>
    <t>Firm closed due to losses.</t>
  </si>
  <si>
    <t>7.4%; Lehman purchases 20% of DE Shaw</t>
  </si>
  <si>
    <t>PA: 9.5%; 130B AUM</t>
  </si>
  <si>
    <t>JPMorgan acquires Highbridge</t>
  </si>
  <si>
    <t>Goldman Sachs Global Alpha</t>
  </si>
  <si>
    <t>24.7% net, 15.7B AUM</t>
  </si>
  <si>
    <t>Marc Lasry</t>
  </si>
  <si>
    <t>Sold 20% to Morgan Stanley for $300m.</t>
  </si>
  <si>
    <t>IPOed, 10.5B AUM</t>
  </si>
  <si>
    <t>7.6B AUM</t>
  </si>
  <si>
    <t>7.9B AUM</t>
  </si>
  <si>
    <t>8.9B AUM</t>
  </si>
  <si>
    <t>18.8B AUM%</t>
  </si>
  <si>
    <t>RAB Capital</t>
  </si>
  <si>
    <t>Dillon Read</t>
  </si>
  <si>
    <t>39.46%, 488m AUM</t>
  </si>
  <si>
    <t>+40.80% (Global Risk Premium--Full Risk, 400m AUM), 70.7B AUM</t>
  </si>
  <si>
    <t>45.46%, 1.07B</t>
  </si>
  <si>
    <t>Ramsey Quantitative</t>
  </si>
  <si>
    <t>Neil Ramsey</t>
  </si>
  <si>
    <t>Vector</t>
  </si>
  <si>
    <t>Christopher Dean</t>
  </si>
  <si>
    <t>Sabre</t>
  </si>
  <si>
    <t>500m AUM</t>
  </si>
  <si>
    <t>27.4% through November, 2.7B AUM</t>
  </si>
  <si>
    <t>+10.5% through October 31</t>
  </si>
  <si>
    <t>128.1% gross, 98.48% net. 3.3B AUM.</t>
  </si>
  <si>
    <t>-1.5%</t>
  </si>
  <si>
    <t>Bowman Capital</t>
  </si>
  <si>
    <t>Larry Bowman</t>
  </si>
  <si>
    <t>-11.8% to -14.1% through February</t>
  </si>
  <si>
    <t>+31% compounded since 3/96, +63% since 3/98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</si>
</sst>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xf numFmtId="0" fontId="0" fillId="5" borderId="0" xfId="0" applyFill="1"/>
    <xf numFmtId="9" fontId="0" fillId="0" borderId="0" xfId="0" applyNumberFormat="1" applyAlignment="1">
      <alignment horizontal="center"/>
    </xf>
    <xf numFmtId="3" fontId="4" fillId="0" borderId="0" xfId="0" applyNumberFormat="1" applyFont="1" applyAlignment="1">
      <alignment horizontal="center"/>
    </xf>
    <xf numFmtId="10" fontId="0" fillId="0" borderId="0" xfId="0" applyNumberFormat="1" applyAlignment="1">
      <alignment horizontal="center"/>
    </xf>
    <xf numFmtId="10" fontId="0" fillId="0" borderId="0" xfId="0" quotePrefix="1" applyNumberFormat="1"/>
    <xf numFmtId="0" fontId="0" fillId="0" borderId="0" xfId="0" quotePrefix="1" applyAlignment="1">
      <alignment horizontal="center"/>
    </xf>
    <xf numFmtId="10" fontId="0" fillId="0" borderId="0" xfId="0" quotePrefix="1" applyNumberFormat="1" applyAlignment="1">
      <alignment horizontal="center"/>
    </xf>
    <xf numFmtId="10" fontId="0" fillId="0" borderId="0" xfId="0" quotePrefix="1" applyNumberFormat="1" applyAlignment="1">
      <alignment horizontal="left"/>
    </xf>
    <xf numFmtId="1" fontId="0" fillId="0" borderId="0" xfId="0" applyNumberFormat="1"/>
    <xf numFmtId="0" fontId="0" fillId="0" borderId="0" xfId="0" quotePrefix="1" applyAlignment="1">
      <alignment horizontal="right"/>
    </xf>
    <xf numFmtId="16" fontId="0" fillId="0" borderId="0" xfId="0" quotePrefix="1" applyNumberFormat="1" applyAlignment="1">
      <alignment horizontal="right"/>
    </xf>
    <xf numFmtId="3" fontId="0" fillId="5" borderId="0" xfId="0" applyNumberFormat="1" applyFill="1"/>
    <xf numFmtId="9" fontId="0" fillId="5" borderId="0" xfId="0" applyNumberFormat="1" applyFill="1"/>
    <xf numFmtId="0" fontId="4" fillId="0" borderId="0" xfId="0" quotePrefix="1"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refreshError="1"/>
      <sheetData sheetId="1" refreshError="1"/>
      <sheetData sheetId="2" refreshError="1"/>
      <sheetData sheetId="3" refreshError="1"/>
      <sheetData sheetId="4" refreshError="1"/>
      <sheetData sheetId="5" refreshError="1"/>
      <sheetData sheetId="6">
        <row r="2">
          <cell r="C2">
            <v>7.0570000000000004</v>
          </cell>
        </row>
        <row r="4">
          <cell r="C4">
            <v>1.1100000000000001</v>
          </cell>
        </row>
        <row r="7">
          <cell r="C7">
            <v>145.25</v>
          </cell>
        </row>
        <row r="8">
          <cell r="C8">
            <v>7.8</v>
          </cell>
        </row>
        <row r="9">
          <cell r="C9">
            <v>1433</v>
          </cell>
        </row>
        <row r="11">
          <cell r="C11">
            <v>7.09</v>
          </cell>
        </row>
      </sheetData>
      <sheetData sheetId="7" refreshError="1"/>
      <sheetData sheetId="8" refreshError="1"/>
      <sheetData sheetId="9" refreshError="1"/>
      <sheetData sheetId="10" refreshError="1"/>
      <sheetData sheetId="11"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11-11T21:29:18.64" personId="{4F866D09-A2D3-41DA-A24C-20DE51662D93}" id="{D9C97D89-C43E-458D-9B15-7D2957C13EFF}">
    <text>Pure Alpha 12%
Pure Alpha 18%
All Weather 12%</text>
  </threadedComment>
  <threadedComment ref="X4" dT="2024-11-11T21:29:45.05" personId="{4F866D09-A2D3-41DA-A24C-20DE51662D93}" id="{571E6B33-9F0B-402B-B6AF-3026724B96B6}">
    <text>All weather opened 1996
Pure alpha 1991</text>
  </threadedComment>
  <threadedComment ref="AQ4" dT="2024-11-11T21:44:28.32" personId="{4F866D09-A2D3-41DA-A24C-20DE51662D93}" id="{65A0F6CF-356C-4A90-96D2-FFE35AFE2E62}">
    <text>All Weather +16%</text>
  </threadedComment>
  <threadedComment ref="AR4" dT="2024-11-11T21:45:06.55" personId="{4F866D09-A2D3-41DA-A24C-20DE51662D93}" id="{267E6B37-EE49-4656-A61F-E5E2C45BA32F}">
    <text>All Weather -5.1%</text>
  </threadedComment>
  <threadedComment ref="D5" dT="2025-02-26T00:04:59.77" personId="{4F866D09-A2D3-41DA-A24C-20DE51662D93}" id="{7F716EA0-1B25-4893-A936-13BB135D38E2}">
    <text>14B mutual funds?</text>
  </threadedComment>
  <threadedComment ref="P5" dT="2024-03-25T00:18:07.38" personId="{4F866D09-A2D3-41DA-A24C-20DE51662D93}" id="{A64FBD4E-3404-47A5-8666-77C4F6F6B281}">
    <text>53.1B notional
Does not include AQR Arbitrage</text>
  </threadedComment>
  <threadedComment ref="D6" dT="2024-04-06T22:43:10.64" personId="{4F866D09-A2D3-41DA-A24C-20DE51662D93}" id="{7FEA0874-05A1-4358-97A8-F1716B083A3C}">
    <text>YE2023 - regulatory AUM 506B</text>
  </threadedComment>
  <threadedComment ref="P6" dT="2024-03-24T23:30:49.40" personId="{4F866D09-A2D3-41DA-A24C-20DE51662D93}" id="{C57C4AE4-C7A6-45D6-8459-B02B625F744C}">
    <text>231.1B notional</text>
  </threadedComment>
  <threadedComment ref="Q6" dT="2025-01-11T21:29:04.66" personId="{4F866D09-A2D3-41DA-A24C-20DE51662D93}" id="{5FFF1DFD-1473-4377-8704-065F0D15D1EE}">
    <text>234.1B with options</text>
  </threadedComment>
  <threadedComment ref="R6" dT="2024-10-17T20:20:17.06" personId="{4F866D09-A2D3-41DA-A24C-20DE51662D93}" id="{2E0E738E-9543-4D64-97D5-6E243499B4FE}">
    <text>215.933B with puts/calls</text>
  </threadedComment>
  <threadedComment ref="S6" dT="2025-01-11T20:11:02.62" personId="{4F866D09-A2D3-41DA-A24C-20DE51662D93}" id="{B533632F-6233-41C2-A96C-9A84235E21C6}">
    <text>210.9B with puts/calls</text>
  </threadedComment>
  <threadedComment ref="P7" dT="2024-03-24T23:23:21.67" personId="{4F866D09-A2D3-41DA-A24C-20DE51662D93}" id="{4762A1A1-5314-4304-962C-F1489B64BA4B}">
    <text>500.3B notional</text>
  </threadedComment>
  <threadedComment ref="Q7" dT="2025-01-11T21:30:30.93" personId="{4F866D09-A2D3-41DA-A24C-20DE51662D93}" id="{78BA4497-CABC-449B-9F46-33176033C6E5}">
    <text>518.5B with options</text>
  </threadedComment>
  <threadedComment ref="R7" dT="2024-10-18T17:01:16.80" personId="{4F866D09-A2D3-41DA-A24C-20DE51662D93}" id="{50685B42-1DEF-4F03-B165-0B3BE51AA4D4}">
    <text>494B with puts/calls</text>
  </threadedComment>
  <threadedComment ref="S7" dT="2025-01-11T20:11:36.90" personId="{4F866D09-A2D3-41DA-A24C-20DE51662D93}" id="{666D69F6-2D40-4CB7-84DC-1E7169651672}">
    <text>518.3B with puts and calls</text>
  </threadedComment>
  <threadedComment ref="P8" dT="2024-03-24T23:24:55.98" personId="{4F866D09-A2D3-41DA-A24C-20DE51662D93}" id="{C56C29E9-3627-483A-AD4A-CB0F5A7BD9BB}">
    <text>384B notional</text>
  </threadedComment>
  <threadedComment ref="Q8" dT="2025-01-11T21:34:22.58" personId="{4F866D09-A2D3-41DA-A24C-20DE51662D93}" id="{08C5E9FA-992F-498E-9E06-A0017BC54B04}">
    <text>478.4B with options</text>
  </threadedComment>
  <threadedComment ref="R8" dT="2024-10-18T17:05:51.15" personId="{4F866D09-A2D3-41DA-A24C-20DE51662D93}" id="{5984E514-1D34-4E6B-8131-2A731C83E120}">
    <text>437.7B with puts/calls</text>
  </threadedComment>
  <threadedComment ref="S8" dT="2025-01-11T21:26:48.62" personId="{4F866D09-A2D3-41DA-A24C-20DE51662D93}" id="{A02E79FF-BEC7-4AE4-8AF8-8477983F8ED0}">
    <text>453.3B without puts/calls</text>
  </threadedComment>
  <threadedComment ref="D9" dT="2024-04-06T21:21:20.05" personId="{4F866D09-A2D3-41DA-A24C-20DE51662D93}" id="{619F1106-B84E-4DD6-86D3-7F468B3D87E4}">
    <text>NA unit has 18B regulatory AUM, 11B net assets as of 3/31/23</text>
  </threadedComment>
  <threadedComment ref="P9" dT="2024-03-24T23:39:12.44" personId="{4F866D09-A2D3-41DA-A24C-20DE51662D93}" id="{006D0B08-32B3-47C6-B22C-F59B0380A6F0}">
    <text>59.0B notional</text>
  </threadedComment>
  <threadedComment ref="R9" dT="2024-10-18T17:13:40.68" personId="{4F866D09-A2D3-41DA-A24C-20DE51662D93}" id="{3CB3EFBB-CB46-4B1B-812C-7F9B07570E6C}">
    <text>74.894B with puts/calls</text>
  </threadedComment>
  <threadedComment ref="S9" dT="2025-01-11T21:28:38.49" personId="{4F866D09-A2D3-41DA-A24C-20DE51662D93}" id="{D1546FBF-7C4F-4E94-B563-4CCB3E1B8736}">
    <text>82.1B with options</text>
  </threadedComment>
  <threadedComment ref="P11" dT="2024-03-24T22:46:26.74" personId="{4F866D09-A2D3-41DA-A24C-20DE51662D93}" id="{B517B0B2-F4A8-4CB0-BB0F-7B9E756244C1}">
    <text>525.3B notional</text>
  </threadedComment>
  <threadedComment ref="Q11" dT="2025-01-11T21:40:06.26" personId="{4F866D09-A2D3-41DA-A24C-20DE51662D93}" id="{F355EB3E-9E88-409A-BAA7-F7700ADC1CED}">
    <text>575.9B with options</text>
  </threadedComment>
  <threadedComment ref="R11" dT="2024-10-18T17:09:56.71" personId="{4F866D09-A2D3-41DA-A24C-20DE51662D93}" id="{FC83B71D-108F-4F7C-AACE-7D707C040661}">
    <text>537B without puts/calls</text>
  </threadedComment>
  <threadedComment ref="R12" dT="2024-10-18T17:15:24.53" personId="{4F866D09-A2D3-41DA-A24C-20DE51662D93}" id="{5AE4F260-DC05-4379-BC9A-6A961815A290}">
    <text>63.3B with puts/calls</text>
  </threadedComment>
  <threadedComment ref="B13" dT="2025-02-14T18:32:27.08" personId="{4F866D09-A2D3-41DA-A24C-20DE51662D93}" id="{12EE409F-9408-40CD-AC88-BA5E6FB9C68E}">
    <text>Two Sigma Advisers, LP?</text>
  </threadedComment>
  <threadedComment ref="P14" dT="2024-03-24T23:36:15.59" personId="{4F866D09-A2D3-41DA-A24C-20DE51662D93}" id="{4B0FBDB2-AA02-4843-9D9F-0D30F03384DC}">
    <text>114.4B notional</text>
  </threadedComment>
  <threadedComment ref="R14" dT="2024-10-18T17:07:25.77" personId="{4F866D09-A2D3-41DA-A24C-20DE51662D93}" id="{3A67D951-8F28-403E-9ED5-DD0E9C0A5755}">
    <text>106.9B with puts and calls</text>
  </threadedComment>
  <threadedComment ref="P16" dT="2024-03-24T23:39:54.24" personId="{4F866D09-A2D3-41DA-A24C-20DE51662D93}" id="{63FA626B-AFAA-4B7A-9305-E93391B21D7A}">
    <text>53.3B notional</text>
  </threadedComment>
  <threadedComment ref="R16" dT="2024-10-18T17:18:49.35" personId="{4F866D09-A2D3-41DA-A24C-20DE51662D93}" id="{4CF45688-4BFB-4CE1-A8FC-448BE0DEB90E}">
    <text>57.1B with options</text>
  </threadedComment>
  <threadedComment ref="R17" dT="2024-10-18T18:04:55.07" personId="{4F866D09-A2D3-41DA-A24C-20DE51662D93}" id="{721B1AFB-E9A3-4533-AB62-8AC4F0C5C7EA}">
    <text>39.6B with options</text>
  </threadedComment>
  <threadedComment ref="P18" dT="2024-03-24T23:41:53.18" personId="{4F866D09-A2D3-41DA-A24C-20DE51662D93}" id="{FA1797E3-12C9-4242-89BA-F3EE55036D35}">
    <text>41.4B notional</text>
  </threadedComment>
  <threadedComment ref="Q18" dT="2025-02-17T03:42:15.34" personId="{4F866D09-A2D3-41DA-A24C-20DE51662D93}" id="{540071C9-FCB0-4EFA-9577-D318DA9F7E46}">
    <text>Cubist files its own 13F with 17.6B</text>
  </threadedComment>
  <threadedComment ref="R18" dT="2024-10-18T17:22:02.99" personId="{4F866D09-A2D3-41DA-A24C-20DE51662D93}" id="{57D3A232-FFC3-4C52-869F-8BFA33CC07FA}">
    <text>38.3B without options
14.7B Cubist</text>
  </threadedComment>
  <threadedComment ref="S18" dT="2025-02-17T18:45:17.30" personId="{4F866D09-A2D3-41DA-A24C-20DE51662D93}" id="{2667FB6A-A1C7-4C95-B5ED-B5DA9330F30F}">
    <text>16.3B Cubist</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J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N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 ref="AO88" dT="2025-02-25T20:57:18.85" personId="{4F866D09-A2D3-41DA-A24C-20DE51662D93}" id="{3BFF8831-5FC4-4D85-A902-6E8F2F01E8F9}">
    <text>3B AUM</text>
  </threadedComment>
  <threadedComment ref="D140" dT="2025-02-25T23:56:40.86" personId="{4F866D09-A2D3-41DA-A24C-20DE51662D93}" id="{62D2835D-0C81-46A4-9A2B-2062F3D3F475}">
    <text>11.5B quant, 6.1B discretionary</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224962/000101297524000488/0001012975-24-000488-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665241/000108514624005935/0001085146-24-005935-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489933/000117266124005240/0001172661-24-005240-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035674/000101359424000980/xslForm13F_X02/primary_doc.x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595888/000159588824000063/0001595888-24-00006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736225/000173622525000017/0001736225-25-000017-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509842/000095012324011803/0000950123-24-011803-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54587/000095012324011773/0000950123-24-011773-index.ht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CB349"/>
  <sheetViews>
    <sheetView tabSelected="1" zoomScale="145" zoomScaleNormal="145" workbookViewId="0">
      <pane xSplit="2" ySplit="2" topLeftCell="C3" activePane="bottomRight" state="frozen"/>
      <selection pane="topRight" activeCell="C1" sqref="C1"/>
      <selection pane="bottomLeft" activeCell="A3" sqref="A3"/>
      <selection pane="bottomRight" activeCell="C3" sqref="C3"/>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4" max="24" width="10.5703125" bestFit="1" customWidth="1"/>
    <col min="25" max="25" width="10.7109375" customWidth="1"/>
    <col min="26" max="26" width="10.7109375" style="18" customWidth="1"/>
    <col min="27" max="28" width="8.7109375" style="8"/>
    <col min="29" max="29" width="8.7109375" style="7"/>
    <col min="30" max="30" width="9.5703125" bestFit="1" customWidth="1"/>
    <col min="35" max="37" width="8.7109375" style="18"/>
    <col min="49" max="49" width="9.5703125" bestFit="1" customWidth="1"/>
  </cols>
  <sheetData>
    <row r="1" spans="1:80" x14ac:dyDescent="0.2">
      <c r="O1" s="3">
        <f t="shared" ref="O1:T1" si="0">SUM(O3:O297)</f>
        <v>2007633.1966700002</v>
      </c>
      <c r="P1" s="3">
        <f t="shared" si="0"/>
        <v>1589273.2083480004</v>
      </c>
      <c r="Q1" s="3">
        <f t="shared" si="0"/>
        <v>3677683.3284110012</v>
      </c>
      <c r="R1" s="3">
        <f t="shared" si="0"/>
        <v>3036390.0800619991</v>
      </c>
      <c r="S1" s="3">
        <f t="shared" si="0"/>
        <v>3761430.1475940011</v>
      </c>
      <c r="T1" s="3">
        <f t="shared" si="0"/>
        <v>2599308.7309650006</v>
      </c>
      <c r="Z1" s="18">
        <f>SUM(Z3:Z334)</f>
        <v>30724</v>
      </c>
      <c r="AD1" t="s">
        <v>1941</v>
      </c>
      <c r="AI1" s="18">
        <f>SUM(AI3:AI300)</f>
        <v>33162.19</v>
      </c>
      <c r="AJ1" s="18">
        <f>SUM(AJ3:AJ300)</f>
        <v>16565.14</v>
      </c>
    </row>
    <row r="2" spans="1:80" x14ac:dyDescent="0.2">
      <c r="B2" t="s">
        <v>0</v>
      </c>
      <c r="C2" t="s">
        <v>15</v>
      </c>
      <c r="D2" s="3"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5" t="s">
        <v>96</v>
      </c>
      <c r="V2" s="5" t="s">
        <v>212</v>
      </c>
      <c r="W2" s="7" t="s">
        <v>213</v>
      </c>
      <c r="X2" t="s">
        <v>224</v>
      </c>
      <c r="Y2" t="s">
        <v>225</v>
      </c>
      <c r="Z2" s="3" t="s">
        <v>721</v>
      </c>
      <c r="AA2" s="8" t="s">
        <v>228</v>
      </c>
      <c r="AB2" s="8" t="s">
        <v>1942</v>
      </c>
      <c r="AC2" s="7" t="s">
        <v>1943</v>
      </c>
      <c r="AD2" t="s">
        <v>227</v>
      </c>
      <c r="AE2" t="s">
        <v>712</v>
      </c>
      <c r="AF2" t="s">
        <v>713</v>
      </c>
      <c r="AG2" t="s">
        <v>2130</v>
      </c>
      <c r="AH2" t="s">
        <v>711</v>
      </c>
      <c r="AI2" s="18" t="s">
        <v>1746</v>
      </c>
      <c r="AJ2" s="18" t="s">
        <v>1741</v>
      </c>
      <c r="AK2" s="54">
        <v>2025</v>
      </c>
      <c r="AL2">
        <v>2024</v>
      </c>
      <c r="AM2">
        <v>2023</v>
      </c>
      <c r="AN2">
        <v>2022</v>
      </c>
      <c r="AO2">
        <v>2021</v>
      </c>
      <c r="AP2">
        <v>2020</v>
      </c>
      <c r="AQ2">
        <v>2019</v>
      </c>
      <c r="AR2">
        <v>2018</v>
      </c>
      <c r="AS2">
        <v>2017</v>
      </c>
      <c r="AT2">
        <v>2016</v>
      </c>
      <c r="AU2">
        <v>2015</v>
      </c>
      <c r="AV2">
        <v>2014</v>
      </c>
      <c r="AW2">
        <v>2013</v>
      </c>
      <c r="AX2">
        <v>2012</v>
      </c>
      <c r="AY2">
        <v>2011</v>
      </c>
      <c r="AZ2">
        <f>+AY2-1</f>
        <v>2010</v>
      </c>
      <c r="BA2">
        <f t="shared" ref="BA2:BO2" si="1">+AZ2-1</f>
        <v>2009</v>
      </c>
      <c r="BB2">
        <f t="shared" si="1"/>
        <v>2008</v>
      </c>
      <c r="BC2">
        <f t="shared" si="1"/>
        <v>2007</v>
      </c>
      <c r="BD2">
        <f t="shared" si="1"/>
        <v>2006</v>
      </c>
      <c r="BE2">
        <f t="shared" si="1"/>
        <v>2005</v>
      </c>
      <c r="BF2">
        <f t="shared" si="1"/>
        <v>2004</v>
      </c>
      <c r="BG2">
        <f t="shared" si="1"/>
        <v>2003</v>
      </c>
      <c r="BH2">
        <f t="shared" si="1"/>
        <v>2002</v>
      </c>
      <c r="BI2">
        <f t="shared" si="1"/>
        <v>2001</v>
      </c>
      <c r="BJ2">
        <f t="shared" si="1"/>
        <v>2000</v>
      </c>
      <c r="BK2">
        <f t="shared" si="1"/>
        <v>1999</v>
      </c>
      <c r="BL2">
        <f t="shared" si="1"/>
        <v>1998</v>
      </c>
      <c r="BM2">
        <f t="shared" si="1"/>
        <v>1997</v>
      </c>
      <c r="BN2">
        <f t="shared" si="1"/>
        <v>1996</v>
      </c>
      <c r="BO2">
        <f t="shared" si="1"/>
        <v>1995</v>
      </c>
      <c r="BP2">
        <v>1994</v>
      </c>
      <c r="BQ2">
        <v>1993</v>
      </c>
      <c r="BR2">
        <v>1992</v>
      </c>
      <c r="BS2">
        <v>1991</v>
      </c>
      <c r="BT2">
        <v>1990</v>
      </c>
      <c r="BU2">
        <v>1989</v>
      </c>
      <c r="BV2">
        <v>1988</v>
      </c>
      <c r="BW2">
        <v>1987</v>
      </c>
      <c r="BX2">
        <v>1986</v>
      </c>
      <c r="BY2">
        <v>1985</v>
      </c>
      <c r="BZ2">
        <v>1984</v>
      </c>
      <c r="CA2">
        <v>1983</v>
      </c>
      <c r="CB2" t="s">
        <v>711</v>
      </c>
    </row>
    <row r="3" spans="1:80" x14ac:dyDescent="0.2">
      <c r="A3">
        <v>1</v>
      </c>
      <c r="B3" s="2" t="s">
        <v>39</v>
      </c>
      <c r="C3" t="s">
        <v>69</v>
      </c>
      <c r="D3" s="3" t="s">
        <v>235</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98</v>
      </c>
      <c r="V3" s="6" t="s">
        <v>217</v>
      </c>
      <c r="W3" s="8" t="s">
        <v>216</v>
      </c>
      <c r="AI3" s="18">
        <v>1578</v>
      </c>
      <c r="AJ3" s="18">
        <v>135</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row>
    <row r="4" spans="1:80" x14ac:dyDescent="0.2">
      <c r="A4">
        <v>1</v>
      </c>
      <c r="B4" s="2" t="s">
        <v>2</v>
      </c>
      <c r="C4" t="s">
        <v>16</v>
      </c>
      <c r="D4" s="3">
        <f>97400+45300</f>
        <v>142700</v>
      </c>
      <c r="I4" s="4">
        <v>24807.125</v>
      </c>
      <c r="J4" s="4">
        <v>23598.117999999999</v>
      </c>
      <c r="K4" s="4">
        <v>19754.886999999999</v>
      </c>
      <c r="L4" s="4">
        <v>18319.724929</v>
      </c>
      <c r="M4" s="4"/>
      <c r="N4" s="4"/>
      <c r="O4" s="4"/>
      <c r="P4" s="4">
        <v>17864.337112000001</v>
      </c>
      <c r="Q4" s="4">
        <v>19775.432137</v>
      </c>
      <c r="R4" s="4">
        <v>19152.850231</v>
      </c>
      <c r="S4" s="3">
        <v>17658.794958999999</v>
      </c>
      <c r="T4" s="4">
        <v>21811.059841999999</v>
      </c>
      <c r="U4" s="6" t="s">
        <v>101</v>
      </c>
      <c r="W4" s="8" t="s">
        <v>237</v>
      </c>
      <c r="X4">
        <v>1975</v>
      </c>
      <c r="Z4" s="18">
        <v>1300</v>
      </c>
      <c r="AH4" t="s">
        <v>1481</v>
      </c>
      <c r="AI4" s="18">
        <v>577</v>
      </c>
      <c r="AJ4" s="18">
        <v>171</v>
      </c>
      <c r="AL4" s="9">
        <v>-0.14000000000000001</v>
      </c>
      <c r="AM4" s="9" t="s">
        <v>1494</v>
      </c>
      <c r="AN4" s="9" t="s">
        <v>1914</v>
      </c>
      <c r="AO4" s="9">
        <v>-0.05</v>
      </c>
      <c r="AP4" s="9">
        <v>-0.05</v>
      </c>
      <c r="AQ4" s="9">
        <v>0</v>
      </c>
      <c r="AR4" s="27">
        <v>0.14599999999999999</v>
      </c>
      <c r="AT4" t="s">
        <v>1499</v>
      </c>
      <c r="AU4" t="s">
        <v>1497</v>
      </c>
      <c r="AV4" t="s">
        <v>1498</v>
      </c>
      <c r="AX4" t="s">
        <v>1496</v>
      </c>
      <c r="AZ4" t="s">
        <v>1517</v>
      </c>
      <c r="BB4" s="27">
        <v>9.4E-2</v>
      </c>
      <c r="BC4" t="s">
        <v>2351</v>
      </c>
    </row>
    <row r="5" spans="1:80" x14ac:dyDescent="0.2">
      <c r="A5">
        <v>2</v>
      </c>
      <c r="B5" s="2" t="s">
        <v>105</v>
      </c>
      <c r="C5" t="s">
        <v>1930</v>
      </c>
      <c r="D5" s="3">
        <v>100000</v>
      </c>
      <c r="M5" s="4">
        <v>58730.562142000002</v>
      </c>
      <c r="N5" s="4">
        <v>47045.929705000002</v>
      </c>
      <c r="O5" s="4">
        <v>41021.421000000002</v>
      </c>
      <c r="P5" s="4">
        <v>53127.589083999999</v>
      </c>
      <c r="Q5" s="4">
        <v>58730.562142000002</v>
      </c>
      <c r="R5" s="4">
        <v>65239.904583000003</v>
      </c>
      <c r="S5" s="4">
        <v>72440.303948000001</v>
      </c>
      <c r="T5" s="4"/>
      <c r="U5" s="6" t="s">
        <v>99</v>
      </c>
      <c r="V5" s="6" t="s">
        <v>937</v>
      </c>
      <c r="W5" s="8" t="s">
        <v>1473</v>
      </c>
      <c r="X5">
        <v>1998</v>
      </c>
      <c r="Z5" s="18">
        <v>573</v>
      </c>
      <c r="AI5" s="18">
        <v>519</v>
      </c>
      <c r="AJ5" s="18">
        <v>105</v>
      </c>
      <c r="AN5" s="14" t="s">
        <v>1939</v>
      </c>
      <c r="AU5" s="9">
        <v>0.14699999999999999</v>
      </c>
      <c r="AV5" s="9">
        <v>5.8000000000000003E-2</v>
      </c>
      <c r="AX5" s="14" t="s">
        <v>2365</v>
      </c>
      <c r="BD5" t="s">
        <v>2360</v>
      </c>
      <c r="BE5" t="s">
        <v>2359</v>
      </c>
    </row>
    <row r="6" spans="1:80" x14ac:dyDescent="0.2">
      <c r="A6">
        <f>+A5+1</f>
        <v>3</v>
      </c>
      <c r="B6" s="2" t="s">
        <v>5</v>
      </c>
      <c r="C6" t="s">
        <v>20</v>
      </c>
      <c r="D6" s="3">
        <v>67467</v>
      </c>
      <c r="I6" s="4">
        <v>188637.96799999999</v>
      </c>
      <c r="J6" s="4">
        <v>161186.951</v>
      </c>
      <c r="K6" s="4">
        <v>169100.285</v>
      </c>
      <c r="L6" s="4">
        <v>180744.155</v>
      </c>
      <c r="M6" s="4">
        <v>174392.11</v>
      </c>
      <c r="N6" s="4">
        <v>202791.98027</v>
      </c>
      <c r="O6" s="4">
        <v>198144.28681300001</v>
      </c>
      <c r="P6" s="4">
        <v>105515.79195499999</v>
      </c>
      <c r="Q6" s="4">
        <v>117785.99912399999</v>
      </c>
      <c r="R6" s="4">
        <v>121270.279276</v>
      </c>
      <c r="S6" s="4">
        <v>115422.52081099999</v>
      </c>
      <c r="T6" s="4"/>
      <c r="U6" s="6" t="s">
        <v>97</v>
      </c>
      <c r="V6" s="6" t="s">
        <v>215</v>
      </c>
      <c r="W6" s="8" t="s">
        <v>223</v>
      </c>
      <c r="X6">
        <v>1989</v>
      </c>
      <c r="Z6" s="18">
        <v>5500</v>
      </c>
      <c r="AA6" s="47">
        <v>0.13350000000000001</v>
      </c>
      <c r="AB6" s="49">
        <v>-7.2400000000000006E-2</v>
      </c>
      <c r="AC6" s="7">
        <v>4</v>
      </c>
      <c r="AE6" t="s">
        <v>720</v>
      </c>
      <c r="AI6" s="18">
        <v>2065</v>
      </c>
      <c r="AJ6" s="18">
        <v>1237</v>
      </c>
      <c r="AL6" s="9">
        <v>0.15</v>
      </c>
      <c r="AM6" s="9">
        <v>0.1</v>
      </c>
      <c r="AN6" s="9">
        <v>0.124</v>
      </c>
      <c r="AO6" s="9">
        <v>0.1361</v>
      </c>
      <c r="AP6" s="9">
        <v>0.25800000000000001</v>
      </c>
      <c r="AQ6" s="9">
        <v>9.8000000000000004E-2</v>
      </c>
      <c r="AR6" s="9">
        <v>4.9000000000000002E-2</v>
      </c>
      <c r="AS6" s="9">
        <v>7.1199999999999999E-2</v>
      </c>
      <c r="AT6" s="9">
        <v>3.3799999999999997E-2</v>
      </c>
      <c r="AU6" s="9">
        <v>0.12540000000000001</v>
      </c>
      <c r="AV6" s="9">
        <v>0.12089999999999999</v>
      </c>
      <c r="AW6" s="9">
        <v>0.13270000000000001</v>
      </c>
      <c r="AX6" s="9">
        <v>6.3200000000000006E-2</v>
      </c>
      <c r="AY6" s="9">
        <v>8.3900000000000002E-2</v>
      </c>
      <c r="AZ6" s="9">
        <v>0.13400000000000001</v>
      </c>
      <c r="BA6" s="9">
        <v>0.17199999999999999</v>
      </c>
      <c r="BB6" s="9">
        <v>-0.03</v>
      </c>
      <c r="BC6" s="9"/>
      <c r="BD6" s="9">
        <v>0.17</v>
      </c>
      <c r="BE6" s="9">
        <v>0.08</v>
      </c>
      <c r="BF6" s="9">
        <v>0.35</v>
      </c>
      <c r="BI6" s="9" t="s">
        <v>2169</v>
      </c>
      <c r="BJ6" s="9">
        <v>0.36</v>
      </c>
      <c r="BK6" s="9">
        <v>0.32</v>
      </c>
    </row>
    <row r="7" spans="1:80" x14ac:dyDescent="0.2">
      <c r="A7">
        <f t="shared" ref="A7:A102" si="2">+A6+1</f>
        <v>4</v>
      </c>
      <c r="B7" s="2" t="s">
        <v>4</v>
      </c>
      <c r="C7" t="s">
        <v>19</v>
      </c>
      <c r="D7" s="3">
        <v>62000</v>
      </c>
      <c r="I7" s="4">
        <v>484452.99400000001</v>
      </c>
      <c r="J7" s="4">
        <v>389708.92099999997</v>
      </c>
      <c r="K7" s="4">
        <v>438754.84399999998</v>
      </c>
      <c r="L7" s="4">
        <v>428086.473329</v>
      </c>
      <c r="M7" s="4">
        <v>454693.68748800003</v>
      </c>
      <c r="N7" s="4">
        <v>483744.58313300001</v>
      </c>
      <c r="O7" s="4">
        <v>466500.24296800001</v>
      </c>
      <c r="P7" s="4">
        <v>99349.033796999996</v>
      </c>
      <c r="Q7" s="4">
        <v>95807.315038000001</v>
      </c>
      <c r="R7" s="4">
        <v>101629.05224400001</v>
      </c>
      <c r="S7" s="4">
        <v>95807.315038000001</v>
      </c>
      <c r="T7" s="4"/>
      <c r="U7" s="6" t="s">
        <v>97</v>
      </c>
      <c r="V7" s="6" t="s">
        <v>215</v>
      </c>
      <c r="W7" s="8" t="s">
        <v>214</v>
      </c>
      <c r="X7">
        <v>1990</v>
      </c>
      <c r="Y7" t="s">
        <v>234</v>
      </c>
      <c r="Z7" s="18">
        <v>2932</v>
      </c>
      <c r="AG7" t="s">
        <v>1492</v>
      </c>
      <c r="AI7" s="18">
        <v>3101</v>
      </c>
      <c r="AJ7" s="18">
        <v>1694</v>
      </c>
      <c r="AL7" s="9">
        <v>0.15</v>
      </c>
      <c r="AM7" s="9">
        <v>0.153</v>
      </c>
      <c r="AN7" s="9" t="s">
        <v>1912</v>
      </c>
      <c r="AO7" s="9">
        <v>0.26</v>
      </c>
      <c r="AP7" s="9" t="s">
        <v>2071</v>
      </c>
      <c r="AQ7" s="9" t="s">
        <v>2070</v>
      </c>
      <c r="AR7" s="9">
        <v>9.0999999999999998E-2</v>
      </c>
      <c r="AS7" s="9">
        <v>0.13100000000000001</v>
      </c>
      <c r="AT7" s="9">
        <v>5.0999999999999997E-2</v>
      </c>
      <c r="AU7" s="9">
        <v>0.14299999999999999</v>
      </c>
      <c r="AV7" s="9">
        <v>0.17899999999999999</v>
      </c>
      <c r="AW7" s="9">
        <v>0.19400000000000001</v>
      </c>
      <c r="AX7" s="9">
        <v>0.25900000000000001</v>
      </c>
      <c r="AY7" s="9">
        <v>0.2</v>
      </c>
      <c r="AZ7" s="9">
        <v>0.1</v>
      </c>
      <c r="BA7" s="9">
        <v>0.62</v>
      </c>
      <c r="BB7" s="9">
        <v>-0.55000000000000004</v>
      </c>
      <c r="BC7" s="9">
        <v>0.3</v>
      </c>
      <c r="BD7" s="9">
        <v>0.3</v>
      </c>
      <c r="BE7" s="9">
        <v>7.0000000000000007E-2</v>
      </c>
      <c r="BI7" s="14" t="s">
        <v>2161</v>
      </c>
      <c r="BK7" s="9">
        <v>0.45</v>
      </c>
      <c r="BP7" s="9">
        <v>-4.2999999999999997E-2</v>
      </c>
      <c r="BR7" s="9">
        <v>0.4</v>
      </c>
      <c r="BS7" s="9">
        <v>0.43</v>
      </c>
      <c r="BT7" t="s">
        <v>224</v>
      </c>
    </row>
    <row r="8" spans="1:80" x14ac:dyDescent="0.2">
      <c r="A8">
        <f t="shared" si="2"/>
        <v>5</v>
      </c>
      <c r="B8" s="2" t="s">
        <v>61</v>
      </c>
      <c r="C8" t="s">
        <v>236</v>
      </c>
      <c r="D8" s="3" t="s">
        <v>1931</v>
      </c>
      <c r="K8" s="4">
        <v>228575.18799999999</v>
      </c>
      <c r="L8" s="4">
        <v>216242.23104099999</v>
      </c>
      <c r="M8" s="4">
        <v>244158.51699500001</v>
      </c>
      <c r="N8" s="4">
        <v>297289.67</v>
      </c>
      <c r="O8" s="4">
        <v>309412.15297</v>
      </c>
      <c r="P8" s="4">
        <v>82241.397056000002</v>
      </c>
      <c r="Q8" s="4">
        <v>77298.736441000001</v>
      </c>
      <c r="R8" s="4">
        <v>92120.731828999997</v>
      </c>
      <c r="S8" s="4">
        <v>62065.156290999999</v>
      </c>
      <c r="T8" s="4">
        <v>453340.18362600001</v>
      </c>
      <c r="U8" s="6" t="s">
        <v>99</v>
      </c>
      <c r="V8" s="6" t="s">
        <v>1472</v>
      </c>
      <c r="W8" s="8" t="s">
        <v>223</v>
      </c>
      <c r="X8">
        <v>2000</v>
      </c>
      <c r="Z8" s="18">
        <v>2600</v>
      </c>
      <c r="AI8" s="18">
        <v>2083</v>
      </c>
      <c r="AJ8" s="18">
        <v>1302</v>
      </c>
    </row>
    <row r="9" spans="1:80" x14ac:dyDescent="0.2">
      <c r="A9">
        <f t="shared" si="2"/>
        <v>6</v>
      </c>
      <c r="B9" s="2" t="s">
        <v>110</v>
      </c>
      <c r="C9" t="s">
        <v>1971</v>
      </c>
      <c r="D9" s="3">
        <v>64000</v>
      </c>
      <c r="P9" s="4">
        <v>52354.782071000001</v>
      </c>
      <c r="Q9" s="4">
        <v>65665.817502999998</v>
      </c>
      <c r="R9" s="4">
        <v>70720.779125999994</v>
      </c>
      <c r="S9" s="4">
        <v>77020.914902000004</v>
      </c>
      <c r="T9" s="4">
        <v>83182.349757999997</v>
      </c>
      <c r="U9" s="6" t="s">
        <v>97</v>
      </c>
      <c r="V9" s="6" t="s">
        <v>1471</v>
      </c>
      <c r="W9" s="8" t="s">
        <v>672</v>
      </c>
      <c r="X9">
        <v>1997</v>
      </c>
      <c r="Z9" s="18">
        <v>650</v>
      </c>
      <c r="AB9" s="8" t="s">
        <v>1960</v>
      </c>
      <c r="AC9" s="7" t="s">
        <v>1961</v>
      </c>
      <c r="AD9" s="14" t="s">
        <v>1959</v>
      </c>
      <c r="AE9" t="s">
        <v>715</v>
      </c>
      <c r="AF9" t="s">
        <v>714</v>
      </c>
      <c r="AH9" t="s">
        <v>1482</v>
      </c>
      <c r="AI9" s="18">
        <v>383</v>
      </c>
      <c r="AJ9" s="18">
        <v>286</v>
      </c>
      <c r="AL9" t="s">
        <v>1962</v>
      </c>
      <c r="AM9" s="50" t="s">
        <v>1963</v>
      </c>
      <c r="AN9" s="14" t="s">
        <v>1964</v>
      </c>
      <c r="AO9" s="14" t="s">
        <v>1965</v>
      </c>
      <c r="AP9" s="14" t="s">
        <v>1966</v>
      </c>
      <c r="AQ9" s="14" t="s">
        <v>1967</v>
      </c>
      <c r="AR9" s="14" t="s">
        <v>2016</v>
      </c>
      <c r="AS9" s="14" t="s">
        <v>2017</v>
      </c>
      <c r="AT9" s="14" t="s">
        <v>2018</v>
      </c>
      <c r="AU9" s="14" t="s">
        <v>2019</v>
      </c>
      <c r="AV9" s="14" t="s">
        <v>2020</v>
      </c>
      <c r="AW9" s="14" t="s">
        <v>2021</v>
      </c>
      <c r="AX9" s="36">
        <v>6.83E-2</v>
      </c>
      <c r="AY9" s="14" t="s">
        <v>2040</v>
      </c>
    </row>
    <row r="10" spans="1:80" x14ac:dyDescent="0.2">
      <c r="A10">
        <f t="shared" si="2"/>
        <v>7</v>
      </c>
      <c r="B10" s="2" t="s">
        <v>1</v>
      </c>
      <c r="C10" t="s">
        <v>1884</v>
      </c>
      <c r="D10" s="3">
        <v>50000</v>
      </c>
      <c r="I10" s="4">
        <v>85212.489000000001</v>
      </c>
      <c r="J10" s="4">
        <v>84467.48</v>
      </c>
      <c r="K10" s="4">
        <v>70684.472999999998</v>
      </c>
      <c r="L10" s="4">
        <v>73088.126000000004</v>
      </c>
      <c r="M10" s="4">
        <v>75351.763000000006</v>
      </c>
      <c r="N10" s="4">
        <v>69385.941999999995</v>
      </c>
      <c r="O10" s="4">
        <v>58653.432999999997</v>
      </c>
      <c r="P10" s="4">
        <v>64606.784</v>
      </c>
      <c r="Q10" s="4">
        <v>63623.686999999998</v>
      </c>
      <c r="R10" s="4">
        <v>58958.710563000001</v>
      </c>
      <c r="S10" s="4">
        <v>66497.322887999995</v>
      </c>
      <c r="T10" s="4">
        <v>67553.776836999998</v>
      </c>
      <c r="U10" s="6" t="s">
        <v>99</v>
      </c>
      <c r="V10" s="6" t="s">
        <v>218</v>
      </c>
      <c r="W10" s="8" t="s">
        <v>223</v>
      </c>
      <c r="X10">
        <v>1988</v>
      </c>
      <c r="Y10" t="s">
        <v>2072</v>
      </c>
      <c r="Z10" s="18">
        <v>310</v>
      </c>
      <c r="AA10" s="47">
        <v>9.3100000000000002E-2</v>
      </c>
      <c r="AB10" s="51" t="s">
        <v>1983</v>
      </c>
      <c r="AC10" s="7">
        <f>12+7+4</f>
        <v>23</v>
      </c>
      <c r="AH10" t="s">
        <v>2073</v>
      </c>
      <c r="AI10" s="18">
        <v>90</v>
      </c>
      <c r="AJ10" s="18">
        <v>63</v>
      </c>
      <c r="AL10" t="s">
        <v>1979</v>
      </c>
      <c r="AM10" t="s">
        <v>1980</v>
      </c>
      <c r="AN10" t="s">
        <v>1981</v>
      </c>
      <c r="AO10" s="14" t="s">
        <v>1982</v>
      </c>
      <c r="AP10" s="14" t="s">
        <v>2075</v>
      </c>
      <c r="AQ10" s="14" t="s">
        <v>2074</v>
      </c>
      <c r="AR10" s="14" t="s">
        <v>1909</v>
      </c>
      <c r="AS10" s="14" t="s">
        <v>1885</v>
      </c>
      <c r="AT10" s="14" t="s">
        <v>1886</v>
      </c>
      <c r="AU10" t="s">
        <v>1908</v>
      </c>
      <c r="AV10" t="s">
        <v>1887</v>
      </c>
      <c r="AW10" t="s">
        <v>1888</v>
      </c>
      <c r="AX10" t="s">
        <v>1910</v>
      </c>
      <c r="AY10" t="s">
        <v>2041</v>
      </c>
      <c r="AZ10" s="10" t="s">
        <v>1889</v>
      </c>
      <c r="BA10" s="9" t="s">
        <v>2077</v>
      </c>
      <c r="BB10" s="14" t="s">
        <v>1890</v>
      </c>
      <c r="BC10" s="14" t="s">
        <v>2076</v>
      </c>
      <c r="BD10" t="s">
        <v>1891</v>
      </c>
      <c r="BE10" t="s">
        <v>1892</v>
      </c>
      <c r="BF10" s="10" t="s">
        <v>1893</v>
      </c>
      <c r="BG10" t="s">
        <v>1894</v>
      </c>
      <c r="BH10" t="s">
        <v>1895</v>
      </c>
      <c r="BI10" t="s">
        <v>2160</v>
      </c>
      <c r="BJ10" t="s">
        <v>2375</v>
      </c>
      <c r="BK10" t="s">
        <v>1896</v>
      </c>
      <c r="BL10" t="s">
        <v>1897</v>
      </c>
      <c r="BM10" t="s">
        <v>1898</v>
      </c>
      <c r="BN10" t="s">
        <v>1899</v>
      </c>
      <c r="BO10" t="s">
        <v>1900</v>
      </c>
      <c r="BP10" t="s">
        <v>1901</v>
      </c>
      <c r="BQ10" t="s">
        <v>1904</v>
      </c>
      <c r="BR10" t="s">
        <v>1902</v>
      </c>
      <c r="BS10" t="s">
        <v>1903</v>
      </c>
      <c r="BT10" t="s">
        <v>1905</v>
      </c>
      <c r="BU10" t="s">
        <v>1906</v>
      </c>
      <c r="BV10" t="s">
        <v>1907</v>
      </c>
    </row>
    <row r="11" spans="1:80" x14ac:dyDescent="0.2">
      <c r="A11">
        <f t="shared" si="2"/>
        <v>8</v>
      </c>
      <c r="B11" s="2" t="s">
        <v>66</v>
      </c>
      <c r="C11" t="s">
        <v>678</v>
      </c>
      <c r="D11" s="3" t="s">
        <v>1931</v>
      </c>
      <c r="I11" s="4">
        <v>578333.429</v>
      </c>
      <c r="J11" s="4">
        <v>404340.20899999997</v>
      </c>
      <c r="K11" s="4">
        <v>386869.95699999999</v>
      </c>
      <c r="L11" s="4">
        <v>395433.01293099998</v>
      </c>
      <c r="M11" s="4">
        <v>470246.70751500002</v>
      </c>
      <c r="N11" s="4">
        <v>491756.19189800002</v>
      </c>
      <c r="O11" s="4">
        <v>480508.32573799998</v>
      </c>
      <c r="P11" s="4">
        <v>59033.251529000001</v>
      </c>
      <c r="Q11" s="4">
        <v>575882.47876500001</v>
      </c>
      <c r="R11" s="4">
        <v>57447.307000000001</v>
      </c>
      <c r="S11" s="40">
        <v>572468.94231900002</v>
      </c>
      <c r="T11" s="4">
        <v>662681.66529300006</v>
      </c>
      <c r="U11" s="6" t="s">
        <v>99</v>
      </c>
      <c r="V11" s="6" t="s">
        <v>1127</v>
      </c>
      <c r="W11" s="8" t="s">
        <v>663</v>
      </c>
      <c r="Z11" s="18">
        <v>3000</v>
      </c>
      <c r="AI11" s="18">
        <v>1762</v>
      </c>
      <c r="AJ11" s="18">
        <v>713</v>
      </c>
    </row>
    <row r="12" spans="1:80" x14ac:dyDescent="0.2">
      <c r="A12">
        <f t="shared" si="2"/>
        <v>9</v>
      </c>
      <c r="B12" s="2" t="s">
        <v>1294</v>
      </c>
      <c r="P12" s="4">
        <v>51374.067665000002</v>
      </c>
      <c r="Q12" s="4">
        <v>63076.372130999996</v>
      </c>
      <c r="R12" s="4">
        <v>54159.039364999997</v>
      </c>
      <c r="S12" s="40">
        <v>67845.624450000003</v>
      </c>
      <c r="T12" s="4">
        <v>76267.152637000007</v>
      </c>
      <c r="U12" s="6" t="s">
        <v>99</v>
      </c>
      <c r="V12" s="6" t="s">
        <v>218</v>
      </c>
      <c r="Z12" s="18">
        <v>1100</v>
      </c>
      <c r="AI12" s="18">
        <v>278</v>
      </c>
      <c r="AJ12" s="18">
        <v>239</v>
      </c>
    </row>
    <row r="13" spans="1:80" x14ac:dyDescent="0.2">
      <c r="A13">
        <f t="shared" si="2"/>
        <v>10</v>
      </c>
      <c r="B13" s="2" t="s">
        <v>26</v>
      </c>
      <c r="C13" t="s">
        <v>45</v>
      </c>
      <c r="D13" s="3">
        <v>58000</v>
      </c>
      <c r="K13" s="4">
        <v>34543.49</v>
      </c>
      <c r="L13" s="4">
        <v>35814.526356000002</v>
      </c>
      <c r="M13" s="4"/>
      <c r="N13" s="4"/>
      <c r="O13" s="4"/>
      <c r="P13" s="4">
        <v>42709.667178000003</v>
      </c>
      <c r="Q13" s="4">
        <f>43170.283873+42610.965422</f>
        <v>85781.249295000001</v>
      </c>
      <c r="R13" s="4">
        <f>44847.616123+43901.317697</f>
        <v>88748.933820000006</v>
      </c>
      <c r="S13" s="40">
        <f>45634.123578+42686.586862</f>
        <v>88320.710439999995</v>
      </c>
      <c r="T13" s="4">
        <v>45853.263483000002</v>
      </c>
      <c r="U13" s="6" t="s">
        <v>99</v>
      </c>
      <c r="V13" s="6" t="s">
        <v>1602</v>
      </c>
      <c r="W13" s="8" t="s">
        <v>223</v>
      </c>
      <c r="Z13" s="18">
        <v>2100</v>
      </c>
      <c r="AA13" s="47" t="s">
        <v>2052</v>
      </c>
      <c r="AB13" s="52" t="s">
        <v>2053</v>
      </c>
      <c r="AC13" s="7">
        <v>3</v>
      </c>
      <c r="AI13" s="18">
        <v>768</v>
      </c>
      <c r="AJ13" s="18">
        <v>255</v>
      </c>
      <c r="AM13" s="9">
        <v>0.12</v>
      </c>
      <c r="AN13" s="1" t="s">
        <v>1913</v>
      </c>
      <c r="AU13" s="9" t="s">
        <v>2049</v>
      </c>
      <c r="AV13" s="9" t="s">
        <v>2048</v>
      </c>
      <c r="AW13" t="s">
        <v>2050</v>
      </c>
      <c r="AX13" t="s">
        <v>2051</v>
      </c>
      <c r="BA13" s="9">
        <v>0.20230000000000001</v>
      </c>
      <c r="BB13" s="9"/>
      <c r="BC13" s="9"/>
      <c r="BD13" s="9"/>
      <c r="BE13" s="9"/>
      <c r="BI13" t="s">
        <v>1911</v>
      </c>
      <c r="BJ13" s="46"/>
      <c r="BK13" s="46"/>
      <c r="BL13" s="46"/>
      <c r="BM13" s="46"/>
      <c r="BN13" s="46"/>
      <c r="BO13" s="46"/>
      <c r="BP13" s="46"/>
      <c r="BQ13" s="46"/>
      <c r="BR13" s="46"/>
      <c r="BS13" s="46"/>
      <c r="BT13" s="46"/>
      <c r="BU13" s="46"/>
      <c r="BV13" s="46"/>
      <c r="BW13" s="46"/>
      <c r="BX13" s="46"/>
      <c r="BY13" s="46"/>
      <c r="BZ13" s="46"/>
      <c r="CA13" s="46"/>
    </row>
    <row r="14" spans="1:80" x14ac:dyDescent="0.2">
      <c r="A14">
        <f t="shared" si="2"/>
        <v>11</v>
      </c>
      <c r="B14" s="2" t="s">
        <v>38</v>
      </c>
      <c r="C14" t="s">
        <v>65</v>
      </c>
      <c r="K14" s="4">
        <v>83732.203999999998</v>
      </c>
      <c r="L14" s="4">
        <v>90480.696330999999</v>
      </c>
      <c r="M14" s="4">
        <v>93405.171845000004</v>
      </c>
      <c r="N14" s="4">
        <v>97896.666289000001</v>
      </c>
      <c r="O14" s="4">
        <v>95783.606945000007</v>
      </c>
      <c r="P14" s="4">
        <v>69304.616848999998</v>
      </c>
      <c r="Q14" s="4">
        <v>116847.160617</v>
      </c>
      <c r="R14" s="4">
        <v>43768.194000000003</v>
      </c>
      <c r="S14" s="40">
        <v>116492.369102</v>
      </c>
      <c r="T14" s="4"/>
      <c r="U14" s="6" t="s">
        <v>99</v>
      </c>
      <c r="V14" s="6" t="s">
        <v>218</v>
      </c>
      <c r="W14" s="8" t="s">
        <v>223</v>
      </c>
      <c r="Z14" s="18">
        <v>2500</v>
      </c>
      <c r="AH14" t="s">
        <v>1493</v>
      </c>
      <c r="AI14" s="18">
        <v>1377</v>
      </c>
      <c r="AJ14" s="18">
        <v>561</v>
      </c>
      <c r="AM14" s="9">
        <v>9.6000000000000002E-2</v>
      </c>
      <c r="AN14" s="14" t="s">
        <v>1915</v>
      </c>
      <c r="AO14" s="9">
        <v>0.185</v>
      </c>
      <c r="AP14" s="9">
        <v>0.19</v>
      </c>
      <c r="AS14" s="9">
        <v>0.1061</v>
      </c>
      <c r="AU14" s="9">
        <v>0.14299999999999999</v>
      </c>
      <c r="AV14" s="9">
        <v>0.16400000000000001</v>
      </c>
      <c r="BA14" s="9"/>
      <c r="BB14" s="9"/>
      <c r="BC14" s="9" t="s">
        <v>2350</v>
      </c>
      <c r="BD14" s="9"/>
      <c r="BE14" s="9"/>
      <c r="BI14" s="14" t="s">
        <v>2373</v>
      </c>
      <c r="BJ14" s="36">
        <v>0.60299999999999998</v>
      </c>
      <c r="BV14" t="s">
        <v>224</v>
      </c>
      <c r="BW14" s="46"/>
      <c r="BX14" s="46"/>
      <c r="BY14" s="46"/>
      <c r="BZ14" s="46"/>
      <c r="CA14" s="46"/>
    </row>
    <row r="15" spans="1:80" x14ac:dyDescent="0.2">
      <c r="A15">
        <f t="shared" si="2"/>
        <v>12</v>
      </c>
      <c r="B15" s="2" t="s">
        <v>111</v>
      </c>
      <c r="C15" t="s">
        <v>1490</v>
      </c>
      <c r="K15" s="4"/>
      <c r="L15" s="4"/>
      <c r="M15" s="4"/>
      <c r="N15" s="4"/>
      <c r="O15" s="4"/>
      <c r="P15" s="4"/>
      <c r="Q15" s="40">
        <v>39659.032698000003</v>
      </c>
      <c r="R15" s="4">
        <v>40924.384465000003</v>
      </c>
      <c r="S15" s="40">
        <v>44020.529631999998</v>
      </c>
      <c r="T15" s="4">
        <v>42413.899286</v>
      </c>
      <c r="U15" s="6" t="s">
        <v>1608</v>
      </c>
      <c r="Z15" s="18">
        <v>82</v>
      </c>
      <c r="AI15" s="18">
        <v>8</v>
      </c>
      <c r="AJ15" s="18">
        <v>3</v>
      </c>
      <c r="AL15" s="9">
        <v>0.15</v>
      </c>
      <c r="AM15" s="9">
        <v>0.33</v>
      </c>
      <c r="AN15" s="9">
        <v>-0.18</v>
      </c>
      <c r="AO15" s="9"/>
      <c r="AP15" s="9">
        <v>0.14000000000000001</v>
      </c>
      <c r="AQ15" t="s">
        <v>2066</v>
      </c>
      <c r="AS15" s="9">
        <v>0.28199999999999997</v>
      </c>
      <c r="AT15" s="9">
        <v>0.13500000000000001</v>
      </c>
      <c r="AU15" s="9">
        <v>0.14399999999999999</v>
      </c>
      <c r="AV15" s="9">
        <v>8.1000000000000003E-2</v>
      </c>
      <c r="AW15" s="9">
        <v>0.47220000000000001</v>
      </c>
      <c r="AX15" s="9">
        <v>0.29520000000000002</v>
      </c>
      <c r="BA15" s="9"/>
      <c r="BB15" s="9">
        <v>-0.43</v>
      </c>
      <c r="BC15" s="9"/>
      <c r="BD15" s="9"/>
      <c r="BE15" s="9"/>
    </row>
    <row r="16" spans="1:80" x14ac:dyDescent="0.2">
      <c r="A16">
        <f t="shared" si="2"/>
        <v>13</v>
      </c>
      <c r="B16" s="2" t="s">
        <v>6</v>
      </c>
      <c r="C16" t="s">
        <v>21</v>
      </c>
      <c r="D16" s="3">
        <f>8191+2372</f>
        <v>10563</v>
      </c>
      <c r="K16" s="4">
        <v>32595.472000000002</v>
      </c>
      <c r="L16" s="4">
        <v>36529.064118000002</v>
      </c>
      <c r="M16" s="4"/>
      <c r="N16" s="4"/>
      <c r="O16" s="4"/>
      <c r="P16" s="4">
        <v>36081.330501999997</v>
      </c>
      <c r="Q16" s="4">
        <v>57247.892304000001</v>
      </c>
      <c r="R16" s="4">
        <v>38693.14183</v>
      </c>
      <c r="S16" s="40">
        <v>61306.204231999996</v>
      </c>
      <c r="T16" s="4">
        <v>67138.944407000003</v>
      </c>
      <c r="U16" s="6" t="s">
        <v>97</v>
      </c>
      <c r="V16" s="6" t="s">
        <v>215</v>
      </c>
      <c r="W16" s="8" t="s">
        <v>222</v>
      </c>
      <c r="X16">
        <v>2001</v>
      </c>
      <c r="Z16" s="18">
        <v>1900</v>
      </c>
      <c r="AA16" s="47">
        <v>6.7100000000000007E-2</v>
      </c>
      <c r="AB16" s="47">
        <v>-0.13439999999999999</v>
      </c>
      <c r="AC16" s="7">
        <f>5+4</f>
        <v>9</v>
      </c>
      <c r="AI16" s="18">
        <v>1978</v>
      </c>
      <c r="AJ16" s="18">
        <v>1143</v>
      </c>
      <c r="AN16" t="s">
        <v>1937</v>
      </c>
      <c r="AO16" s="9">
        <v>7.0000000000000001E-3</v>
      </c>
      <c r="AR16" s="10" t="s">
        <v>2038</v>
      </c>
      <c r="AS16" s="9">
        <v>6.54E-2</v>
      </c>
      <c r="AT16" s="9">
        <v>-7.3000000000000001E-3</v>
      </c>
      <c r="AU16" s="9">
        <v>5.9299999999999999E-2</v>
      </c>
      <c r="AV16" s="9">
        <v>0.13730000000000001</v>
      </c>
      <c r="AW16" s="9">
        <v>0.20849999999999999</v>
      </c>
      <c r="BA16" s="9">
        <v>8.6400000000000005E-2</v>
      </c>
      <c r="BB16" s="9">
        <v>4.5999999999999999E-3</v>
      </c>
      <c r="BC16" s="9"/>
      <c r="BD16" s="9"/>
      <c r="BE16" s="9"/>
    </row>
    <row r="17" spans="1:79" x14ac:dyDescent="0.2">
      <c r="A17">
        <f t="shared" si="2"/>
        <v>14</v>
      </c>
      <c r="B17" s="2" t="s">
        <v>1474</v>
      </c>
      <c r="Q17" s="3">
        <v>39663.239352999997</v>
      </c>
      <c r="R17" s="4">
        <v>37928.012926000003</v>
      </c>
      <c r="S17" s="40">
        <v>38405.904881000002</v>
      </c>
      <c r="T17" s="4"/>
      <c r="Z17" s="18">
        <v>1787</v>
      </c>
      <c r="AI17" s="18">
        <v>782</v>
      </c>
      <c r="AJ17" s="18">
        <v>301</v>
      </c>
      <c r="AW17" s="10" t="s">
        <v>1491</v>
      </c>
      <c r="BA17" s="9"/>
      <c r="BB17" s="9" t="s">
        <v>1495</v>
      </c>
      <c r="BC17" s="9"/>
      <c r="BD17" s="9" t="s">
        <v>2361</v>
      </c>
      <c r="BE17" s="9"/>
    </row>
    <row r="18" spans="1:79" x14ac:dyDescent="0.2">
      <c r="A18">
        <f t="shared" si="2"/>
        <v>15</v>
      </c>
      <c r="B18" s="2" t="s">
        <v>3</v>
      </c>
      <c r="C18" t="s">
        <v>18</v>
      </c>
      <c r="D18" s="3">
        <v>27200</v>
      </c>
      <c r="I18" s="4">
        <v>25186.491999999998</v>
      </c>
      <c r="J18" s="4">
        <v>23701.54</v>
      </c>
      <c r="K18" s="4">
        <v>25036.834999999999</v>
      </c>
      <c r="L18" s="4">
        <v>29421.581450000001</v>
      </c>
      <c r="M18" s="4"/>
      <c r="N18" s="4"/>
      <c r="O18" s="4"/>
      <c r="P18" s="4">
        <v>33034.349569999998</v>
      </c>
      <c r="Q18" s="4">
        <v>41259.345416999997</v>
      </c>
      <c r="R18" s="4">
        <v>30941.3</v>
      </c>
      <c r="S18" s="40">
        <v>39343.262001000003</v>
      </c>
      <c r="T18" s="4"/>
      <c r="U18" s="6" t="s">
        <v>97</v>
      </c>
      <c r="V18" s="6" t="s">
        <v>215</v>
      </c>
      <c r="W18" s="8" t="s">
        <v>221</v>
      </c>
      <c r="X18">
        <v>1992</v>
      </c>
      <c r="Z18" s="18">
        <v>2800</v>
      </c>
      <c r="AI18" s="18">
        <v>2488</v>
      </c>
      <c r="AJ18" s="18">
        <v>1267</v>
      </c>
      <c r="AL18" s="9">
        <v>0.19</v>
      </c>
      <c r="AM18" s="9">
        <v>0.106</v>
      </c>
      <c r="AN18" s="9">
        <v>0.10249999999999999</v>
      </c>
      <c r="AO18" s="9">
        <v>0.09</v>
      </c>
      <c r="AP18" s="9">
        <v>0.16</v>
      </c>
      <c r="AW18" s="9"/>
      <c r="AX18" s="9">
        <v>0.14000000000000001</v>
      </c>
      <c r="BA18" s="9"/>
      <c r="BB18" s="9">
        <v>-0.18529999999999999</v>
      </c>
      <c r="BC18" s="9">
        <v>0.13</v>
      </c>
      <c r="BD18" s="9">
        <v>0.34</v>
      </c>
      <c r="BE18" s="9"/>
      <c r="BI18" t="s">
        <v>2153</v>
      </c>
      <c r="BP18" s="10">
        <v>0.48</v>
      </c>
      <c r="BR18" t="s">
        <v>224</v>
      </c>
      <c r="BS18" s="46"/>
      <c r="BT18" s="46"/>
      <c r="BU18" s="46"/>
      <c r="BV18" s="46"/>
      <c r="BW18" s="46"/>
      <c r="BX18" s="46"/>
      <c r="BY18" s="46"/>
      <c r="BZ18" s="46"/>
      <c r="CA18" s="46"/>
    </row>
    <row r="19" spans="1:79" x14ac:dyDescent="0.2">
      <c r="A19">
        <f t="shared" si="2"/>
        <v>16</v>
      </c>
      <c r="B19" s="39" t="s">
        <v>1533</v>
      </c>
      <c r="I19" s="4"/>
      <c r="J19" s="4"/>
      <c r="K19" s="4"/>
      <c r="L19" s="4"/>
      <c r="M19" s="4"/>
      <c r="N19" s="4"/>
      <c r="O19" s="4"/>
      <c r="P19" s="4"/>
      <c r="Q19" s="40">
        <v>162794.05236999999</v>
      </c>
      <c r="R19" s="40">
        <v>164039.83677600001</v>
      </c>
      <c r="S19" s="40">
        <v>183837.72249499999</v>
      </c>
      <c r="T19" s="40">
        <v>214659.256115</v>
      </c>
      <c r="AI19" s="18">
        <v>122</v>
      </c>
      <c r="AJ19" s="18">
        <v>61</v>
      </c>
      <c r="AL19" s="9"/>
      <c r="AM19" s="9"/>
      <c r="AN19" s="9"/>
      <c r="AO19" s="9"/>
      <c r="AW19" s="9"/>
      <c r="AX19" s="9"/>
      <c r="BA19" s="9"/>
      <c r="BB19" s="9"/>
      <c r="BC19" s="9"/>
      <c r="BD19" s="9"/>
      <c r="BE19" s="9"/>
    </row>
    <row r="20" spans="1:79" x14ac:dyDescent="0.2">
      <c r="A20">
        <f t="shared" si="2"/>
        <v>17</v>
      </c>
      <c r="B20" s="39" t="s">
        <v>1535</v>
      </c>
      <c r="I20" s="4"/>
      <c r="J20" s="4"/>
      <c r="K20" s="4"/>
      <c r="L20" s="4"/>
      <c r="M20" s="4"/>
      <c r="N20" s="4"/>
      <c r="O20" s="4"/>
      <c r="P20" s="4"/>
      <c r="Q20" s="40">
        <v>194201.51446599999</v>
      </c>
      <c r="R20" s="40">
        <v>173277.89889400001</v>
      </c>
      <c r="S20" s="40">
        <v>171881.01441</v>
      </c>
      <c r="T20" s="40"/>
      <c r="AI20" s="18">
        <v>371</v>
      </c>
      <c r="AJ20" s="18">
        <v>100</v>
      </c>
      <c r="AL20" s="9"/>
      <c r="AM20" s="9"/>
      <c r="AN20" s="9"/>
      <c r="AO20" s="9"/>
      <c r="AW20" s="9"/>
      <c r="AX20" s="9"/>
      <c r="BA20" s="9"/>
      <c r="BB20" s="9"/>
      <c r="BC20" s="9"/>
      <c r="BD20" s="9"/>
      <c r="BE20" s="9"/>
    </row>
    <row r="21" spans="1:79" x14ac:dyDescent="0.2">
      <c r="A21">
        <f t="shared" si="2"/>
        <v>18</v>
      </c>
      <c r="B21" s="39" t="s">
        <v>1536</v>
      </c>
      <c r="I21" s="4"/>
      <c r="J21" s="4"/>
      <c r="K21" s="4"/>
      <c r="L21" s="4"/>
      <c r="M21" s="4"/>
      <c r="N21" s="4"/>
      <c r="O21" s="4"/>
      <c r="P21" s="4"/>
      <c r="Q21" s="40">
        <v>185903.477713</v>
      </c>
      <c r="R21" s="40">
        <v>185405.589664</v>
      </c>
      <c r="S21" s="40">
        <v>191834.017807</v>
      </c>
      <c r="T21" s="40"/>
      <c r="AI21" s="18">
        <v>902</v>
      </c>
      <c r="AJ21" s="18">
        <v>480</v>
      </c>
      <c r="AL21" s="9"/>
      <c r="AM21" s="9"/>
      <c r="AN21" s="9"/>
      <c r="AO21" s="9"/>
      <c r="AW21" s="9"/>
      <c r="AX21" s="9"/>
      <c r="BA21" s="9"/>
      <c r="BB21" s="9"/>
      <c r="BC21" s="9"/>
      <c r="BD21" s="9"/>
      <c r="BE21" s="9"/>
    </row>
    <row r="22" spans="1:79" x14ac:dyDescent="0.2">
      <c r="A22">
        <f t="shared" si="2"/>
        <v>19</v>
      </c>
      <c r="B22" t="s">
        <v>1206</v>
      </c>
      <c r="S22" s="3">
        <v>117397.045128</v>
      </c>
      <c r="T22" s="3">
        <v>124941.485544</v>
      </c>
      <c r="AI22" s="18">
        <v>164</v>
      </c>
      <c r="AJ22" s="18">
        <v>61</v>
      </c>
    </row>
    <row r="23" spans="1:79" x14ac:dyDescent="0.2">
      <c r="A23">
        <f t="shared" si="2"/>
        <v>20</v>
      </c>
      <c r="B23" s="39" t="s">
        <v>1563</v>
      </c>
      <c r="Q23" s="3">
        <v>77263.928929999995</v>
      </c>
      <c r="R23" s="3">
        <v>80584.657361000005</v>
      </c>
      <c r="S23" s="3">
        <v>74576.347710000002</v>
      </c>
      <c r="T23" s="3">
        <v>82843.257383000004</v>
      </c>
      <c r="AI23" s="18">
        <v>20</v>
      </c>
      <c r="AJ23" s="18">
        <v>7</v>
      </c>
    </row>
    <row r="24" spans="1:79" x14ac:dyDescent="0.2">
      <c r="A24">
        <f t="shared" si="2"/>
        <v>21</v>
      </c>
      <c r="B24" s="39" t="s">
        <v>1580</v>
      </c>
      <c r="Q24" s="3">
        <v>58120.609178999999</v>
      </c>
      <c r="R24" s="3">
        <v>60515.450757999999</v>
      </c>
      <c r="S24" s="3">
        <v>63942.070725999998</v>
      </c>
      <c r="AI24" s="18">
        <v>128</v>
      </c>
      <c r="AJ24" s="18">
        <v>83</v>
      </c>
    </row>
    <row r="25" spans="1:79" x14ac:dyDescent="0.2">
      <c r="A25">
        <f t="shared" si="2"/>
        <v>22</v>
      </c>
      <c r="B25" s="39" t="s">
        <v>1583</v>
      </c>
      <c r="P25" s="3">
        <v>58714.609507000001</v>
      </c>
      <c r="Q25" s="3">
        <v>54501.693781000002</v>
      </c>
      <c r="R25" s="3">
        <v>46936.425904000003</v>
      </c>
      <c r="S25" s="3">
        <v>45991.722390000003</v>
      </c>
      <c r="AI25" s="18">
        <v>73</v>
      </c>
      <c r="AJ25" s="18">
        <v>45</v>
      </c>
    </row>
    <row r="26" spans="1:79" x14ac:dyDescent="0.2">
      <c r="A26">
        <f t="shared" si="2"/>
        <v>23</v>
      </c>
      <c r="B26" s="39" t="s">
        <v>1597</v>
      </c>
      <c r="Q26" s="3">
        <v>38193.344697</v>
      </c>
      <c r="R26" s="3">
        <v>38334.511904999999</v>
      </c>
      <c r="S26" s="3">
        <v>44779.738089999999</v>
      </c>
      <c r="T26" s="3">
        <v>47637.673992999997</v>
      </c>
      <c r="AI26" s="18">
        <v>92</v>
      </c>
      <c r="AJ26" s="18">
        <v>25</v>
      </c>
    </row>
    <row r="27" spans="1:79" x14ac:dyDescent="0.2">
      <c r="A27">
        <f t="shared" si="2"/>
        <v>24</v>
      </c>
      <c r="B27" s="39" t="s">
        <v>1628</v>
      </c>
      <c r="Q27" s="3">
        <v>26035.705449000001</v>
      </c>
      <c r="R27" s="3">
        <v>25799.949235</v>
      </c>
      <c r="S27" s="3">
        <v>35079.150392000003</v>
      </c>
      <c r="AI27" s="18">
        <v>14</v>
      </c>
      <c r="AJ27" s="18">
        <v>8</v>
      </c>
    </row>
    <row r="28" spans="1:79" x14ac:dyDescent="0.2">
      <c r="A28">
        <f t="shared" si="2"/>
        <v>25</v>
      </c>
      <c r="B28" s="39" t="s">
        <v>1655</v>
      </c>
      <c r="Q28" s="3">
        <v>27231.538385</v>
      </c>
      <c r="R28" s="3">
        <v>23954.619836999998</v>
      </c>
      <c r="S28" s="3">
        <v>24763.540204000001</v>
      </c>
      <c r="AI28" s="18">
        <v>84</v>
      </c>
      <c r="AJ28" s="18">
        <v>62</v>
      </c>
    </row>
    <row r="29" spans="1:79" x14ac:dyDescent="0.2">
      <c r="A29">
        <f t="shared" si="2"/>
        <v>26</v>
      </c>
      <c r="B29" s="39" t="s">
        <v>1696</v>
      </c>
      <c r="Q29" s="3">
        <v>16274.598773</v>
      </c>
      <c r="R29" s="3">
        <v>17827.579000000002</v>
      </c>
      <c r="S29" s="3">
        <v>20130.203000000001</v>
      </c>
      <c r="AI29" s="18">
        <v>219</v>
      </c>
      <c r="AJ29" s="18">
        <v>140</v>
      </c>
    </row>
    <row r="30" spans="1:79" x14ac:dyDescent="0.2">
      <c r="A30">
        <f t="shared" si="2"/>
        <v>27</v>
      </c>
      <c r="B30" s="39" t="s">
        <v>1709</v>
      </c>
      <c r="Q30" s="3">
        <v>12085.443874000001</v>
      </c>
      <c r="R30" s="3">
        <v>12262.447593000001</v>
      </c>
      <c r="S30" s="3">
        <v>18727.183335000002</v>
      </c>
      <c r="T30" s="3">
        <v>14561.971164</v>
      </c>
      <c r="AI30" s="18">
        <v>42</v>
      </c>
      <c r="AJ30" s="18">
        <v>8</v>
      </c>
    </row>
    <row r="31" spans="1:79" x14ac:dyDescent="0.2">
      <c r="A31">
        <f t="shared" si="2"/>
        <v>28</v>
      </c>
      <c r="B31" s="2" t="s">
        <v>1292</v>
      </c>
      <c r="D31" s="3">
        <v>9000</v>
      </c>
      <c r="P31" s="4">
        <v>25379.597540999999</v>
      </c>
      <c r="Q31" s="4">
        <v>27378.361098000001</v>
      </c>
      <c r="R31" s="4">
        <v>26906.515388</v>
      </c>
      <c r="S31" s="3">
        <v>27479.465356000001</v>
      </c>
      <c r="T31" s="4"/>
      <c r="U31" s="6" t="s">
        <v>99</v>
      </c>
      <c r="X31">
        <v>2009</v>
      </c>
      <c r="Z31" s="18">
        <v>119</v>
      </c>
      <c r="AI31" s="18">
        <v>59</v>
      </c>
      <c r="AJ31" s="18">
        <v>29</v>
      </c>
      <c r="AS31" s="9">
        <v>-8.0000000000000002E-3</v>
      </c>
      <c r="AW31" s="9"/>
      <c r="BA31" s="9"/>
      <c r="BB31" s="9"/>
      <c r="BC31" s="9"/>
      <c r="BD31" s="9"/>
      <c r="BE31" s="9"/>
    </row>
    <row r="32" spans="1:79" x14ac:dyDescent="0.2">
      <c r="A32">
        <f t="shared" si="2"/>
        <v>29</v>
      </c>
      <c r="B32" s="2" t="s">
        <v>22</v>
      </c>
      <c r="C32" t="s">
        <v>35</v>
      </c>
      <c r="I32" s="4">
        <v>24735.085999999999</v>
      </c>
      <c r="J32" s="4">
        <v>21862.785</v>
      </c>
      <c r="K32" s="4">
        <v>21658.496999999999</v>
      </c>
      <c r="L32" s="4">
        <v>19975.826558000001</v>
      </c>
      <c r="M32" s="4">
        <v>21307.508398000002</v>
      </c>
      <c r="N32" s="4">
        <v>24426.457264000001</v>
      </c>
      <c r="O32" s="4">
        <v>24642.289392999999</v>
      </c>
      <c r="P32" s="4">
        <v>27301.507781</v>
      </c>
      <c r="Q32" s="4">
        <v>26859.637108999999</v>
      </c>
      <c r="R32" s="4">
        <v>26019.824561000001</v>
      </c>
      <c r="S32" s="3">
        <v>27435.458361000001</v>
      </c>
      <c r="T32" s="4"/>
      <c r="U32" s="6" t="s">
        <v>100</v>
      </c>
      <c r="V32" s="6" t="s">
        <v>219</v>
      </c>
      <c r="W32" s="8" t="s">
        <v>221</v>
      </c>
      <c r="Z32" s="18">
        <v>275</v>
      </c>
      <c r="AH32" t="s">
        <v>2184</v>
      </c>
      <c r="AI32" s="18">
        <v>185</v>
      </c>
      <c r="AJ32" s="18">
        <v>89</v>
      </c>
      <c r="AM32" s="9">
        <v>0.13800000000000001</v>
      </c>
      <c r="AN32" s="9">
        <v>-2.4E-2</v>
      </c>
      <c r="AP32" t="s">
        <v>2056</v>
      </c>
      <c r="AW32" s="9">
        <v>0.22500000000000001</v>
      </c>
      <c r="BA32" s="9">
        <v>0.18890000000000001</v>
      </c>
      <c r="BB32" s="9">
        <v>0.1</v>
      </c>
      <c r="BC32" s="9"/>
      <c r="BD32" s="9"/>
      <c r="BE32" s="9"/>
      <c r="BI32" s="9">
        <v>0.35</v>
      </c>
      <c r="BJ32" s="9">
        <v>0.89</v>
      </c>
      <c r="BK32" t="s">
        <v>2183</v>
      </c>
      <c r="BL32" s="46"/>
      <c r="BM32" s="46"/>
      <c r="BN32" s="46"/>
      <c r="BO32" s="46"/>
      <c r="BP32" s="46"/>
      <c r="BQ32" s="46"/>
      <c r="BR32" s="46"/>
      <c r="BS32" s="46"/>
      <c r="BT32" s="46"/>
      <c r="BU32" s="46"/>
      <c r="BV32" s="46"/>
      <c r="BW32" s="46"/>
      <c r="BX32" s="46"/>
      <c r="BY32" s="46"/>
      <c r="BZ32" s="46"/>
      <c r="CA32" s="46"/>
    </row>
    <row r="33" spans="1:79" x14ac:dyDescent="0.2">
      <c r="A33">
        <f t="shared" si="2"/>
        <v>30</v>
      </c>
      <c r="B33" s="2" t="s">
        <v>23</v>
      </c>
      <c r="C33" t="s">
        <v>43</v>
      </c>
      <c r="E33" s="4">
        <v>18240.300999999999</v>
      </c>
      <c r="F33" s="4">
        <v>25519.863000000001</v>
      </c>
      <c r="G33" s="4">
        <v>24582.581999999999</v>
      </c>
      <c r="H33" s="4">
        <v>22551.366999999998</v>
      </c>
      <c r="I33" s="4">
        <v>13671.043</v>
      </c>
      <c r="J33" s="4">
        <v>8263.3940000000002</v>
      </c>
      <c r="K33" s="4">
        <v>8612.6959999999999</v>
      </c>
      <c r="L33" s="4">
        <v>8915.153198</v>
      </c>
      <c r="M33" s="4">
        <v>15041.674139000001</v>
      </c>
      <c r="N33" s="4">
        <v>20413.638491999998</v>
      </c>
      <c r="O33" s="4">
        <v>19710.129654</v>
      </c>
      <c r="P33" s="4">
        <v>23844.679154000001</v>
      </c>
      <c r="Q33" s="4">
        <v>25495.400873999999</v>
      </c>
      <c r="R33" s="4">
        <v>25688.066436000001</v>
      </c>
      <c r="S33" s="3">
        <v>26916.931162000001</v>
      </c>
      <c r="T33" s="4">
        <v>29679.535848</v>
      </c>
      <c r="U33" s="6" t="s">
        <v>103</v>
      </c>
      <c r="V33" s="6" t="s">
        <v>219</v>
      </c>
      <c r="W33" s="8" t="s">
        <v>223</v>
      </c>
      <c r="Z33" s="18">
        <v>157</v>
      </c>
      <c r="AI33" s="18">
        <v>114</v>
      </c>
      <c r="AJ33" s="18">
        <v>48</v>
      </c>
      <c r="AM33" s="9">
        <v>0.215</v>
      </c>
      <c r="AP33" s="9">
        <v>0.65</v>
      </c>
      <c r="AU33" s="9">
        <v>0.111</v>
      </c>
      <c r="AV33" s="9">
        <v>-2.4E-2</v>
      </c>
      <c r="AW33" s="9"/>
    </row>
    <row r="34" spans="1:79" x14ac:dyDescent="0.2">
      <c r="A34">
        <f t="shared" si="2"/>
        <v>31</v>
      </c>
      <c r="B34" s="2" t="s">
        <v>41</v>
      </c>
      <c r="C34" t="s">
        <v>40</v>
      </c>
      <c r="D34" s="3">
        <v>58000</v>
      </c>
      <c r="K34" s="4">
        <v>10893.232</v>
      </c>
      <c r="L34" s="4">
        <v>8163.3474310000001</v>
      </c>
      <c r="M34" s="4"/>
      <c r="N34" s="4"/>
      <c r="O34" s="4"/>
      <c r="P34" s="4">
        <v>14053.201713</v>
      </c>
      <c r="Q34" s="4">
        <v>18296.276054999998</v>
      </c>
      <c r="R34" s="4">
        <v>21626.366513000001</v>
      </c>
      <c r="S34" s="3">
        <v>23439.074897999999</v>
      </c>
      <c r="T34" s="4"/>
      <c r="U34" s="6" t="s">
        <v>103</v>
      </c>
      <c r="V34" s="6" t="s">
        <v>219</v>
      </c>
      <c r="W34" s="8" t="s">
        <v>223</v>
      </c>
      <c r="Z34" s="18">
        <v>162</v>
      </c>
      <c r="AI34" s="18">
        <v>80</v>
      </c>
      <c r="AJ34" s="18">
        <v>51</v>
      </c>
      <c r="AM34" s="9">
        <v>0.28499999999999998</v>
      </c>
      <c r="AN34" s="9">
        <v>-0.56000000000000005</v>
      </c>
      <c r="AP34" t="s">
        <v>2069</v>
      </c>
      <c r="AQ34" s="9">
        <v>0.33</v>
      </c>
      <c r="AW34" s="9">
        <v>0.14000000000000001</v>
      </c>
    </row>
    <row r="35" spans="1:79" x14ac:dyDescent="0.2">
      <c r="A35">
        <f t="shared" si="2"/>
        <v>32</v>
      </c>
      <c r="B35" s="2" t="s">
        <v>1483</v>
      </c>
      <c r="Q35" s="3">
        <v>14614.778495</v>
      </c>
      <c r="R35" s="4">
        <v>18282.342143000002</v>
      </c>
      <c r="S35" s="3">
        <v>19859.488243</v>
      </c>
      <c r="T35" s="4">
        <v>25278.910676</v>
      </c>
      <c r="Z35" s="18">
        <v>350</v>
      </c>
      <c r="AI35" s="18">
        <v>669</v>
      </c>
      <c r="AJ35" s="18">
        <v>489</v>
      </c>
    </row>
    <row r="36" spans="1:79" x14ac:dyDescent="0.2">
      <c r="A36">
        <f t="shared" si="2"/>
        <v>33</v>
      </c>
      <c r="B36" s="2" t="s">
        <v>1117</v>
      </c>
      <c r="P36" s="4">
        <v>15091.672815</v>
      </c>
      <c r="Q36" s="4">
        <v>16247.976191</v>
      </c>
      <c r="R36" s="4">
        <v>17284.337379000001</v>
      </c>
      <c r="S36" s="3">
        <v>19590.829975000001</v>
      </c>
      <c r="T36" s="4"/>
      <c r="Z36" s="18">
        <v>56</v>
      </c>
      <c r="AI36" s="18">
        <v>69</v>
      </c>
      <c r="AJ36" s="18">
        <v>51</v>
      </c>
    </row>
    <row r="37" spans="1:79" x14ac:dyDescent="0.2">
      <c r="A37">
        <f t="shared" si="2"/>
        <v>34</v>
      </c>
      <c r="B37" s="2" t="s">
        <v>113</v>
      </c>
      <c r="C37" t="s">
        <v>2068</v>
      </c>
      <c r="P37" s="4">
        <v>14279.722572000001</v>
      </c>
      <c r="Q37" s="4">
        <v>22113.553148999999</v>
      </c>
      <c r="R37" s="4">
        <v>14830.040267</v>
      </c>
      <c r="S37" s="3">
        <v>20437.086147999999</v>
      </c>
      <c r="T37" s="4">
        <v>19718.298022999999</v>
      </c>
      <c r="U37" s="6" t="s">
        <v>97</v>
      </c>
      <c r="V37" s="6" t="s">
        <v>2191</v>
      </c>
      <c r="W37" s="8" t="s">
        <v>2192</v>
      </c>
      <c r="Y37" s="14" t="s">
        <v>2157</v>
      </c>
      <c r="Z37" s="18">
        <v>230</v>
      </c>
      <c r="AH37" t="s">
        <v>2194</v>
      </c>
      <c r="AI37" s="18">
        <v>230</v>
      </c>
      <c r="AJ37" s="18">
        <v>130</v>
      </c>
      <c r="BC37" s="36">
        <v>0.14799999999999999</v>
      </c>
      <c r="BI37" s="14" t="s">
        <v>2193</v>
      </c>
      <c r="BO37" s="9">
        <v>0.22</v>
      </c>
      <c r="BQ37" t="s">
        <v>2300</v>
      </c>
      <c r="BU37" t="s">
        <v>224</v>
      </c>
      <c r="BX37" t="s">
        <v>224</v>
      </c>
    </row>
    <row r="38" spans="1:79" x14ac:dyDescent="0.2">
      <c r="A38">
        <f t="shared" si="2"/>
        <v>35</v>
      </c>
      <c r="B38" s="2" t="s">
        <v>118</v>
      </c>
      <c r="D38" s="3">
        <v>12443</v>
      </c>
      <c r="P38" s="4">
        <v>11407.010893999999</v>
      </c>
      <c r="Q38" s="4">
        <v>18034.949485000001</v>
      </c>
      <c r="R38" s="4">
        <v>13305.426729999999</v>
      </c>
      <c r="S38" s="3">
        <v>24721.213694999999</v>
      </c>
      <c r="T38" s="4"/>
      <c r="U38" s="6" t="s">
        <v>97</v>
      </c>
      <c r="Z38" s="18">
        <v>241</v>
      </c>
      <c r="AA38" s="47">
        <v>8.5599999999999996E-2</v>
      </c>
      <c r="AB38" s="47">
        <v>-6.1100000000000002E-2</v>
      </c>
      <c r="AC38" s="7">
        <v>21</v>
      </c>
      <c r="AI38" s="18">
        <v>286</v>
      </c>
      <c r="AJ38" s="18">
        <v>238</v>
      </c>
      <c r="AL38" s="14" t="s">
        <v>1999</v>
      </c>
      <c r="AM38" s="9">
        <v>4.7100000000000003E-2</v>
      </c>
      <c r="AN38" s="9">
        <v>3.2199999999999999E-2</v>
      </c>
      <c r="AO38" s="9">
        <v>0.13500000000000001</v>
      </c>
      <c r="AP38" s="9">
        <v>0.16309999999999999</v>
      </c>
      <c r="AQ38" s="9">
        <v>8.0199999999999994E-2</v>
      </c>
      <c r="AU38" s="14" t="s">
        <v>2047</v>
      </c>
      <c r="AV38" s="9">
        <v>-2.0799999999999999E-2</v>
      </c>
      <c r="AW38" s="9">
        <v>7.9000000000000001E-2</v>
      </c>
      <c r="AX38" s="9">
        <v>0.1137</v>
      </c>
      <c r="AY38" s="9"/>
      <c r="AZ38" s="9">
        <v>8.4500000000000006E-2</v>
      </c>
    </row>
    <row r="39" spans="1:79" x14ac:dyDescent="0.2">
      <c r="A39">
        <f t="shared" si="2"/>
        <v>36</v>
      </c>
      <c r="B39" s="2" t="s">
        <v>74</v>
      </c>
      <c r="P39" s="4">
        <v>9715.8169170000001</v>
      </c>
      <c r="Q39" s="4">
        <v>10765.194</v>
      </c>
      <c r="R39" s="4">
        <v>13137.112999999999</v>
      </c>
      <c r="T39" s="4"/>
      <c r="U39" s="6" t="s">
        <v>103</v>
      </c>
      <c r="V39" s="6" t="s">
        <v>219</v>
      </c>
      <c r="AI39" s="18">
        <v>89</v>
      </c>
      <c r="AJ39" s="18">
        <v>20</v>
      </c>
      <c r="AU39" s="9">
        <v>0.16200000000000001</v>
      </c>
      <c r="AV39" s="9">
        <v>1.4999999999999999E-2</v>
      </c>
      <c r="AW39" s="9">
        <v>0.56000000000000005</v>
      </c>
    </row>
    <row r="40" spans="1:79" x14ac:dyDescent="0.2">
      <c r="A40">
        <f t="shared" si="2"/>
        <v>37</v>
      </c>
      <c r="B40" s="2" t="s">
        <v>24</v>
      </c>
      <c r="C40" t="s">
        <v>229</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100</v>
      </c>
      <c r="V40" s="6" t="s">
        <v>219</v>
      </c>
      <c r="W40" s="8" t="s">
        <v>221</v>
      </c>
      <c r="X40">
        <v>1997</v>
      </c>
      <c r="Y40" t="s">
        <v>226</v>
      </c>
      <c r="AA40" s="47">
        <f>RATE(2022-1998,0,-1,13.71)</f>
        <v>0.11526111596972678</v>
      </c>
      <c r="AB40" s="47"/>
      <c r="AD40" s="9"/>
      <c r="AE40" s="9"/>
      <c r="AF40" s="9"/>
      <c r="AG40" s="9"/>
      <c r="AH40" s="9"/>
      <c r="AI40" s="18">
        <v>116</v>
      </c>
      <c r="AJ40" s="18">
        <v>56</v>
      </c>
      <c r="AL40" s="9"/>
      <c r="AM40" s="9">
        <v>0.19</v>
      </c>
      <c r="AN40" s="10">
        <v>-0.33</v>
      </c>
      <c r="AO40" s="9">
        <v>-7.0000000000000007E-2</v>
      </c>
      <c r="AP40" s="9" t="s">
        <v>2064</v>
      </c>
      <c r="AQ40" s="9" t="s">
        <v>2065</v>
      </c>
      <c r="AR40" s="9">
        <v>-0.05</v>
      </c>
      <c r="AS40" s="9">
        <v>8.2000000000000003E-2</v>
      </c>
      <c r="AT40" s="9">
        <v>-2.7E-2</v>
      </c>
      <c r="AU40" s="9">
        <v>8.7999999999999995E-2</v>
      </c>
      <c r="AV40" s="9">
        <v>4.0000000000000001E-3</v>
      </c>
      <c r="AW40" s="9">
        <v>0.14199999999999999</v>
      </c>
      <c r="AX40" s="9">
        <v>0.193</v>
      </c>
      <c r="AY40" s="9">
        <v>8.0000000000000002E-3</v>
      </c>
      <c r="AZ40" s="9">
        <v>0.126</v>
      </c>
      <c r="BA40" s="9">
        <v>0.14000000000000001</v>
      </c>
      <c r="BB40" s="9">
        <v>-0.32900000000000001</v>
      </c>
      <c r="BC40" s="9">
        <v>0.46200000000000002</v>
      </c>
      <c r="BD40" s="9">
        <v>0.13700000000000001</v>
      </c>
      <c r="BE40" s="9">
        <v>0.25900000000000001</v>
      </c>
      <c r="BF40" s="9">
        <v>0.14599999999999999</v>
      </c>
      <c r="BG40" s="9">
        <v>8.2000000000000003E-2</v>
      </c>
      <c r="BH40" s="9">
        <v>0.14599999999999999</v>
      </c>
      <c r="BI40" s="9" t="s">
        <v>2177</v>
      </c>
      <c r="BJ40" s="9" t="s">
        <v>2175</v>
      </c>
      <c r="BK40" s="9" t="s">
        <v>2176</v>
      </c>
      <c r="BL40" s="9" t="s">
        <v>2174</v>
      </c>
      <c r="BM40" s="58"/>
      <c r="BN40" s="58"/>
      <c r="BO40" s="58"/>
      <c r="BP40" s="58"/>
      <c r="BQ40" s="58"/>
      <c r="BR40" s="58"/>
      <c r="BS40" s="46"/>
      <c r="BT40" s="46"/>
      <c r="BU40" s="46"/>
      <c r="BV40" s="46"/>
      <c r="BW40" s="46"/>
      <c r="BX40" s="46"/>
      <c r="BY40" s="46"/>
      <c r="BZ40" s="46"/>
      <c r="CA40" s="46"/>
    </row>
    <row r="41" spans="1:79" x14ac:dyDescent="0.2">
      <c r="A41">
        <f t="shared" si="2"/>
        <v>38</v>
      </c>
      <c r="B41" s="2" t="s">
        <v>704</v>
      </c>
      <c r="P41" s="4">
        <v>9195.4703219999992</v>
      </c>
      <c r="Q41" s="4">
        <v>10864.610456</v>
      </c>
      <c r="R41" s="4">
        <v>10428.664277</v>
      </c>
      <c r="S41" s="4"/>
      <c r="T41" s="4"/>
      <c r="AI41" s="18">
        <v>71</v>
      </c>
      <c r="AJ41" s="18">
        <v>63</v>
      </c>
      <c r="BB41" s="9"/>
      <c r="BC41" s="9"/>
    </row>
    <row r="42" spans="1:79" x14ac:dyDescent="0.2">
      <c r="A42">
        <f t="shared" si="2"/>
        <v>39</v>
      </c>
      <c r="B42" s="2" t="s">
        <v>34</v>
      </c>
      <c r="C42" t="s">
        <v>57</v>
      </c>
      <c r="K42" s="4">
        <v>7877.0450000000001</v>
      </c>
      <c r="P42" s="4">
        <v>10396.017618</v>
      </c>
      <c r="Q42" s="4">
        <v>10761.092092999999</v>
      </c>
      <c r="R42" s="4">
        <v>10411.823</v>
      </c>
      <c r="S42" s="40">
        <v>12916.077581</v>
      </c>
      <c r="T42" s="4"/>
      <c r="U42" s="6" t="s">
        <v>98</v>
      </c>
      <c r="X42">
        <v>2004</v>
      </c>
      <c r="AA42" s="47">
        <v>0.10059999999999999</v>
      </c>
      <c r="AB42" s="47">
        <v>-0.39810000000000001</v>
      </c>
      <c r="AC42" s="7">
        <v>9</v>
      </c>
      <c r="AI42" s="18">
        <v>35</v>
      </c>
      <c r="AJ42" s="18">
        <v>14</v>
      </c>
      <c r="AM42" s="9">
        <v>0.26300000000000001</v>
      </c>
      <c r="AN42" s="9">
        <v>-8.7999999999999995E-2</v>
      </c>
      <c r="AP42" s="9">
        <v>0.7</v>
      </c>
      <c r="AR42" s="14" t="s">
        <v>2030</v>
      </c>
      <c r="AS42" s="9">
        <v>-0.03</v>
      </c>
      <c r="AT42" s="9">
        <v>-0.10199999999999999</v>
      </c>
      <c r="AU42" s="9">
        <v>-0.1666</v>
      </c>
      <c r="AV42" s="9">
        <v>0.37240000000000001</v>
      </c>
      <c r="AW42" s="9">
        <v>9.2999999999999999E-2</v>
      </c>
      <c r="AX42" s="9">
        <v>0.1239</v>
      </c>
      <c r="AZ42" s="9">
        <v>0.29670000000000002</v>
      </c>
      <c r="BA42" s="9">
        <v>0.41210000000000002</v>
      </c>
      <c r="BB42" s="9">
        <v>-0.11899999999999999</v>
      </c>
      <c r="BC42" s="9"/>
      <c r="BP42" s="46"/>
      <c r="BQ42" s="46"/>
      <c r="BR42" s="46"/>
      <c r="BS42" s="46"/>
      <c r="BT42" s="46"/>
      <c r="BU42" s="46"/>
      <c r="BV42" s="46"/>
      <c r="BW42" s="46"/>
      <c r="BX42" s="46"/>
      <c r="BY42" s="46"/>
      <c r="BZ42" s="46"/>
      <c r="CA42" s="46"/>
    </row>
    <row r="43" spans="1:79" x14ac:dyDescent="0.2">
      <c r="A43">
        <f t="shared" si="2"/>
        <v>40</v>
      </c>
      <c r="B43" s="2" t="s">
        <v>37</v>
      </c>
      <c r="C43" t="s">
        <v>64</v>
      </c>
      <c r="K43" s="4">
        <v>9662.6350000000002</v>
      </c>
      <c r="P43" s="4">
        <v>9098.0169999999998</v>
      </c>
      <c r="Q43" s="4">
        <v>16121.624497999999</v>
      </c>
      <c r="R43" s="4">
        <v>10403.976000000001</v>
      </c>
      <c r="S43" s="40">
        <v>19307.976052000002</v>
      </c>
      <c r="T43" s="4"/>
      <c r="U43" s="6" t="s">
        <v>97</v>
      </c>
      <c r="W43" s="8" t="s">
        <v>223</v>
      </c>
      <c r="AI43" s="18">
        <v>610</v>
      </c>
      <c r="AJ43" s="18">
        <v>346</v>
      </c>
      <c r="AM43" s="9">
        <v>4.7E-2</v>
      </c>
      <c r="AN43" s="36">
        <v>5.9200000000000003E-2</v>
      </c>
      <c r="AP43" s="9">
        <v>0.13</v>
      </c>
      <c r="AT43" s="9">
        <v>0.13100000000000001</v>
      </c>
      <c r="AU43" s="9">
        <v>2.7E-2</v>
      </c>
      <c r="AZ43" s="9">
        <v>7.3999999999999996E-2</v>
      </c>
      <c r="BA43" s="9">
        <v>0.307</v>
      </c>
      <c r="BB43" s="9">
        <v>-0.03</v>
      </c>
      <c r="BC43" s="9"/>
    </row>
    <row r="44" spans="1:79" x14ac:dyDescent="0.2">
      <c r="A44">
        <f t="shared" si="2"/>
        <v>41</v>
      </c>
      <c r="B44" s="2" t="s">
        <v>122</v>
      </c>
      <c r="P44" s="4">
        <v>8039.3069999999998</v>
      </c>
      <c r="Q44" s="4">
        <v>13105.837</v>
      </c>
      <c r="R44" s="4">
        <v>9124.2090000000007</v>
      </c>
      <c r="S44" s="4"/>
      <c r="T44" s="4">
        <v>14580.495000000001</v>
      </c>
      <c r="U44" s="6" t="s">
        <v>97</v>
      </c>
      <c r="V44" s="6" t="s">
        <v>5</v>
      </c>
      <c r="AI44" s="18">
        <v>735</v>
      </c>
      <c r="AJ44" s="18">
        <v>377</v>
      </c>
      <c r="AO44" s="9">
        <v>5.5E-2</v>
      </c>
      <c r="BA44" s="9"/>
      <c r="BB44" s="9"/>
      <c r="BC44" s="9"/>
    </row>
    <row r="45" spans="1:79" x14ac:dyDescent="0.2">
      <c r="A45">
        <f t="shared" si="2"/>
        <v>42</v>
      </c>
      <c r="B45" s="2" t="s">
        <v>125</v>
      </c>
      <c r="C45" t="s">
        <v>2035</v>
      </c>
      <c r="D45" s="3">
        <v>2644</v>
      </c>
      <c r="P45" s="4">
        <v>7226.6135880000002</v>
      </c>
      <c r="Q45" s="4">
        <v>15722.796598999999</v>
      </c>
      <c r="R45" s="4">
        <v>8920.1430419999997</v>
      </c>
      <c r="S45" s="40">
        <v>27481.210075999999</v>
      </c>
      <c r="T45" s="4"/>
      <c r="U45" s="6" t="s">
        <v>97</v>
      </c>
      <c r="W45" s="8" t="s">
        <v>221</v>
      </c>
      <c r="X45">
        <v>2011</v>
      </c>
      <c r="AA45" s="47">
        <v>4.6699999999999998E-2</v>
      </c>
      <c r="AB45" s="47">
        <v>-6.0100000000000001E-2</v>
      </c>
      <c r="AC45" s="7">
        <v>17</v>
      </c>
      <c r="AH45" t="s">
        <v>2220</v>
      </c>
      <c r="AI45" s="18">
        <v>225</v>
      </c>
      <c r="AJ45" s="18">
        <v>130</v>
      </c>
      <c r="AN45" s="9">
        <v>0.1</v>
      </c>
      <c r="AP45" s="9">
        <v>0.16</v>
      </c>
      <c r="AR45" s="10" t="s">
        <v>2037</v>
      </c>
      <c r="AS45" s="9">
        <v>-2.2100000000000002E-2</v>
      </c>
      <c r="AT45" s="9">
        <v>9.5999999999999992E-3</v>
      </c>
      <c r="AU45" s="9">
        <v>1.4200000000000001E-2</v>
      </c>
      <c r="AV45" s="9">
        <v>3.4700000000000002E-2</v>
      </c>
      <c r="AW45" s="9">
        <v>0.1429</v>
      </c>
      <c r="AX45" s="9">
        <v>6.2700000000000006E-2</v>
      </c>
      <c r="BA45" s="9"/>
      <c r="BB45" s="9"/>
      <c r="BC45" s="9"/>
      <c r="BI45" s="14" t="s">
        <v>2178</v>
      </c>
      <c r="BJ45" s="14" t="s">
        <v>2221</v>
      </c>
      <c r="BK45" s="14" t="s">
        <v>2208</v>
      </c>
      <c r="BP45" t="s">
        <v>2313</v>
      </c>
      <c r="BQ45" t="s">
        <v>2209</v>
      </c>
      <c r="BU45" s="14"/>
      <c r="BV45" s="14" t="s">
        <v>2332</v>
      </c>
      <c r="BW45" s="9">
        <v>2.0099999999999998</v>
      </c>
      <c r="BX45" s="9"/>
      <c r="BY45" s="9"/>
      <c r="BZ45" s="9"/>
      <c r="CA45" s="9"/>
    </row>
    <row r="46" spans="1:79" x14ac:dyDescent="0.2">
      <c r="A46">
        <f t="shared" si="2"/>
        <v>43</v>
      </c>
      <c r="B46" s="2" t="s">
        <v>28</v>
      </c>
      <c r="C46" t="s">
        <v>2036</v>
      </c>
      <c r="K46" s="4">
        <v>15269.446</v>
      </c>
      <c r="L46" s="4">
        <v>16651.382602000001</v>
      </c>
      <c r="M46" s="4"/>
      <c r="N46" s="4"/>
      <c r="O46" s="4"/>
      <c r="P46" s="4">
        <v>8788.6</v>
      </c>
      <c r="Q46" s="4">
        <v>7971.7070219999996</v>
      </c>
      <c r="R46" s="4">
        <v>7825.0776640000004</v>
      </c>
      <c r="S46" s="40">
        <v>9648.7575620000007</v>
      </c>
      <c r="T46" s="4"/>
      <c r="U46" s="6" t="s">
        <v>102</v>
      </c>
      <c r="V46" s="6" t="s">
        <v>217</v>
      </c>
      <c r="W46" s="8" t="s">
        <v>223</v>
      </c>
      <c r="X46">
        <v>2000</v>
      </c>
      <c r="AI46" s="18">
        <v>25</v>
      </c>
      <c r="AJ46" s="18">
        <v>18</v>
      </c>
      <c r="BA46" s="9"/>
      <c r="BB46" s="9"/>
      <c r="BC46" s="9"/>
    </row>
    <row r="47" spans="1:79" x14ac:dyDescent="0.2">
      <c r="A47">
        <f t="shared" si="2"/>
        <v>44</v>
      </c>
      <c r="B47" s="2" t="s">
        <v>193</v>
      </c>
      <c r="P47" s="4">
        <v>6022.7922609999996</v>
      </c>
      <c r="Q47" s="4">
        <v>6509.2613659999997</v>
      </c>
      <c r="R47" s="4">
        <v>6731.5987759999998</v>
      </c>
      <c r="S47" s="40">
        <v>6753.6207880000002</v>
      </c>
      <c r="T47" s="4"/>
      <c r="AI47" s="18">
        <v>37</v>
      </c>
      <c r="AJ47" s="18">
        <v>18</v>
      </c>
      <c r="BA47" s="9"/>
      <c r="BP47" s="46"/>
      <c r="BQ47" s="46"/>
      <c r="BR47" s="46"/>
      <c r="BS47" s="46"/>
      <c r="BT47" s="46"/>
      <c r="BU47" s="46"/>
      <c r="BV47" s="46"/>
      <c r="BW47" s="46"/>
      <c r="BX47" s="46"/>
      <c r="BY47" s="46"/>
      <c r="BZ47" s="46"/>
      <c r="CA47" s="46"/>
    </row>
    <row r="48" spans="1:79" x14ac:dyDescent="0.2">
      <c r="A48">
        <f t="shared" si="2"/>
        <v>45</v>
      </c>
      <c r="B48" s="2" t="s">
        <v>1262</v>
      </c>
      <c r="C48" t="s">
        <v>1263</v>
      </c>
      <c r="R48" s="4">
        <v>4624.241779</v>
      </c>
      <c r="S48" s="40"/>
      <c r="T48" s="4"/>
      <c r="U48" s="6" t="s">
        <v>1264</v>
      </c>
      <c r="W48" s="8" t="s">
        <v>222</v>
      </c>
      <c r="AI48" s="18">
        <v>40</v>
      </c>
      <c r="AJ48" s="18">
        <v>35</v>
      </c>
      <c r="BA48" s="9"/>
    </row>
    <row r="49" spans="1:79" x14ac:dyDescent="0.2">
      <c r="A49">
        <f t="shared" si="2"/>
        <v>46</v>
      </c>
      <c r="B49" s="2" t="s">
        <v>699</v>
      </c>
      <c r="C49" t="s">
        <v>700</v>
      </c>
      <c r="P49" s="4">
        <v>7646.3701709999996</v>
      </c>
      <c r="Q49" s="4">
        <v>6015.3861489999999</v>
      </c>
      <c r="R49" s="4">
        <v>4445.503232</v>
      </c>
      <c r="S49" s="40">
        <v>6921.9886100000003</v>
      </c>
      <c r="T49" s="4"/>
      <c r="AG49" t="s">
        <v>2308</v>
      </c>
      <c r="AI49" s="18">
        <v>261</v>
      </c>
      <c r="AJ49" s="18">
        <v>109</v>
      </c>
      <c r="AZ49" s="9">
        <v>2.63E-2</v>
      </c>
      <c r="BA49" s="9">
        <v>0.29020000000000001</v>
      </c>
      <c r="BB49" s="9">
        <v>0.08</v>
      </c>
      <c r="BI49" s="14" t="s">
        <v>2148</v>
      </c>
      <c r="BJ49" t="s">
        <v>2147</v>
      </c>
      <c r="BN49" s="14" t="s">
        <v>2376</v>
      </c>
      <c r="BO49" s="14" t="s">
        <v>2309</v>
      </c>
      <c r="BP49" s="14" t="s">
        <v>2346</v>
      </c>
      <c r="BQ49" s="14" t="s">
        <v>2243</v>
      </c>
      <c r="BS49" t="s">
        <v>2283</v>
      </c>
      <c r="BV49" t="s">
        <v>2339</v>
      </c>
    </row>
    <row r="50" spans="1:79" x14ac:dyDescent="0.2">
      <c r="A50">
        <f t="shared" si="2"/>
        <v>47</v>
      </c>
      <c r="B50" s="2" t="s">
        <v>31</v>
      </c>
      <c r="C50" t="s">
        <v>53</v>
      </c>
      <c r="K50" s="4">
        <v>5764.9269999999997</v>
      </c>
      <c r="P50" s="4">
        <v>7325.2073769999997</v>
      </c>
      <c r="Q50" s="4">
        <v>7540.5650059999998</v>
      </c>
      <c r="R50" s="4">
        <f>7947.899974-1947.744-2122.458</f>
        <v>3877.6979740000002</v>
      </c>
      <c r="S50" s="40">
        <v>6252.6514749999997</v>
      </c>
      <c r="T50" s="4"/>
      <c r="U50" s="6" t="s">
        <v>102</v>
      </c>
      <c r="V50" s="6" t="s">
        <v>220</v>
      </c>
      <c r="W50" s="8" t="s">
        <v>223</v>
      </c>
      <c r="AI50" s="18">
        <v>42</v>
      </c>
      <c r="AJ50" s="18">
        <v>28</v>
      </c>
      <c r="AL50" s="9">
        <v>0.156</v>
      </c>
      <c r="AM50" s="14" t="s">
        <v>1857</v>
      </c>
      <c r="AY50" t="s">
        <v>2067</v>
      </c>
      <c r="BP50" s="46"/>
      <c r="BQ50" s="46"/>
      <c r="BR50" s="46"/>
      <c r="BS50" s="46"/>
      <c r="BT50" s="46"/>
      <c r="BU50" s="46"/>
      <c r="BV50" s="46"/>
      <c r="BW50" s="46"/>
      <c r="BX50" s="46"/>
      <c r="BY50" s="46"/>
      <c r="BZ50" s="46"/>
      <c r="CA50" s="46"/>
    </row>
    <row r="51" spans="1:79" x14ac:dyDescent="0.2">
      <c r="A51">
        <f t="shared" si="2"/>
        <v>48</v>
      </c>
      <c r="B51" s="2" t="s">
        <v>683</v>
      </c>
      <c r="C51" t="s">
        <v>684</v>
      </c>
      <c r="P51" s="4">
        <v>7239.756496</v>
      </c>
      <c r="Q51" s="4">
        <v>8573.5128289999993</v>
      </c>
      <c r="R51" s="4">
        <v>7508.4004830000003</v>
      </c>
      <c r="S51" s="40">
        <v>6858.151355</v>
      </c>
      <c r="T51" s="4"/>
      <c r="U51" s="6" t="s">
        <v>102</v>
      </c>
      <c r="V51" s="6" t="s">
        <v>220</v>
      </c>
      <c r="W51" s="8" t="s">
        <v>223</v>
      </c>
      <c r="AI51" s="18">
        <v>8</v>
      </c>
      <c r="AJ51" s="18">
        <v>3</v>
      </c>
      <c r="AL51" s="14" t="s">
        <v>1871</v>
      </c>
      <c r="AM51" s="14" t="s">
        <v>1855</v>
      </c>
      <c r="AO51" s="14" t="s">
        <v>1870</v>
      </c>
      <c r="BP51" s="46"/>
      <c r="BQ51" s="46"/>
      <c r="BR51" s="46"/>
      <c r="BS51" s="46"/>
      <c r="BT51" s="46"/>
      <c r="BU51" s="46"/>
      <c r="BV51" s="46"/>
      <c r="BW51" s="46"/>
      <c r="BX51" s="46"/>
      <c r="BY51" s="46"/>
      <c r="BZ51" s="46"/>
      <c r="CA51" s="46"/>
    </row>
    <row r="52" spans="1:79" x14ac:dyDescent="0.2">
      <c r="A52">
        <f t="shared" si="2"/>
        <v>49</v>
      </c>
      <c r="B52" s="2" t="s">
        <v>146</v>
      </c>
      <c r="C52" t="s">
        <v>2136</v>
      </c>
      <c r="P52" s="4">
        <v>6657.7015229999997</v>
      </c>
      <c r="Q52" s="4">
        <v>7055.741</v>
      </c>
      <c r="R52" s="4">
        <v>6200.2780000000002</v>
      </c>
      <c r="S52" s="40">
        <v>7096.8695399999997</v>
      </c>
      <c r="T52" s="4"/>
      <c r="AI52" s="18">
        <v>74</v>
      </c>
      <c r="AJ52" s="18">
        <v>38</v>
      </c>
    </row>
    <row r="53" spans="1:79" x14ac:dyDescent="0.2">
      <c r="A53">
        <f t="shared" si="2"/>
        <v>50</v>
      </c>
      <c r="B53" s="2" t="s">
        <v>108</v>
      </c>
      <c r="C53" t="s">
        <v>1926</v>
      </c>
      <c r="D53" s="3">
        <v>30000</v>
      </c>
      <c r="P53" s="4">
        <v>994.40635199999997</v>
      </c>
      <c r="Q53" s="4">
        <v>11097.710771</v>
      </c>
      <c r="R53" s="4">
        <v>11191.824216999999</v>
      </c>
      <c r="S53" s="40">
        <v>14365.128336</v>
      </c>
      <c r="T53" s="4"/>
      <c r="X53">
        <v>2002</v>
      </c>
      <c r="AI53" s="18">
        <v>540</v>
      </c>
      <c r="AJ53" s="18">
        <v>302</v>
      </c>
      <c r="AN53" t="s">
        <v>1927</v>
      </c>
      <c r="AP53" s="9">
        <v>0.27</v>
      </c>
    </row>
    <row r="54" spans="1:79" x14ac:dyDescent="0.2">
      <c r="A54">
        <f t="shared" si="2"/>
        <v>51</v>
      </c>
      <c r="B54" s="2" t="s">
        <v>36</v>
      </c>
      <c r="C54" t="s">
        <v>63</v>
      </c>
      <c r="K54" s="4">
        <v>5534.759</v>
      </c>
      <c r="P54" s="4">
        <v>6638.1859999999997</v>
      </c>
      <c r="Q54" s="4">
        <v>7847.317</v>
      </c>
      <c r="R54" s="4">
        <v>8737.3967329999996</v>
      </c>
      <c r="S54" s="40">
        <v>7430.9920330000004</v>
      </c>
      <c r="T54" s="4"/>
      <c r="U54" s="6" t="s">
        <v>100</v>
      </c>
      <c r="V54" s="6" t="s">
        <v>220</v>
      </c>
      <c r="W54" s="8" t="s">
        <v>223</v>
      </c>
      <c r="AI54" s="18">
        <v>66</v>
      </c>
      <c r="AJ54" s="18">
        <v>52</v>
      </c>
      <c r="AP54" s="9">
        <v>0.21</v>
      </c>
      <c r="AW54" s="9">
        <v>0.2525</v>
      </c>
      <c r="AX54" s="9">
        <v>0.215</v>
      </c>
      <c r="AZ54" s="14" t="s">
        <v>2042</v>
      </c>
    </row>
    <row r="55" spans="1:79" x14ac:dyDescent="0.2">
      <c r="A55">
        <f t="shared" si="2"/>
        <v>52</v>
      </c>
      <c r="B55" s="2" t="s">
        <v>50</v>
      </c>
      <c r="C55" t="s">
        <v>73</v>
      </c>
      <c r="K55" s="4">
        <v>4687.527</v>
      </c>
      <c r="P55" s="4">
        <v>6402.4992599999996</v>
      </c>
      <c r="Q55" s="4">
        <v>7798.7951620000003</v>
      </c>
      <c r="R55" s="4">
        <v>7560.7666689999996</v>
      </c>
      <c r="S55" s="40">
        <v>8673.5792529999999</v>
      </c>
      <c r="T55" s="4"/>
      <c r="U55" s="6" t="s">
        <v>102</v>
      </c>
      <c r="W55" s="8" t="s">
        <v>1203</v>
      </c>
      <c r="AI55" s="18">
        <v>58</v>
      </c>
      <c r="AJ55" s="18">
        <v>7</v>
      </c>
      <c r="AL55" s="14" t="s">
        <v>1876</v>
      </c>
      <c r="AM55" s="14" t="s">
        <v>1859</v>
      </c>
      <c r="AO55" s="36">
        <v>-4.4999999999999998E-2</v>
      </c>
      <c r="BP55" s="46"/>
      <c r="BQ55" s="46"/>
      <c r="BR55" s="46"/>
      <c r="BS55" s="46"/>
      <c r="BT55" s="46"/>
      <c r="BU55" s="46"/>
      <c r="BV55" s="46"/>
      <c r="BW55" s="46"/>
      <c r="BX55" s="46"/>
      <c r="BY55" s="46"/>
      <c r="BZ55" s="46"/>
      <c r="CA55" s="46"/>
    </row>
    <row r="56" spans="1:79" x14ac:dyDescent="0.2">
      <c r="A56">
        <f t="shared" si="2"/>
        <v>53</v>
      </c>
      <c r="B56" s="2" t="s">
        <v>1311</v>
      </c>
      <c r="C56" t="s">
        <v>1312</v>
      </c>
      <c r="P56" s="40">
        <v>7239.2522529999997</v>
      </c>
      <c r="Q56" s="40"/>
      <c r="R56" s="4">
        <v>7347.2569720000001</v>
      </c>
      <c r="S56" s="40">
        <v>6715.538063</v>
      </c>
      <c r="T56" s="4">
        <v>7037.6912810000003</v>
      </c>
      <c r="X56">
        <v>2007</v>
      </c>
      <c r="AI56" s="18">
        <v>27</v>
      </c>
      <c r="AJ56" s="18">
        <v>21</v>
      </c>
      <c r="AM56" s="9">
        <v>0.254</v>
      </c>
    </row>
    <row r="57" spans="1:79" x14ac:dyDescent="0.2">
      <c r="A57">
        <f t="shared" si="2"/>
        <v>54</v>
      </c>
      <c r="B57" s="2" t="s">
        <v>30</v>
      </c>
      <c r="C57" t="s">
        <v>52</v>
      </c>
      <c r="K57" s="4">
        <v>4337.6009999999997</v>
      </c>
      <c r="P57" s="4">
        <v>6401.9011270000001</v>
      </c>
      <c r="Q57" s="4">
        <v>6774.5774160000001</v>
      </c>
      <c r="R57" s="4">
        <v>6459.1653580000002</v>
      </c>
      <c r="S57" s="40">
        <v>6911.1471549999997</v>
      </c>
      <c r="T57" s="4">
        <v>6612.7763599999998</v>
      </c>
      <c r="U57" s="6" t="s">
        <v>102</v>
      </c>
      <c r="V57" s="6" t="s">
        <v>220</v>
      </c>
      <c r="W57" s="8" t="s">
        <v>223</v>
      </c>
      <c r="AI57" s="18">
        <v>53</v>
      </c>
      <c r="AJ57" s="18">
        <v>31</v>
      </c>
      <c r="AL57" s="14" t="s">
        <v>1875</v>
      </c>
      <c r="AM57" s="14" t="s">
        <v>1856</v>
      </c>
      <c r="AO57" s="9">
        <v>-0.09</v>
      </c>
      <c r="BI57" s="46"/>
      <c r="BJ57" s="46"/>
      <c r="BK57" s="46"/>
      <c r="BL57" s="46"/>
      <c r="BM57" s="46"/>
      <c r="BN57" s="46"/>
      <c r="BO57" s="46"/>
      <c r="BP57" s="46"/>
      <c r="BQ57" s="46"/>
      <c r="BR57" s="46"/>
      <c r="BS57" s="46"/>
      <c r="BT57" s="46"/>
      <c r="BU57" s="46"/>
      <c r="BV57" s="46"/>
      <c r="BW57" s="46"/>
      <c r="BX57" s="46"/>
      <c r="BY57" s="46"/>
      <c r="BZ57" s="46"/>
      <c r="CA57" s="46"/>
    </row>
    <row r="58" spans="1:79" x14ac:dyDescent="0.2">
      <c r="A58">
        <f t="shared" si="2"/>
        <v>55</v>
      </c>
      <c r="B58" s="2" t="s">
        <v>186</v>
      </c>
      <c r="C58" t="s">
        <v>1510</v>
      </c>
      <c r="D58" s="3">
        <v>3400</v>
      </c>
      <c r="P58" s="4">
        <v>5804.0060729999996</v>
      </c>
      <c r="Q58" s="4">
        <v>6264.9441550000001</v>
      </c>
      <c r="R58" s="4">
        <v>5762.68912</v>
      </c>
      <c r="S58" s="40">
        <v>5410.9118349999999</v>
      </c>
      <c r="T58" s="4">
        <v>8704.8744779999997</v>
      </c>
      <c r="U58" s="6" t="s">
        <v>97</v>
      </c>
      <c r="V58" s="6" t="s">
        <v>101</v>
      </c>
      <c r="W58" s="8" t="s">
        <v>223</v>
      </c>
      <c r="X58">
        <v>1989</v>
      </c>
      <c r="AA58" s="47">
        <v>0.15790000000000001</v>
      </c>
      <c r="AB58" s="47">
        <v>-0.1845</v>
      </c>
      <c r="AC58" s="7">
        <v>13</v>
      </c>
      <c r="AI58" s="18">
        <v>156</v>
      </c>
      <c r="AJ58" s="18">
        <v>130</v>
      </c>
      <c r="AP58" t="s">
        <v>2123</v>
      </c>
      <c r="AQ58" s="55" t="s">
        <v>2124</v>
      </c>
      <c r="AR58" s="10" t="s">
        <v>2034</v>
      </c>
      <c r="AS58" s="9">
        <v>1.04E-2</v>
      </c>
      <c r="AT58" s="9">
        <v>5.1299999999999998E-2</v>
      </c>
      <c r="AU58" s="9">
        <v>3.4299999999999997E-2</v>
      </c>
      <c r="AV58" s="9">
        <v>1.7399999999999999E-2</v>
      </c>
      <c r="AW58" s="9">
        <v>0.17019999999999999</v>
      </c>
      <c r="AX58" s="9">
        <v>8.8200000000000001E-2</v>
      </c>
      <c r="BI58" s="14" t="s">
        <v>2210</v>
      </c>
      <c r="BO58" s="9">
        <v>0.22</v>
      </c>
      <c r="BP58" s="14" t="s">
        <v>2345</v>
      </c>
      <c r="BQ58" s="14" t="s">
        <v>2252</v>
      </c>
    </row>
    <row r="59" spans="1:79" x14ac:dyDescent="0.2">
      <c r="A59">
        <f t="shared" si="2"/>
        <v>56</v>
      </c>
      <c r="B59" s="2" t="s">
        <v>1313</v>
      </c>
      <c r="R59" s="4">
        <v>5962.9456989999999</v>
      </c>
      <c r="S59" s="4"/>
      <c r="T59" s="4"/>
      <c r="AI59" s="18">
        <v>33</v>
      </c>
      <c r="AJ59" s="18">
        <v>20</v>
      </c>
    </row>
    <row r="60" spans="1:79" x14ac:dyDescent="0.2">
      <c r="A60">
        <f t="shared" si="2"/>
        <v>57</v>
      </c>
      <c r="B60" s="2" t="s">
        <v>1290</v>
      </c>
      <c r="Q60" s="3">
        <v>6585.0032899999997</v>
      </c>
      <c r="R60" s="4">
        <v>6493.7931159999998</v>
      </c>
      <c r="S60" s="40">
        <v>6265.0225209999999</v>
      </c>
      <c r="T60" s="4"/>
      <c r="AI60" s="18">
        <v>24</v>
      </c>
      <c r="AJ60" s="18">
        <v>13</v>
      </c>
    </row>
    <row r="61" spans="1:79" x14ac:dyDescent="0.2">
      <c r="A61">
        <f t="shared" si="2"/>
        <v>58</v>
      </c>
      <c r="B61" s="2" t="s">
        <v>68</v>
      </c>
      <c r="C61" t="s">
        <v>698</v>
      </c>
      <c r="P61" s="4">
        <v>5790.9848439999996</v>
      </c>
      <c r="Q61" s="4">
        <v>6754.8326580000003</v>
      </c>
      <c r="R61" s="4">
        <v>6175.3697439999996</v>
      </c>
      <c r="S61" s="40">
        <v>6463.9018990000004</v>
      </c>
      <c r="T61" s="4"/>
      <c r="AI61" s="18">
        <v>30</v>
      </c>
      <c r="AJ61" s="18">
        <v>18</v>
      </c>
      <c r="AL61" s="9"/>
      <c r="AM61" s="9">
        <v>0.18</v>
      </c>
      <c r="AN61" s="36">
        <v>8.2500000000000004E-2</v>
      </c>
      <c r="AP61" t="s">
        <v>2060</v>
      </c>
      <c r="AU61" s="9">
        <v>0.11</v>
      </c>
      <c r="AV61" s="9">
        <v>2.1999999999999999E-2</v>
      </c>
      <c r="AW61" s="9"/>
      <c r="AX61" s="9">
        <v>0.29270000000000002</v>
      </c>
      <c r="AZ61" s="9">
        <v>0.27660000000000001</v>
      </c>
      <c r="BI61" s="14" t="s">
        <v>2155</v>
      </c>
      <c r="BJ61" s="14" t="s">
        <v>2154</v>
      </c>
      <c r="BQ61" t="s">
        <v>224</v>
      </c>
      <c r="BR61" s="46"/>
      <c r="BS61" s="46"/>
      <c r="BT61" s="46"/>
      <c r="BU61" s="46"/>
      <c r="BV61" s="46"/>
      <c r="BW61" s="46"/>
      <c r="BX61" s="46"/>
      <c r="BY61" s="46"/>
      <c r="BZ61" s="46"/>
      <c r="CA61" s="46"/>
    </row>
    <row r="62" spans="1:79" x14ac:dyDescent="0.2">
      <c r="A62">
        <f t="shared" si="2"/>
        <v>59</v>
      </c>
      <c r="B62" s="2" t="s">
        <v>115</v>
      </c>
      <c r="C62" t="s">
        <v>2063</v>
      </c>
      <c r="P62" s="4">
        <v>5690.6374500000002</v>
      </c>
      <c r="Q62" s="4">
        <v>6575.6770040000001</v>
      </c>
      <c r="R62" s="4">
        <v>5928.6970179999998</v>
      </c>
      <c r="S62" s="40">
        <v>5176.9134199999999</v>
      </c>
      <c r="T62" s="4">
        <v>6016.8519999999999</v>
      </c>
      <c r="AI62" s="18">
        <v>49</v>
      </c>
      <c r="AJ62" s="18">
        <v>45</v>
      </c>
      <c r="AP62" s="9">
        <v>0.6</v>
      </c>
      <c r="BP62" s="46"/>
      <c r="BQ62" s="46"/>
      <c r="BR62" s="46"/>
      <c r="BS62" s="46"/>
      <c r="BT62" s="46"/>
      <c r="BU62" s="46"/>
      <c r="BV62" s="46"/>
      <c r="BW62" s="46"/>
      <c r="BX62" s="46"/>
      <c r="BY62" s="46"/>
      <c r="BZ62" s="46"/>
      <c r="CA62" s="46"/>
    </row>
    <row r="63" spans="1:79" x14ac:dyDescent="0.2">
      <c r="A63">
        <f t="shared" si="2"/>
        <v>60</v>
      </c>
      <c r="B63" s="2" t="s">
        <v>75</v>
      </c>
      <c r="C63" t="s">
        <v>2062</v>
      </c>
      <c r="P63" s="4">
        <v>5594.1384889999999</v>
      </c>
      <c r="Q63" s="4">
        <v>6729.0528919999997</v>
      </c>
      <c r="R63" s="4">
        <v>7054.8539330000003</v>
      </c>
      <c r="S63" s="44">
        <v>7130.0089090000001</v>
      </c>
      <c r="T63" s="4"/>
      <c r="AI63" s="18">
        <v>30</v>
      </c>
      <c r="AJ63" s="18">
        <v>20</v>
      </c>
      <c r="AP63" t="s">
        <v>2061</v>
      </c>
      <c r="BP63" s="46"/>
      <c r="BQ63" s="46"/>
      <c r="BR63" s="46"/>
      <c r="BS63" s="46"/>
      <c r="BT63" s="46"/>
      <c r="BU63" s="46"/>
      <c r="BV63" s="46"/>
      <c r="BW63" s="46"/>
      <c r="BX63" s="46"/>
      <c r="BY63" s="46"/>
      <c r="BZ63" s="46"/>
      <c r="CA63" s="46"/>
    </row>
    <row r="64" spans="1:79" x14ac:dyDescent="0.2">
      <c r="A64">
        <f t="shared" si="2"/>
        <v>61</v>
      </c>
      <c r="B64" s="2" t="s">
        <v>152</v>
      </c>
      <c r="C64" t="s">
        <v>1321</v>
      </c>
      <c r="P64" s="44">
        <v>5839.0304329999999</v>
      </c>
      <c r="Q64" s="44"/>
      <c r="R64" s="4">
        <v>6014.5163499999999</v>
      </c>
      <c r="S64" s="44">
        <v>4797.9877319999996</v>
      </c>
      <c r="T64" s="4"/>
      <c r="U64" s="6" t="s">
        <v>1322</v>
      </c>
      <c r="X64">
        <v>2009</v>
      </c>
      <c r="AB64" s="47">
        <v>-0.28110000000000002</v>
      </c>
      <c r="AC64" s="7">
        <f>24+3+6</f>
        <v>33</v>
      </c>
      <c r="AI64" s="18">
        <v>58</v>
      </c>
      <c r="AJ64" s="18">
        <v>39</v>
      </c>
      <c r="AL64" s="14" t="s">
        <v>1952</v>
      </c>
      <c r="AM64" s="9">
        <v>-0.16869999999999999</v>
      </c>
      <c r="AN64" s="9">
        <v>0.21870000000000001</v>
      </c>
      <c r="AO64" s="9">
        <v>-9.4000000000000004E-3</v>
      </c>
      <c r="AP64" s="9">
        <v>0.73209999999999997</v>
      </c>
      <c r="AQ64" s="9">
        <v>-0.128</v>
      </c>
      <c r="BP64" s="46"/>
      <c r="BQ64" s="46"/>
      <c r="BR64" s="46"/>
      <c r="BS64" s="46"/>
      <c r="BT64" s="46"/>
      <c r="BU64" s="46"/>
      <c r="BV64" s="46"/>
      <c r="BW64" s="46"/>
      <c r="BX64" s="46"/>
      <c r="BY64" s="46"/>
      <c r="BZ64" s="46"/>
      <c r="CA64" s="46"/>
    </row>
    <row r="65" spans="1:79" x14ac:dyDescent="0.2">
      <c r="A65">
        <f t="shared" si="2"/>
        <v>62</v>
      </c>
      <c r="B65" s="2" t="s">
        <v>150</v>
      </c>
      <c r="C65" t="s">
        <v>1204</v>
      </c>
      <c r="P65" s="4">
        <v>5415.6385790000004</v>
      </c>
      <c r="Q65" s="4">
        <v>5748.0698949999996</v>
      </c>
      <c r="R65" s="4">
        <v>6010.5106290000003</v>
      </c>
      <c r="S65" s="44">
        <v>6692.8058309999997</v>
      </c>
      <c r="T65" s="4"/>
      <c r="U65" s="6" t="s">
        <v>104</v>
      </c>
      <c r="AB65" s="47"/>
      <c r="AI65" s="18">
        <v>107</v>
      </c>
      <c r="AJ65" s="18">
        <v>41</v>
      </c>
      <c r="AM65" s="9"/>
      <c r="BP65" s="46"/>
      <c r="BQ65" s="46"/>
      <c r="BR65" s="46"/>
      <c r="BS65" s="46"/>
      <c r="BT65" s="46"/>
      <c r="BU65" s="46"/>
      <c r="BV65" s="46"/>
      <c r="BW65" s="46"/>
      <c r="BX65" s="46"/>
      <c r="BY65" s="46"/>
      <c r="BZ65" s="46"/>
      <c r="CA65" s="46"/>
    </row>
    <row r="66" spans="1:79" x14ac:dyDescent="0.2">
      <c r="A66">
        <f t="shared" si="2"/>
        <v>63</v>
      </c>
      <c r="B66" s="2" t="s">
        <v>27</v>
      </c>
      <c r="C66" t="s">
        <v>46</v>
      </c>
      <c r="K66" s="4">
        <v>5379.8770000000004</v>
      </c>
      <c r="P66" s="4">
        <v>5022.5581860000002</v>
      </c>
      <c r="Q66" s="4">
        <v>5972.2947789999998</v>
      </c>
      <c r="R66" s="4">
        <v>6007.4277890000003</v>
      </c>
      <c r="S66" s="44">
        <v>6607.35898</v>
      </c>
      <c r="T66" s="4">
        <v>6621.8056779999997</v>
      </c>
      <c r="U66" s="6" t="s">
        <v>100</v>
      </c>
      <c r="V66" s="6" t="s">
        <v>215</v>
      </c>
      <c r="AB66" s="47"/>
      <c r="AI66" s="18">
        <v>55</v>
      </c>
      <c r="AJ66" s="18">
        <v>31</v>
      </c>
      <c r="AM66" s="9"/>
      <c r="BP66" s="46"/>
      <c r="BQ66" s="46"/>
      <c r="BR66" s="46"/>
      <c r="BS66" s="46"/>
      <c r="BT66" s="46"/>
      <c r="BU66" s="46"/>
      <c r="BV66" s="46"/>
      <c r="BW66" s="46"/>
      <c r="BX66" s="46"/>
      <c r="BY66" s="46"/>
      <c r="BZ66" s="46"/>
      <c r="CA66" s="46"/>
    </row>
    <row r="67" spans="1:79" x14ac:dyDescent="0.2">
      <c r="A67">
        <f t="shared" si="2"/>
        <v>64</v>
      </c>
      <c r="B67" s="2" t="s">
        <v>1500</v>
      </c>
      <c r="Q67" s="3">
        <v>5044.922767</v>
      </c>
      <c r="R67" s="3">
        <v>5253.0577540000004</v>
      </c>
      <c r="S67" s="44">
        <v>6493.4704279999996</v>
      </c>
      <c r="T67" s="4">
        <v>5531.4739680000002</v>
      </c>
      <c r="AB67" s="47"/>
      <c r="AI67" s="18">
        <v>25</v>
      </c>
      <c r="AJ67" s="18">
        <v>17</v>
      </c>
      <c r="AM67" s="9"/>
      <c r="BP67" s="46"/>
      <c r="BQ67" s="46"/>
      <c r="BR67" s="46"/>
      <c r="BS67" s="46"/>
      <c r="BT67" s="46"/>
      <c r="BU67" s="46"/>
      <c r="BV67" s="46"/>
      <c r="BW67" s="46"/>
      <c r="BX67" s="46"/>
      <c r="BY67" s="46"/>
      <c r="BZ67" s="46"/>
      <c r="CA67" s="46"/>
    </row>
    <row r="68" spans="1:79" x14ac:dyDescent="0.2">
      <c r="A68">
        <f t="shared" si="2"/>
        <v>65</v>
      </c>
      <c r="B68" s="2" t="s">
        <v>32</v>
      </c>
      <c r="C68" t="s">
        <v>56</v>
      </c>
      <c r="K68" s="4">
        <v>5387</v>
      </c>
      <c r="P68" s="4">
        <v>5007.2440530000003</v>
      </c>
      <c r="Q68" s="4">
        <v>5459.959793</v>
      </c>
      <c r="R68" s="4">
        <v>5064.5262670000002</v>
      </c>
      <c r="S68" s="44">
        <v>5503.5192159999997</v>
      </c>
      <c r="T68" s="4"/>
      <c r="U68" s="6" t="s">
        <v>104</v>
      </c>
      <c r="V68" s="6" t="s">
        <v>97</v>
      </c>
      <c r="AB68" s="47"/>
      <c r="AI68" s="18">
        <v>131</v>
      </c>
      <c r="AJ68" s="18">
        <v>33</v>
      </c>
      <c r="AM68" s="9"/>
      <c r="AO68" s="14" t="s">
        <v>1849</v>
      </c>
    </row>
    <row r="69" spans="1:79" x14ac:dyDescent="0.2">
      <c r="A69">
        <f t="shared" si="2"/>
        <v>66</v>
      </c>
      <c r="B69" s="2" t="s">
        <v>25</v>
      </c>
      <c r="C69" t="s">
        <v>44</v>
      </c>
      <c r="D69" s="3">
        <v>620</v>
      </c>
      <c r="J69" s="4">
        <v>4050.0909999999999</v>
      </c>
      <c r="K69" s="4">
        <v>4439.2</v>
      </c>
      <c r="P69" s="4">
        <v>4979.7658250000004</v>
      </c>
      <c r="Q69" s="4">
        <v>5321.4750329999997</v>
      </c>
      <c r="R69" s="4">
        <v>5272.5897709999999</v>
      </c>
      <c r="S69" s="44">
        <v>5128.7087600000004</v>
      </c>
      <c r="T69" s="4"/>
      <c r="U69" s="6" t="s">
        <v>100</v>
      </c>
      <c r="V69" s="6" t="s">
        <v>219</v>
      </c>
      <c r="X69">
        <v>1995</v>
      </c>
      <c r="AA69" s="47">
        <v>0.10580000000000001</v>
      </c>
      <c r="AB69" s="47">
        <v>-0.47670000000000001</v>
      </c>
      <c r="AC69" s="7">
        <f>9+6</f>
        <v>15</v>
      </c>
      <c r="AG69" t="s">
        <v>2269</v>
      </c>
      <c r="AI69" s="18">
        <v>31</v>
      </c>
      <c r="AJ69" s="18">
        <v>5</v>
      </c>
      <c r="AL69" s="14" t="s">
        <v>1968</v>
      </c>
      <c r="AM69" s="10" t="s">
        <v>2122</v>
      </c>
      <c r="AN69" s="9">
        <v>-0.28849999999999998</v>
      </c>
      <c r="AO69" s="9">
        <v>0.17280000000000001</v>
      </c>
      <c r="AP69" s="9">
        <v>0.22869999999999999</v>
      </c>
      <c r="AQ69" s="9">
        <v>0.16270000000000001</v>
      </c>
      <c r="AR69" s="10" t="s">
        <v>2022</v>
      </c>
      <c r="AS69" s="9">
        <v>-4.4000000000000003E-3</v>
      </c>
      <c r="AT69" s="9">
        <v>-0.1011</v>
      </c>
      <c r="AU69" s="9">
        <v>0.16009999999999999</v>
      </c>
      <c r="AV69" s="9">
        <v>8.5099999999999995E-2</v>
      </c>
      <c r="AW69" s="9">
        <v>0.1646</v>
      </c>
      <c r="AX69" s="9">
        <v>0.15459999999999999</v>
      </c>
      <c r="BI69" t="s">
        <v>2146</v>
      </c>
      <c r="BP69" s="14" t="s">
        <v>2344</v>
      </c>
      <c r="BQ69" s="9">
        <v>0.86</v>
      </c>
      <c r="BR69" t="s">
        <v>2203</v>
      </c>
      <c r="BS69" s="46"/>
      <c r="BT69" s="46"/>
      <c r="BU69" s="46"/>
      <c r="BV69" s="46"/>
      <c r="BW69" s="46"/>
      <c r="BX69" s="46"/>
      <c r="BY69" s="46"/>
      <c r="BZ69" s="46"/>
      <c r="CA69" s="46"/>
    </row>
    <row r="70" spans="1:79" x14ac:dyDescent="0.2">
      <c r="A70">
        <f t="shared" si="2"/>
        <v>67</v>
      </c>
      <c r="B70" s="2" t="s">
        <v>1299</v>
      </c>
      <c r="P70" s="4">
        <v>3025.7837439999998</v>
      </c>
      <c r="Q70" s="4">
        <v>3653</v>
      </c>
      <c r="R70" s="4">
        <v>5004.8059999999996</v>
      </c>
      <c r="S70" s="44">
        <v>4905.1414830000003</v>
      </c>
      <c r="T70" s="4">
        <v>4789.4437770000004</v>
      </c>
      <c r="AI70" s="18">
        <v>371</v>
      </c>
      <c r="AJ70" s="18">
        <v>184</v>
      </c>
      <c r="AM70" s="9"/>
    </row>
    <row r="71" spans="1:79" x14ac:dyDescent="0.2">
      <c r="A71">
        <f t="shared" si="2"/>
        <v>68</v>
      </c>
      <c r="B71" s="2" t="s">
        <v>1305</v>
      </c>
      <c r="C71" t="s">
        <v>1306</v>
      </c>
      <c r="D71" s="3">
        <v>1117</v>
      </c>
      <c r="Q71" s="3">
        <v>5719.1169380000001</v>
      </c>
      <c r="R71" s="4">
        <v>5080.8122750000002</v>
      </c>
      <c r="S71" s="44">
        <v>5168.4605949999996</v>
      </c>
      <c r="T71" s="4"/>
      <c r="U71" s="6" t="s">
        <v>100</v>
      </c>
      <c r="X71" s="11">
        <v>36891</v>
      </c>
      <c r="AA71" s="47">
        <v>0.10730000000000001</v>
      </c>
      <c r="AB71" s="47">
        <v>-0.49170000000000003</v>
      </c>
      <c r="AC71" s="7">
        <f>12+7</f>
        <v>19</v>
      </c>
      <c r="AI71" s="18">
        <v>77</v>
      </c>
      <c r="AJ71" s="18">
        <v>32</v>
      </c>
      <c r="AL71" s="14" t="s">
        <v>1977</v>
      </c>
      <c r="AM71" s="9">
        <v>0.17349999999999999</v>
      </c>
      <c r="AN71" s="9">
        <v>-9.0200000000000002E-2</v>
      </c>
      <c r="AO71" s="14" t="s">
        <v>1978</v>
      </c>
      <c r="AP71" s="9">
        <v>7.6100000000000001E-2</v>
      </c>
      <c r="AQ71" s="9">
        <v>0.26279999999999998</v>
      </c>
      <c r="AR71" s="14" t="s">
        <v>2023</v>
      </c>
      <c r="AS71" s="9">
        <v>0.23380000000000001</v>
      </c>
      <c r="AT71" s="9">
        <v>-2.6800000000000001E-2</v>
      </c>
      <c r="AU71" s="9">
        <v>-0.1812</v>
      </c>
      <c r="AV71" s="9">
        <v>0.1444</v>
      </c>
      <c r="AW71" s="10" t="s">
        <v>2024</v>
      </c>
      <c r="AX71" s="10" t="s">
        <v>2043</v>
      </c>
    </row>
    <row r="72" spans="1:79" x14ac:dyDescent="0.2">
      <c r="A72">
        <f t="shared" si="2"/>
        <v>69</v>
      </c>
      <c r="B72" s="2" t="s">
        <v>1997</v>
      </c>
      <c r="C72" t="s">
        <v>33</v>
      </c>
      <c r="D72" s="3">
        <v>8329</v>
      </c>
      <c r="K72" s="4">
        <v>8031.8270000000002</v>
      </c>
      <c r="P72" s="4">
        <v>4723.1373450000001</v>
      </c>
      <c r="Q72" s="4">
        <v>5131.2977549999996</v>
      </c>
      <c r="R72" s="4">
        <v>5303.7028410000003</v>
      </c>
      <c r="S72" s="44">
        <v>5871.6503089999997</v>
      </c>
      <c r="T72" s="4">
        <v>5871.6503089999997</v>
      </c>
      <c r="U72" s="6" t="s">
        <v>97</v>
      </c>
      <c r="X72">
        <v>1994</v>
      </c>
      <c r="AA72" s="47">
        <v>0.10639999999999999</v>
      </c>
      <c r="AB72" s="47">
        <v>-0.1759</v>
      </c>
      <c r="AC72" s="7">
        <v>12</v>
      </c>
      <c r="AI72" s="18">
        <v>197</v>
      </c>
      <c r="AJ72" s="18">
        <v>106</v>
      </c>
      <c r="AL72" s="14" t="s">
        <v>1998</v>
      </c>
      <c r="AM72" s="9">
        <v>0.1285</v>
      </c>
      <c r="AN72" s="9">
        <v>-0.12939999999999999</v>
      </c>
      <c r="AO72" s="9">
        <v>4.9599999999999998E-2</v>
      </c>
      <c r="AP72" s="9">
        <v>0.19489999999999999</v>
      </c>
      <c r="AQ72" s="9">
        <v>0.16600000000000001</v>
      </c>
      <c r="BI72" t="s">
        <v>2207</v>
      </c>
      <c r="BP72" t="s">
        <v>224</v>
      </c>
      <c r="BQ72" s="46"/>
      <c r="BR72" s="46"/>
      <c r="BS72" s="46"/>
      <c r="BT72" s="46"/>
      <c r="BU72" s="46"/>
      <c r="BV72" s="46"/>
      <c r="BW72" s="46"/>
      <c r="BX72" s="46"/>
      <c r="BY72" s="46"/>
      <c r="BZ72" s="46"/>
      <c r="CA72" s="46"/>
    </row>
    <row r="73" spans="1:79" x14ac:dyDescent="0.2">
      <c r="A73">
        <f t="shared" si="2"/>
        <v>70</v>
      </c>
      <c r="B73" s="2" t="s">
        <v>109</v>
      </c>
      <c r="C73" t="s">
        <v>2029</v>
      </c>
      <c r="D73" s="3">
        <v>9167</v>
      </c>
      <c r="P73" s="4">
        <v>4370.8550519999999</v>
      </c>
      <c r="Q73" s="4">
        <v>5836.1265380000004</v>
      </c>
      <c r="R73" s="4">
        <v>4883.5933199999999</v>
      </c>
      <c r="S73" s="4">
        <v>3696.461581</v>
      </c>
      <c r="X73">
        <v>1995</v>
      </c>
      <c r="AA73" s="47">
        <v>8.0799999999999997E-2</v>
      </c>
      <c r="AB73" s="47">
        <v>-0.11219999999999999</v>
      </c>
      <c r="AC73" s="7">
        <v>13</v>
      </c>
      <c r="AI73" s="18">
        <v>307</v>
      </c>
      <c r="AJ73" s="18">
        <v>250</v>
      </c>
      <c r="AO73" t="s">
        <v>2101</v>
      </c>
      <c r="AP73" t="s">
        <v>2100</v>
      </c>
      <c r="AQ73" s="9" t="s">
        <v>2098</v>
      </c>
      <c r="AR73" s="14" t="s">
        <v>2099</v>
      </c>
      <c r="AS73" s="9" t="s">
        <v>2097</v>
      </c>
      <c r="AT73" s="9" t="s">
        <v>2096</v>
      </c>
      <c r="AU73" s="9" t="s">
        <v>2095</v>
      </c>
      <c r="AV73" s="9" t="s">
        <v>2094</v>
      </c>
      <c r="AW73" s="9" t="s">
        <v>2093</v>
      </c>
      <c r="AX73" s="9" t="s">
        <v>2092</v>
      </c>
      <c r="AY73" t="s">
        <v>2091</v>
      </c>
      <c r="AZ73" t="s">
        <v>2090</v>
      </c>
      <c r="BA73" t="s">
        <v>2089</v>
      </c>
    </row>
    <row r="74" spans="1:79" x14ac:dyDescent="0.2">
      <c r="A74">
        <f t="shared" si="2"/>
        <v>71</v>
      </c>
      <c r="B74" s="2" t="s">
        <v>208</v>
      </c>
      <c r="P74" s="3">
        <v>5843.7251889999998</v>
      </c>
      <c r="R74" s="4">
        <v>4601.3203059999996</v>
      </c>
      <c r="S74" s="4">
        <v>5511.4149630000002</v>
      </c>
      <c r="T74" s="4"/>
      <c r="AI74" s="18">
        <v>47</v>
      </c>
      <c r="AJ74" s="18">
        <v>35</v>
      </c>
    </row>
    <row r="75" spans="1:79" x14ac:dyDescent="0.2">
      <c r="A75">
        <f t="shared" si="2"/>
        <v>72</v>
      </c>
      <c r="B75" s="2" t="s">
        <v>702</v>
      </c>
      <c r="C75" t="s">
        <v>703</v>
      </c>
      <c r="P75" s="4">
        <v>4655.038055</v>
      </c>
      <c r="Q75" s="4">
        <v>5053.8065829999996</v>
      </c>
      <c r="R75" s="4">
        <v>4019.1749329999998</v>
      </c>
      <c r="S75" s="4"/>
      <c r="T75" s="4"/>
      <c r="U75" s="6" t="s">
        <v>100</v>
      </c>
      <c r="V75" s="6" t="s">
        <v>220</v>
      </c>
      <c r="AD75" s="9">
        <v>6.51</v>
      </c>
      <c r="AG75" t="s">
        <v>2131</v>
      </c>
      <c r="AH75" t="s">
        <v>2129</v>
      </c>
      <c r="AI75" s="18">
        <v>21</v>
      </c>
      <c r="AJ75" s="18">
        <v>16</v>
      </c>
      <c r="AL75" s="14" t="s">
        <v>2128</v>
      </c>
      <c r="AO75" s="14" t="s">
        <v>2132</v>
      </c>
      <c r="BF75" t="s">
        <v>2127</v>
      </c>
      <c r="BG75" s="46"/>
      <c r="BH75" s="46"/>
      <c r="BI75" s="46"/>
      <c r="BJ75" s="46"/>
      <c r="BK75" s="46"/>
      <c r="BL75" s="46"/>
      <c r="BM75" s="46"/>
      <c r="BN75" s="46"/>
      <c r="BO75" s="46"/>
      <c r="BP75" s="46"/>
      <c r="BQ75" s="46"/>
      <c r="BR75" s="46"/>
      <c r="BS75" s="46"/>
      <c r="BT75" s="46"/>
      <c r="BU75" s="46"/>
      <c r="BV75" s="46"/>
      <c r="BW75" s="46"/>
      <c r="BX75" s="46"/>
      <c r="BY75" s="46"/>
      <c r="BZ75" s="46"/>
      <c r="CA75" s="46"/>
    </row>
    <row r="76" spans="1:79" x14ac:dyDescent="0.2">
      <c r="A76">
        <f t="shared" si="2"/>
        <v>73</v>
      </c>
      <c r="B76" s="2" t="s">
        <v>107</v>
      </c>
      <c r="C76" t="s">
        <v>652</v>
      </c>
      <c r="P76" s="4">
        <v>4585.0370000000003</v>
      </c>
      <c r="Q76" s="4">
        <v>3650.7759999999998</v>
      </c>
      <c r="R76" s="4">
        <v>3634.1010000000001</v>
      </c>
      <c r="S76" s="4"/>
      <c r="T76" s="4">
        <v>3434.5259999999998</v>
      </c>
      <c r="U76" s="6" t="s">
        <v>97</v>
      </c>
      <c r="V76" s="6" t="s">
        <v>220</v>
      </c>
      <c r="AI76" s="18">
        <v>10</v>
      </c>
      <c r="AJ76" s="18">
        <v>1</v>
      </c>
    </row>
    <row r="77" spans="1:79" x14ac:dyDescent="0.2">
      <c r="A77">
        <f t="shared" si="2"/>
        <v>74</v>
      </c>
      <c r="B77" s="2" t="s">
        <v>29</v>
      </c>
      <c r="C77" t="s">
        <v>51</v>
      </c>
      <c r="K77" s="4">
        <v>3445.66</v>
      </c>
      <c r="P77" s="4">
        <v>4481.9567360000001</v>
      </c>
      <c r="Q77" s="4">
        <v>5757.9581449999996</v>
      </c>
      <c r="R77" s="4">
        <v>4199.4415429999999</v>
      </c>
      <c r="S77" s="40">
        <v>4726.7358299999996</v>
      </c>
      <c r="T77" s="4">
        <v>4726.7358299999996</v>
      </c>
      <c r="U77" s="6" t="s">
        <v>102</v>
      </c>
      <c r="V77" s="6" t="s">
        <v>220</v>
      </c>
      <c r="X77">
        <v>2000</v>
      </c>
      <c r="AA77" s="47">
        <v>0.2049</v>
      </c>
      <c r="AB77" s="47">
        <v>-0.24429999999999999</v>
      </c>
      <c r="AC77" s="7">
        <v>11</v>
      </c>
      <c r="AI77" s="18">
        <v>52</v>
      </c>
      <c r="AJ77" s="18">
        <v>39</v>
      </c>
      <c r="AL77" s="14" t="s">
        <v>1877</v>
      </c>
      <c r="AM77" s="9" t="s">
        <v>1860</v>
      </c>
      <c r="AN77" s="9">
        <v>-0.26</v>
      </c>
      <c r="AO77" s="10" t="s">
        <v>1869</v>
      </c>
      <c r="AP77" s="9" t="s">
        <v>2059</v>
      </c>
      <c r="AQ77" s="45" t="s">
        <v>2057</v>
      </c>
      <c r="AR77" s="14" t="s">
        <v>2025</v>
      </c>
      <c r="AS77" s="9">
        <v>0.43430000000000002</v>
      </c>
      <c r="AT77" s="9">
        <v>1.6400000000000001E-2</v>
      </c>
      <c r="AU77" s="9" t="s">
        <v>2026</v>
      </c>
      <c r="AV77" s="10" t="s">
        <v>2027</v>
      </c>
      <c r="AW77" s="9">
        <v>0.43880000000000002</v>
      </c>
      <c r="AX77" s="9">
        <v>0.27750000000000002</v>
      </c>
    </row>
    <row r="78" spans="1:79" x14ac:dyDescent="0.2">
      <c r="A78">
        <f t="shared" si="2"/>
        <v>75</v>
      </c>
      <c r="B78" s="2" t="s">
        <v>76</v>
      </c>
      <c r="P78" s="4">
        <v>3938.719184</v>
      </c>
      <c r="Q78" s="4">
        <v>4466.283023</v>
      </c>
      <c r="R78" s="4">
        <v>4796.3262439999999</v>
      </c>
      <c r="S78" s="40">
        <v>4617.0036289999998</v>
      </c>
      <c r="T78" s="40">
        <v>4355.5822609999996</v>
      </c>
      <c r="AI78" s="18">
        <v>15</v>
      </c>
      <c r="AJ78" s="18">
        <v>7</v>
      </c>
    </row>
    <row r="79" spans="1:79" x14ac:dyDescent="0.2">
      <c r="A79">
        <f t="shared" si="2"/>
        <v>76</v>
      </c>
      <c r="B79" s="2" t="s">
        <v>648</v>
      </c>
      <c r="C79" t="s">
        <v>651</v>
      </c>
      <c r="P79" s="4">
        <v>2994.3490000000002</v>
      </c>
      <c r="Q79" s="4">
        <v>3491.0940839999998</v>
      </c>
      <c r="R79" s="4">
        <v>3350.3836879999999</v>
      </c>
      <c r="S79" s="4"/>
      <c r="T79" s="4">
        <v>2681.0371639999998</v>
      </c>
      <c r="U79" s="6" t="s">
        <v>102</v>
      </c>
      <c r="AI79" s="18">
        <v>17</v>
      </c>
      <c r="AJ79" s="18">
        <v>16</v>
      </c>
    </row>
    <row r="80" spans="1:79" x14ac:dyDescent="0.2">
      <c r="A80">
        <f t="shared" si="2"/>
        <v>77</v>
      </c>
      <c r="B80" s="2" t="s">
        <v>187</v>
      </c>
      <c r="P80" s="4">
        <v>4995.9489999999996</v>
      </c>
      <c r="Q80" s="4">
        <v>4543.0252979999996</v>
      </c>
      <c r="R80" s="4">
        <v>3556.2966700000002</v>
      </c>
      <c r="S80" s="4"/>
      <c r="T80" s="4"/>
      <c r="U80" s="6" t="s">
        <v>1301</v>
      </c>
      <c r="AI80" s="18">
        <v>29</v>
      </c>
      <c r="AJ80" s="18">
        <v>13</v>
      </c>
    </row>
    <row r="81" spans="1:79" x14ac:dyDescent="0.2">
      <c r="A81">
        <f t="shared" si="2"/>
        <v>78</v>
      </c>
      <c r="B81" s="2" t="s">
        <v>666</v>
      </c>
      <c r="C81" t="s">
        <v>667</v>
      </c>
      <c r="P81" s="4">
        <v>3284.2082740000001</v>
      </c>
      <c r="Q81" s="4">
        <v>18987.033237</v>
      </c>
      <c r="R81" s="4">
        <v>15970.332716000001</v>
      </c>
      <c r="S81" s="40">
        <v>6164.1379180000004</v>
      </c>
      <c r="T81" s="4">
        <v>10013.478741000001</v>
      </c>
      <c r="U81" s="6" t="s">
        <v>97</v>
      </c>
      <c r="V81" s="6" t="s">
        <v>101</v>
      </c>
      <c r="AI81" s="18">
        <v>359</v>
      </c>
      <c r="AJ81" s="18">
        <v>202</v>
      </c>
      <c r="AM81" s="9">
        <v>8.7999999999999995E-2</v>
      </c>
      <c r="AN81" s="9">
        <v>0.51</v>
      </c>
      <c r="AO81" s="9">
        <v>-0.26</v>
      </c>
      <c r="AP81" s="9">
        <v>0.43</v>
      </c>
    </row>
    <row r="82" spans="1:79" x14ac:dyDescent="0.2">
      <c r="A82">
        <f t="shared" si="2"/>
        <v>79</v>
      </c>
      <c r="B82" t="s">
        <v>1298</v>
      </c>
      <c r="Q82" s="3">
        <v>5013.1009530000001</v>
      </c>
      <c r="R82" s="4">
        <v>4625</v>
      </c>
      <c r="S82" s="40">
        <v>4359.4621029999998</v>
      </c>
      <c r="T82" s="4"/>
      <c r="AI82" s="18">
        <v>26</v>
      </c>
      <c r="AJ82" s="18">
        <v>6</v>
      </c>
    </row>
    <row r="83" spans="1:79" x14ac:dyDescent="0.2">
      <c r="A83">
        <f t="shared" si="2"/>
        <v>80</v>
      </c>
      <c r="B83" t="s">
        <v>1488</v>
      </c>
      <c r="R83" s="4"/>
      <c r="S83" s="4"/>
      <c r="T83" s="4"/>
      <c r="AI83" s="18">
        <v>7</v>
      </c>
      <c r="AJ83" s="18">
        <v>6</v>
      </c>
    </row>
    <row r="84" spans="1:79" x14ac:dyDescent="0.2">
      <c r="A84">
        <f t="shared" si="2"/>
        <v>81</v>
      </c>
      <c r="B84" t="s">
        <v>1730</v>
      </c>
      <c r="Q84" s="3">
        <v>14196.444460000001</v>
      </c>
      <c r="R84" s="40">
        <v>16632.114590000001</v>
      </c>
      <c r="S84" s="40">
        <v>16541.386345999999</v>
      </c>
      <c r="T84" s="4"/>
    </row>
    <row r="85" spans="1:79" x14ac:dyDescent="0.2">
      <c r="A85">
        <f t="shared" si="2"/>
        <v>82</v>
      </c>
      <c r="B85" t="s">
        <v>1731</v>
      </c>
      <c r="C85" t="s">
        <v>1732</v>
      </c>
      <c r="P85" s="3">
        <v>15900.292590999999</v>
      </c>
      <c r="R85" s="40">
        <v>14956.414349999999</v>
      </c>
      <c r="S85" s="40">
        <v>16353.138348</v>
      </c>
      <c r="T85" s="40">
        <v>16547.115111999999</v>
      </c>
      <c r="AI85" s="18">
        <v>25</v>
      </c>
      <c r="AJ85" s="18">
        <v>16</v>
      </c>
    </row>
    <row r="86" spans="1:79" x14ac:dyDescent="0.2">
      <c r="A86">
        <f t="shared" si="2"/>
        <v>83</v>
      </c>
      <c r="B86" t="s">
        <v>1486</v>
      </c>
      <c r="C86" t="s">
        <v>1487</v>
      </c>
      <c r="R86" s="4"/>
      <c r="S86" s="4"/>
      <c r="T86" s="4"/>
      <c r="AI86" s="18">
        <v>75</v>
      </c>
      <c r="AJ86" s="18">
        <v>69</v>
      </c>
    </row>
    <row r="87" spans="1:79" x14ac:dyDescent="0.2">
      <c r="A87">
        <f t="shared" si="2"/>
        <v>84</v>
      </c>
      <c r="B87" s="2" t="s">
        <v>681</v>
      </c>
      <c r="P87" s="4">
        <v>4062.169985</v>
      </c>
      <c r="Q87" s="4">
        <v>3938.8463550000001</v>
      </c>
      <c r="R87" s="4">
        <v>3322.3777700000001</v>
      </c>
      <c r="S87" s="4"/>
      <c r="T87" s="4">
        <v>2626.669578</v>
      </c>
      <c r="U87" s="6" t="s">
        <v>104</v>
      </c>
      <c r="AI87" s="18">
        <v>13</v>
      </c>
      <c r="AJ87" s="18">
        <v>6</v>
      </c>
    </row>
    <row r="88" spans="1:79" x14ac:dyDescent="0.2">
      <c r="A88">
        <f t="shared" si="2"/>
        <v>85</v>
      </c>
      <c r="B88" s="2" t="s">
        <v>1324</v>
      </c>
      <c r="C88" t="s">
        <v>1325</v>
      </c>
      <c r="P88" s="3">
        <v>3953.7103139999999</v>
      </c>
      <c r="R88" s="4">
        <v>3268.8816240000001</v>
      </c>
      <c r="S88" s="4"/>
      <c r="T88" s="4">
        <v>2645.0705469999998</v>
      </c>
      <c r="U88" s="6" t="s">
        <v>104</v>
      </c>
      <c r="X88">
        <v>2013</v>
      </c>
      <c r="AI88" s="18">
        <v>15</v>
      </c>
      <c r="AJ88" s="18">
        <v>6</v>
      </c>
      <c r="AL88" s="14" t="s">
        <v>1879</v>
      </c>
      <c r="AM88" s="14" t="s">
        <v>1864</v>
      </c>
      <c r="AN88" s="14" t="s">
        <v>1882</v>
      </c>
      <c r="AO88" s="9">
        <v>0.28999999999999998</v>
      </c>
      <c r="AP88" s="9">
        <v>0.42</v>
      </c>
      <c r="AQ88" s="9" t="s">
        <v>1883</v>
      </c>
      <c r="AR88" t="s">
        <v>1853</v>
      </c>
      <c r="AS88" s="9">
        <v>0.52600000000000002</v>
      </c>
      <c r="AT88" s="9">
        <v>0.13100000000000001</v>
      </c>
      <c r="AU88" t="s">
        <v>1854</v>
      </c>
      <c r="AV88" s="14" t="s">
        <v>1848</v>
      </c>
      <c r="AX88" t="s">
        <v>235</v>
      </c>
      <c r="AY88" t="s">
        <v>235</v>
      </c>
      <c r="AZ88" t="s">
        <v>235</v>
      </c>
      <c r="BA88" t="s">
        <v>235</v>
      </c>
      <c r="BB88" t="s">
        <v>235</v>
      </c>
      <c r="BC88" t="s">
        <v>235</v>
      </c>
      <c r="BD88" t="s">
        <v>235</v>
      </c>
      <c r="BE88" t="s">
        <v>235</v>
      </c>
      <c r="BF88" t="s">
        <v>235</v>
      </c>
      <c r="BG88" t="s">
        <v>235</v>
      </c>
      <c r="BH88" t="s">
        <v>235</v>
      </c>
      <c r="BI88" t="s">
        <v>235</v>
      </c>
      <c r="BJ88" t="s">
        <v>235</v>
      </c>
      <c r="BK88" t="s">
        <v>235</v>
      </c>
      <c r="BL88" t="s">
        <v>235</v>
      </c>
      <c r="BM88" t="s">
        <v>235</v>
      </c>
      <c r="BN88" t="s">
        <v>235</v>
      </c>
      <c r="BO88" t="s">
        <v>235</v>
      </c>
      <c r="BP88" t="s">
        <v>235</v>
      </c>
      <c r="BQ88" t="s">
        <v>235</v>
      </c>
      <c r="BR88" t="s">
        <v>235</v>
      </c>
      <c r="BS88" t="s">
        <v>235</v>
      </c>
    </row>
    <row r="89" spans="1:79" x14ac:dyDescent="0.2">
      <c r="A89">
        <f t="shared" si="2"/>
        <v>86</v>
      </c>
      <c r="B89" s="2" t="s">
        <v>54</v>
      </c>
      <c r="K89" s="4">
        <v>1100.212</v>
      </c>
      <c r="P89" s="4">
        <v>2334.1559999999999</v>
      </c>
      <c r="Q89" s="4">
        <v>2197.568025</v>
      </c>
      <c r="R89" s="4">
        <v>2050.2866260000001</v>
      </c>
      <c r="S89" s="4"/>
      <c r="T89" s="4">
        <v>3407.324169</v>
      </c>
      <c r="U89" s="6" t="s">
        <v>100</v>
      </c>
      <c r="AI89" s="18">
        <v>32</v>
      </c>
      <c r="AJ89" s="18">
        <v>22</v>
      </c>
    </row>
    <row r="90" spans="1:79" x14ac:dyDescent="0.2">
      <c r="A90">
        <f t="shared" si="2"/>
        <v>87</v>
      </c>
      <c r="B90" s="2" t="s">
        <v>1133</v>
      </c>
      <c r="C90" t="s">
        <v>1134</v>
      </c>
      <c r="P90" s="4">
        <v>3923.913</v>
      </c>
      <c r="Q90" s="4">
        <v>4080.4180000000001</v>
      </c>
      <c r="R90" s="4">
        <v>3613.4749999999999</v>
      </c>
      <c r="S90" s="4"/>
      <c r="T90" s="4"/>
      <c r="U90" s="6" t="s">
        <v>104</v>
      </c>
      <c r="AI90" s="18">
        <v>12</v>
      </c>
      <c r="AJ90" s="18">
        <v>9</v>
      </c>
    </row>
    <row r="91" spans="1:79" x14ac:dyDescent="0.2">
      <c r="A91">
        <f t="shared" si="2"/>
        <v>88</v>
      </c>
      <c r="B91" s="2" t="s">
        <v>1309</v>
      </c>
      <c r="C91" t="s">
        <v>1310</v>
      </c>
      <c r="P91" s="4">
        <v>2722.6707569999999</v>
      </c>
      <c r="Q91" s="4">
        <v>3102.7736410000002</v>
      </c>
      <c r="R91" s="4">
        <v>3187.7679090000001</v>
      </c>
      <c r="S91" s="4"/>
      <c r="T91" s="4"/>
      <c r="U91" s="6" t="s">
        <v>104</v>
      </c>
      <c r="AI91" s="18">
        <v>27</v>
      </c>
      <c r="AJ91" s="18">
        <v>21</v>
      </c>
    </row>
    <row r="92" spans="1:79" x14ac:dyDescent="0.2">
      <c r="A92">
        <f t="shared" si="2"/>
        <v>89</v>
      </c>
      <c r="B92" s="2" t="s">
        <v>201</v>
      </c>
      <c r="C92" t="s">
        <v>2311</v>
      </c>
      <c r="R92" s="4">
        <v>2925.13985</v>
      </c>
      <c r="S92" s="40">
        <v>2670.4672660000001</v>
      </c>
      <c r="T92" s="4">
        <v>16.637598000000001</v>
      </c>
      <c r="U92" s="6" t="s">
        <v>101</v>
      </c>
      <c r="X92">
        <v>1997</v>
      </c>
      <c r="Y92" s="56" t="s">
        <v>2150</v>
      </c>
      <c r="AA92" s="47">
        <v>0.1087</v>
      </c>
      <c r="AB92" s="47">
        <v>-0.13170000000000001</v>
      </c>
      <c r="AC92" s="7">
        <v>12</v>
      </c>
      <c r="AI92" s="18">
        <v>190</v>
      </c>
      <c r="AJ92" s="18">
        <v>95</v>
      </c>
      <c r="AN92" t="s">
        <v>1918</v>
      </c>
      <c r="AP92" s="9">
        <v>0.42</v>
      </c>
      <c r="AR92" s="14" t="s">
        <v>2033</v>
      </c>
      <c r="AS92" s="9">
        <v>-0.13170000000000001</v>
      </c>
      <c r="AT92" s="9">
        <v>6.3799999999999996E-2</v>
      </c>
      <c r="AU92" s="9">
        <v>3.5299999999999998E-2</v>
      </c>
      <c r="AV92" s="9">
        <v>-1.38E-2</v>
      </c>
      <c r="AW92" s="9">
        <v>0.18160000000000001</v>
      </c>
      <c r="AX92" s="9">
        <v>1.9599999999999999E-2</v>
      </c>
      <c r="AY92" t="s">
        <v>1919</v>
      </c>
      <c r="BI92" s="14" t="s">
        <v>2149</v>
      </c>
      <c r="BP92" s="14" t="s">
        <v>2312</v>
      </c>
      <c r="BQ92" s="14" t="s">
        <v>2244</v>
      </c>
      <c r="BV92" t="s">
        <v>2335</v>
      </c>
      <c r="CA92" t="s">
        <v>224</v>
      </c>
    </row>
    <row r="93" spans="1:79" x14ac:dyDescent="0.2">
      <c r="A93">
        <f t="shared" si="2"/>
        <v>90</v>
      </c>
      <c r="B93" s="2" t="s">
        <v>1307</v>
      </c>
      <c r="P93" s="40">
        <v>3127.8579159999999</v>
      </c>
      <c r="Q93" s="40"/>
      <c r="R93" s="4">
        <v>2919.2836120000002</v>
      </c>
      <c r="S93" s="40"/>
      <c r="T93" s="4">
        <v>3445.8629369999999</v>
      </c>
      <c r="AI93" s="18">
        <v>18</v>
      </c>
      <c r="AJ93" s="18">
        <v>14</v>
      </c>
    </row>
    <row r="94" spans="1:79" x14ac:dyDescent="0.2">
      <c r="A94">
        <f t="shared" si="2"/>
        <v>91</v>
      </c>
      <c r="B94" s="2" t="s">
        <v>1314</v>
      </c>
      <c r="C94" t="s">
        <v>1315</v>
      </c>
      <c r="R94" s="4">
        <v>2722.2935520000001</v>
      </c>
      <c r="S94" s="40"/>
      <c r="T94" s="4">
        <v>2934.2149920000002</v>
      </c>
      <c r="X94">
        <v>2011</v>
      </c>
      <c r="AI94" s="18">
        <v>32</v>
      </c>
      <c r="AJ94" s="18">
        <v>21</v>
      </c>
      <c r="AL94" s="14" t="s">
        <v>1880</v>
      </c>
      <c r="AO94" s="14" t="s">
        <v>1867</v>
      </c>
      <c r="AP94" s="14" t="s">
        <v>1868</v>
      </c>
    </row>
    <row r="95" spans="1:79" x14ac:dyDescent="0.2">
      <c r="A95">
        <f t="shared" si="2"/>
        <v>92</v>
      </c>
      <c r="B95" s="2" t="s">
        <v>1296</v>
      </c>
      <c r="C95" t="s">
        <v>62</v>
      </c>
      <c r="K95" s="4">
        <v>1412.152</v>
      </c>
      <c r="P95" s="4">
        <v>2047.9987269999999</v>
      </c>
      <c r="Q95" s="4"/>
      <c r="R95" s="4">
        <v>2044.4063249999999</v>
      </c>
      <c r="S95" s="4">
        <v>2402.9232769999999</v>
      </c>
      <c r="T95" s="4"/>
      <c r="U95" s="6" t="s">
        <v>100</v>
      </c>
      <c r="V95" s="6" t="s">
        <v>1935</v>
      </c>
      <c r="X95">
        <v>1996</v>
      </c>
      <c r="AA95" s="47">
        <v>0.12520000000000001</v>
      </c>
      <c r="AB95" s="47">
        <v>-0.2717</v>
      </c>
      <c r="AC95" s="7">
        <v>6</v>
      </c>
      <c r="AI95" s="18">
        <v>127</v>
      </c>
      <c r="AJ95" s="18">
        <v>19</v>
      </c>
      <c r="AN95" s="36" t="s">
        <v>1936</v>
      </c>
      <c r="AR95" s="10" t="s">
        <v>2004</v>
      </c>
      <c r="AS95" s="9">
        <v>1.47E-2</v>
      </c>
      <c r="AT95" s="9">
        <v>8.2000000000000003E-2</v>
      </c>
      <c r="AU95" s="9">
        <v>-0.2</v>
      </c>
      <c r="AV95" s="9">
        <v>7.51E-2</v>
      </c>
      <c r="AW95" s="9">
        <v>0.18759999999999999</v>
      </c>
      <c r="AX95" s="9">
        <v>7.6600000000000001E-2</v>
      </c>
      <c r="BB95" s="9">
        <v>-0.23</v>
      </c>
    </row>
    <row r="96" spans="1:79" x14ac:dyDescent="0.2">
      <c r="A96">
        <f t="shared" si="2"/>
        <v>93</v>
      </c>
      <c r="B96" s="2" t="s">
        <v>58</v>
      </c>
      <c r="C96" t="s">
        <v>2054</v>
      </c>
      <c r="P96" s="4">
        <v>1765.235518</v>
      </c>
      <c r="Q96" s="4">
        <v>1182.369925</v>
      </c>
      <c r="R96" s="4">
        <v>1063.3875740000001</v>
      </c>
      <c r="S96" s="4"/>
      <c r="T96" s="4"/>
      <c r="U96" s="6" t="s">
        <v>97</v>
      </c>
      <c r="AA96" s="47">
        <v>7.9699999999999993E-2</v>
      </c>
      <c r="AB96" s="47">
        <v>-0.40350000000000003</v>
      </c>
      <c r="AC96" s="7">
        <v>10</v>
      </c>
      <c r="AI96" s="18">
        <v>56</v>
      </c>
      <c r="AJ96" s="18">
        <v>21</v>
      </c>
      <c r="AU96" s="10" t="s">
        <v>2055</v>
      </c>
      <c r="AV96" s="9">
        <v>-2.3E-2</v>
      </c>
      <c r="AW96" s="9">
        <v>1.3899999999999999E-2</v>
      </c>
      <c r="AX96" s="9">
        <v>0.1469</v>
      </c>
    </row>
    <row r="97" spans="1:56" x14ac:dyDescent="0.2">
      <c r="A97">
        <f t="shared" si="2"/>
        <v>94</v>
      </c>
      <c r="B97" t="s">
        <v>1295</v>
      </c>
      <c r="R97" s="4">
        <v>2709.2641100000001</v>
      </c>
      <c r="S97" s="4"/>
      <c r="T97" s="4"/>
    </row>
    <row r="98" spans="1:56" x14ac:dyDescent="0.2">
      <c r="A98">
        <f t="shared" si="2"/>
        <v>95</v>
      </c>
      <c r="B98" t="s">
        <v>2111</v>
      </c>
      <c r="C98" t="s">
        <v>2112</v>
      </c>
      <c r="S98" s="3">
        <v>3564.5474840000002</v>
      </c>
    </row>
    <row r="99" spans="1:56" x14ac:dyDescent="0.2">
      <c r="A99">
        <f t="shared" si="2"/>
        <v>96</v>
      </c>
      <c r="B99" t="s">
        <v>1862</v>
      </c>
      <c r="R99" s="4"/>
      <c r="S99" s="4"/>
      <c r="T99" s="4"/>
      <c r="AL99" s="14" t="s">
        <v>1878</v>
      </c>
      <c r="AM99" s="14" t="s">
        <v>1863</v>
      </c>
    </row>
    <row r="100" spans="1:56" x14ac:dyDescent="0.2">
      <c r="A100">
        <f t="shared" si="2"/>
        <v>97</v>
      </c>
      <c r="B100" t="s">
        <v>1839</v>
      </c>
      <c r="Q100" s="3">
        <v>6361.3548099999998</v>
      </c>
      <c r="R100" s="3">
        <v>6295.3088070000003</v>
      </c>
      <c r="S100" s="3">
        <v>6238.5730400000002</v>
      </c>
      <c r="T100" s="3">
        <v>5635.080962</v>
      </c>
    </row>
    <row r="101" spans="1:56" x14ac:dyDescent="0.2">
      <c r="A101">
        <f t="shared" si="2"/>
        <v>98</v>
      </c>
      <c r="B101" s="2" t="s">
        <v>1476</v>
      </c>
      <c r="R101" s="4">
        <v>2521.5995160000002</v>
      </c>
      <c r="S101" s="4"/>
      <c r="T101" s="4"/>
      <c r="AI101" s="18">
        <v>2</v>
      </c>
      <c r="AJ101" s="18">
        <v>0</v>
      </c>
    </row>
    <row r="102" spans="1:56" x14ac:dyDescent="0.2">
      <c r="A102">
        <f t="shared" si="2"/>
        <v>99</v>
      </c>
      <c r="B102" s="2" t="s">
        <v>185</v>
      </c>
      <c r="P102" s="4">
        <v>1549.0588190000001</v>
      </c>
      <c r="Q102" s="4">
        <v>1829.5737349999999</v>
      </c>
      <c r="R102" s="4">
        <v>1709.7065090000001</v>
      </c>
      <c r="S102" s="4"/>
      <c r="T102" s="4"/>
      <c r="AI102" s="18">
        <v>29</v>
      </c>
      <c r="AJ102" s="18">
        <v>11</v>
      </c>
    </row>
    <row r="103" spans="1:56" x14ac:dyDescent="0.2">
      <c r="A103">
        <f t="shared" ref="A103:A175" si="3">+A102+1</f>
        <v>100</v>
      </c>
      <c r="B103" s="2" t="s">
        <v>95</v>
      </c>
      <c r="C103" t="s">
        <v>2011</v>
      </c>
      <c r="D103" s="3">
        <v>9562</v>
      </c>
      <c r="P103" s="4">
        <v>1339.16731</v>
      </c>
      <c r="Q103" s="4">
        <v>1523.792498</v>
      </c>
      <c r="R103" s="4">
        <v>1259.015003</v>
      </c>
      <c r="S103" s="4"/>
      <c r="T103" s="4">
        <v>1376.4460320000001</v>
      </c>
      <c r="X103">
        <v>2001</v>
      </c>
      <c r="AA103" s="47">
        <v>0.12</v>
      </c>
      <c r="AB103" s="47">
        <v>-0.2</v>
      </c>
      <c r="AC103" s="7">
        <v>12</v>
      </c>
      <c r="AI103" s="18">
        <v>91</v>
      </c>
      <c r="AJ103" s="18">
        <v>35</v>
      </c>
      <c r="AR103" s="10" t="s">
        <v>2012</v>
      </c>
      <c r="AS103" s="9">
        <v>9.5899999999999999E-2</v>
      </c>
      <c r="AT103" s="9">
        <v>-0.1487</v>
      </c>
      <c r="AU103" s="9">
        <v>0.16880000000000001</v>
      </c>
      <c r="AV103" s="9">
        <v>0.11310000000000001</v>
      </c>
      <c r="AW103" s="9">
        <v>0.33110000000000001</v>
      </c>
      <c r="BD103" t="s">
        <v>2356</v>
      </c>
    </row>
    <row r="104" spans="1:56" x14ac:dyDescent="0.2">
      <c r="A104">
        <f t="shared" si="3"/>
        <v>101</v>
      </c>
      <c r="B104" s="2" t="s">
        <v>48</v>
      </c>
      <c r="K104" s="4">
        <v>1264.742</v>
      </c>
      <c r="P104" s="4">
        <v>1106.539</v>
      </c>
      <c r="Q104" s="4">
        <v>886.72607700000003</v>
      </c>
      <c r="R104" s="4">
        <v>862.98003200000005</v>
      </c>
      <c r="S104" s="4"/>
      <c r="T104" s="4"/>
      <c r="U104" s="6" t="s">
        <v>102</v>
      </c>
    </row>
    <row r="105" spans="1:56" x14ac:dyDescent="0.2">
      <c r="A105">
        <f t="shared" si="3"/>
        <v>102</v>
      </c>
      <c r="B105" s="2" t="s">
        <v>669</v>
      </c>
      <c r="P105" s="4">
        <v>1101.3968339999999</v>
      </c>
      <c r="Q105" s="4">
        <v>1333.7237869999999</v>
      </c>
      <c r="R105" s="4">
        <v>1412.847262</v>
      </c>
      <c r="S105" s="4"/>
      <c r="T105" s="4"/>
      <c r="W105" s="8" t="s">
        <v>670</v>
      </c>
    </row>
    <row r="106" spans="1:56" x14ac:dyDescent="0.2">
      <c r="A106">
        <f t="shared" si="3"/>
        <v>103</v>
      </c>
      <c r="B106" s="2" t="s">
        <v>49</v>
      </c>
      <c r="C106" t="s">
        <v>71</v>
      </c>
      <c r="K106" s="4">
        <v>815.42100000000005</v>
      </c>
      <c r="P106" s="4">
        <v>1082.240147</v>
      </c>
      <c r="Q106" s="4">
        <v>960.44607399999995</v>
      </c>
      <c r="R106" s="4">
        <v>981.87468000000001</v>
      </c>
      <c r="S106" s="4"/>
      <c r="T106" s="4"/>
      <c r="U106" s="6" t="s">
        <v>102</v>
      </c>
      <c r="V106" s="6" t="s">
        <v>220</v>
      </c>
    </row>
    <row r="107" spans="1:56" x14ac:dyDescent="0.2">
      <c r="A107">
        <f t="shared" si="3"/>
        <v>104</v>
      </c>
      <c r="B107" s="2" t="s">
        <v>205</v>
      </c>
      <c r="C107" t="s">
        <v>1205</v>
      </c>
      <c r="P107" s="4">
        <v>2093.868226</v>
      </c>
      <c r="Q107" s="4">
        <v>2279.648201</v>
      </c>
      <c r="R107" s="4">
        <v>1731.086869</v>
      </c>
      <c r="S107" s="4"/>
      <c r="T107" s="4"/>
      <c r="U107" s="6" t="s">
        <v>102</v>
      </c>
      <c r="AL107" s="14" t="s">
        <v>1881</v>
      </c>
      <c r="AM107" s="14" t="s">
        <v>1861</v>
      </c>
      <c r="AO107" s="14" t="s">
        <v>1851</v>
      </c>
    </row>
    <row r="108" spans="1:56" x14ac:dyDescent="0.2">
      <c r="A108">
        <f t="shared" si="3"/>
        <v>105</v>
      </c>
      <c r="B108" s="2" t="s">
        <v>1475</v>
      </c>
      <c r="R108" s="4">
        <v>1717.144172</v>
      </c>
      <c r="S108" s="4"/>
      <c r="T108" s="4"/>
      <c r="AI108" s="18">
        <v>549</v>
      </c>
      <c r="AJ108" s="18">
        <v>296</v>
      </c>
      <c r="AZ108" s="36" t="s">
        <v>1515</v>
      </c>
    </row>
    <row r="109" spans="1:56" x14ac:dyDescent="0.2">
      <c r="A109">
        <f t="shared" si="3"/>
        <v>106</v>
      </c>
      <c r="B109" s="2" t="s">
        <v>654</v>
      </c>
      <c r="C109" t="s">
        <v>655</v>
      </c>
      <c r="P109" s="4">
        <v>1018.739</v>
      </c>
      <c r="Q109" s="4">
        <v>1345.1919969999999</v>
      </c>
      <c r="R109" s="4">
        <v>1304.5958989999999</v>
      </c>
      <c r="S109" s="4"/>
      <c r="T109" s="4"/>
      <c r="U109" s="6" t="s">
        <v>102</v>
      </c>
      <c r="AL109" s="14" t="s">
        <v>1874</v>
      </c>
      <c r="AM109" s="14" t="s">
        <v>1858</v>
      </c>
      <c r="AO109" s="9">
        <v>-0.3</v>
      </c>
    </row>
    <row r="110" spans="1:56" x14ac:dyDescent="0.2">
      <c r="A110">
        <f t="shared" si="3"/>
        <v>107</v>
      </c>
      <c r="B110" s="2" t="s">
        <v>1304</v>
      </c>
      <c r="P110" s="4">
        <v>1150.712</v>
      </c>
      <c r="Q110" s="4">
        <v>1225.489343</v>
      </c>
      <c r="R110" s="4">
        <v>1211.5763959999999</v>
      </c>
      <c r="S110" s="4"/>
      <c r="T110" s="4"/>
    </row>
    <row r="111" spans="1:56" x14ac:dyDescent="0.2">
      <c r="A111">
        <f t="shared" si="3"/>
        <v>108</v>
      </c>
      <c r="B111" s="2" t="s">
        <v>1265</v>
      </c>
      <c r="R111" s="4">
        <v>840.39369999999997</v>
      </c>
      <c r="S111" s="4"/>
      <c r="T111" s="4"/>
    </row>
    <row r="112" spans="1:56" x14ac:dyDescent="0.2">
      <c r="A112">
        <f t="shared" si="3"/>
        <v>109</v>
      </c>
      <c r="B112" s="2" t="s">
        <v>197</v>
      </c>
      <c r="C112" t="s">
        <v>1308</v>
      </c>
      <c r="R112" s="4">
        <v>778.69210999999996</v>
      </c>
      <c r="S112" s="4"/>
      <c r="T112" s="4"/>
      <c r="AI112" s="18">
        <v>61</v>
      </c>
      <c r="AJ112" s="18">
        <v>29</v>
      </c>
      <c r="AL112" s="9">
        <v>0.52</v>
      </c>
      <c r="AM112" s="9">
        <v>0.48</v>
      </c>
      <c r="BB112" s="36">
        <v>-0.33300000000000002</v>
      </c>
    </row>
    <row r="113" spans="1:71" x14ac:dyDescent="0.2">
      <c r="A113">
        <f t="shared" si="3"/>
        <v>110</v>
      </c>
      <c r="B113" s="2" t="s">
        <v>47</v>
      </c>
      <c r="K113" s="4">
        <v>1092.9059999999999</v>
      </c>
      <c r="P113" s="4">
        <v>808.65300000000002</v>
      </c>
      <c r="Q113" s="4">
        <v>913.78966700000001</v>
      </c>
      <c r="R113" s="4">
        <v>675.32564400000001</v>
      </c>
      <c r="S113" s="4"/>
      <c r="T113" s="4"/>
      <c r="U113" s="6" t="s">
        <v>100</v>
      </c>
      <c r="AL113" s="14" t="s">
        <v>2088</v>
      </c>
      <c r="AM113" s="14" t="s">
        <v>2087</v>
      </c>
      <c r="AN113" s="14" t="s">
        <v>2086</v>
      </c>
      <c r="AO113" s="14" t="s">
        <v>2085</v>
      </c>
      <c r="AP113" s="14" t="s">
        <v>2084</v>
      </c>
      <c r="AQ113" s="14" t="s">
        <v>2083</v>
      </c>
      <c r="AR113" s="14" t="s">
        <v>2082</v>
      </c>
      <c r="AS113" t="s">
        <v>2081</v>
      </c>
    </row>
    <row r="114" spans="1:71" x14ac:dyDescent="0.2">
      <c r="A114">
        <f t="shared" si="3"/>
        <v>111</v>
      </c>
      <c r="B114" s="2" t="s">
        <v>1297</v>
      </c>
      <c r="R114" s="4">
        <v>529.70181100000002</v>
      </c>
      <c r="S114" s="4"/>
      <c r="T114" s="4">
        <v>500.37118199999998</v>
      </c>
    </row>
    <row r="115" spans="1:71" x14ac:dyDescent="0.2">
      <c r="A115">
        <f t="shared" si="3"/>
        <v>112</v>
      </c>
      <c r="B115" s="2" t="s">
        <v>1300</v>
      </c>
      <c r="P115" s="4">
        <v>273.69799999999998</v>
      </c>
      <c r="Q115" s="4">
        <v>272.0761</v>
      </c>
      <c r="R115" s="4">
        <v>353.461074</v>
      </c>
      <c r="S115" s="4"/>
      <c r="T115" s="4"/>
    </row>
    <row r="116" spans="1:71" x14ac:dyDescent="0.2">
      <c r="A116">
        <f t="shared" si="3"/>
        <v>113</v>
      </c>
      <c r="B116" s="2" t="s">
        <v>1319</v>
      </c>
      <c r="C116" t="s">
        <v>1320</v>
      </c>
      <c r="R116" s="4">
        <v>52</v>
      </c>
      <c r="S116" s="4"/>
      <c r="T116" s="4"/>
    </row>
    <row r="117" spans="1:71" x14ac:dyDescent="0.2">
      <c r="A117">
        <f t="shared" si="3"/>
        <v>114</v>
      </c>
      <c r="B117" s="2" t="s">
        <v>140</v>
      </c>
      <c r="P117" s="4">
        <v>741.80454199999997</v>
      </c>
      <c r="Q117" s="4"/>
      <c r="R117" s="4"/>
      <c r="S117" s="4"/>
      <c r="T117" s="4"/>
    </row>
    <row r="118" spans="1:71" x14ac:dyDescent="0.2">
      <c r="A118">
        <f t="shared" si="3"/>
        <v>115</v>
      </c>
      <c r="B118" s="2" t="s">
        <v>55</v>
      </c>
      <c r="C118" t="s">
        <v>2347</v>
      </c>
      <c r="P118" s="4">
        <v>332.71594900000002</v>
      </c>
      <c r="Q118" s="4"/>
      <c r="R118" s="4"/>
      <c r="S118" s="4"/>
      <c r="T118" s="4"/>
      <c r="U118" s="6" t="s">
        <v>662</v>
      </c>
      <c r="BP118" s="14" t="s">
        <v>2348</v>
      </c>
    </row>
    <row r="119" spans="1:71" x14ac:dyDescent="0.2">
      <c r="A119">
        <f t="shared" si="3"/>
        <v>116</v>
      </c>
      <c r="B119" s="2" t="s">
        <v>42</v>
      </c>
      <c r="C119" t="s">
        <v>70</v>
      </c>
      <c r="K119" s="4">
        <v>799.58</v>
      </c>
      <c r="P119" s="4">
        <v>109.111527</v>
      </c>
      <c r="Q119" s="4"/>
      <c r="R119" s="4"/>
      <c r="S119" s="4"/>
      <c r="T119" s="4"/>
      <c r="U119" s="6" t="s">
        <v>104</v>
      </c>
      <c r="V119" s="6" t="s">
        <v>219</v>
      </c>
      <c r="W119" s="8" t="s">
        <v>653</v>
      </c>
    </row>
    <row r="120" spans="1:71" x14ac:dyDescent="0.2">
      <c r="A120">
        <f t="shared" si="3"/>
        <v>117</v>
      </c>
      <c r="B120" s="2" t="s">
        <v>128</v>
      </c>
      <c r="C120" t="s">
        <v>1956</v>
      </c>
      <c r="P120" s="4">
        <v>70.898508000000007</v>
      </c>
      <c r="Q120" s="4"/>
      <c r="R120" s="4"/>
      <c r="S120" s="4"/>
      <c r="T120" s="4"/>
      <c r="U120" s="6" t="s">
        <v>1957</v>
      </c>
      <c r="X120" s="11">
        <v>35430</v>
      </c>
      <c r="AB120" s="47">
        <v>-0.13389999999999999</v>
      </c>
      <c r="AC120" s="7">
        <f>8+3</f>
        <v>11</v>
      </c>
      <c r="AI120" s="18">
        <v>204</v>
      </c>
      <c r="AJ120" s="18">
        <v>120</v>
      </c>
      <c r="AL120" s="14" t="s">
        <v>1958</v>
      </c>
      <c r="AM120" s="9">
        <v>8.6900000000000005E-2</v>
      </c>
      <c r="AN120" s="9">
        <v>-6.2300000000000001E-2</v>
      </c>
      <c r="AO120" s="9">
        <v>0.14630000000000001</v>
      </c>
      <c r="AP120" s="9">
        <v>9.8299999999999998E-2</v>
      </c>
      <c r="AQ120" s="9">
        <v>2.24E-2</v>
      </c>
    </row>
    <row r="121" spans="1:71" x14ac:dyDescent="0.2">
      <c r="A121">
        <f t="shared" si="3"/>
        <v>118</v>
      </c>
      <c r="B121" t="s">
        <v>59</v>
      </c>
      <c r="C121" t="s">
        <v>2044</v>
      </c>
      <c r="U121" s="6" t="s">
        <v>656</v>
      </c>
      <c r="AT121" t="s">
        <v>2236</v>
      </c>
      <c r="BQ121" t="s">
        <v>2251</v>
      </c>
      <c r="BS121" t="s">
        <v>224</v>
      </c>
    </row>
    <row r="122" spans="1:71" x14ac:dyDescent="0.2">
      <c r="A122">
        <f t="shared" si="3"/>
        <v>119</v>
      </c>
      <c r="B122" t="s">
        <v>106</v>
      </c>
    </row>
    <row r="123" spans="1:71" x14ac:dyDescent="0.2">
      <c r="A123">
        <f t="shared" si="3"/>
        <v>120</v>
      </c>
      <c r="B123" t="s">
        <v>1825</v>
      </c>
      <c r="C123" t="s">
        <v>2031</v>
      </c>
      <c r="D123" s="3">
        <v>2130</v>
      </c>
      <c r="Q123" s="3">
        <v>8021.4892289999998</v>
      </c>
    </row>
    <row r="124" spans="1:71" x14ac:dyDescent="0.2">
      <c r="A124">
        <f t="shared" si="3"/>
        <v>121</v>
      </c>
      <c r="B124" s="2" t="s">
        <v>112</v>
      </c>
      <c r="C124" t="s">
        <v>1928</v>
      </c>
      <c r="D124" s="3">
        <v>10196</v>
      </c>
      <c r="Q124" s="3">
        <v>4219.0843729999997</v>
      </c>
      <c r="R124" s="3">
        <v>12185.426366</v>
      </c>
      <c r="S124" s="3">
        <v>9854.5648980000005</v>
      </c>
      <c r="T124" s="4">
        <v>17188.313203000002</v>
      </c>
      <c r="U124" s="6" t="s">
        <v>101</v>
      </c>
      <c r="V124" s="6" t="s">
        <v>1929</v>
      </c>
      <c r="X124">
        <v>2005</v>
      </c>
      <c r="AA124" s="47">
        <v>9.0399999999999994E-2</v>
      </c>
      <c r="AB124" s="47">
        <v>-7.4099999999999999E-2</v>
      </c>
      <c r="AC124" s="7">
        <v>2</v>
      </c>
      <c r="AI124" s="18">
        <v>5</v>
      </c>
      <c r="AJ124" s="18">
        <v>0</v>
      </c>
      <c r="AN124" s="9">
        <v>0.13</v>
      </c>
      <c r="AR124" s="10" t="s">
        <v>2032</v>
      </c>
      <c r="AS124" s="9">
        <v>3.8199999999999998E-2</v>
      </c>
      <c r="AT124" s="9">
        <v>8.3299999999999999E-2</v>
      </c>
      <c r="AU124" s="9">
        <v>7.5300000000000006E-2</v>
      </c>
      <c r="AV124" s="9">
        <v>8.1500000000000003E-2</v>
      </c>
      <c r="AW124" s="9">
        <v>7.5600000000000001E-2</v>
      </c>
    </row>
    <row r="125" spans="1:71" x14ac:dyDescent="0.2">
      <c r="A125">
        <f t="shared" si="3"/>
        <v>122</v>
      </c>
      <c r="B125" t="s">
        <v>67</v>
      </c>
      <c r="C125" t="s">
        <v>697</v>
      </c>
      <c r="AA125" s="47"/>
      <c r="AB125" s="47"/>
    </row>
    <row r="126" spans="1:71" x14ac:dyDescent="0.2">
      <c r="A126">
        <f t="shared" si="3"/>
        <v>123</v>
      </c>
      <c r="B126" t="s">
        <v>1323</v>
      </c>
      <c r="Q126" s="3">
        <v>45325.166977000001</v>
      </c>
      <c r="R126" s="3">
        <v>44293.440425000001</v>
      </c>
      <c r="S126" s="3">
        <v>51025.841389000001</v>
      </c>
      <c r="T126" s="3">
        <v>55847.70003</v>
      </c>
      <c r="AA126" s="47"/>
      <c r="AB126" s="47"/>
      <c r="AI126" s="18">
        <v>13</v>
      </c>
      <c r="AJ126" s="18">
        <v>11</v>
      </c>
    </row>
    <row r="127" spans="1:71" x14ac:dyDescent="0.2">
      <c r="A127">
        <f t="shared" si="3"/>
        <v>124</v>
      </c>
      <c r="B127" t="s">
        <v>1586</v>
      </c>
      <c r="Q127" s="3">
        <v>44657.690703</v>
      </c>
      <c r="R127" s="3">
        <v>46451.579060999997</v>
      </c>
      <c r="S127" s="3">
        <v>54941.363611000001</v>
      </c>
      <c r="AA127" s="47"/>
      <c r="AB127" s="47"/>
      <c r="AI127" s="18">
        <v>35</v>
      </c>
      <c r="AJ127" s="18">
        <v>21</v>
      </c>
    </row>
    <row r="128" spans="1:71" x14ac:dyDescent="0.2">
      <c r="A128">
        <f t="shared" si="3"/>
        <v>125</v>
      </c>
      <c r="B128" t="s">
        <v>1938</v>
      </c>
      <c r="D128" s="3">
        <v>2900</v>
      </c>
      <c r="U128" s="6" t="s">
        <v>100</v>
      </c>
      <c r="V128" s="6" t="s">
        <v>1986</v>
      </c>
      <c r="X128">
        <v>2013</v>
      </c>
      <c r="AA128" s="47">
        <v>9.3200000000000005E-2</v>
      </c>
      <c r="AB128" s="47">
        <v>-0.25650000000000001</v>
      </c>
      <c r="AC128" s="7">
        <v>3</v>
      </c>
      <c r="AL128" s="14" t="s">
        <v>2121</v>
      </c>
      <c r="AM128" s="9">
        <v>-9.8000000000000004E-2</v>
      </c>
      <c r="AN128" s="9">
        <v>8.5999999999999993E-2</v>
      </c>
      <c r="AO128" s="9">
        <v>0.129</v>
      </c>
      <c r="AP128" s="9">
        <v>0.37659999999999999</v>
      </c>
      <c r="AQ128" s="9">
        <v>7.4200000000000002E-2</v>
      </c>
      <c r="AR128" s="14" t="s">
        <v>2028</v>
      </c>
      <c r="AS128" s="9">
        <v>0.15</v>
      </c>
      <c r="AT128" s="9">
        <v>-3.2000000000000001E-2</v>
      </c>
      <c r="AU128" s="9">
        <v>0.17630000000000001</v>
      </c>
      <c r="AV128" s="9">
        <v>-2.8400000000000002E-2</v>
      </c>
      <c r="AW128" s="9">
        <v>0.14710000000000001</v>
      </c>
    </row>
    <row r="129" spans="1:60" x14ac:dyDescent="0.2">
      <c r="A129">
        <f t="shared" si="3"/>
        <v>126</v>
      </c>
      <c r="B129" t="s">
        <v>1932</v>
      </c>
      <c r="C129" t="s">
        <v>1933</v>
      </c>
      <c r="U129" s="6" t="s">
        <v>101</v>
      </c>
      <c r="V129" s="6" t="s">
        <v>1934</v>
      </c>
      <c r="X129">
        <v>2018</v>
      </c>
      <c r="AN129" s="9">
        <v>0.2</v>
      </c>
    </row>
    <row r="130" spans="1:60" x14ac:dyDescent="0.2">
      <c r="A130">
        <f t="shared" si="3"/>
        <v>127</v>
      </c>
      <c r="B130" t="s">
        <v>1987</v>
      </c>
      <c r="AN130" s="9"/>
      <c r="AS130" s="36">
        <v>0.38350000000000001</v>
      </c>
      <c r="AX130" t="s">
        <v>2364</v>
      </c>
    </row>
    <row r="131" spans="1:60" x14ac:dyDescent="0.2">
      <c r="A131">
        <f t="shared" si="3"/>
        <v>128</v>
      </c>
      <c r="B131" t="s">
        <v>72</v>
      </c>
    </row>
    <row r="132" spans="1:60" x14ac:dyDescent="0.2">
      <c r="A132">
        <f t="shared" si="3"/>
        <v>129</v>
      </c>
      <c r="B132" t="s">
        <v>114</v>
      </c>
    </row>
    <row r="133" spans="1:60" x14ac:dyDescent="0.2">
      <c r="A133">
        <f t="shared" si="3"/>
        <v>130</v>
      </c>
      <c r="B133" t="s">
        <v>1865</v>
      </c>
      <c r="AL133" s="14" t="s">
        <v>1866</v>
      </c>
      <c r="AM133" s="14"/>
    </row>
    <row r="134" spans="1:60" x14ac:dyDescent="0.2">
      <c r="A134">
        <f t="shared" si="3"/>
        <v>131</v>
      </c>
      <c r="B134" t="s">
        <v>2009</v>
      </c>
      <c r="C134" t="s">
        <v>2010</v>
      </c>
      <c r="D134" s="3">
        <v>9835</v>
      </c>
      <c r="AL134" s="14"/>
      <c r="AM134" s="14"/>
    </row>
    <row r="135" spans="1:60" x14ac:dyDescent="0.2">
      <c r="A135">
        <f t="shared" si="3"/>
        <v>132</v>
      </c>
      <c r="B135" t="s">
        <v>679</v>
      </c>
    </row>
    <row r="136" spans="1:60" x14ac:dyDescent="0.2">
      <c r="A136">
        <f t="shared" si="3"/>
        <v>133</v>
      </c>
      <c r="B136" t="s">
        <v>2113</v>
      </c>
      <c r="C136" t="s">
        <v>2140</v>
      </c>
      <c r="BH136" t="s">
        <v>2141</v>
      </c>
    </row>
    <row r="137" spans="1:60" x14ac:dyDescent="0.2">
      <c r="A137">
        <f t="shared" si="3"/>
        <v>134</v>
      </c>
      <c r="B137" t="s">
        <v>116</v>
      </c>
    </row>
    <row r="138" spans="1:60" x14ac:dyDescent="0.2">
      <c r="A138">
        <f t="shared" si="3"/>
        <v>135</v>
      </c>
      <c r="B138" t="s">
        <v>2045</v>
      </c>
      <c r="C138" t="s">
        <v>2046</v>
      </c>
    </row>
    <row r="139" spans="1:60" x14ac:dyDescent="0.2">
      <c r="A139">
        <f t="shared" si="3"/>
        <v>136</v>
      </c>
      <c r="B139" t="s">
        <v>1827</v>
      </c>
      <c r="Q139" s="3">
        <v>5016.0044969999999</v>
      </c>
      <c r="R139" s="3">
        <v>6555.041682</v>
      </c>
      <c r="S139" s="3">
        <v>7899.1673190000001</v>
      </c>
      <c r="T139" s="3">
        <v>8579.2385410000006</v>
      </c>
    </row>
    <row r="140" spans="1:60" x14ac:dyDescent="0.2">
      <c r="A140">
        <f t="shared" si="3"/>
        <v>137</v>
      </c>
      <c r="B140" t="s">
        <v>117</v>
      </c>
      <c r="C140" t="s">
        <v>1923</v>
      </c>
      <c r="D140" s="3">
        <v>18000</v>
      </c>
      <c r="R140" s="3">
        <v>4598.7556569999997</v>
      </c>
      <c r="U140" s="6" t="s">
        <v>101</v>
      </c>
      <c r="V140" s="6" t="s">
        <v>1924</v>
      </c>
      <c r="AN140" t="s">
        <v>1925</v>
      </c>
    </row>
    <row r="141" spans="1:60" x14ac:dyDescent="0.2">
      <c r="A141">
        <f t="shared" si="3"/>
        <v>138</v>
      </c>
      <c r="B141" t="s">
        <v>2116</v>
      </c>
      <c r="C141" t="s">
        <v>2117</v>
      </c>
      <c r="U141" s="6" t="s">
        <v>100</v>
      </c>
      <c r="V141" s="6" t="s">
        <v>2118</v>
      </c>
      <c r="AH141" t="s">
        <v>2119</v>
      </c>
      <c r="AL141" s="27">
        <v>7.8E-2</v>
      </c>
    </row>
    <row r="142" spans="1:60" x14ac:dyDescent="0.2">
      <c r="A142">
        <f t="shared" si="3"/>
        <v>139</v>
      </c>
      <c r="B142" t="s">
        <v>119</v>
      </c>
      <c r="D142" s="3">
        <v>5547</v>
      </c>
    </row>
    <row r="143" spans="1:60" x14ac:dyDescent="0.2">
      <c r="A143">
        <f t="shared" si="3"/>
        <v>140</v>
      </c>
      <c r="B143" t="s">
        <v>120</v>
      </c>
    </row>
    <row r="144" spans="1:60" x14ac:dyDescent="0.2">
      <c r="A144">
        <f t="shared" si="3"/>
        <v>141</v>
      </c>
      <c r="B144" s="2" t="s">
        <v>1504</v>
      </c>
      <c r="T144" s="4">
        <v>106.02606900000001</v>
      </c>
      <c r="AI144" s="18">
        <v>10</v>
      </c>
      <c r="AJ144" s="18">
        <v>0</v>
      </c>
    </row>
    <row r="145" spans="1:71" x14ac:dyDescent="0.2">
      <c r="A145">
        <f t="shared" si="3"/>
        <v>142</v>
      </c>
      <c r="B145" t="s">
        <v>1513</v>
      </c>
      <c r="C145" t="s">
        <v>2237</v>
      </c>
      <c r="D145" s="3" t="s">
        <v>2058</v>
      </c>
      <c r="T145" s="4">
        <v>1425.217337</v>
      </c>
      <c r="AI145" s="18">
        <v>45</v>
      </c>
      <c r="AJ145" s="18">
        <v>14</v>
      </c>
      <c r="AZ145" t="s">
        <v>1518</v>
      </c>
    </row>
    <row r="146" spans="1:71" x14ac:dyDescent="0.2">
      <c r="A146">
        <f t="shared" si="3"/>
        <v>143</v>
      </c>
      <c r="B146" t="s">
        <v>1326</v>
      </c>
    </row>
    <row r="147" spans="1:71" x14ac:dyDescent="0.2">
      <c r="A147">
        <f t="shared" si="3"/>
        <v>144</v>
      </c>
      <c r="B147" s="2" t="s">
        <v>1503</v>
      </c>
    </row>
    <row r="148" spans="1:71" x14ac:dyDescent="0.2">
      <c r="A148">
        <f t="shared" si="3"/>
        <v>145</v>
      </c>
      <c r="B148" t="s">
        <v>121</v>
      </c>
      <c r="Q148" s="3">
        <v>15041.567309</v>
      </c>
      <c r="S148" s="4">
        <v>14991.121606000001</v>
      </c>
      <c r="T148" s="4"/>
      <c r="AI148" s="18">
        <v>402</v>
      </c>
      <c r="AJ148" s="18">
        <v>237</v>
      </c>
    </row>
    <row r="149" spans="1:71" x14ac:dyDescent="0.2">
      <c r="A149">
        <f t="shared" si="3"/>
        <v>146</v>
      </c>
      <c r="B149" t="s">
        <v>123</v>
      </c>
      <c r="C149" t="s">
        <v>1945</v>
      </c>
      <c r="AB149" s="47">
        <v>-0.34</v>
      </c>
      <c r="AC149" s="7">
        <v>2</v>
      </c>
      <c r="AD149">
        <v>2009</v>
      </c>
      <c r="AI149" s="18">
        <v>347</v>
      </c>
      <c r="AJ149" s="18">
        <v>126</v>
      </c>
      <c r="AL149" s="10" t="s">
        <v>1944</v>
      </c>
      <c r="AM149" s="9">
        <v>0.11260000000000001</v>
      </c>
      <c r="AN149" s="9">
        <v>-2.5600000000000001E-2</v>
      </c>
      <c r="AO149" s="9">
        <v>0.1143</v>
      </c>
      <c r="AP149" s="9">
        <v>-0.04</v>
      </c>
      <c r="AQ149" s="9">
        <v>8.8900000000000007E-2</v>
      </c>
    </row>
    <row r="150" spans="1:71" x14ac:dyDescent="0.2">
      <c r="A150">
        <f t="shared" si="3"/>
        <v>147</v>
      </c>
      <c r="B150" s="2" t="s">
        <v>1511</v>
      </c>
      <c r="T150" s="4">
        <v>1691.8504539999999</v>
      </c>
    </row>
    <row r="151" spans="1:71" x14ac:dyDescent="0.2">
      <c r="A151">
        <f t="shared" si="3"/>
        <v>148</v>
      </c>
      <c r="B151" t="s">
        <v>124</v>
      </c>
      <c r="D151" s="3">
        <v>7689</v>
      </c>
      <c r="AI151" s="18">
        <v>123</v>
      </c>
      <c r="AJ151" s="18">
        <v>73</v>
      </c>
    </row>
    <row r="152" spans="1:71" x14ac:dyDescent="0.2">
      <c r="A152">
        <f t="shared" si="3"/>
        <v>149</v>
      </c>
      <c r="B152" t="s">
        <v>126</v>
      </c>
    </row>
    <row r="153" spans="1:71" x14ac:dyDescent="0.2">
      <c r="A153">
        <f t="shared" si="3"/>
        <v>150</v>
      </c>
      <c r="B153" t="s">
        <v>1514</v>
      </c>
      <c r="C153" t="s">
        <v>2078</v>
      </c>
      <c r="X153">
        <v>2010</v>
      </c>
      <c r="AI153" s="18">
        <v>55</v>
      </c>
      <c r="AJ153" s="18">
        <v>12</v>
      </c>
      <c r="AO153" s="14" t="s">
        <v>2080</v>
      </c>
      <c r="AP153" s="36">
        <v>-0.38350000000000001</v>
      </c>
      <c r="AQ153" s="36">
        <v>-0.10050000000000001</v>
      </c>
      <c r="AR153" s="36">
        <v>-1.14E-2</v>
      </c>
      <c r="AS153" s="9" t="s">
        <v>2079</v>
      </c>
      <c r="AT153" s="36">
        <v>0.50570000000000004</v>
      </c>
      <c r="AU153" s="36">
        <v>-1.9800000000000002E-2</v>
      </c>
      <c r="AV153" s="36">
        <v>0.26369999999999999</v>
      </c>
      <c r="AW153" s="36">
        <v>4.0099999999999997E-2</v>
      </c>
    </row>
    <row r="154" spans="1:71" x14ac:dyDescent="0.2">
      <c r="A154">
        <f t="shared" si="3"/>
        <v>151</v>
      </c>
      <c r="B154" t="s">
        <v>2002</v>
      </c>
      <c r="C154" t="s">
        <v>2281</v>
      </c>
      <c r="AS154" s="9"/>
      <c r="BO154" s="9">
        <v>0.34</v>
      </c>
      <c r="BQ154" s="14" t="s">
        <v>2282</v>
      </c>
    </row>
    <row r="155" spans="1:71" x14ac:dyDescent="0.2">
      <c r="A155">
        <f t="shared" si="3"/>
        <v>152</v>
      </c>
      <c r="B155" t="s">
        <v>127</v>
      </c>
    </row>
    <row r="156" spans="1:71" x14ac:dyDescent="0.2">
      <c r="A156">
        <f t="shared" si="3"/>
        <v>153</v>
      </c>
      <c r="B156" s="2" t="s">
        <v>1502</v>
      </c>
      <c r="T156" s="4">
        <v>991.22738300000003</v>
      </c>
      <c r="AL156" s="9">
        <v>0.1003</v>
      </c>
      <c r="AM156" s="9">
        <v>0.18790000000000001</v>
      </c>
      <c r="AN156" s="9">
        <v>7.5999999999999998E-2</v>
      </c>
      <c r="AO156" s="9">
        <v>0.45469999999999999</v>
      </c>
      <c r="AP156" s="9">
        <v>0.44619999999999999</v>
      </c>
      <c r="AQ156" s="9">
        <v>0.1021</v>
      </c>
      <c r="AR156" s="9">
        <v>0.19189999999999999</v>
      </c>
      <c r="AS156" s="9">
        <v>-9.8000000000000004E-2</v>
      </c>
      <c r="AT156" s="9">
        <v>3.7400000000000003E-2</v>
      </c>
      <c r="AU156" s="9">
        <v>0.16170000000000001</v>
      </c>
      <c r="AV156" s="9">
        <v>0.25600000000000001</v>
      </c>
      <c r="AW156" s="9">
        <v>2.7099999999999999E-2</v>
      </c>
      <c r="AX156" s="9">
        <v>5.2900000000000003E-2</v>
      </c>
      <c r="AY156" s="9">
        <v>0.23699999999999999</v>
      </c>
      <c r="AZ156" s="9">
        <v>0.23350000000000001</v>
      </c>
      <c r="BA156" s="9">
        <v>0.19620000000000001</v>
      </c>
      <c r="BB156" s="9">
        <v>1.77E-2</v>
      </c>
      <c r="BC156" s="9">
        <v>0.10970000000000001</v>
      </c>
    </row>
    <row r="157" spans="1:71" x14ac:dyDescent="0.2">
      <c r="A157">
        <f t="shared" si="3"/>
        <v>154</v>
      </c>
      <c r="B157" t="s">
        <v>129</v>
      </c>
    </row>
    <row r="158" spans="1:71" x14ac:dyDescent="0.2">
      <c r="A158">
        <f t="shared" si="3"/>
        <v>155</v>
      </c>
      <c r="B158" s="2" t="s">
        <v>1512</v>
      </c>
      <c r="T158" s="4">
        <v>854.64591399999995</v>
      </c>
      <c r="X158">
        <v>2020</v>
      </c>
      <c r="AO158" s="14" t="s">
        <v>1850</v>
      </c>
      <c r="AP158" s="9">
        <v>0.68</v>
      </c>
      <c r="AQ158" s="1" t="s">
        <v>235</v>
      </c>
      <c r="AR158" s="1" t="s">
        <v>235</v>
      </c>
      <c r="AS158" s="1" t="s">
        <v>235</v>
      </c>
      <c r="AT158" s="1" t="s">
        <v>235</v>
      </c>
      <c r="AU158" s="1" t="s">
        <v>235</v>
      </c>
      <c r="AV158" s="1" t="s">
        <v>235</v>
      </c>
      <c r="AW158" s="1" t="s">
        <v>235</v>
      </c>
      <c r="AX158" s="1" t="s">
        <v>235</v>
      </c>
      <c r="AY158" s="1" t="s">
        <v>235</v>
      </c>
      <c r="AZ158" s="1" t="s">
        <v>235</v>
      </c>
      <c r="BA158" s="1" t="s">
        <v>235</v>
      </c>
      <c r="BB158" s="1" t="s">
        <v>235</v>
      </c>
      <c r="BC158" s="1" t="s">
        <v>235</v>
      </c>
      <c r="BD158" s="1" t="s">
        <v>235</v>
      </c>
      <c r="BE158" s="1" t="s">
        <v>235</v>
      </c>
      <c r="BF158" s="1" t="s">
        <v>235</v>
      </c>
      <c r="BG158" s="1" t="s">
        <v>235</v>
      </c>
      <c r="BH158" s="1" t="s">
        <v>235</v>
      </c>
      <c r="BI158" s="1" t="s">
        <v>235</v>
      </c>
      <c r="BJ158" s="1" t="s">
        <v>235</v>
      </c>
      <c r="BK158" s="1" t="s">
        <v>235</v>
      </c>
      <c r="BL158" s="1" t="s">
        <v>235</v>
      </c>
      <c r="BM158" s="1" t="s">
        <v>235</v>
      </c>
      <c r="BN158" s="1" t="s">
        <v>235</v>
      </c>
      <c r="BO158" s="1" t="s">
        <v>235</v>
      </c>
      <c r="BP158" s="1" t="s">
        <v>235</v>
      </c>
      <c r="BQ158" s="1" t="s">
        <v>235</v>
      </c>
      <c r="BR158" s="1" t="s">
        <v>235</v>
      </c>
      <c r="BS158" s="1" t="s">
        <v>235</v>
      </c>
    </row>
    <row r="159" spans="1:71" x14ac:dyDescent="0.2">
      <c r="A159">
        <f t="shared" si="3"/>
        <v>156</v>
      </c>
      <c r="B159" t="s">
        <v>130</v>
      </c>
    </row>
    <row r="160" spans="1:71" x14ac:dyDescent="0.2">
      <c r="A160">
        <f t="shared" si="3"/>
        <v>157</v>
      </c>
      <c r="B160" s="2" t="s">
        <v>1506</v>
      </c>
      <c r="R160" s="3">
        <v>5924.685219</v>
      </c>
      <c r="T160" s="4">
        <v>5039.1852209999997</v>
      </c>
      <c r="AI160" s="18">
        <v>141</v>
      </c>
      <c r="AJ160" s="18">
        <v>62</v>
      </c>
    </row>
    <row r="161" spans="1:77" x14ac:dyDescent="0.2">
      <c r="A161">
        <f t="shared" si="3"/>
        <v>158</v>
      </c>
      <c r="B161" t="s">
        <v>1318</v>
      </c>
    </row>
    <row r="162" spans="1:77" x14ac:dyDescent="0.2">
      <c r="A162">
        <f t="shared" si="3"/>
        <v>159</v>
      </c>
      <c r="B162" s="2" t="s">
        <v>1507</v>
      </c>
      <c r="T162" s="4">
        <v>1216.8430000000001</v>
      </c>
      <c r="AI162" s="18">
        <v>74</v>
      </c>
      <c r="AJ162" s="18">
        <v>40</v>
      </c>
    </row>
    <row r="163" spans="1:77" x14ac:dyDescent="0.2">
      <c r="A163">
        <f t="shared" si="3"/>
        <v>160</v>
      </c>
      <c r="B163" t="s">
        <v>131</v>
      </c>
    </row>
    <row r="164" spans="1:77" x14ac:dyDescent="0.2">
      <c r="A164">
        <f t="shared" si="3"/>
        <v>161</v>
      </c>
      <c r="B164" t="s">
        <v>1921</v>
      </c>
      <c r="C164" t="s">
        <v>1922</v>
      </c>
      <c r="AN164" s="9">
        <v>1.52</v>
      </c>
      <c r="AO164" s="9">
        <v>0.55000000000000004</v>
      </c>
    </row>
    <row r="165" spans="1:77" x14ac:dyDescent="0.2">
      <c r="A165">
        <f t="shared" si="3"/>
        <v>162</v>
      </c>
      <c r="B165" t="s">
        <v>1505</v>
      </c>
      <c r="T165" s="4">
        <v>1769.7803570000001</v>
      </c>
    </row>
    <row r="166" spans="1:77" x14ac:dyDescent="0.2">
      <c r="A166">
        <f t="shared" si="3"/>
        <v>163</v>
      </c>
      <c r="B166" t="s">
        <v>132</v>
      </c>
      <c r="C166" t="s">
        <v>1992</v>
      </c>
      <c r="D166" s="3">
        <v>11696</v>
      </c>
      <c r="T166" s="3">
        <v>39195.575370999999</v>
      </c>
    </row>
    <row r="167" spans="1:77" x14ac:dyDescent="0.2">
      <c r="A167">
        <f t="shared" si="3"/>
        <v>164</v>
      </c>
      <c r="B167" s="2" t="s">
        <v>1509</v>
      </c>
      <c r="C167" t="s">
        <v>1845</v>
      </c>
      <c r="D167" s="3">
        <f>410+1810</f>
        <v>2220</v>
      </c>
      <c r="Q167" s="3">
        <v>5192.7570269999997</v>
      </c>
      <c r="R167" s="3">
        <v>4222.3551509999998</v>
      </c>
      <c r="S167" s="3">
        <v>4396.6962030000004</v>
      </c>
      <c r="T167" s="4">
        <v>4054.7216349999999</v>
      </c>
      <c r="X167">
        <v>2014</v>
      </c>
      <c r="AA167" s="49">
        <v>9.3100000000000002E-2</v>
      </c>
      <c r="AB167" s="49">
        <v>-2.41E-2</v>
      </c>
      <c r="AC167" s="7">
        <v>3</v>
      </c>
      <c r="AI167" s="9">
        <v>0.19</v>
      </c>
      <c r="AJ167" s="9">
        <v>0.14000000000000001</v>
      </c>
      <c r="AK167" s="9"/>
      <c r="AL167" s="14" t="s">
        <v>1989</v>
      </c>
      <c r="AM167" s="9">
        <v>6.7000000000000004E-2</v>
      </c>
      <c r="AN167" s="9">
        <v>1.2699999999999999E-2</v>
      </c>
      <c r="AO167" s="9">
        <v>0.1138</v>
      </c>
      <c r="AP167" s="9">
        <v>0.25240000000000001</v>
      </c>
      <c r="AQ167" s="9">
        <v>0.1182</v>
      </c>
      <c r="AR167" s="10" t="s">
        <v>2039</v>
      </c>
      <c r="AS167" s="9">
        <v>0.16009999999999999</v>
      </c>
      <c r="AT167" s="9">
        <v>3.8399999999999997E-2</v>
      </c>
      <c r="AU167" s="9">
        <v>0.1014</v>
      </c>
      <c r="AV167" s="9">
        <v>1.4999999999999999E-2</v>
      </c>
      <c r="AW167" s="46"/>
    </row>
    <row r="168" spans="1:77" x14ac:dyDescent="0.2">
      <c r="A168">
        <f t="shared" si="3"/>
        <v>165</v>
      </c>
      <c r="B168" t="s">
        <v>133</v>
      </c>
      <c r="AI168" s="18">
        <v>185</v>
      </c>
      <c r="AJ168" s="18">
        <v>56</v>
      </c>
      <c r="AM168" s="9"/>
      <c r="AN168" s="9"/>
      <c r="AO168" s="9"/>
      <c r="AP168" s="9"/>
      <c r="AQ168" s="9"/>
    </row>
    <row r="169" spans="1:77" x14ac:dyDescent="0.2">
      <c r="A169">
        <f t="shared" si="3"/>
        <v>166</v>
      </c>
      <c r="B169" s="2" t="s">
        <v>1508</v>
      </c>
      <c r="C169" t="s">
        <v>1969</v>
      </c>
      <c r="D169" s="3">
        <v>225</v>
      </c>
      <c r="T169" s="4">
        <v>701.97274100000004</v>
      </c>
      <c r="X169">
        <v>1986</v>
      </c>
      <c r="AA169" s="49">
        <v>0.1168</v>
      </c>
      <c r="AB169" s="53" t="s">
        <v>2014</v>
      </c>
      <c r="AC169" s="7" t="s">
        <v>2015</v>
      </c>
      <c r="AL169" s="14" t="s">
        <v>1970</v>
      </c>
      <c r="AM169" s="9">
        <v>7.5600000000000001E-2</v>
      </c>
      <c r="AN169" s="9">
        <v>-0.16880000000000001</v>
      </c>
      <c r="AO169" s="9">
        <v>4.4999999999999998E-2</v>
      </c>
      <c r="AP169" s="9">
        <v>6.6699999999999995E-2</v>
      </c>
      <c r="AQ169" s="9">
        <v>0.14460000000000001</v>
      </c>
      <c r="AR169" s="14" t="s">
        <v>2013</v>
      </c>
      <c r="AS169" s="36">
        <v>9.0800000000000006E-2</v>
      </c>
      <c r="AT169" s="36">
        <v>-2.24E-2</v>
      </c>
      <c r="AU169" s="36">
        <v>3.3399999999999999E-2</v>
      </c>
      <c r="AV169" s="36">
        <v>8.2299999999999998E-2</v>
      </c>
      <c r="AW169" s="36">
        <v>0.2382</v>
      </c>
      <c r="BO169" s="9">
        <v>0.31</v>
      </c>
      <c r="BQ169" s="14" t="s">
        <v>2273</v>
      </c>
      <c r="BY169" s="9">
        <v>1.2</v>
      </c>
    </row>
    <row r="170" spans="1:77" x14ac:dyDescent="0.2">
      <c r="A170">
        <f t="shared" si="3"/>
        <v>167</v>
      </c>
      <c r="B170" t="s">
        <v>134</v>
      </c>
    </row>
    <row r="171" spans="1:77" x14ac:dyDescent="0.2">
      <c r="A171">
        <f t="shared" si="3"/>
        <v>168</v>
      </c>
      <c r="B171" t="s">
        <v>135</v>
      </c>
    </row>
    <row r="172" spans="1:77" x14ac:dyDescent="0.2">
      <c r="A172">
        <f t="shared" si="3"/>
        <v>169</v>
      </c>
      <c r="B172" t="s">
        <v>1993</v>
      </c>
      <c r="C172" t="s">
        <v>1994</v>
      </c>
      <c r="D172" s="3">
        <v>6405</v>
      </c>
    </row>
    <row r="173" spans="1:77" x14ac:dyDescent="0.2">
      <c r="A173">
        <f t="shared" si="3"/>
        <v>170</v>
      </c>
      <c r="B173" t="s">
        <v>1872</v>
      </c>
      <c r="AL173" s="14" t="s">
        <v>1873</v>
      </c>
    </row>
    <row r="174" spans="1:77" x14ac:dyDescent="0.2">
      <c r="A174">
        <f t="shared" si="3"/>
        <v>171</v>
      </c>
      <c r="B174" t="s">
        <v>136</v>
      </c>
    </row>
    <row r="175" spans="1:77" x14ac:dyDescent="0.2">
      <c r="A175">
        <f t="shared" si="3"/>
        <v>172</v>
      </c>
      <c r="B175" t="s">
        <v>137</v>
      </c>
    </row>
    <row r="176" spans="1:77" x14ac:dyDescent="0.2">
      <c r="A176">
        <f t="shared" ref="A176:A252" si="4">+A175+1</f>
        <v>173</v>
      </c>
      <c r="B176" s="2" t="s">
        <v>1501</v>
      </c>
      <c r="T176" s="4">
        <v>295.99487199999999</v>
      </c>
    </row>
    <row r="177" spans="1:43" x14ac:dyDescent="0.2">
      <c r="A177">
        <f t="shared" si="4"/>
        <v>174</v>
      </c>
      <c r="B177" t="s">
        <v>138</v>
      </c>
    </row>
    <row r="178" spans="1:43" x14ac:dyDescent="0.2">
      <c r="A178">
        <f t="shared" si="4"/>
        <v>175</v>
      </c>
      <c r="B178" t="s">
        <v>139</v>
      </c>
    </row>
    <row r="179" spans="1:43" x14ac:dyDescent="0.2">
      <c r="A179">
        <f t="shared" si="4"/>
        <v>176</v>
      </c>
      <c r="B179" t="s">
        <v>2120</v>
      </c>
    </row>
    <row r="180" spans="1:43" x14ac:dyDescent="0.2">
      <c r="A180">
        <f t="shared" si="4"/>
        <v>177</v>
      </c>
      <c r="B180" t="s">
        <v>141</v>
      </c>
    </row>
    <row r="181" spans="1:43" x14ac:dyDescent="0.2">
      <c r="A181">
        <f t="shared" si="4"/>
        <v>178</v>
      </c>
      <c r="B181" t="s">
        <v>142</v>
      </c>
    </row>
    <row r="182" spans="1:43" x14ac:dyDescent="0.2">
      <c r="A182">
        <f t="shared" si="4"/>
        <v>179</v>
      </c>
      <c r="B182" t="s">
        <v>1291</v>
      </c>
    </row>
    <row r="183" spans="1:43" x14ac:dyDescent="0.2">
      <c r="A183">
        <f t="shared" si="4"/>
        <v>180</v>
      </c>
      <c r="B183" t="s">
        <v>143</v>
      </c>
    </row>
    <row r="184" spans="1:43" x14ac:dyDescent="0.2">
      <c r="A184">
        <f t="shared" si="4"/>
        <v>181</v>
      </c>
      <c r="B184" t="s">
        <v>144</v>
      </c>
      <c r="C184" t="s">
        <v>1946</v>
      </c>
      <c r="D184" s="3">
        <v>2370</v>
      </c>
      <c r="AB184" s="47">
        <v>-0.30199999999999999</v>
      </c>
      <c r="AC184" s="7">
        <v>8</v>
      </c>
      <c r="AD184" s="11"/>
      <c r="AL184" s="14" t="s">
        <v>1947</v>
      </c>
      <c r="AM184" s="9">
        <v>7.5600000000000001E-2</v>
      </c>
      <c r="AN184" s="9">
        <v>8.9999999999999993E-3</v>
      </c>
      <c r="AO184" s="9">
        <v>8.2900000000000001E-2</v>
      </c>
      <c r="AP184" s="9">
        <v>0.2213</v>
      </c>
      <c r="AQ184" s="9">
        <v>6.1899999999999997E-2</v>
      </c>
    </row>
    <row r="185" spans="1:43" x14ac:dyDescent="0.2">
      <c r="A185">
        <f t="shared" si="4"/>
        <v>182</v>
      </c>
      <c r="B185" t="s">
        <v>1920</v>
      </c>
      <c r="AD185" s="11"/>
    </row>
    <row r="186" spans="1:43" x14ac:dyDescent="0.2">
      <c r="A186">
        <f t="shared" si="4"/>
        <v>183</v>
      </c>
      <c r="B186" t="s">
        <v>1948</v>
      </c>
      <c r="D186" s="3">
        <v>3170</v>
      </c>
      <c r="X186" s="11">
        <v>39538</v>
      </c>
      <c r="AB186" s="47">
        <v>-0.1699</v>
      </c>
      <c r="AC186" s="7">
        <v>3</v>
      </c>
      <c r="AL186" s="10" t="s">
        <v>1950</v>
      </c>
      <c r="AM186" s="9">
        <v>9.8199999999999996E-2</v>
      </c>
      <c r="AN186" s="9">
        <v>5.6599999999999998E-2</v>
      </c>
      <c r="AO186" s="9">
        <v>0.1094</v>
      </c>
      <c r="AP186" s="9">
        <v>2.18E-2</v>
      </c>
      <c r="AQ186" s="9">
        <v>6.7299999999999999E-2</v>
      </c>
    </row>
    <row r="187" spans="1:43" x14ac:dyDescent="0.2">
      <c r="A187">
        <f t="shared" si="4"/>
        <v>184</v>
      </c>
      <c r="B187" t="s">
        <v>1949</v>
      </c>
      <c r="D187" s="3">
        <v>6671</v>
      </c>
      <c r="X187" s="11">
        <v>41305</v>
      </c>
      <c r="AB187" s="47">
        <v>-0.1517</v>
      </c>
      <c r="AC187" s="7">
        <v>2</v>
      </c>
      <c r="AL187" s="10" t="s">
        <v>1951</v>
      </c>
      <c r="AM187" s="9">
        <v>0.14699999999999999</v>
      </c>
      <c r="AN187" s="9">
        <v>-4.6399999999999997E-2</v>
      </c>
      <c r="AO187" s="9">
        <v>0.12740000000000001</v>
      </c>
      <c r="AP187" s="9">
        <v>3.9399999999999998E-2</v>
      </c>
      <c r="AQ187" s="9">
        <v>7.4099999999999999E-2</v>
      </c>
    </row>
    <row r="188" spans="1:43" x14ac:dyDescent="0.2">
      <c r="A188">
        <f t="shared" si="4"/>
        <v>185</v>
      </c>
      <c r="B188" t="s">
        <v>145</v>
      </c>
    </row>
    <row r="189" spans="1:43" x14ac:dyDescent="0.2">
      <c r="A189">
        <f t="shared" si="4"/>
        <v>186</v>
      </c>
      <c r="B189" t="s">
        <v>147</v>
      </c>
      <c r="D189" s="3">
        <v>1120</v>
      </c>
      <c r="AB189" s="47">
        <v>-0.2384</v>
      </c>
      <c r="AC189" s="7">
        <v>3</v>
      </c>
      <c r="AL189" s="14" t="s">
        <v>1940</v>
      </c>
      <c r="AM189" s="9">
        <v>0.18079999999999999</v>
      </c>
      <c r="AN189" s="9">
        <v>1.8200000000000001E-2</v>
      </c>
      <c r="AO189" s="9">
        <v>0.1573</v>
      </c>
      <c r="AP189" s="9">
        <v>0.28899999999999998</v>
      </c>
      <c r="AQ189" s="9">
        <v>5.0500000000000003E-2</v>
      </c>
    </row>
    <row r="190" spans="1:43" x14ac:dyDescent="0.2">
      <c r="A190">
        <f t="shared" si="4"/>
        <v>187</v>
      </c>
      <c r="B190" t="s">
        <v>2000</v>
      </c>
      <c r="D190" s="3">
        <v>7398</v>
      </c>
      <c r="AB190" s="47"/>
      <c r="AL190" s="14"/>
      <c r="AM190" s="9"/>
      <c r="AN190" s="9"/>
      <c r="AO190" s="9"/>
      <c r="AP190" s="9"/>
      <c r="AQ190" s="9"/>
    </row>
    <row r="191" spans="1:43" x14ac:dyDescent="0.2">
      <c r="A191">
        <f t="shared" si="4"/>
        <v>188</v>
      </c>
      <c r="B191" t="s">
        <v>2114</v>
      </c>
      <c r="C191" t="s">
        <v>2115</v>
      </c>
      <c r="Q191" s="3">
        <v>3202.2072290000001</v>
      </c>
      <c r="R191" s="3">
        <v>5114.8834749999996</v>
      </c>
      <c r="S191" s="3">
        <v>6227.2319450000005</v>
      </c>
      <c r="T191" s="3">
        <v>6216.6473210000004</v>
      </c>
      <c r="AB191" s="47"/>
      <c r="AL191" s="14"/>
      <c r="AM191" s="9"/>
      <c r="AN191" s="9"/>
      <c r="AO191" s="9"/>
      <c r="AP191" s="9"/>
      <c r="AQ191" s="9"/>
    </row>
    <row r="192" spans="1:43" x14ac:dyDescent="0.2">
      <c r="A192">
        <f t="shared" si="4"/>
        <v>189</v>
      </c>
      <c r="B192" t="s">
        <v>148</v>
      </c>
    </row>
    <row r="193" spans="1:74" x14ac:dyDescent="0.2">
      <c r="A193">
        <f t="shared" si="4"/>
        <v>190</v>
      </c>
      <c r="B193" t="s">
        <v>149</v>
      </c>
    </row>
    <row r="194" spans="1:74" x14ac:dyDescent="0.2">
      <c r="A194">
        <f t="shared" si="4"/>
        <v>191</v>
      </c>
      <c r="B194" t="s">
        <v>151</v>
      </c>
    </row>
    <row r="195" spans="1:74" x14ac:dyDescent="0.2">
      <c r="A195">
        <f t="shared" si="4"/>
        <v>192</v>
      </c>
      <c r="B195" t="s">
        <v>153</v>
      </c>
    </row>
    <row r="196" spans="1:74" x14ac:dyDescent="0.2">
      <c r="A196">
        <f t="shared" si="4"/>
        <v>193</v>
      </c>
      <c r="B196" t="s">
        <v>154</v>
      </c>
      <c r="C196" t="s">
        <v>1995</v>
      </c>
      <c r="D196" s="3">
        <v>1233</v>
      </c>
      <c r="R196" s="3">
        <v>3552.251471</v>
      </c>
      <c r="S196" s="3">
        <v>3609.5168399999998</v>
      </c>
      <c r="X196">
        <v>2002</v>
      </c>
      <c r="AB196" s="49">
        <v>-6.9000000000000006E-2</v>
      </c>
      <c r="AC196" s="7">
        <v>7</v>
      </c>
      <c r="AL196" s="14" t="s">
        <v>1996</v>
      </c>
      <c r="AM196" s="9">
        <v>6.9199999999999998E-2</v>
      </c>
      <c r="AN196" s="9">
        <v>1.09E-2</v>
      </c>
      <c r="AO196" s="9">
        <v>0.1</v>
      </c>
      <c r="AP196" s="9">
        <v>1.8100000000000002E-2</v>
      </c>
      <c r="AQ196" s="9">
        <v>6.6500000000000004E-2</v>
      </c>
      <c r="BQ196" s="14" t="s">
        <v>2268</v>
      </c>
    </row>
    <row r="197" spans="1:74" x14ac:dyDescent="0.2">
      <c r="A197">
        <f t="shared" si="4"/>
        <v>194</v>
      </c>
      <c r="B197" t="s">
        <v>155</v>
      </c>
      <c r="AI197" s="18">
        <v>7</v>
      </c>
      <c r="AJ197" s="18">
        <v>4</v>
      </c>
      <c r="AZ197" s="36" t="s">
        <v>1516</v>
      </c>
    </row>
    <row r="198" spans="1:74" x14ac:dyDescent="0.2">
      <c r="A198">
        <f t="shared" si="4"/>
        <v>195</v>
      </c>
      <c r="B198" t="s">
        <v>2001</v>
      </c>
      <c r="AZ198" s="36"/>
    </row>
    <row r="199" spans="1:74" x14ac:dyDescent="0.2">
      <c r="A199">
        <f t="shared" si="4"/>
        <v>196</v>
      </c>
      <c r="B199" t="s">
        <v>1988</v>
      </c>
      <c r="C199" t="s">
        <v>2338</v>
      </c>
      <c r="AZ199" s="36"/>
      <c r="BV199" s="9">
        <v>0</v>
      </c>
    </row>
    <row r="200" spans="1:74" x14ac:dyDescent="0.2">
      <c r="A200">
        <f t="shared" si="4"/>
        <v>197</v>
      </c>
      <c r="B200" t="s">
        <v>156</v>
      </c>
    </row>
    <row r="201" spans="1:74" x14ac:dyDescent="0.2">
      <c r="A201">
        <f t="shared" si="4"/>
        <v>198</v>
      </c>
      <c r="B201" t="s">
        <v>2007</v>
      </c>
      <c r="C201" t="s">
        <v>2008</v>
      </c>
    </row>
    <row r="202" spans="1:74" x14ac:dyDescent="0.2">
      <c r="A202">
        <f t="shared" si="4"/>
        <v>199</v>
      </c>
      <c r="B202" t="s">
        <v>157</v>
      </c>
    </row>
    <row r="203" spans="1:74" x14ac:dyDescent="0.2">
      <c r="A203">
        <f t="shared" si="4"/>
        <v>200</v>
      </c>
      <c r="B203" t="s">
        <v>158</v>
      </c>
      <c r="C203" t="s">
        <v>1916</v>
      </c>
      <c r="U203" s="6" t="s">
        <v>1917</v>
      </c>
      <c r="AN203" s="9">
        <v>1.93</v>
      </c>
      <c r="AO203" s="9">
        <v>0.7</v>
      </c>
    </row>
    <row r="204" spans="1:74" x14ac:dyDescent="0.2">
      <c r="A204">
        <f t="shared" si="4"/>
        <v>201</v>
      </c>
      <c r="B204" t="s">
        <v>159</v>
      </c>
    </row>
    <row r="205" spans="1:74" x14ac:dyDescent="0.2">
      <c r="A205">
        <f t="shared" si="4"/>
        <v>202</v>
      </c>
      <c r="B205" t="s">
        <v>160</v>
      </c>
    </row>
    <row r="206" spans="1:74" x14ac:dyDescent="0.2">
      <c r="A206">
        <f t="shared" si="4"/>
        <v>203</v>
      </c>
      <c r="B206" t="s">
        <v>161</v>
      </c>
    </row>
    <row r="207" spans="1:74" x14ac:dyDescent="0.2">
      <c r="A207">
        <f t="shared" si="4"/>
        <v>204</v>
      </c>
      <c r="B207" t="s">
        <v>162</v>
      </c>
    </row>
    <row r="208" spans="1:74" x14ac:dyDescent="0.2">
      <c r="A208">
        <f t="shared" si="4"/>
        <v>205</v>
      </c>
      <c r="B208" t="s">
        <v>1990</v>
      </c>
      <c r="C208" t="s">
        <v>1991</v>
      </c>
      <c r="D208" s="3">
        <v>1678</v>
      </c>
    </row>
    <row r="209" spans="1:79" x14ac:dyDescent="0.2">
      <c r="A209">
        <f t="shared" si="4"/>
        <v>206</v>
      </c>
      <c r="B209" t="s">
        <v>1802</v>
      </c>
      <c r="Q209" s="3">
        <v>11917.788479000001</v>
      </c>
      <c r="R209" s="3">
        <v>10843.027486999999</v>
      </c>
      <c r="S209" s="3">
        <v>9877.1963230000001</v>
      </c>
      <c r="AI209" s="18">
        <v>232</v>
      </c>
      <c r="AJ209" s="18">
        <v>15</v>
      </c>
    </row>
    <row r="210" spans="1:79" x14ac:dyDescent="0.2">
      <c r="A210">
        <f t="shared" si="4"/>
        <v>207</v>
      </c>
      <c r="B210" t="s">
        <v>1974</v>
      </c>
      <c r="C210" t="s">
        <v>1975</v>
      </c>
      <c r="D210" s="3">
        <v>89</v>
      </c>
      <c r="X210" s="11">
        <v>34485</v>
      </c>
      <c r="AA210" s="47">
        <v>8.5900000000000004E-2</v>
      </c>
      <c r="AB210" s="47">
        <v>-0.30480000000000002</v>
      </c>
      <c r="AC210" s="7">
        <f>12+2+2</f>
        <v>16</v>
      </c>
      <c r="AL210" s="10" t="s">
        <v>1976</v>
      </c>
      <c r="AM210" s="9">
        <v>4.1399999999999999E-2</v>
      </c>
      <c r="AN210" s="9">
        <v>-7.7700000000000005E-2</v>
      </c>
      <c r="AO210" s="9">
        <v>3.5700000000000003E-2</v>
      </c>
      <c r="AP210" s="9">
        <v>0.1036</v>
      </c>
      <c r="AQ210" s="9">
        <v>0.14530000000000001</v>
      </c>
    </row>
    <row r="211" spans="1:79" x14ac:dyDescent="0.2">
      <c r="A211">
        <f t="shared" si="4"/>
        <v>208</v>
      </c>
      <c r="B211" t="s">
        <v>1682</v>
      </c>
      <c r="Q211" s="3">
        <f>11924.669628+4032.123139</f>
        <v>15956.792766999999</v>
      </c>
      <c r="R211" s="3">
        <f>15537.360186+5599.471223</f>
        <v>21136.831408999999</v>
      </c>
      <c r="S211" s="3">
        <f>21675.245333+4668.623977</f>
        <v>26343.869309999998</v>
      </c>
      <c r="AI211" s="18">
        <v>89</v>
      </c>
      <c r="AJ211" s="18">
        <v>71</v>
      </c>
    </row>
    <row r="212" spans="1:79" x14ac:dyDescent="0.2">
      <c r="A212">
        <f t="shared" si="4"/>
        <v>209</v>
      </c>
      <c r="B212" t="s">
        <v>163</v>
      </c>
    </row>
    <row r="213" spans="1:79" x14ac:dyDescent="0.2">
      <c r="A213">
        <f t="shared" si="4"/>
        <v>210</v>
      </c>
      <c r="B213" t="s">
        <v>1489</v>
      </c>
    </row>
    <row r="214" spans="1:79" x14ac:dyDescent="0.2">
      <c r="A214">
        <f t="shared" si="4"/>
        <v>211</v>
      </c>
      <c r="B214" t="s">
        <v>164</v>
      </c>
    </row>
    <row r="215" spans="1:79" x14ac:dyDescent="0.2">
      <c r="A215">
        <f t="shared" si="4"/>
        <v>212</v>
      </c>
      <c r="B215" s="2" t="s">
        <v>165</v>
      </c>
      <c r="T215" s="4">
        <v>383.18159200000002</v>
      </c>
    </row>
    <row r="216" spans="1:79" x14ac:dyDescent="0.2">
      <c r="A216">
        <f t="shared" si="4"/>
        <v>213</v>
      </c>
      <c r="B216" t="s">
        <v>1328</v>
      </c>
    </row>
    <row r="217" spans="1:79" x14ac:dyDescent="0.2">
      <c r="A217">
        <f t="shared" si="4"/>
        <v>214</v>
      </c>
      <c r="B217" t="s">
        <v>166</v>
      </c>
    </row>
    <row r="218" spans="1:79" x14ac:dyDescent="0.2">
      <c r="A218">
        <f t="shared" si="4"/>
        <v>215</v>
      </c>
      <c r="B218" t="s">
        <v>2170</v>
      </c>
      <c r="C218" t="s">
        <v>2171</v>
      </c>
      <c r="U218" s="6" t="s">
        <v>219</v>
      </c>
      <c r="V218" s="6" t="s">
        <v>2172</v>
      </c>
      <c r="BI218" s="9" t="s">
        <v>2173</v>
      </c>
      <c r="BN218" t="s">
        <v>224</v>
      </c>
      <c r="BO218" s="46"/>
      <c r="BP218" s="46"/>
      <c r="BQ218" s="46"/>
      <c r="BR218" s="46"/>
      <c r="BS218" s="46"/>
      <c r="BT218" s="46"/>
      <c r="BU218" s="46"/>
      <c r="BV218" s="46"/>
      <c r="BW218" s="46"/>
      <c r="BX218" s="46"/>
      <c r="BY218" s="46"/>
      <c r="BZ218" s="46"/>
      <c r="CA218" s="46"/>
    </row>
    <row r="219" spans="1:79" x14ac:dyDescent="0.2">
      <c r="A219">
        <f t="shared" si="4"/>
        <v>216</v>
      </c>
      <c r="B219" t="s">
        <v>167</v>
      </c>
    </row>
    <row r="220" spans="1:79" x14ac:dyDescent="0.2">
      <c r="A220">
        <f t="shared" si="4"/>
        <v>217</v>
      </c>
      <c r="B220" t="s">
        <v>168</v>
      </c>
      <c r="AX220" t="s">
        <v>2366</v>
      </c>
    </row>
    <row r="221" spans="1:79" x14ac:dyDescent="0.2">
      <c r="A221">
        <f t="shared" si="4"/>
        <v>218</v>
      </c>
      <c r="B221" t="s">
        <v>1114</v>
      </c>
      <c r="C221" t="s">
        <v>1115</v>
      </c>
    </row>
    <row r="222" spans="1:79" x14ac:dyDescent="0.2">
      <c r="A222">
        <f t="shared" si="4"/>
        <v>219</v>
      </c>
      <c r="B222" t="s">
        <v>169</v>
      </c>
    </row>
    <row r="223" spans="1:79" x14ac:dyDescent="0.2">
      <c r="A223">
        <f t="shared" si="4"/>
        <v>220</v>
      </c>
      <c r="B223" t="s">
        <v>2367</v>
      </c>
      <c r="C223" t="s">
        <v>2368</v>
      </c>
      <c r="BI223" s="14" t="s">
        <v>2374</v>
      </c>
      <c r="BJ223" s="9">
        <v>0.41</v>
      </c>
      <c r="BL223" t="s">
        <v>224</v>
      </c>
      <c r="BM223" s="46"/>
      <c r="BN223" s="46"/>
      <c r="BO223" s="46"/>
      <c r="BP223" s="46"/>
      <c r="BQ223" s="46"/>
      <c r="BR223" s="46"/>
      <c r="BS223" s="46"/>
      <c r="BT223" s="46"/>
      <c r="BU223" s="46"/>
      <c r="BV223" s="46"/>
      <c r="BW223" s="46"/>
      <c r="BX223" s="46"/>
      <c r="BY223" s="46"/>
    </row>
    <row r="224" spans="1:79" x14ac:dyDescent="0.2">
      <c r="A224">
        <f t="shared" si="4"/>
        <v>221</v>
      </c>
      <c r="B224" t="s">
        <v>170</v>
      </c>
    </row>
    <row r="225" spans="1:43" x14ac:dyDescent="0.2">
      <c r="A225">
        <f t="shared" si="4"/>
        <v>222</v>
      </c>
      <c r="B225" t="s">
        <v>171</v>
      </c>
      <c r="C225" t="s">
        <v>1984</v>
      </c>
      <c r="D225" s="3">
        <v>2304</v>
      </c>
      <c r="X225">
        <v>1997</v>
      </c>
      <c r="AA225" s="47">
        <v>0.1658</v>
      </c>
      <c r="AB225" s="47">
        <v>-0.70540000000000003</v>
      </c>
      <c r="AC225" s="7">
        <f>12+9+10</f>
        <v>31</v>
      </c>
      <c r="AI225" s="18">
        <v>30</v>
      </c>
      <c r="AJ225" s="18">
        <v>20</v>
      </c>
      <c r="AL225" s="14" t="s">
        <v>1985</v>
      </c>
      <c r="AM225" s="9">
        <v>4.9399999999999999E-2</v>
      </c>
      <c r="AN225" s="9">
        <v>-0.1976</v>
      </c>
      <c r="AO225" s="9">
        <v>0.86199999999999999</v>
      </c>
      <c r="AP225" s="9">
        <v>0.30640000000000001</v>
      </c>
      <c r="AQ225" s="9">
        <v>0.1797</v>
      </c>
    </row>
    <row r="226" spans="1:43" x14ac:dyDescent="0.2">
      <c r="A226">
        <f t="shared" si="4"/>
        <v>223</v>
      </c>
      <c r="B226" t="s">
        <v>172</v>
      </c>
    </row>
    <row r="227" spans="1:43" x14ac:dyDescent="0.2">
      <c r="A227">
        <f t="shared" si="4"/>
        <v>224</v>
      </c>
      <c r="B227" t="s">
        <v>173</v>
      </c>
    </row>
    <row r="228" spans="1:43" x14ac:dyDescent="0.2">
      <c r="A228">
        <f t="shared" si="4"/>
        <v>225</v>
      </c>
      <c r="B228" t="s">
        <v>174</v>
      </c>
    </row>
    <row r="229" spans="1:43" x14ac:dyDescent="0.2">
      <c r="A229">
        <f t="shared" si="4"/>
        <v>226</v>
      </c>
      <c r="B229" t="s">
        <v>175</v>
      </c>
    </row>
    <row r="230" spans="1:43" x14ac:dyDescent="0.2">
      <c r="A230">
        <f t="shared" si="4"/>
        <v>227</v>
      </c>
      <c r="B230" t="s">
        <v>176</v>
      </c>
    </row>
    <row r="231" spans="1:43" x14ac:dyDescent="0.2">
      <c r="A231">
        <f t="shared" si="4"/>
        <v>228</v>
      </c>
      <c r="B231" t="s">
        <v>177</v>
      </c>
    </row>
    <row r="232" spans="1:43" x14ac:dyDescent="0.2">
      <c r="A232">
        <f t="shared" si="4"/>
        <v>229</v>
      </c>
      <c r="B232" t="s">
        <v>178</v>
      </c>
      <c r="C232" t="s">
        <v>1327</v>
      </c>
    </row>
    <row r="233" spans="1:43" x14ac:dyDescent="0.2">
      <c r="A233">
        <f t="shared" si="4"/>
        <v>230</v>
      </c>
      <c r="B233" t="s">
        <v>179</v>
      </c>
    </row>
    <row r="234" spans="1:43" x14ac:dyDescent="0.2">
      <c r="A234">
        <f t="shared" si="4"/>
        <v>231</v>
      </c>
      <c r="B234" t="s">
        <v>180</v>
      </c>
    </row>
    <row r="235" spans="1:43" x14ac:dyDescent="0.2">
      <c r="A235">
        <f t="shared" si="4"/>
        <v>232</v>
      </c>
      <c r="B235" t="s">
        <v>181</v>
      </c>
    </row>
    <row r="236" spans="1:43" x14ac:dyDescent="0.2">
      <c r="A236">
        <f t="shared" si="4"/>
        <v>233</v>
      </c>
      <c r="B236" t="s">
        <v>2167</v>
      </c>
      <c r="C236" t="s">
        <v>2168</v>
      </c>
    </row>
    <row r="237" spans="1:43" x14ac:dyDescent="0.2">
      <c r="A237">
        <f t="shared" si="4"/>
        <v>234</v>
      </c>
      <c r="B237" t="s">
        <v>182</v>
      </c>
    </row>
    <row r="238" spans="1:43" x14ac:dyDescent="0.2">
      <c r="A238">
        <f t="shared" si="4"/>
        <v>235</v>
      </c>
      <c r="B238" t="s">
        <v>183</v>
      </c>
    </row>
    <row r="239" spans="1:43" x14ac:dyDescent="0.2">
      <c r="A239">
        <f t="shared" si="4"/>
        <v>236</v>
      </c>
      <c r="B239" t="s">
        <v>184</v>
      </c>
    </row>
    <row r="240" spans="1:43" x14ac:dyDescent="0.2">
      <c r="A240">
        <f t="shared" si="4"/>
        <v>237</v>
      </c>
      <c r="B240" t="s">
        <v>188</v>
      </c>
    </row>
    <row r="241" spans="1:70" x14ac:dyDescent="0.2">
      <c r="A241">
        <f t="shared" si="4"/>
        <v>238</v>
      </c>
      <c r="B241" t="s">
        <v>189</v>
      </c>
    </row>
    <row r="242" spans="1:70" x14ac:dyDescent="0.2">
      <c r="A242">
        <f t="shared" si="4"/>
        <v>239</v>
      </c>
      <c r="B242" t="s">
        <v>190</v>
      </c>
    </row>
    <row r="243" spans="1:70" x14ac:dyDescent="0.2">
      <c r="A243">
        <f t="shared" si="4"/>
        <v>240</v>
      </c>
      <c r="B243" t="s">
        <v>191</v>
      </c>
      <c r="C243" t="s">
        <v>2195</v>
      </c>
      <c r="X243">
        <v>1992</v>
      </c>
      <c r="Y243" s="14" t="s">
        <v>2150</v>
      </c>
      <c r="AH243" s="14" t="s">
        <v>2198</v>
      </c>
      <c r="AI243" s="18">
        <v>67</v>
      </c>
      <c r="AJ243" s="18">
        <v>52</v>
      </c>
      <c r="BD243" t="s">
        <v>2354</v>
      </c>
      <c r="BE243" t="s">
        <v>2352</v>
      </c>
      <c r="BI243" t="s">
        <v>2197</v>
      </c>
      <c r="BP243" t="s">
        <v>2342</v>
      </c>
      <c r="BR243" t="s">
        <v>2196</v>
      </c>
    </row>
    <row r="244" spans="1:70" x14ac:dyDescent="0.2">
      <c r="A244">
        <f t="shared" si="4"/>
        <v>241</v>
      </c>
      <c r="B244" t="s">
        <v>195</v>
      </c>
      <c r="C244" t="s">
        <v>2355</v>
      </c>
      <c r="AI244" s="18">
        <v>90</v>
      </c>
      <c r="AJ244" s="18">
        <v>36</v>
      </c>
      <c r="BD244" t="s">
        <v>2356</v>
      </c>
    </row>
    <row r="245" spans="1:70" x14ac:dyDescent="0.2">
      <c r="A245">
        <f t="shared" si="4"/>
        <v>242</v>
      </c>
      <c r="B245" t="s">
        <v>196</v>
      </c>
    </row>
    <row r="246" spans="1:70" x14ac:dyDescent="0.2">
      <c r="A246">
        <f t="shared" si="4"/>
        <v>243</v>
      </c>
      <c r="B246" t="s">
        <v>198</v>
      </c>
    </row>
    <row r="247" spans="1:70" x14ac:dyDescent="0.2">
      <c r="A247">
        <f t="shared" si="4"/>
        <v>244</v>
      </c>
      <c r="B247" t="s">
        <v>199</v>
      </c>
    </row>
    <row r="248" spans="1:70" x14ac:dyDescent="0.2">
      <c r="A248">
        <f t="shared" si="4"/>
        <v>245</v>
      </c>
      <c r="B248" t="s">
        <v>200</v>
      </c>
      <c r="AS248" s="36">
        <v>5.4600000000000003E-2</v>
      </c>
      <c r="AZ248" s="36">
        <v>0.27600000000000002</v>
      </c>
    </row>
    <row r="249" spans="1:70" x14ac:dyDescent="0.2">
      <c r="A249">
        <f t="shared" si="4"/>
        <v>246</v>
      </c>
      <c r="B249" t="s">
        <v>202</v>
      </c>
    </row>
    <row r="250" spans="1:70" x14ac:dyDescent="0.2">
      <c r="A250">
        <f t="shared" si="4"/>
        <v>247</v>
      </c>
      <c r="B250" t="s">
        <v>203</v>
      </c>
    </row>
    <row r="251" spans="1:70" x14ac:dyDescent="0.2">
      <c r="A251">
        <f t="shared" si="4"/>
        <v>248</v>
      </c>
      <c r="B251" s="2" t="s">
        <v>204</v>
      </c>
      <c r="Q251" s="3">
        <v>98453.034830000004</v>
      </c>
      <c r="R251" s="3">
        <v>94972.191493999999</v>
      </c>
      <c r="S251" s="3">
        <v>94787.498084999999</v>
      </c>
      <c r="T251" s="4">
        <v>106431.56024000001</v>
      </c>
      <c r="AI251" s="18">
        <v>37</v>
      </c>
      <c r="AJ251" s="18">
        <v>14</v>
      </c>
    </row>
    <row r="252" spans="1:70" x14ac:dyDescent="0.2">
      <c r="A252">
        <f t="shared" si="4"/>
        <v>249</v>
      </c>
      <c r="B252" t="s">
        <v>206</v>
      </c>
      <c r="C252" t="s">
        <v>1953</v>
      </c>
      <c r="D252" s="3">
        <v>1222</v>
      </c>
      <c r="AB252" s="49">
        <v>-0.24060000000000001</v>
      </c>
      <c r="AC252" s="7">
        <f>12+4+4</f>
        <v>20</v>
      </c>
      <c r="AL252" s="14" t="s">
        <v>1955</v>
      </c>
      <c r="AM252" s="36">
        <v>5.0000000000000001E-4</v>
      </c>
      <c r="AN252" s="36">
        <v>7.8799999999999995E-2</v>
      </c>
      <c r="AO252" s="36">
        <v>3.0200000000000001E-2</v>
      </c>
      <c r="AP252" s="36">
        <v>-6.5299999999999997E-2</v>
      </c>
      <c r="AQ252" s="36">
        <v>1.8700000000000001E-2</v>
      </c>
      <c r="AR252" s="36">
        <v>7.6999999999999999E-2</v>
      </c>
    </row>
    <row r="253" spans="1:70" x14ac:dyDescent="0.2">
      <c r="A253">
        <f t="shared" ref="A253:A264" si="5">+A252+1</f>
        <v>250</v>
      </c>
      <c r="B253" t="s">
        <v>207</v>
      </c>
      <c r="Q253" s="3">
        <v>3637.4015709999999</v>
      </c>
      <c r="R253" s="3">
        <v>3567.995778</v>
      </c>
    </row>
    <row r="254" spans="1:70" x14ac:dyDescent="0.2">
      <c r="A254">
        <f t="shared" si="5"/>
        <v>251</v>
      </c>
      <c r="B254" t="s">
        <v>1954</v>
      </c>
      <c r="Q254" s="3">
        <v>3637.4015709999999</v>
      </c>
      <c r="R254" s="3">
        <v>3567.995778</v>
      </c>
    </row>
    <row r="255" spans="1:70" x14ac:dyDescent="0.2">
      <c r="A255">
        <f t="shared" si="5"/>
        <v>252</v>
      </c>
      <c r="B255" t="s">
        <v>209</v>
      </c>
    </row>
    <row r="256" spans="1:70" x14ac:dyDescent="0.2">
      <c r="A256">
        <f t="shared" si="5"/>
        <v>253</v>
      </c>
      <c r="B256" t="s">
        <v>210</v>
      </c>
      <c r="AI256" s="18">
        <v>172</v>
      </c>
      <c r="AJ256" s="18">
        <v>24</v>
      </c>
    </row>
    <row r="257" spans="1:69" x14ac:dyDescent="0.2">
      <c r="A257">
        <f t="shared" si="5"/>
        <v>254</v>
      </c>
      <c r="B257" t="s">
        <v>1795</v>
      </c>
      <c r="Q257" s="3">
        <v>12906.951204000001</v>
      </c>
      <c r="R257" s="3">
        <v>12181.775838</v>
      </c>
      <c r="S257" s="3">
        <v>13667.960621</v>
      </c>
      <c r="AI257" s="18">
        <v>16</v>
      </c>
      <c r="AJ257" s="18">
        <v>3</v>
      </c>
    </row>
    <row r="258" spans="1:69" x14ac:dyDescent="0.2">
      <c r="A258">
        <f t="shared" si="5"/>
        <v>255</v>
      </c>
      <c r="B258" t="s">
        <v>211</v>
      </c>
      <c r="Q258" s="3">
        <v>21037.455046999999</v>
      </c>
      <c r="R258" s="3">
        <v>20512.844263999999</v>
      </c>
      <c r="S258" s="3">
        <v>6284.8983900000003</v>
      </c>
    </row>
    <row r="259" spans="1:69" x14ac:dyDescent="0.2">
      <c r="A259">
        <f t="shared" si="5"/>
        <v>256</v>
      </c>
      <c r="B259" t="s">
        <v>230</v>
      </c>
      <c r="C259" t="s">
        <v>231</v>
      </c>
    </row>
    <row r="260" spans="1:69" x14ac:dyDescent="0.2">
      <c r="A260">
        <f t="shared" si="5"/>
        <v>257</v>
      </c>
      <c r="B260" s="2" t="s">
        <v>701</v>
      </c>
      <c r="Q260" s="3">
        <f>56144.174025+47031.923457</f>
        <v>103176.097482</v>
      </c>
      <c r="R260" s="3">
        <f>56070.043125+42151.390902</f>
        <v>98221.434026999996</v>
      </c>
      <c r="S260" s="3">
        <f>48058.679014+47600.059402</f>
        <v>95658.738416000007</v>
      </c>
      <c r="T260" s="4">
        <f>47571.848086+40921.265812</f>
        <v>88493.113897999996</v>
      </c>
      <c r="V260" s="6" t="s">
        <v>1598</v>
      </c>
      <c r="AI260" s="18">
        <v>257</v>
      </c>
      <c r="AJ260" s="18">
        <v>159</v>
      </c>
    </row>
    <row r="261" spans="1:69" x14ac:dyDescent="0.2">
      <c r="A261">
        <f t="shared" si="5"/>
        <v>258</v>
      </c>
      <c r="B261" t="s">
        <v>1120</v>
      </c>
    </row>
    <row r="262" spans="1:69" x14ac:dyDescent="0.2">
      <c r="A262">
        <f t="shared" si="5"/>
        <v>259</v>
      </c>
      <c r="B262" s="2" t="s">
        <v>1121</v>
      </c>
      <c r="Q262" s="3">
        <v>58266.629423999999</v>
      </c>
      <c r="R262" s="3">
        <v>60990.876565999999</v>
      </c>
      <c r="S262" s="3">
        <v>58348.942078</v>
      </c>
      <c r="T262" s="4">
        <v>49150.035915</v>
      </c>
      <c r="AI262" s="18">
        <v>36</v>
      </c>
      <c r="AJ262" s="18">
        <v>32</v>
      </c>
    </row>
    <row r="263" spans="1:69" x14ac:dyDescent="0.2">
      <c r="A263">
        <f t="shared" si="5"/>
        <v>260</v>
      </c>
      <c r="B263" t="s">
        <v>1317</v>
      </c>
    </row>
    <row r="264" spans="1:69" x14ac:dyDescent="0.2">
      <c r="A264">
        <f t="shared" si="5"/>
        <v>261</v>
      </c>
      <c r="B264" t="s">
        <v>1485</v>
      </c>
    </row>
    <row r="266" spans="1:69" s="22" customFormat="1" x14ac:dyDescent="0.2">
      <c r="B266" s="22" t="s">
        <v>1208</v>
      </c>
      <c r="D266" s="23"/>
      <c r="E266" s="24"/>
      <c r="F266" s="24"/>
      <c r="G266" s="24"/>
      <c r="H266" s="24"/>
      <c r="I266" s="23"/>
      <c r="J266" s="23"/>
      <c r="K266" s="23"/>
      <c r="L266" s="23"/>
      <c r="M266" s="23"/>
      <c r="N266" s="23"/>
      <c r="O266" s="23"/>
      <c r="P266" s="23"/>
      <c r="Q266" s="23"/>
      <c r="R266" s="23"/>
      <c r="S266" s="23"/>
      <c r="T266" s="23"/>
      <c r="U266" s="25"/>
      <c r="V266" s="25"/>
      <c r="W266" s="26"/>
      <c r="Z266" s="41"/>
      <c r="AA266" s="26"/>
      <c r="AB266" s="26"/>
      <c r="AC266" s="48"/>
      <c r="AI266" s="41"/>
      <c r="AJ266" s="41"/>
      <c r="AK266" s="41"/>
    </row>
    <row r="267" spans="1:69" s="22" customFormat="1" x14ac:dyDescent="0.2">
      <c r="B267" s="22" t="s">
        <v>60</v>
      </c>
      <c r="C267" s="22" t="s">
        <v>60</v>
      </c>
      <c r="D267" s="23"/>
      <c r="E267" s="24"/>
      <c r="F267" s="24"/>
      <c r="G267" s="24"/>
      <c r="H267" s="24"/>
      <c r="I267" s="23"/>
      <c r="J267" s="23"/>
      <c r="K267" s="23"/>
      <c r="L267" s="23"/>
      <c r="M267" s="23"/>
      <c r="N267" s="23"/>
      <c r="O267" s="23"/>
      <c r="P267" s="23"/>
      <c r="Q267" s="23"/>
      <c r="R267" s="23"/>
      <c r="S267" s="23"/>
      <c r="T267" s="23"/>
      <c r="U267" s="25" t="s">
        <v>653</v>
      </c>
      <c r="V267" s="25"/>
      <c r="W267" s="26"/>
      <c r="Z267" s="41"/>
      <c r="AA267" s="26"/>
      <c r="AB267" s="26"/>
      <c r="AC267" s="48"/>
      <c r="AI267" s="41"/>
      <c r="AJ267" s="41"/>
      <c r="AK267" s="41"/>
      <c r="BQ267" s="59" t="s">
        <v>2255</v>
      </c>
    </row>
    <row r="268" spans="1:69" x14ac:dyDescent="0.2">
      <c r="B268" s="22" t="s">
        <v>1266</v>
      </c>
      <c r="C268" t="s">
        <v>2179</v>
      </c>
      <c r="D268" s="3">
        <v>15000</v>
      </c>
      <c r="BP268" t="s">
        <v>2180</v>
      </c>
    </row>
    <row r="269" spans="1:69" x14ac:dyDescent="0.2">
      <c r="B269" s="22" t="s">
        <v>1267</v>
      </c>
      <c r="C269" t="s">
        <v>2253</v>
      </c>
      <c r="AG269" t="s">
        <v>2324</v>
      </c>
      <c r="BO269" t="s">
        <v>2323</v>
      </c>
      <c r="BQ269" t="s">
        <v>2254</v>
      </c>
    </row>
    <row r="270" spans="1:69" x14ac:dyDescent="0.2">
      <c r="B270" s="22" t="s">
        <v>1268</v>
      </c>
    </row>
    <row r="271" spans="1:69" x14ac:dyDescent="0.2">
      <c r="B271" s="22" t="s">
        <v>1269</v>
      </c>
    </row>
    <row r="272" spans="1:69" x14ac:dyDescent="0.2">
      <c r="B272" s="22" t="s">
        <v>1270</v>
      </c>
      <c r="C272" t="s">
        <v>1316</v>
      </c>
    </row>
    <row r="273" spans="2:79" x14ac:dyDescent="0.2">
      <c r="B273" s="22" t="s">
        <v>1271</v>
      </c>
      <c r="C273" t="s">
        <v>2185</v>
      </c>
      <c r="U273" s="6" t="s">
        <v>100</v>
      </c>
      <c r="V273" s="6" t="s">
        <v>219</v>
      </c>
      <c r="W273" s="8" t="s">
        <v>2186</v>
      </c>
      <c r="X273">
        <v>1996</v>
      </c>
      <c r="AK273" s="57"/>
      <c r="AL273" s="46"/>
      <c r="AM273" s="46"/>
      <c r="BI273" s="14" t="s">
        <v>2190</v>
      </c>
      <c r="BN273" t="s">
        <v>2187</v>
      </c>
      <c r="BO273" s="46"/>
      <c r="BP273" s="46"/>
      <c r="BQ273" s="46"/>
      <c r="BR273" s="46"/>
      <c r="BS273" s="46"/>
      <c r="BT273" s="46"/>
      <c r="BU273" s="46"/>
      <c r="BV273" s="46"/>
      <c r="BW273" s="46"/>
      <c r="BX273" s="46"/>
      <c r="BY273" s="46"/>
      <c r="BZ273" s="46"/>
      <c r="CA273" s="46"/>
    </row>
    <row r="274" spans="2:79" x14ac:dyDescent="0.2">
      <c r="B274" s="22" t="s">
        <v>1272</v>
      </c>
    </row>
    <row r="275" spans="2:79" x14ac:dyDescent="0.2">
      <c r="B275" s="22" t="s">
        <v>1273</v>
      </c>
      <c r="AK275" s="57"/>
      <c r="AL275" s="46"/>
      <c r="AM275" s="46"/>
      <c r="AN275" s="46"/>
      <c r="AO275" s="46"/>
      <c r="AP275" s="46"/>
      <c r="AQ275" s="46"/>
      <c r="AR275" s="46"/>
      <c r="AS275" s="46"/>
      <c r="AT275" s="46"/>
      <c r="AU275" s="46"/>
      <c r="AV275" s="46"/>
      <c r="AW275" s="46"/>
      <c r="AX275" s="46"/>
      <c r="AY275" s="46"/>
      <c r="AZ275" s="46"/>
      <c r="BA275" s="46"/>
      <c r="BB275" s="46"/>
      <c r="BC275" s="46"/>
      <c r="BD275" t="s">
        <v>2349</v>
      </c>
    </row>
    <row r="276" spans="2:79" x14ac:dyDescent="0.2">
      <c r="B276" s="22" t="s">
        <v>1274</v>
      </c>
      <c r="AK276" s="57"/>
      <c r="AL276" s="46"/>
      <c r="AM276" s="46"/>
      <c r="AN276" s="46"/>
      <c r="AO276" s="46"/>
      <c r="AP276" s="46"/>
      <c r="AQ276" s="46"/>
      <c r="AR276" s="46"/>
      <c r="AS276" s="46"/>
      <c r="AT276" t="s">
        <v>2230</v>
      </c>
    </row>
    <row r="277" spans="2:79" x14ac:dyDescent="0.2">
      <c r="B277" s="22" t="s">
        <v>1275</v>
      </c>
      <c r="AK277" s="57"/>
      <c r="AL277" s="46"/>
      <c r="AM277" s="46"/>
      <c r="AN277" s="46"/>
      <c r="AO277" s="46"/>
      <c r="AP277" s="46"/>
      <c r="AQ277" s="46"/>
      <c r="AR277" s="46"/>
      <c r="AS277" s="46"/>
      <c r="AT277" s="46"/>
      <c r="AU277" s="46"/>
      <c r="AV277" s="46"/>
      <c r="AW277" s="46"/>
      <c r="AX277" s="46"/>
      <c r="AY277" s="46"/>
      <c r="AZ277" s="46"/>
      <c r="BA277" t="s">
        <v>2230</v>
      </c>
    </row>
    <row r="278" spans="2:79" x14ac:dyDescent="0.2">
      <c r="B278" s="22" t="s">
        <v>74</v>
      </c>
      <c r="AK278" s="57"/>
      <c r="AL278" t="s">
        <v>2231</v>
      </c>
    </row>
    <row r="279" spans="2:79" x14ac:dyDescent="0.2">
      <c r="B279" s="22" t="s">
        <v>1276</v>
      </c>
      <c r="AK279" s="57"/>
      <c r="AL279" s="57"/>
      <c r="AM279" s="57"/>
      <c r="AN279" t="s">
        <v>2232</v>
      </c>
    </row>
    <row r="280" spans="2:79" x14ac:dyDescent="0.2">
      <c r="B280" s="22" t="s">
        <v>1277</v>
      </c>
      <c r="AK280" s="57"/>
      <c r="AL280" s="57"/>
      <c r="AM280" s="57"/>
      <c r="AN280" s="57"/>
      <c r="AO280" s="57"/>
      <c r="AP280" s="57"/>
      <c r="AQ280" s="57"/>
      <c r="AR280" s="57"/>
      <c r="AS280" s="57"/>
      <c r="AT280" s="57"/>
      <c r="AU280" s="57"/>
      <c r="AV280" s="57"/>
      <c r="AW280" t="s">
        <v>2233</v>
      </c>
    </row>
    <row r="281" spans="2:79" x14ac:dyDescent="0.2">
      <c r="B281" s="22" t="s">
        <v>194</v>
      </c>
      <c r="AK281" s="57"/>
      <c r="AL281" s="57"/>
      <c r="AM281" s="57"/>
      <c r="AN281" s="57"/>
      <c r="AO281" t="s">
        <v>2234</v>
      </c>
    </row>
    <row r="282" spans="2:79" x14ac:dyDescent="0.2">
      <c r="B282" s="22" t="s">
        <v>1278</v>
      </c>
      <c r="AK282" s="57"/>
      <c r="AL282" s="57"/>
      <c r="AM282" s="57"/>
      <c r="AN282" s="57"/>
      <c r="AO282" s="57"/>
      <c r="AP282" s="57"/>
      <c r="AQ282" s="57"/>
      <c r="AR282" s="57"/>
      <c r="AS282" s="57"/>
      <c r="AT282" s="57"/>
      <c r="AU282" s="57"/>
      <c r="AV282" s="57"/>
      <c r="AW282" s="57"/>
      <c r="AX282" s="57"/>
      <c r="AY282" s="57"/>
      <c r="AZ282" s="57"/>
      <c r="BA282" s="57"/>
      <c r="BB282" s="57"/>
      <c r="BC282" s="57"/>
      <c r="BD282" s="57"/>
      <c r="BE282" s="57"/>
      <c r="BF282" s="57"/>
      <c r="BG282" s="57"/>
      <c r="BH282" s="57"/>
      <c r="BI282" s="57"/>
      <c r="BJ282" s="57"/>
      <c r="BK282" s="57"/>
      <c r="BL282" t="s">
        <v>2235</v>
      </c>
    </row>
    <row r="283" spans="2:79" x14ac:dyDescent="0.2">
      <c r="B283" s="22" t="s">
        <v>1279</v>
      </c>
      <c r="AK283" s="57"/>
      <c r="AL283" s="57"/>
      <c r="AM283" s="57"/>
      <c r="AN283" s="57"/>
      <c r="AO283" s="57"/>
      <c r="AP283" s="57"/>
      <c r="AQ283" s="57"/>
      <c r="AR283" s="57"/>
      <c r="AS283" s="57"/>
      <c r="AT283" s="57"/>
      <c r="AU283" s="57"/>
      <c r="AV283" s="57"/>
      <c r="AW283" s="57"/>
      <c r="AX283" s="57"/>
      <c r="AY283" s="57"/>
      <c r="AZ283" s="57"/>
      <c r="BA283" s="57"/>
      <c r="BB283" t="s">
        <v>2232</v>
      </c>
    </row>
    <row r="284" spans="2:79" x14ac:dyDescent="0.2">
      <c r="B284" s="22" t="s">
        <v>1972</v>
      </c>
      <c r="C284" t="s">
        <v>1973</v>
      </c>
    </row>
    <row r="285" spans="2:79" x14ac:dyDescent="0.2">
      <c r="B285" s="22" t="s">
        <v>1280</v>
      </c>
    </row>
    <row r="286" spans="2:79" x14ac:dyDescent="0.2">
      <c r="B286" s="22" t="s">
        <v>1281</v>
      </c>
    </row>
    <row r="287" spans="2:79" x14ac:dyDescent="0.2">
      <c r="B287" s="22" t="s">
        <v>1282</v>
      </c>
    </row>
    <row r="288" spans="2:79" x14ac:dyDescent="0.2">
      <c r="B288" s="22" t="s">
        <v>42</v>
      </c>
    </row>
    <row r="289" spans="2:74" x14ac:dyDescent="0.2">
      <c r="B289" s="22" t="s">
        <v>1283</v>
      </c>
      <c r="C289" t="s">
        <v>2239</v>
      </c>
      <c r="AG289" t="s">
        <v>2341</v>
      </c>
      <c r="BN289" s="14" t="s">
        <v>2242</v>
      </c>
      <c r="BO289" s="14" t="s">
        <v>2241</v>
      </c>
      <c r="BP289" s="14" t="s">
        <v>2310</v>
      </c>
      <c r="BQ289" s="14" t="s">
        <v>2240</v>
      </c>
      <c r="BU289" s="9"/>
      <c r="BV289" s="9">
        <v>0.42</v>
      </c>
    </row>
    <row r="290" spans="2:74" x14ac:dyDescent="0.2">
      <c r="B290" s="22" t="s">
        <v>1284</v>
      </c>
    </row>
    <row r="291" spans="2:74" x14ac:dyDescent="0.2">
      <c r="B291" s="22" t="s">
        <v>1285</v>
      </c>
    </row>
    <row r="292" spans="2:74" x14ac:dyDescent="0.2">
      <c r="B292" s="22" t="s">
        <v>1286</v>
      </c>
      <c r="C292" t="s">
        <v>2156</v>
      </c>
      <c r="X292">
        <v>1988</v>
      </c>
      <c r="Y292" s="55" t="s">
        <v>2157</v>
      </c>
      <c r="AH292" t="s">
        <v>1179</v>
      </c>
      <c r="AK292" s="57"/>
      <c r="AL292" s="46"/>
      <c r="AM292" s="46"/>
      <c r="AN292" s="46"/>
      <c r="AO292" s="46"/>
      <c r="AP292" s="46"/>
      <c r="AQ292" s="46"/>
      <c r="AR292" s="46"/>
      <c r="AS292" t="s">
        <v>2229</v>
      </c>
      <c r="BI292" s="14" t="s">
        <v>2158</v>
      </c>
      <c r="BV292" t="s">
        <v>2159</v>
      </c>
    </row>
    <row r="293" spans="2:74" x14ac:dyDescent="0.2">
      <c r="B293" s="22" t="s">
        <v>1287</v>
      </c>
    </row>
    <row r="294" spans="2:74" x14ac:dyDescent="0.2">
      <c r="B294" s="22" t="s">
        <v>188</v>
      </c>
    </row>
    <row r="295" spans="2:74" x14ac:dyDescent="0.2">
      <c r="B295" s="22" t="s">
        <v>1288</v>
      </c>
    </row>
    <row r="296" spans="2:74" x14ac:dyDescent="0.2">
      <c r="B296" s="22" t="s">
        <v>1289</v>
      </c>
    </row>
    <row r="297" spans="2:74" x14ac:dyDescent="0.2">
      <c r="B297" s="22" t="s">
        <v>106</v>
      </c>
    </row>
    <row r="298" spans="2:74" x14ac:dyDescent="0.2">
      <c r="B298" s="22" t="s">
        <v>192</v>
      </c>
    </row>
    <row r="299" spans="2:74" x14ac:dyDescent="0.2">
      <c r="B299" s="22" t="s">
        <v>1302</v>
      </c>
    </row>
    <row r="300" spans="2:74" x14ac:dyDescent="0.2">
      <c r="B300" s="22" t="s">
        <v>1303</v>
      </c>
      <c r="C300" t="s">
        <v>2145</v>
      </c>
      <c r="X300">
        <v>1988</v>
      </c>
      <c r="AH300" t="s">
        <v>1179</v>
      </c>
      <c r="BI300" t="s">
        <v>2152</v>
      </c>
      <c r="BV300" t="s">
        <v>2151</v>
      </c>
    </row>
    <row r="301" spans="2:74" x14ac:dyDescent="0.2">
      <c r="B301" s="22" t="s">
        <v>1779</v>
      </c>
    </row>
    <row r="302" spans="2:74" x14ac:dyDescent="0.2">
      <c r="B302" s="22" t="s">
        <v>1780</v>
      </c>
    </row>
    <row r="303" spans="2:74" x14ac:dyDescent="0.2">
      <c r="B303" s="22" t="s">
        <v>1781</v>
      </c>
      <c r="BD303" t="s">
        <v>2357</v>
      </c>
      <c r="BE303" t="s">
        <v>2358</v>
      </c>
    </row>
    <row r="304" spans="2:74" x14ac:dyDescent="0.2">
      <c r="B304" s="22" t="s">
        <v>1782</v>
      </c>
    </row>
    <row r="305" spans="2:79" x14ac:dyDescent="0.2">
      <c r="B305" s="22" t="s">
        <v>1783</v>
      </c>
    </row>
    <row r="306" spans="2:79" x14ac:dyDescent="0.2">
      <c r="B306" s="22" t="s">
        <v>1784</v>
      </c>
    </row>
    <row r="307" spans="2:79" x14ac:dyDescent="0.2">
      <c r="B307" s="22" t="s">
        <v>1822</v>
      </c>
    </row>
    <row r="308" spans="2:79" x14ac:dyDescent="0.2">
      <c r="B308" s="22" t="s">
        <v>1852</v>
      </c>
    </row>
    <row r="309" spans="2:79" x14ac:dyDescent="0.2">
      <c r="B309" s="22" t="s">
        <v>2003</v>
      </c>
    </row>
    <row r="310" spans="2:79" x14ac:dyDescent="0.2">
      <c r="B310" s="22" t="s">
        <v>2005</v>
      </c>
    </row>
    <row r="311" spans="2:79" x14ac:dyDescent="0.2">
      <c r="B311" s="22" t="s">
        <v>2006</v>
      </c>
    </row>
    <row r="312" spans="2:79" x14ac:dyDescent="0.2">
      <c r="B312" s="22" t="s">
        <v>2142</v>
      </c>
    </row>
    <row r="313" spans="2:79" x14ac:dyDescent="0.2">
      <c r="B313" s="22" t="s">
        <v>2143</v>
      </c>
      <c r="C313" t="s">
        <v>2144</v>
      </c>
      <c r="Y313" s="55" t="s">
        <v>2182</v>
      </c>
      <c r="BI313" s="14" t="s">
        <v>2181</v>
      </c>
      <c r="BO313" s="36">
        <v>9.8000000000000004E-2</v>
      </c>
    </row>
    <row r="314" spans="2:79" x14ac:dyDescent="0.2">
      <c r="B314" s="22" t="s">
        <v>2162</v>
      </c>
      <c r="C314" t="s">
        <v>2163</v>
      </c>
      <c r="D314" s="3">
        <v>3000</v>
      </c>
      <c r="X314">
        <v>1988</v>
      </c>
      <c r="Y314" s="56" t="s">
        <v>2166</v>
      </c>
      <c r="Z314" s="57"/>
      <c r="AA314" s="6" t="s">
        <v>2165</v>
      </c>
      <c r="AI314" s="57"/>
      <c r="AJ314" s="57"/>
      <c r="AK314" s="57"/>
      <c r="AL314" s="46"/>
      <c r="AM314" s="46"/>
      <c r="AN314" s="46"/>
      <c r="AO314" s="46"/>
      <c r="AP314" s="46"/>
      <c r="AQ314" s="46"/>
      <c r="AR314" s="46"/>
      <c r="AS314" s="46"/>
      <c r="AT314" s="46"/>
      <c r="AU314" s="46"/>
      <c r="AV314" s="46"/>
      <c r="AW314" s="46"/>
      <c r="AX314" s="46"/>
      <c r="AY314" s="46"/>
      <c r="AZ314" s="46"/>
      <c r="BA314" s="46"/>
      <c r="BB314" s="46"/>
      <c r="BC314" s="46"/>
      <c r="BD314" s="46"/>
      <c r="BE314" s="46"/>
      <c r="BF314" s="46"/>
      <c r="BG314" s="46"/>
      <c r="BH314" s="46"/>
      <c r="BI314" s="14" t="s">
        <v>2164</v>
      </c>
      <c r="BQ314" t="s">
        <v>2279</v>
      </c>
      <c r="BV314" t="s">
        <v>224</v>
      </c>
      <c r="BX314" t="s">
        <v>2280</v>
      </c>
      <c r="BY314" s="46"/>
      <c r="BZ314" s="46"/>
      <c r="CA314" s="46"/>
    </row>
    <row r="315" spans="2:79" x14ac:dyDescent="0.2">
      <c r="B315" s="22" t="s">
        <v>722</v>
      </c>
      <c r="C315" t="s">
        <v>2188</v>
      </c>
      <c r="Y315" s="55" t="s">
        <v>2157</v>
      </c>
      <c r="Z315" s="57"/>
      <c r="AG315" t="s">
        <v>2292</v>
      </c>
      <c r="BK315" t="s">
        <v>2222</v>
      </c>
      <c r="BO315" s="14" t="s">
        <v>2238</v>
      </c>
      <c r="BP315" s="9" t="s">
        <v>2343</v>
      </c>
      <c r="BQ315" s="14" t="s">
        <v>2291</v>
      </c>
      <c r="BT315" t="s">
        <v>2202</v>
      </c>
      <c r="BW315" t="s">
        <v>2189</v>
      </c>
    </row>
    <row r="316" spans="2:79" x14ac:dyDescent="0.2">
      <c r="B316" s="22" t="s">
        <v>2199</v>
      </c>
      <c r="C316" t="s">
        <v>2200</v>
      </c>
      <c r="X316">
        <v>1995</v>
      </c>
      <c r="Z316" s="57"/>
      <c r="BI316" s="9">
        <v>0.08</v>
      </c>
      <c r="BJ316" s="9">
        <v>0.22</v>
      </c>
      <c r="BO316" t="s">
        <v>224</v>
      </c>
      <c r="BP316" s="46"/>
      <c r="BQ316" s="46"/>
      <c r="BR316" s="46"/>
      <c r="BS316" s="46"/>
      <c r="BT316" s="46"/>
      <c r="BU316" s="46"/>
      <c r="BV316" s="46"/>
      <c r="BW316" s="46"/>
      <c r="BX316" s="46"/>
      <c r="BY316" s="46"/>
      <c r="BZ316" s="46"/>
      <c r="CA316" s="46"/>
    </row>
    <row r="317" spans="2:79" x14ac:dyDescent="0.2">
      <c r="B317" s="22" t="s">
        <v>2204</v>
      </c>
      <c r="C317" t="s">
        <v>2205</v>
      </c>
      <c r="Z317" s="57"/>
      <c r="BI317" t="s">
        <v>2206</v>
      </c>
      <c r="BS317" t="s">
        <v>224</v>
      </c>
      <c r="BT317" s="46"/>
      <c r="BU317" s="46"/>
      <c r="BV317" s="46"/>
      <c r="BW317" s="46"/>
      <c r="BX317" s="46"/>
      <c r="BY317" s="46"/>
      <c r="BZ317" s="46"/>
      <c r="CA317" s="46"/>
    </row>
    <row r="318" spans="2:79" x14ac:dyDescent="0.2">
      <c r="B318" s="22" t="s">
        <v>2211</v>
      </c>
      <c r="C318" t="s">
        <v>2212</v>
      </c>
      <c r="U318" s="6" t="s">
        <v>100</v>
      </c>
      <c r="V318" s="6" t="s">
        <v>220</v>
      </c>
      <c r="X318">
        <v>1997</v>
      </c>
      <c r="Z318" s="57"/>
      <c r="AH318" t="s">
        <v>2213</v>
      </c>
      <c r="BI318" s="9" t="s">
        <v>2216</v>
      </c>
      <c r="BJ318" t="s">
        <v>2215</v>
      </c>
      <c r="BK318" t="s">
        <v>2215</v>
      </c>
      <c r="BL318" s="14" t="s">
        <v>2214</v>
      </c>
    </row>
    <row r="319" spans="2:79" x14ac:dyDescent="0.2">
      <c r="B319" s="22" t="s">
        <v>2217</v>
      </c>
      <c r="C319" t="s">
        <v>2218</v>
      </c>
      <c r="Z319" s="57"/>
      <c r="BI319" t="s">
        <v>2219</v>
      </c>
      <c r="BM319" t="s">
        <v>224</v>
      </c>
      <c r="BN319" s="46"/>
      <c r="BO319" s="46"/>
      <c r="BP319" s="46"/>
      <c r="BQ319" s="46"/>
      <c r="BR319" s="46"/>
      <c r="BS319" s="46"/>
      <c r="BT319" s="46"/>
      <c r="BU319" s="46"/>
      <c r="BV319" s="46"/>
      <c r="BW319" s="46"/>
      <c r="BX319" s="46"/>
      <c r="BY319" s="46"/>
      <c r="BZ319" s="46"/>
      <c r="CA319" s="46"/>
    </row>
    <row r="320" spans="2:79" x14ac:dyDescent="0.2">
      <c r="B320" s="22" t="s">
        <v>2223</v>
      </c>
      <c r="C320" t="s">
        <v>2224</v>
      </c>
      <c r="D320" s="3">
        <v>2000</v>
      </c>
      <c r="U320" s="6" t="s">
        <v>100</v>
      </c>
      <c r="V320" s="6" t="s">
        <v>219</v>
      </c>
      <c r="W320" s="8" t="s">
        <v>2186</v>
      </c>
      <c r="X320">
        <v>1998</v>
      </c>
      <c r="AG320" t="s">
        <v>2227</v>
      </c>
      <c r="AH320" t="s">
        <v>2228</v>
      </c>
      <c r="BD320" t="s">
        <v>2226</v>
      </c>
      <c r="BF320" t="s">
        <v>2225</v>
      </c>
      <c r="BI320" s="9">
        <v>0.21</v>
      </c>
      <c r="BJ320" s="9">
        <v>0.72</v>
      </c>
      <c r="BK320" s="9">
        <v>0.57999999999999996</v>
      </c>
      <c r="BL320" t="s">
        <v>2196</v>
      </c>
    </row>
    <row r="321" spans="2:79" x14ac:dyDescent="0.2">
      <c r="B321" s="22" t="s">
        <v>2245</v>
      </c>
      <c r="C321" t="s">
        <v>2246</v>
      </c>
    </row>
    <row r="322" spans="2:79" x14ac:dyDescent="0.2">
      <c r="B322" s="22" t="s">
        <v>2247</v>
      </c>
      <c r="C322" t="s">
        <v>2248</v>
      </c>
      <c r="AG322" t="s">
        <v>2293</v>
      </c>
      <c r="BP322" s="14" t="s">
        <v>2250</v>
      </c>
      <c r="BQ322" s="14" t="s">
        <v>2249</v>
      </c>
    </row>
    <row r="323" spans="2:79" x14ac:dyDescent="0.2">
      <c r="B323" s="22" t="s">
        <v>2256</v>
      </c>
      <c r="C323" t="s">
        <v>2257</v>
      </c>
      <c r="BQ323" t="s">
        <v>2258</v>
      </c>
    </row>
    <row r="324" spans="2:79" x14ac:dyDescent="0.2">
      <c r="B324" s="22" t="s">
        <v>2259</v>
      </c>
      <c r="C324" t="s">
        <v>2260</v>
      </c>
      <c r="AG324" t="s">
        <v>2307</v>
      </c>
      <c r="BQ324" t="s">
        <v>2261</v>
      </c>
    </row>
    <row r="325" spans="2:79" x14ac:dyDescent="0.2">
      <c r="B325" s="22" t="s">
        <v>2262</v>
      </c>
      <c r="C325" t="s">
        <v>2263</v>
      </c>
      <c r="BP325" s="14" t="s">
        <v>2315</v>
      </c>
      <c r="BQ325" t="s">
        <v>2264</v>
      </c>
      <c r="BV325" t="s">
        <v>224</v>
      </c>
    </row>
    <row r="326" spans="2:79" x14ac:dyDescent="0.2">
      <c r="B326" s="22" t="s">
        <v>2265</v>
      </c>
      <c r="C326" t="s">
        <v>2265</v>
      </c>
      <c r="BP326" s="14" t="s">
        <v>2314</v>
      </c>
      <c r="BQ326" s="14" t="s">
        <v>2267</v>
      </c>
      <c r="BR326" s="14" t="s">
        <v>2266</v>
      </c>
      <c r="BV326" t="s">
        <v>2340</v>
      </c>
    </row>
    <row r="327" spans="2:79" x14ac:dyDescent="0.2">
      <c r="B327" s="22" t="s">
        <v>2270</v>
      </c>
      <c r="C327" t="s">
        <v>2271</v>
      </c>
      <c r="BQ327" s="14" t="s">
        <v>2272</v>
      </c>
    </row>
    <row r="328" spans="2:79" x14ac:dyDescent="0.2">
      <c r="B328" s="22" t="s">
        <v>2274</v>
      </c>
      <c r="C328" t="s">
        <v>2275</v>
      </c>
      <c r="BQ328" s="14" t="s">
        <v>2276</v>
      </c>
    </row>
    <row r="329" spans="2:79" x14ac:dyDescent="0.2">
      <c r="B329" s="22" t="s">
        <v>2277</v>
      </c>
      <c r="C329" t="s">
        <v>2278</v>
      </c>
    </row>
    <row r="330" spans="2:79" x14ac:dyDescent="0.2">
      <c r="B330" s="22" t="s">
        <v>2284</v>
      </c>
      <c r="C330" t="s">
        <v>2285</v>
      </c>
      <c r="AG330" t="s">
        <v>2287</v>
      </c>
      <c r="BQ330" s="14" t="s">
        <v>2286</v>
      </c>
      <c r="BV330" s="9">
        <v>0.46</v>
      </c>
    </row>
    <row r="331" spans="2:79" x14ac:dyDescent="0.2">
      <c r="B331" s="22" t="s">
        <v>2288</v>
      </c>
      <c r="C331" t="s">
        <v>2289</v>
      </c>
      <c r="BQ331" s="14" t="s">
        <v>2290</v>
      </c>
    </row>
    <row r="332" spans="2:79" x14ac:dyDescent="0.2">
      <c r="B332" s="22" t="s">
        <v>2294</v>
      </c>
      <c r="C332" t="s">
        <v>2295</v>
      </c>
      <c r="BQ332" t="s">
        <v>2296</v>
      </c>
      <c r="BT332" s="9">
        <v>-0.18</v>
      </c>
      <c r="CA332" t="s">
        <v>224</v>
      </c>
    </row>
    <row r="333" spans="2:79" x14ac:dyDescent="0.2">
      <c r="B333" s="22" t="s">
        <v>2297</v>
      </c>
      <c r="C333" t="s">
        <v>2298</v>
      </c>
      <c r="BQ333" s="36" t="s">
        <v>2299</v>
      </c>
      <c r="BR333" t="s">
        <v>224</v>
      </c>
    </row>
    <row r="334" spans="2:79" x14ac:dyDescent="0.2">
      <c r="B334" s="22" t="s">
        <v>2301</v>
      </c>
      <c r="C334" t="s">
        <v>2302</v>
      </c>
      <c r="AG334" t="s">
        <v>2328</v>
      </c>
      <c r="BO334" s="9">
        <v>0.15</v>
      </c>
      <c r="BQ334" t="s">
        <v>2303</v>
      </c>
    </row>
    <row r="335" spans="2:79" x14ac:dyDescent="0.2">
      <c r="B335" s="22" t="s">
        <v>2304</v>
      </c>
      <c r="C335" t="s">
        <v>2305</v>
      </c>
      <c r="BQ335" s="14" t="s">
        <v>2306</v>
      </c>
      <c r="BT335" t="s">
        <v>224</v>
      </c>
    </row>
    <row r="336" spans="2:79" x14ac:dyDescent="0.2">
      <c r="B336" s="22" t="s">
        <v>2316</v>
      </c>
      <c r="C336" t="s">
        <v>2317</v>
      </c>
      <c r="BO336" s="9">
        <v>0.5</v>
      </c>
    </row>
    <row r="337" spans="2:67" x14ac:dyDescent="0.2">
      <c r="B337" s="22" t="s">
        <v>2318</v>
      </c>
      <c r="C337" t="s">
        <v>2319</v>
      </c>
      <c r="BO337" t="s">
        <v>2320</v>
      </c>
    </row>
    <row r="338" spans="2:67" x14ac:dyDescent="0.2">
      <c r="B338" s="22" t="s">
        <v>2321</v>
      </c>
      <c r="C338" t="s">
        <v>2322</v>
      </c>
      <c r="BO338" s="9">
        <v>0.64</v>
      </c>
    </row>
    <row r="339" spans="2:67" x14ac:dyDescent="0.2">
      <c r="B339" s="22" t="s">
        <v>2325</v>
      </c>
      <c r="C339" t="s">
        <v>2326</v>
      </c>
      <c r="BO339" t="s">
        <v>2327</v>
      </c>
    </row>
    <row r="340" spans="2:67" x14ac:dyDescent="0.2">
      <c r="B340" s="22" t="s">
        <v>2329</v>
      </c>
      <c r="C340" t="s">
        <v>2330</v>
      </c>
    </row>
    <row r="341" spans="2:67" x14ac:dyDescent="0.2">
      <c r="B341" s="22" t="s">
        <v>2331</v>
      </c>
      <c r="C341" t="s">
        <v>2330</v>
      </c>
    </row>
    <row r="342" spans="2:67" x14ac:dyDescent="0.2">
      <c r="B342" s="22" t="s">
        <v>2333</v>
      </c>
      <c r="C342" t="s">
        <v>2334</v>
      </c>
    </row>
    <row r="343" spans="2:67" x14ac:dyDescent="0.2">
      <c r="B343" s="22" t="s">
        <v>2336</v>
      </c>
      <c r="C343" t="s">
        <v>2337</v>
      </c>
    </row>
    <row r="344" spans="2:67" x14ac:dyDescent="0.2">
      <c r="B344" s="22" t="s">
        <v>2353</v>
      </c>
      <c r="BD344" s="9">
        <v>-0.06</v>
      </c>
      <c r="BE344" s="36">
        <v>0.39900000000000002</v>
      </c>
    </row>
    <row r="345" spans="2:67" x14ac:dyDescent="0.2">
      <c r="B345" s="22" t="s">
        <v>2362</v>
      </c>
    </row>
    <row r="346" spans="2:67" x14ac:dyDescent="0.2">
      <c r="B346" s="22" t="s">
        <v>2363</v>
      </c>
    </row>
    <row r="347" spans="2:67" x14ac:dyDescent="0.2">
      <c r="B347" s="22" t="s">
        <v>2369</v>
      </c>
      <c r="C347" t="s">
        <v>2370</v>
      </c>
      <c r="BJ347" s="36">
        <v>0.56189999999999996</v>
      </c>
      <c r="BL347" t="s">
        <v>224</v>
      </c>
    </row>
    <row r="348" spans="2:67" x14ac:dyDescent="0.2">
      <c r="B348" s="22" t="s">
        <v>2371</v>
      </c>
      <c r="BI348" t="s">
        <v>2372</v>
      </c>
      <c r="BJ348" s="36">
        <v>0.39529999999999998</v>
      </c>
    </row>
    <row r="349" spans="2:67" x14ac:dyDescent="0.2">
      <c r="B349" s="22" t="s">
        <v>2377</v>
      </c>
      <c r="C349" t="s">
        <v>2378</v>
      </c>
      <c r="AY349" s="14" t="s">
        <v>2379</v>
      </c>
      <c r="AZ349" s="14" t="s">
        <v>2380</v>
      </c>
    </row>
  </sheetData>
  <hyperlinks>
    <hyperlink ref="B10" r:id="rId1" xr:uid="{EA9BB267-171E-4503-B6C5-9D0A26F9C9F8}"/>
    <hyperlink ref="I10" r:id="rId2" display="https://www.sec.gov/Archives/edgar/data/1037389/000103738922000223/0001037389-22-000223-index.htm" xr:uid="{ACB55D16-5EF7-43D4-891E-0A278CB4178F}"/>
    <hyperlink ref="J10" r:id="rId3" display="https://www.sec.gov/Archives/edgar/data/1037389/000103738922000224/0001037389-22-000224-index.htm" xr:uid="{59CD62FC-83D0-43FD-AFD6-EDF93A95989A}"/>
    <hyperlink ref="K10" r:id="rId4" display="https://www.sec.gov/Archives/edgar/data/1037389/000103738922000225/0001037389-22-000225-index.htm" xr:uid="{556DAD46-422F-45B9-A570-0A744BA285B2}"/>
    <hyperlink ref="B4" r:id="rId5" xr:uid="{C4FEFBFE-C8A5-4E47-B3B5-43A7AE40C0CE}"/>
    <hyperlink ref="K4" r:id="rId6" display="https://www.sec.gov/Archives/edgar/data/1350694/000117266122002357/0001172661-22-002357-index.htm" xr:uid="{F52DFB33-5084-4F1B-8E6E-47B6235D2261}"/>
    <hyperlink ref="J4" r:id="rId7" display="https://www.sec.gov/Archives/edgar/data/1350694/000117266122001788/0001172661-22-001788-index.htm" xr:uid="{6A49C4BD-38EF-4284-A7DD-A26A61D4EA1A}"/>
    <hyperlink ref="I4" r:id="rId8" display="https://www.sec.gov/Archives/edgar/data/1350694/000117266122001289/0001172661-22-001289-index.htm" xr:uid="{C315A7DC-4BB8-423E-9C11-9D067DA85217}"/>
    <hyperlink ref="B18" r:id="rId9" xr:uid="{EAC0A0FC-6507-4B9C-A5AA-30198BA9205D}"/>
    <hyperlink ref="K18" r:id="rId10" display="https://www.sec.gov/Archives/edgar/data/1603466/000156761922020123/0001567619-22-020123-index.htm" xr:uid="{367C9FFD-EE9C-473B-B0AE-0887EC38F136}"/>
    <hyperlink ref="J18" r:id="rId11" display="https://www.sec.gov/Archives/edgar/data/1603466/000156761922016266/0001567619-22-016266-index.htm" xr:uid="{76112076-593E-4832-A82F-22453FCB45CD}"/>
    <hyperlink ref="I18" r:id="rId12" display="https://www.sec.gov/Archives/edgar/data/1603466/000156761922010947/0001567619-22-010947-index.htm" xr:uid="{C2556391-9E84-4306-8D7F-5F2DEE0ED530}"/>
    <hyperlink ref="K7" r:id="rId13" display="https://www.sec.gov/Archives/edgar/data/1423053/000095012322012276/0000950123-22-012276-index.htm" xr:uid="{39FD0F7D-DADE-407D-B2D0-B401BD9E6373}"/>
    <hyperlink ref="B7" r:id="rId14" xr:uid="{32FD866E-9C77-4971-9830-1CEB41212638}"/>
    <hyperlink ref="J7" r:id="rId15" display="https://www.sec.gov/Archives/edgar/data/1423053/000095012322009440/0000950123-22-009440-index.htm" xr:uid="{2D8D7F8B-5D5E-4860-8423-376929202316}"/>
    <hyperlink ref="I7" r:id="rId16" display="https://www.sec.gov/Archives/edgar/data/1423053/000095012322006403/0000950123-22-006403-index.htm" xr:uid="{F07F50AB-9241-4BCA-B389-6AAE463BEC60}"/>
    <hyperlink ref="B6" r:id="rId17" xr:uid="{5F3710A2-B047-4A9F-972C-27A6A15D230D}"/>
    <hyperlink ref="K6" r:id="rId18" display="https://www.sec.gov/Archives/edgar/data/1273087/000127308722000116/0001273087-22-000116-index.htm" xr:uid="{3BB490FF-7304-40F5-B796-5C53BB120C70}"/>
    <hyperlink ref="J6" r:id="rId19" display="https://www.sec.gov/Archives/edgar/data/1273087/000127308722000099/0001273087-22-000099-index.htm" xr:uid="{DD440053-27F0-4E2F-BF53-2CBF07013B94}"/>
    <hyperlink ref="I6" r:id="rId20" display="https://www.sec.gov/Archives/edgar/data/1273087/000127308722000070/0001273087-22-000070-index.htm" xr:uid="{C6E348DF-7E26-4EA5-BD9B-6BC16802E3AE}"/>
    <hyperlink ref="B16" r:id="rId21" xr:uid="{2AF557B7-F280-4AD5-919A-E7B6E05A794A}"/>
    <hyperlink ref="K16"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2" r:id="rId25" xr:uid="{66D4608B-A6D7-418A-8388-7E1FBF305BE1}"/>
    <hyperlink ref="K32" r:id="rId26" display="https://www.sec.gov/Archives/edgar/data/1103804/000110380422000006/0001103804-22-000006-index.htm" xr:uid="{D0A1B2F0-25D5-499E-9B2D-9D789D8813C2}"/>
    <hyperlink ref="J32" r:id="rId27" display="https://www.sec.gov/Archives/edgar/data/1103804/000110380422000004/0001103804-22-000004-index.htm" xr:uid="{B34C0065-3749-409F-80F9-B99DD5A24C32}"/>
    <hyperlink ref="B34" r:id="rId28" xr:uid="{1E52BF0C-72D0-41A5-BE09-BB3A55BCD2F1}"/>
    <hyperlink ref="K34" r:id="rId29" display="https://www.sec.gov/edgar/browse/?CIK=1167483" xr:uid="{4EDF0FDB-9280-44D5-8704-AF81433C97E2}"/>
    <hyperlink ref="B33" r:id="rId30" xr:uid="{A02E10DF-475D-478A-8B5E-8F7D1A1ABD28}"/>
    <hyperlink ref="K33"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4" r:id="rId59" xr:uid="{476E3B0D-A1EF-4CEE-815F-E9608F709BE1}"/>
    <hyperlink ref="K14"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9" r:id="rId63" xr:uid="{16F94819-F95B-490D-84A3-010976C1D290}"/>
    <hyperlink ref="K119" r:id="rId64" display="https://www.sec.gov/Archives/edgar/data/1343781/000134378122000007/0001343781-22-000007-index.htm" xr:uid="{220E0C47-6F7C-4608-A00F-F7E03FD8EF04}"/>
    <hyperlink ref="B113" r:id="rId65" xr:uid="{0C9CCBF7-C4C5-4BA1-A48F-BBF28E20255A}"/>
    <hyperlink ref="K113" r:id="rId66" display="https://www.sec.gov/Archives/edgar/data/1279150/000121390022072102/0001213900-22-072102-index.htm" xr:uid="{3E480569-E528-4449-AA70-DC9876454290}"/>
    <hyperlink ref="B104" r:id="rId67" xr:uid="{FAC1DB71-DF8E-47D5-A2AE-69FCC44F0A6A}"/>
    <hyperlink ref="K104" r:id="rId68" display="https://www.sec.gov/Archives/edgar/data/1306923/000130692322000016/0001306923-22-000016-index.htm" xr:uid="{2F8D6909-71C2-4009-8DAA-3EE7C509F8D2}"/>
    <hyperlink ref="B106" r:id="rId69" xr:uid="{8C3FDA36-48A7-412B-9D12-4A5DF2BBFB0B}"/>
    <hyperlink ref="K106"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8" r:id="rId75" xr:uid="{F474C7AE-00F0-498A-B275-6401609757C7}"/>
    <hyperlink ref="K8"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7"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8" r:id="rId82" display="https://www.sec.gov/Archives/edgar/data/1595888/000159588823000029/0001595888-23-000029-index.htm" xr:uid="{D1450C5C-2F24-4EA0-9D95-F33CA6A54735}"/>
    <hyperlink ref="L6" r:id="rId83" display="https://www.sec.gov/Archives/edgar/data/1273087/000127308723000097/xslForm13F_X02/MLP_Filing_20221230_20230213.xml" xr:uid="{C45C1BE7-980E-4A59-80C9-77C7F3BCBD60}"/>
    <hyperlink ref="L14" r:id="rId84" display="https://www.sec.gov/Archives/edgar/data/1009207/000110465923021555/xslForm13F_X02/infotable.xml" xr:uid="{F27AAC51-D18A-4D34-A8EF-A9D539668354}"/>
    <hyperlink ref="L10"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6" r:id="rId87" display="https://www.sec.gov/Archives/edgar/data/1218710/000095012323002431/0000950123-23-002431-index.htm" xr:uid="{B558CAB1-313D-4610-9653-5D59DD558638}"/>
    <hyperlink ref="L18" r:id="rId88" display="https://www.sec.gov/Archives/edgar/data/1603466/000089914023000429/0000899140-23-000429-index.htm" xr:uid="{27B64D6C-C487-48F9-AAA0-246BCDBCFDAD}"/>
    <hyperlink ref="L32" r:id="rId89" display="https://www.sec.gov/Archives/edgar/data/1103804/000110380423000002/0001103804-23-000002-index.htm" xr:uid="{32B3D3D6-14A5-40DB-B773-AF56F7DAA5EA}"/>
    <hyperlink ref="L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4"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7" r:id="rId94" display="https://www.sec.gov/Archives/edgar/data/1423053/000095012323005271/xslForm13F_X02/22950.xml" xr:uid="{CE7F7333-DE83-4738-B300-4059A32946D2}"/>
    <hyperlink ref="M7"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9" r:id="rId99" xr:uid="{40FEA578-F449-324C-8F20-45CB8AB6FCBC}"/>
    <hyperlink ref="P109"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7"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8" r:id="rId105" display="https://www.sec.gov/Archives/edgar/data/1595888/000159588824000037/xslForm13F_X02/primary_doc.xmlhttps://www.sec.gov/Archives/edgar/data/1595888/000159588824000037/xslForm13F_X02/primary_doc.xml" xr:uid="{204151C5-BC49-2C40-91E4-4F62A3688341}"/>
    <hyperlink ref="P6" r:id="rId106" display="https://www.sec.gov/Archives/edgar/data/1273087/000127308724000045/xslForm13F_X02/primary_doc.xml" xr:uid="{767E9D76-92FA-514A-AC95-0C5287DA4A45}"/>
    <hyperlink ref="P14" r:id="rId107" display="https://www.sec.gov/Archives/edgar/data/1009207/000110465924023658/xslForm13F_X02/primary_doc.xml" xr:uid="{1DE784AE-C1C8-3044-976C-9EF9654BBD5B}"/>
    <hyperlink ref="P10" r:id="rId108" display="https://www.sec.gov/Archives/edgar/data/1037389/000103738924000071/xslForm13F_X02/primary_doc.xml" xr:uid="{96B01047-E026-6D4A-AD9D-46AF21D9F6A9}"/>
    <hyperlink ref="P16"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8" r:id="rId111" display="https://www.sec.gov/Archives/edgar/data/1603466/000090266424001726/xslForm13F_X02/primary_doc.xml" xr:uid="{B0CD8294-8BF5-9242-95F1-CBCA3600D41B}"/>
    <hyperlink ref="P32" r:id="rId112" display="https://www.sec.gov/Archives/edgar/data/1103804/000110380424000002/xslForm13F_X02/primary_doc.xml" xr:uid="{34CB1428-A352-4E49-B7DA-218F2A6B6A63}"/>
    <hyperlink ref="P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4"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3"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4"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3" r:id="rId130" display="https://www.sec.gov/Archives/edgar/data/1279150/000199937124002312/xslForm13F_X02/primary_doc.xml" xr:uid="{54888D79-11E2-A14D-B41A-C9553C130600}"/>
    <hyperlink ref="P106" r:id="rId131" display="https://www.sec.gov/Archives/edgar/data/1232621/000121465924002878/xslForm13F_X02/primary_doc.xml" xr:uid="{420C55EB-D070-6348-8FF8-0C2D8C1302C9}"/>
    <hyperlink ref="P119" r:id="rId132" display="https://www.sec.gov/Archives/edgar/data/1343781/000134378123000001/xslForm13F_X02/primary_doc.xml" xr:uid="{E01B82C3-B0FD-A74F-A10C-2FBF5D0EDF90}"/>
    <hyperlink ref="B118" r:id="rId133" xr:uid="{6A463FEC-5974-4445-8540-FBD9874A6F2E}"/>
    <hyperlink ref="P118"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1" r:id="rId137" display="https://www.sec.gov/Archives/edgar/data/1446194/000144619424000002/xslForm13F_X02/primary_doc.xml" xr:uid="{7C613B92-4B80-AA45-9039-AFF56C0ECC0C}"/>
    <hyperlink ref="B11"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5" r:id="rId141" xr:uid="{6889EF5A-BFE8-DB45-8C05-BEB672DBFFD2}"/>
    <hyperlink ref="P105" r:id="rId142" display="https://www.sec.gov/Archives/edgar/data/1817652/000181765224000002/xslForm13F_X02/primary_doc.xml" xr:uid="{0D004145-9903-9141-AFF5-43D48900DF6C}"/>
    <hyperlink ref="B9" r:id="rId143" xr:uid="{1679472C-51C1-4C43-AEEC-D7B9CA6AC4BC}"/>
    <hyperlink ref="P9" r:id="rId144" display="https://www.sec.gov/Archives/edgar/data/1318757/000131875724000002/xslForm13F_X02/primary_doc.xml" xr:uid="{A231EBF1-C5BA-8B4E-B62E-7CA9253421FA}"/>
    <hyperlink ref="O33" r:id="rId145" display="https://www.sec.gov/Archives/edgar/data/1135730/000091957423006173/xslForm13F_X02/primary_doc.xml" xr:uid="{B6E0E3A1-CB11-4BB9-B92E-B32EC5F72F78}"/>
    <hyperlink ref="N33" r:id="rId146" display="https://www.sec.gov/Archives/edgar/data/1135730/000091957423004562/xslForm13F_X02/primary_doc.xml" xr:uid="{343A18F5-95C6-4F70-AC26-7956ECA175F1}"/>
    <hyperlink ref="M33" r:id="rId147" display="https://www.sec.gov/Archives/edgar/data/1135730/000091957423003144/xslForm13F_X02/primary_doc.xml" xr:uid="{15169E46-4E8F-4816-857D-96440BA2DA45}"/>
    <hyperlink ref="L33" r:id="rId148" display="https://www.sec.gov/Archives/edgar/data/1135730/000091957423001190/xslForm13F_X02/primary_doc.xml" xr:uid="{7478983D-2AF9-43CB-8ECF-FF96E2A9C15A}"/>
    <hyperlink ref="J33" r:id="rId149" display="https://www.sec.gov/Archives/edgar/data/1135730/000091957422004966/xslForm13F_X02/primary_doc.xml" xr:uid="{75A4CA3E-1751-4252-AA9F-3BFA6C784ABE}"/>
    <hyperlink ref="I33" r:id="rId150" display="https://www.sec.gov/Archives/edgar/data/1135730/000091957422003335/xslForm13F_X02/primary_doc.xml" xr:uid="{A0907667-20E5-4D8F-93F8-6E3CEF90A927}"/>
    <hyperlink ref="H33" r:id="rId151" display="https://www.sec.gov/Archives/edgar/data/1135730/000091957422001079/xslForm13F_X02/primary_doc.xml" xr:uid="{15136E16-DBAF-47E8-8D15-1BA73953D042}"/>
    <hyperlink ref="G33" r:id="rId152" display="https://www.sec.gov/Archives/edgar/data/1135730/000091957421006831/xslForm13F_X02/primary_doc.xml" xr:uid="{77AC267C-F0F7-4844-8620-7FF97A146DC5}"/>
    <hyperlink ref="F33" r:id="rId153" display="https://www.sec.gov/Archives/edgar/data/1135730/000091957421005102/xslForm13F_X02/primary_doc.xml" xr:uid="{99317F27-648D-421A-815D-57C7CBE5EAD5}"/>
    <hyperlink ref="E33" r:id="rId154" display="https://www.sec.gov/Archives/edgar/data/1135730/000091957421003475/xslForm13F_X02/primary_doc.xml" xr:uid="{5466F902-FB38-44E8-A506-D414829A8A79}"/>
    <hyperlink ref="O32" r:id="rId155" display="https://www.sec.gov/Archives/edgar/data/1103804/000110380423000009/xslForm13F_X02/primary_doc.xml" xr:uid="{51B1D9F5-8FCA-4A98-BB10-2F5A3A204562}"/>
    <hyperlink ref="N32" r:id="rId156" display="https://www.sec.gov/Archives/edgar/data/1103804/000110380423000006/xslForm13F_X02/primary_doc.xml" xr:uid="{E680EAE2-D5E3-45B9-A0EF-E22663C0897E}"/>
    <hyperlink ref="M32" r:id="rId157" display="https://www.sec.gov/Archives/edgar/data/1103804/000110380423000004/xslForm13F_X02/primary_doc.xml" xr:uid="{A12AE9A1-9A57-403D-8BD4-BA95C9EE8DF1}"/>
    <hyperlink ref="I32" r:id="rId158" display="https://www.sec.gov/Archives/edgar/data/1103804/000110380422000003/xslForm13F_X01/primary_doc.xml" xr:uid="{11B250C2-D9BF-4CCC-A76F-60DD20062720}"/>
    <hyperlink ref="O11" r:id="rId159" display="https://www.sec.gov/Archives/edgar/data/1446194/000172819523000011/xslForm13F_X02/primary_doc.xml" xr:uid="{450B10B0-C151-4967-AEFA-2B9948F9DC94}"/>
    <hyperlink ref="N11" r:id="rId160" display="https://www.sec.gov/Archives/edgar/data/1446194/000144619423000017/xslForm13F_X02/primary_doc.xml" xr:uid="{8B3D1823-26C3-47E3-A301-1FDEE9F9ECC9}"/>
    <hyperlink ref="M11" r:id="rId161" display="https://www.sec.gov/Archives/edgar/data/1446194/000144619423000016/xslForm13F_X02/primary_doc.xml" xr:uid="{9CD45C96-04AF-4DC0-BFAE-6992321181A2}"/>
    <hyperlink ref="L11" r:id="rId162" display="https://www.sec.gov/Archives/edgar/data/1446194/000144619423000009/xslForm13F_X02/primary_doc.xml" xr:uid="{674708B7-FED2-48BA-BF79-373D5C2DEA68}"/>
    <hyperlink ref="K11" r:id="rId163" display="https://www.sec.gov/Archives/edgar/data/1446194/000144619422000006/xslForm13F_X01/primary_doc.xml" xr:uid="{C394B91D-B472-425D-A4C1-6F2C003153F9}"/>
    <hyperlink ref="I11" r:id="rId164" display="https://www.sec.gov/Archives/edgar/data/1446194/000144619422000004/xslForm13F_X01/primary_doc.xml" xr:uid="{00CA79D7-2B9A-418B-9949-FD9878934A89}"/>
    <hyperlink ref="J11" r:id="rId165" display="https://www.sec.gov/Archives/edgar/data/1446194/000144619422000005/xslForm13F_X01/primary_doc.xml" xr:uid="{B0E42758-23D7-485B-A41F-218E3033F78D}"/>
    <hyperlink ref="B5" r:id="rId166" xr:uid="{B304F7DB-DFAE-4F2C-93DC-A627910810EE}"/>
    <hyperlink ref="P5"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20" r:id="rId176" xr:uid="{472BFD61-7C32-4EE6-9B39-4357850D25C6}"/>
    <hyperlink ref="P120"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02" r:id="rId194" xr:uid="{94B36541-BE14-48E5-AA3B-6538F60B3D3E}"/>
    <hyperlink ref="P102"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7" r:id="rId204" xr:uid="{E7004015-E1E1-4319-A273-FC4BD66CC5B2}"/>
    <hyperlink ref="P117" r:id="rId205" display="https://www.sec.gov/Archives/edgar/data/1390113/000108514624001258/xslForm13F_X02/primary_doc.xml" xr:uid="{8F22AEF2-620D-4165-BE85-2009149A07A4}"/>
    <hyperlink ref="B103" r:id="rId206" xr:uid="{255B7A8A-E015-4C99-AC90-B3138B786D90}"/>
    <hyperlink ref="P103"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6" r:id="rId212" display="https://www.sec.gov/Archives/edgar/data/1273087/000127308723000126/xslForm13F_X02/primary_doc.xml" xr:uid="{F52BE0A1-2D74-4989-96E8-391158282AD4}"/>
    <hyperlink ref="O6" r:id="rId213" display="https://www.sec.gov/Archives/edgar/data/1273087/000127308723000146/xslForm13F_X02/primary_doc.xml" xr:uid="{86990A44-A1E9-4A2D-A85E-825968999B2C}"/>
    <hyperlink ref="M6"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6" r:id="rId220" display="https://www.sec.gov/Archives/edgar/data/1273087/000127308724000084/xslForm13F_X02/primary_doc.xml" xr:uid="{CA98FCC3-78A7-4B77-A44F-580D289AEA2D}"/>
    <hyperlink ref="Q6" r:id="rId221" display="https://www.sec.gov/Archives/edgar/data/1273087/000127308724000071/xslForm13F_X02/primary_doc.xml" xr:uid="{38C472B3-9ED7-4C4F-9077-B8F5DCA96ABA}"/>
    <hyperlink ref="R7" r:id="rId222" display="https://www.sec.gov/Archives/edgar/data/1423053/000095012324008735/xslForm13F_X02/primary_doc.xml" xr:uid="{6302A634-11CB-4C5F-86BA-08E116C83A9C}"/>
    <hyperlink ref="Q7" r:id="rId223" display="https://www.sec.gov/Archives/edgar/data/1423053/000095012324005615/xslForm13F_X02/primary_doc.xml" xr:uid="{B82706B2-7F25-49B2-B536-339CF3E7428C}"/>
    <hyperlink ref="R8" r:id="rId224" display="https://www.sec.gov/Archives/edgar/data/1595888/000159588824000051/0001595888-24-000051-index.htm" xr:uid="{628BF55E-720F-4C41-9BC3-F6D0CE539FA2}"/>
    <hyperlink ref="Q8" r:id="rId225" display="https://www.sec.gov/Archives/edgar/data/1595888/000159588824000039/xslForm13F_X02/primary_doc.xml" xr:uid="{11F1AA22-ECBC-4B61-B3E3-3E871EF2B55B}"/>
    <hyperlink ref="O8" r:id="rId226" display="https://www.sec.gov/Archives/edgar/data/1595888/000159588823000050/xslForm13F_X02/primary_doc.xml" xr:uid="{E276C1B9-F976-49AC-B7C3-6D66FBFC0570}"/>
    <hyperlink ref="N8" r:id="rId227" display="https://www.sec.gov/Archives/edgar/data/1595888/000159588823000043/xslForm13F_X02/primary_doc.xml" xr:uid="{7F87F54C-43EF-4001-8ADB-A7A45D8B3AE1}"/>
    <hyperlink ref="M8" r:id="rId228" display="https://www.sec.gov/Archives/edgar/data/1595888/000159588823000036/xslForm13F_X02/primary_doc.xml" xr:uid="{CD119B3B-9F55-4E9E-901D-F88CE14017DC}"/>
    <hyperlink ref="R14" r:id="rId229" display="https://www.sec.gov/Archives/edgar/data/1595888/000159588824000051/0001595888-24-000051-index.htm" xr:uid="{16CCA5F9-C747-4D39-A5BF-0F8263AAB33D}"/>
    <hyperlink ref="Q14" r:id="rId230" display="https://www.sec.gov/Archives/edgar/data/1009207/000110465924061895/xslForm13F_X02/primary_doc.xml" xr:uid="{E06CAAA3-E9A2-432B-B1E4-FE5AAB83774D}"/>
    <hyperlink ref="O14" r:id="rId231" display="https://www.sec.gov/Archives/edgar/data/1009207/000110465923118137/xslForm13F_X02/primary_doc.xml" xr:uid="{103F67FB-A7B1-4818-A73E-E7F03CA09898}"/>
    <hyperlink ref="N14" r:id="rId232" display="https://www.sec.gov/Archives/edgar/data/1009207/000110465923091306/xslForm13F_X02/primary_doc.xml" xr:uid="{B7D90627-797D-4CD7-9A5C-D270B46B8940}"/>
    <hyperlink ref="M14" r:id="rId233" display="https://www.sec.gov/Archives/edgar/data/1009207/000110465923060730/xslForm13F_X02/primary_doc.xml" xr:uid="{EA960F28-4CF7-4A79-9CD4-E5FA52F5F05E}"/>
    <hyperlink ref="R10" r:id="rId234" display="https://www.sec.gov/Archives/edgar/data/1037389/000103738924000073/xslForm13F_X02/primary_doc.xml" xr:uid="{FC405B4B-9329-41BA-B440-725D9C6EAC22}"/>
    <hyperlink ref="Q10" r:id="rId235" display="https://www.sec.gov/Archives/edgar/data/1037389/000103738924000072/xslForm13F_X02/primary_doc.xml" xr:uid="{82D0DA98-D235-4F6A-A106-D03733631332}"/>
    <hyperlink ref="O10" r:id="rId236" display="https://www.sec.gov/Archives/edgar/data/1037389/000103738923000124/xslForm13F_X02/primary_doc.xml" xr:uid="{AAEC8EF1-F28E-44C9-9916-728AA4DD97E7}"/>
    <hyperlink ref="N10" r:id="rId237" display="https://www.sec.gov/Archives/edgar/data/1037389/000103738923000122/xslForm13F_X02/primary_doc.xml" xr:uid="{2B7CE63E-9F89-4F95-A4FF-D5AD18881443}"/>
    <hyperlink ref="M10" r:id="rId238" display="https://www.sec.gov/Archives/edgar/data/1037389/000103738923000121/xslForm13F_X02/primary_doc.xml" xr:uid="{D3BDE9A5-19DB-492B-AB26-5A55A5E03A34}"/>
    <hyperlink ref="R11" r:id="rId239" display="https://www.sec.gov/Archives/edgar/data/1446194/000144619424000006/xslForm13F_X02/primary_doc.xml" xr:uid="{5B85397D-1139-4C32-A82E-BD6C03BF8ADA}"/>
    <hyperlink ref="Q11" r:id="rId240" display="https://www.sec.gov/Archives/edgar/data/1446194/000144619424000004/xslForm13F_X02/primary_doc.xml" xr:uid="{6F59A7A4-296F-4F8B-B11A-E745438369DE}"/>
    <hyperlink ref="R5" r:id="rId241" display="https://www.sec.gov/Archives/edgar/data/1167557/000108514624004009/0001085146-24-004009-index.htm" xr:uid="{B3E7AC28-4FB7-4BEA-A883-E0DBA4DF3889}"/>
    <hyperlink ref="Q5" r:id="rId242" display="https://www.sec.gov/Archives/edgar/data/1167557/000108514624002596/xslForm13F_X02/primary_doc.xml" xr:uid="{66AE6DC7-CBA2-444E-B331-E31614C90F8A}"/>
    <hyperlink ref="R9" r:id="rId243" display="https://www.sec.gov/Archives/edgar/data/1318757/000131875724000008/0001318757-24-000008-index.htm" xr:uid="{17818FC8-33AB-4D66-AF73-2ACE12193434}"/>
    <hyperlink ref="Q9" r:id="rId244" display="https://www.sec.gov/Archives/edgar/data/1318757/000131875724000006/xslForm13F_X02/primary_doc.xml" xr:uid="{874A202B-FFAA-482F-94C2-A8411478C872}"/>
    <hyperlink ref="R13" r:id="rId245" display="https://www.sec.gov/Archives/edgar/data/1478735/000091957424004661/0000919574-24-004661-index.htm" xr:uid="{6531BD96-0FC9-4BA5-83BF-36AB2EB422F9}"/>
    <hyperlink ref="Q13" r:id="rId246" display="https://www.sec.gov/Archives/edgar/data/1478735/000091957424003134/xslForm13F_X02/primary_doc.xml" xr:uid="{B656643D-768E-4C1F-BB26-EBE017F74E65}"/>
    <hyperlink ref="R16" r:id="rId247" display="https://www.sec.gov/Archives/edgar/data/1218710/000095012324008707/0000950123-24-008707-index.htm" xr:uid="{C107D746-6E65-48B5-9E1A-33EF48562DE2}"/>
    <hyperlink ref="Q16" r:id="rId248" display="https://www.sec.gov/Archives/edgar/data/1218710/000095012324004654/xslForm13F_X02/primary_doc.xml" xr:uid="{FC0ED3BB-6C36-49F9-9930-4AA3C33D2122}"/>
    <hyperlink ref="R18" r:id="rId249" display="https://www.sec.gov/Archives/edgar/data/1603466/000090266424005149/0000902664-24-005149-index.htm" xr:uid="{2EA3CCED-88BD-404B-890A-CC0E9F95B3AE}"/>
    <hyperlink ref="Q18" r:id="rId250" display="https://www.sec.gov/Archives/edgar/data/1603466/000090266424003628/xslForm13F_X02/primary_doc.xml" xr:uid="{8EE92FB3-9D0C-430C-B519-70BE23DC809C}"/>
    <hyperlink ref="R32" r:id="rId251" display="https://www.sec.gov/Archives/edgar/data/1103804/000090514824002226/xslForm13F_X02/primary_doc.xml" xr:uid="{AC70C327-6F57-4284-BB84-4B75118A04B3}"/>
    <hyperlink ref="Q32" r:id="rId252" display="https://www.sec.gov/Archives/edgar/data/1103804/000110380424000004/xslForm13F_X02/primary_doc.xml" xr:uid="{C6987E5B-A091-40EB-A4A5-A7C45BE3C169}"/>
    <hyperlink ref="R33" r:id="rId253" display="https://www.sec.gov/Archives/edgar/data/1135730/000091957424004594/xslForm13F_X02/primary_doc.xml" xr:uid="{7B4F4EE1-769D-4E96-9642-40F2A29F6C10}"/>
    <hyperlink ref="Q33" r:id="rId254" display="https://www.sec.gov/Archives/edgar/data/1135730/000091957424002996/xslForm13F_X02/primary_doc.xml" xr:uid="{6D7FEED6-0890-4D5F-AF7A-5E501FB19704}"/>
    <hyperlink ref="R4" r:id="rId255" display="https://www.sec.gov/Archives/edgar/data/1350694/000117266124003581/0001172661-24-003581-index.htm" xr:uid="{285A1A10-DAB2-45F9-A6EB-BB0522D8C3D4}"/>
    <hyperlink ref="Q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4" r:id="rId259" display="https://www.sec.gov/Archives/edgar/data/1167483/000091957424004713/0000919574-24-004713-index.htm" xr:uid="{43FC9CBD-00B5-4A77-B6E3-CEB70818E639}"/>
    <hyperlink ref="Q34"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102" r:id="rId330" display="https://www.sec.gov/Archives/edgar/data/1998597/000090266424005100/xslForm13F_X02/primary_doc.xml" xr:uid="{82A76293-0486-495C-9EBC-A6460D7D3F10}"/>
    <hyperlink ref="Q102" r:id="rId331" display="https://www.sec.gov/Archives/edgar/data/1998597/000090266424003586/xslForm13F_X02/primary_doc.xml" xr:uid="{82316700-CD88-42C9-BBDE-F85D8E48F304}"/>
    <hyperlink ref="R103" r:id="rId332" display="https://www.sec.gov/Archives/edgar/data/1608485/000091957424004539/xslForm13F_X02/primary_doc.xml" xr:uid="{C85C7BB6-8807-4FA6-8606-4BCE6B10A6FD}"/>
    <hyperlink ref="Q103" r:id="rId333" display="https://www.sec.gov/Archives/edgar/data/1608485/000091957424002890/xslForm13F_X02/primary_doc.xml" xr:uid="{57E48549-351D-4871-B294-B51EAD7384A4}"/>
    <hyperlink ref="R104" r:id="rId334" display="https://www.sec.gov/Archives/edgar/data/1306923/000130692324000010/xslForm13F_X02/primary_doc.xml" xr:uid="{381F1CC8-2DA0-4500-843D-CBF79864963A}"/>
    <hyperlink ref="Q104" r:id="rId335" display="https://www.sec.gov/Archives/edgar/data/1306923/000130692324000008/xslForm13F_X02/primary_doc.xml" xr:uid="{9EAFEAFD-FBBF-48F8-8012-4BD5D5FD3E1C}"/>
    <hyperlink ref="R105" r:id="rId336" display="https://www.sec.gov/Archives/edgar/data/1817652/000181765224000004/xslForm13F_X02/primary_doc.xml" xr:uid="{517C6364-CBED-4DDA-B6AC-E0113B993E4E}"/>
    <hyperlink ref="Q105" r:id="rId337" display="https://www.sec.gov/Archives/edgar/data/1817652/000181765224000003/xslForm13F_X02/primary_doc.xml" xr:uid="{4CDEDDDE-7F92-4063-8C44-F119BE025583}"/>
    <hyperlink ref="R106" r:id="rId338" display="https://www.sec.gov/Archives/edgar/data/1232621/000121465924014706/xslForm13F_X02/primary_doc.xml" xr:uid="{1385A9AA-11EA-4110-AD65-AB8E85F329DD}"/>
    <hyperlink ref="Q106" r:id="rId339" display="https://www.sec.gov/Archives/edgar/data/1232621/000121465924009328/xslForm13F_X02/primary_doc.xml" xr:uid="{5A40FAC4-E535-4316-8A88-48554530AABD}"/>
    <hyperlink ref="R109" r:id="rId340" display="https://www.sec.gov/Archives/edgar/data/1534261/000091957424004750/xslForm13F_X02/primary_doc.xml" xr:uid="{B29A2B30-D612-4093-972F-52310C3A5E79}"/>
    <hyperlink ref="Q109"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3" r:id="rId344" display="https://www.sec.gov/Archives/edgar/data/1279150/000199937124010097/xslForm13F_X02/primary_doc.xml" xr:uid="{ADFD8AB4-808C-468F-85A1-2E21CDB320FE}"/>
    <hyperlink ref="Q113"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7" r:id="rId350" xr:uid="{83904953-99D5-46A7-AB9A-51816F9E05BD}"/>
    <hyperlink ref="R107" r:id="rId351" display="https://www.sec.gov/Archives/edgar/data/1583977/000158397724000003/xslForm13F_X02/primary_doc.xml" xr:uid="{59C53B2D-3983-4FAF-B152-B54147E1CDCD}"/>
    <hyperlink ref="Q107" r:id="rId352" display="https://www.sec.gov/Archives/edgar/data/1583977/000158397724000002/xslForm13F_X02/primary_doc.xml" xr:uid="{CD57EC89-86CA-48E0-96C9-3C439F58F2B5}"/>
    <hyperlink ref="P107" r:id="rId353" display="https://www.sec.gov/Archives/edgar/data/1583977/000158397724000001/xslForm13F_X02/primary_doc.xml" xr:uid="{B9C7A2BA-FBD9-4FAF-A09E-1C8DE7F140AB}"/>
    <hyperlink ref="O5" r:id="rId354" display="https://www.sec.gov/Archives/edgar/data/1167557/000108514622004118/xslForm13F_X01/primary_doc.xml" xr:uid="{38CC0D06-6D9F-4333-9097-760F1202AD4E}"/>
    <hyperlink ref="N5" r:id="rId355" display="https://www.sec.gov/Archives/edgar/data/1167557/000108514623003416/xslForm13F_X02/primary_doc.xml" xr:uid="{4FE4B2E7-AFA1-421D-AA3D-32F9082ED7E7}"/>
    <hyperlink ref="M5"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11" r:id="rId359" xr:uid="{44690143-8DF9-41FA-BD6E-B315C63FFF23}"/>
    <hyperlink ref="R111"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1" r:id="rId365" xr:uid="{A67231F9-2C7E-4B9C-ABD0-4FD0F2449A48}"/>
    <hyperlink ref="R31" r:id="rId366" display="https://www.sec.gov/Archives/edgar/data/1556921/000121465924014697/0001214659-24-014697-index.htm" xr:uid="{A49ACFAB-C527-4A1A-A4F6-BDCE612E7B30}"/>
    <hyperlink ref="Q31" r:id="rId367" display="https://www.sec.gov/Archives/edgar/data/1556921/000121465924009322/xslForm13F_X02/primary_doc.xml" xr:uid="{3FD53E48-3405-46C4-BF83-D5B79090D1F7}"/>
    <hyperlink ref="P31"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4"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5" r:id="rId387" xr:uid="{789256CA-C9E5-4BB9-9B1A-834D37A1C8DF}"/>
    <hyperlink ref="R115" r:id="rId388" display="https://www.sec.gov/Archives/edgar/data/1595521/000159552124000005/xslForm13F_X02/primary_doc.xml" xr:uid="{60A788B3-0D56-4EBE-806D-350CCFE02AEB}"/>
    <hyperlink ref="Q115" r:id="rId389" display="https://www.sec.gov/Archives/edgar/data/1595521/000159552124000004/xslForm13F_X02/primary_doc.xml" xr:uid="{DA17B8C2-43B4-44FC-BDDC-60A44D15421B}"/>
    <hyperlink ref="P115"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10" r:id="rId403" xr:uid="{1ED90491-9D1C-4DB3-88F0-820279C7D047}"/>
    <hyperlink ref="R110" r:id="rId404" display="https://www.sec.gov/Archives/edgar/data/1632715/000117266124003374/xslForm13F_X02/primary_doc.xml" xr:uid="{EE7888E6-82F5-4616-9D8C-7D4D6C32FE4C}"/>
    <hyperlink ref="Q110" r:id="rId405" display="https://www.sec.gov/Archives/edgar/data/1632715/000117266124002394/xslForm13F_X02/primary_doc.xml" xr:uid="{996F651D-D40F-4F6D-BBA0-6B79E8A756BF}"/>
    <hyperlink ref="P110"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12" r:id="rId411" xr:uid="{0C6F64D3-5EFE-48D6-B0FC-156F7712F05B}"/>
    <hyperlink ref="R112"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6" r:id="rId423" display="https://www.sec.gov/Archives/edgar/data/1649339/000090514824002196/xslForm13F_X02/primary_doc.xml" xr:uid="{026DBB46-04C7-4B02-A2FC-03BAA70B5521}"/>
    <hyperlink ref="B116"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7" r:id="rId429" xr:uid="{6099F5E3-5C8C-472A-8FDD-539E901D4A22}"/>
    <hyperlink ref="R17" r:id="rId430" display="https://www.sec.gov/Archives/edgar/data/1637460/000108514624004000/0001085146-24-004000-index.htm" xr:uid="{91996818-90CC-45C8-A9A8-8D8C5E491689}"/>
    <hyperlink ref="B15" r:id="rId431" xr:uid="{D7C163CB-0063-4443-8886-3D78318D3345}"/>
    <hyperlink ref="R15" r:id="rId432" display="https://www.sec.gov/Archives/edgar/data/1647251/000164725124000007/0001647251-24-000007-index.htm" xr:uid="{840E59F3-3578-4886-8524-C198A60EB106}"/>
    <hyperlink ref="B108" r:id="rId433" xr:uid="{D0A91DA2-47CF-47FE-AB79-A6A777393100}"/>
    <hyperlink ref="R108" r:id="rId434" display="https://www.sec.gov/Archives/edgar/data/1610880/000090514824002231/0000905148-24-002231-index.htm" xr:uid="{592A9FF9-9493-4FDC-B38C-42E2A2B563FF}"/>
    <hyperlink ref="R101" r:id="rId435" display="https://www.sec.gov/Archives/edgar/data/1481986/000148198624000003/0001481986-24-000003-index.htm" xr:uid="{86454F8D-3445-44D0-BBE6-8CE64F041E38}"/>
    <hyperlink ref="B101"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6" r:id="rId440" display="https://www.sec.gov/Archives/edgar/data/1273087/000127308724000118/0001273087-24-000118-index.htm" xr:uid="{5289757C-EEF4-476B-A912-C28B959C60BE}"/>
    <hyperlink ref="S7" r:id="rId441" display="https://www.sec.gov/Archives/edgar/data/1423053/000095012324011767/0000950123-24-011767-index.htm" xr:uid="{BB9ADFC4-4574-4123-8517-0E3842631582}"/>
    <hyperlink ref="S8" r:id="rId442" display="https://www.sec.gov/Archives/edgar/data/1595888/000159588824000063/0001595888-24-000063-index.htm" xr:uid="{4D2439B8-4DC2-47C5-8944-9A567B51A523}"/>
    <hyperlink ref="S9" r:id="rId443" display="https://www.sec.gov/Archives/edgar/data/0001318757/000131875724000018/0001318757-24-000018-index.htm" xr:uid="{1765311B-C6FF-47C7-959F-FC46EFF6BC70}"/>
    <hyperlink ref="S5" r:id="rId444" display="https://www.sec.gov/Archives/edgar/data/1167557/000108514624005943/0001085146-24-005943-index.htm" xr:uid="{D64E0F12-0E95-4F94-87B3-744188DB6B6B}"/>
    <hyperlink ref="S10"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76" r:id="rId450" display="https://www.sec.gov/Archives/edgar/data/1569688/000117266125000950/0001172661-25-000950-index.htm" xr:uid="{DFBAD936-60EF-4365-B78B-E1965BAB714E}"/>
    <hyperlink ref="B176" r:id="rId451" xr:uid="{825BDED1-C338-41D2-B1AF-05607A3ECFAF}"/>
    <hyperlink ref="T15"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1"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2" r:id="rId459" display="https://www.sec.gov/Archives/edgar/data/1729829/000172982925000045/0001729829-25-000045-index.htm" xr:uid="{FA91FC7B-4B0D-4CA5-93C0-1118DEC898A5}"/>
    <hyperlink ref="T156" r:id="rId460" display="https://www.sec.gov/Archives/edgar/data/1491072/000095012325002113/xslForm13F_X02/primary_doc.xml" xr:uid="{D5859B11-FC78-4057-A0A2-D38014FD40CD}"/>
    <hyperlink ref="B156" r:id="rId461" xr:uid="{F3D4C272-4251-4975-8683-C388E7AD36ED}"/>
    <hyperlink ref="T262" r:id="rId462" display="https://www.sec.gov/Archives/edgar/data/1230239/000091957425001214/xslForm13F_X02/primary_doc.xml" xr:uid="{D0596C11-87F7-4E3F-956B-7554C028EA0D}"/>
    <hyperlink ref="B262" r:id="rId463" xr:uid="{57CC79C2-6E8F-4624-B36D-D774C2B282F3}"/>
    <hyperlink ref="T93" r:id="rId464" display="https://www.sec.gov/Archives/edgar/data/1512173/000091957425001180/0000919574-25-001180-index.htm" xr:uid="{D376A250-C769-45F3-8D89-2ECCE43E4EC5}"/>
    <hyperlink ref="B147" r:id="rId465" xr:uid="{DD432065-700D-48A6-9844-42EF6E4CB4AB}"/>
    <hyperlink ref="B144" r:id="rId466" xr:uid="{44C5FDCC-FA54-4E8D-A1CC-49FCCD7FFE14}"/>
    <hyperlink ref="T144" r:id="rId467" display="https://www.sec.gov/Archives/edgar/data/1401388/000117266125000829/0001172661-25-000829-index.htm" xr:uid="{06A7E561-EC6E-4908-9E4C-A4977FCFE1DC}"/>
    <hyperlink ref="B260" r:id="rId468" xr:uid="{08066535-99C1-42D0-BC97-F71CA0B51395}"/>
    <hyperlink ref="T260"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4" r:id="rId472" display="https://www.sec.gov/Archives/edgar/data/1350694/000117266125000823/0001172661-25-000823-index.htm" xr:uid="{F17D59B0-86E5-412C-9BA3-9E3BFB48617C}"/>
    <hyperlink ref="T9"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65" r:id="rId475" display="https://www.sec.gov/Archives/edgar/data/820743/000114036125004268/0001140361-25-004268-index.htm" xr:uid="{35039319-3814-4DEC-9315-784E40185936}"/>
    <hyperlink ref="T160" r:id="rId476" display="https://www.sec.gov/Archives/edgar/data/1533421/000153342125000001/0001533421-25-000001-index.htm" xr:uid="{51465B35-12C9-44B3-97DC-1457C3C02D46}"/>
    <hyperlink ref="B160" r:id="rId477" xr:uid="{DC7B0BE9-A056-4AC4-8476-A5C7F5680E37}"/>
    <hyperlink ref="T162" r:id="rId478" display="https://www.sec.gov/Archives/edgar/data/1828301/000182830125000023/0001828301-25-000023-index.htm" xr:uid="{912FE853-4923-4E93-9399-40E45B27B533}"/>
    <hyperlink ref="B162" r:id="rId479" xr:uid="{7C44E6FC-79DA-4CC7-8EFE-2B22D071821E}"/>
    <hyperlink ref="T103" r:id="rId480" display="https://www.sec.gov/Archives/edgar/data/1608485/000091957425001097/0000919574-25-001097-index.htm" xr:uid="{0C9C0E23-7F77-44B2-B344-E9EA6A2CA3CE}"/>
    <hyperlink ref="B114" r:id="rId481" xr:uid="{CCE50E01-B1E9-4587-87A5-8CD5D0983E52}"/>
    <hyperlink ref="T114" r:id="rId482" display="https://www.sec.gov/Archives/edgar/data/1940272/000194027225000001/xslForm13F_X02/primary_doc.xml" xr:uid="{8E27CDC4-CEE2-4D0F-ADCF-DDB2F84C5741}"/>
    <hyperlink ref="B124" r:id="rId483" xr:uid="{C7F05320-7889-4B08-90B8-DBF282BBC738}"/>
    <hyperlink ref="T124" r:id="rId484" display="https://www.sec.gov/Archives/edgar/data/1557017/000117266125000727/0001172661-25-000727-index.htm" xr:uid="{138D842B-D2CF-49E9-8FAA-091F737314E2}"/>
    <hyperlink ref="T10"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3" r:id="rId487" display="https://www.sec.gov/Archives/edgar/data/1179392/000089914025000265/0000899140-25-000265-index.htm" xr:uid="{68BDA7AE-A9F3-46D3-870F-C1BCC602A3C3}"/>
    <hyperlink ref="B215" r:id="rId488" xr:uid="{1C45F7F1-3E18-4C0F-8E4B-21F31958C653}"/>
    <hyperlink ref="T215"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69" r:id="rId491" display="https://www.sec.gov/Archives/edgar/data/1000097/000100009725000014/0001000097-25-000014-index.htm" xr:uid="{8D788A61-3D7F-4F7A-BDE4-FDBD09C0B0D3}"/>
    <hyperlink ref="B167" r:id="rId492" xr:uid="{F0A8EE36-4C6A-4D55-B1EB-BFD42138E3F0}"/>
    <hyperlink ref="T167" r:id="rId493" display="https://www.sec.gov/Archives/edgar/data/1549230/000149315225006685/0001493152-25-006685-index.htm" xr:uid="{FB074999-3F56-4A0E-A25B-2DDE64A7E81B}"/>
    <hyperlink ref="B251" r:id="rId494" xr:uid="{343C1B0C-124D-4653-BD67-1BD119511D77}"/>
    <hyperlink ref="T251"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69" r:id="rId497" xr:uid="{F0ACE6B5-8D31-4D0E-A99A-CA8AD8E636DC}"/>
    <hyperlink ref="T92" r:id="rId498" display="https://www.sec.gov/Archives/edgar/data/1388551/000091957425001439/0000919574-25-001439-index.htm" xr:uid="{F14860B3-D915-4BD6-A2DF-1319B505234C}"/>
    <hyperlink ref="T33"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6" r:id="rId501" display="https://www.sec.gov/Archives/edgar/data/1218710/000095012325002486/0000950123-25-002486-index.htm" xr:uid="{F2DE178B-D4C9-4CF9-A465-146BB3840B25}"/>
    <hyperlink ref="B150" r:id="rId502" xr:uid="{984B5084-89FE-48F3-98CC-E99BFA7D905F}"/>
    <hyperlink ref="T150" r:id="rId503" display="https://www.sec.gov/Archives/edgar/data/1907884/000108514625001501/xslForm13F_X02/primary_doc.xml" xr:uid="{DAD284CC-18AF-4EF8-9971-736890895AEB}"/>
    <hyperlink ref="B158" r:id="rId504" xr:uid="{C9E151C9-841C-404A-8B70-A4BCB6F103C6}"/>
    <hyperlink ref="T158"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145" r:id="rId508" display="https://www.sec.gov/Archives/edgar/data/1035674/000101359424000980/xslForm13F_X02/primary_doc.xml" xr:uid="{4BA1BD44-FB6A-407B-8711-CC64162D5FEB}"/>
    <hyperlink ref="T72" r:id="rId509" display="https://www.sec.gov/Archives/edgar/data/1054587/000095012324011773/0000950123-24-011773-index.html" xr:uid="{982F382D-E104-410A-B489-9906D807400F}"/>
    <hyperlink ref="T8" r:id="rId510" display="https://www.sec.gov/Archives/edgar/data/1595888/000159588824000063/0001595888-24-000063-index.html" xr:uid="{8C602638-AF38-4C18-9DE0-17D13F7FAD8A}"/>
    <hyperlink ref="T77" r:id="rId511" display="https://www.sec.gov/Archives/edgar/data/1224962/000101297524000488/0001012975-24-000488-index.html" xr:uid="{BA9550DC-5316-400F-A4E8-16C26EAE296D}"/>
    <hyperlink ref="T44" r:id="rId512" display="https://www.sec.gov/Archives/edgar/data/1736225/000173622525000017/0001736225-25-000017-index.html" xr:uid="{28E61314-7B3D-45B4-8929-C9C3BBFE3BAC}"/>
    <hyperlink ref="S148" r:id="rId513" display="https://www.sec.gov/Archives/edgar/data/1665241/000108514624005935/0001085146-24-005935-index.html" xr:uid="{B363BC8A-0C80-458B-B236-75BBF783E0D5}"/>
    <hyperlink ref="S74" r:id="rId514" display="https://www.sec.gov/Archives/edgar/data/1509842/000095012324011803/0000950123-24-011803-index.html" xr:uid="{5806A615-D64B-42F4-ACF1-276854E79AA5}"/>
    <hyperlink ref="S95" r:id="rId515" display="https://www.sec.gov/Archives/edgar/data/1489933/000117266124005240/0001172661-24-005240-index.html" xr:uid="{F54E42BA-5D77-4B85-AD65-2D00178FDB3F}"/>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1157</v>
      </c>
    </row>
    <row r="2" spans="1:10" x14ac:dyDescent="0.2">
      <c r="B2" t="s">
        <v>246</v>
      </c>
      <c r="C2" t="s">
        <v>247</v>
      </c>
      <c r="D2" t="s">
        <v>582</v>
      </c>
      <c r="E2" s="6" t="s">
        <v>584</v>
      </c>
      <c r="F2" t="s">
        <v>579</v>
      </c>
      <c r="G2" t="s">
        <v>580</v>
      </c>
      <c r="H2" t="s">
        <v>581</v>
      </c>
      <c r="I2" t="s">
        <v>1225</v>
      </c>
      <c r="J2" t="s">
        <v>711</v>
      </c>
    </row>
    <row r="3" spans="1:10" x14ac:dyDescent="0.2">
      <c r="B3" t="s">
        <v>1209</v>
      </c>
      <c r="C3" s="11">
        <v>45532</v>
      </c>
      <c r="D3" t="s">
        <v>590</v>
      </c>
      <c r="E3" s="21">
        <v>17</v>
      </c>
      <c r="F3" t="s">
        <v>1218</v>
      </c>
      <c r="G3" t="s">
        <v>1219</v>
      </c>
      <c r="H3" t="s">
        <v>1220</v>
      </c>
    </row>
    <row r="4" spans="1:10" x14ac:dyDescent="0.2">
      <c r="B4" t="s">
        <v>1210</v>
      </c>
      <c r="C4" s="11">
        <v>45531</v>
      </c>
      <c r="D4" t="s">
        <v>807</v>
      </c>
      <c r="E4" s="21">
        <v>0.5</v>
      </c>
      <c r="F4" t="s">
        <v>1218</v>
      </c>
      <c r="G4" t="s">
        <v>637</v>
      </c>
      <c r="H4" t="s">
        <v>1221</v>
      </c>
    </row>
    <row r="5" spans="1:10" x14ac:dyDescent="0.2">
      <c r="B5" t="s">
        <v>1211</v>
      </c>
      <c r="C5" s="11">
        <v>45530</v>
      </c>
      <c r="D5" t="s">
        <v>590</v>
      </c>
      <c r="E5" s="21">
        <f>26*0.74</f>
        <v>19.239999999999998</v>
      </c>
      <c r="F5" t="s">
        <v>1218</v>
      </c>
      <c r="G5" t="s">
        <v>1222</v>
      </c>
      <c r="H5" t="s">
        <v>1223</v>
      </c>
    </row>
    <row r="6" spans="1:10" x14ac:dyDescent="0.2">
      <c r="B6" t="s">
        <v>1212</v>
      </c>
      <c r="C6" s="11">
        <v>45525</v>
      </c>
      <c r="D6" t="s">
        <v>598</v>
      </c>
      <c r="E6" s="21">
        <v>80</v>
      </c>
      <c r="F6" t="s">
        <v>1218</v>
      </c>
      <c r="G6" t="s">
        <v>637</v>
      </c>
      <c r="H6" t="s">
        <v>1224</v>
      </c>
      <c r="I6">
        <v>2000</v>
      </c>
      <c r="J6" t="s">
        <v>1226</v>
      </c>
    </row>
    <row r="7" spans="1:10" x14ac:dyDescent="0.2">
      <c r="B7" t="s">
        <v>1213</v>
      </c>
      <c r="C7" s="11">
        <v>45524</v>
      </c>
      <c r="D7" t="s">
        <v>616</v>
      </c>
      <c r="E7" s="21">
        <v>30</v>
      </c>
      <c r="F7" t="s">
        <v>1218</v>
      </c>
      <c r="G7" t="s">
        <v>1229</v>
      </c>
      <c r="H7" t="s">
        <v>1228</v>
      </c>
      <c r="I7">
        <v>190</v>
      </c>
      <c r="J7" t="s">
        <v>1227</v>
      </c>
    </row>
    <row r="8" spans="1:10" x14ac:dyDescent="0.2">
      <c r="B8" t="s">
        <v>1214</v>
      </c>
      <c r="C8" s="11">
        <v>45523</v>
      </c>
      <c r="D8" t="s">
        <v>616</v>
      </c>
      <c r="E8" s="21">
        <v>4</v>
      </c>
      <c r="F8" t="s">
        <v>1218</v>
      </c>
      <c r="G8" t="s">
        <v>1222</v>
      </c>
      <c r="H8" t="s">
        <v>1230</v>
      </c>
    </row>
    <row r="9" spans="1:10" x14ac:dyDescent="0.2">
      <c r="B9" t="s">
        <v>1215</v>
      </c>
      <c r="C9" s="11">
        <v>45518</v>
      </c>
      <c r="D9" t="s">
        <v>590</v>
      </c>
      <c r="E9" s="21">
        <v>10</v>
      </c>
      <c r="F9" t="s">
        <v>1218</v>
      </c>
      <c r="G9" t="s">
        <v>1229</v>
      </c>
      <c r="H9" t="s">
        <v>1240</v>
      </c>
    </row>
    <row r="10" spans="1:10" x14ac:dyDescent="0.2">
      <c r="B10" t="s">
        <v>1216</v>
      </c>
      <c r="C10" s="11">
        <v>45517</v>
      </c>
      <c r="D10" t="s">
        <v>598</v>
      </c>
      <c r="E10" s="21">
        <v>31</v>
      </c>
      <c r="F10" t="s">
        <v>1218</v>
      </c>
      <c r="G10" t="s">
        <v>801</v>
      </c>
      <c r="H10" t="s">
        <v>1241</v>
      </c>
    </row>
    <row r="11" spans="1:10" x14ac:dyDescent="0.2">
      <c r="B11" t="s">
        <v>1217</v>
      </c>
      <c r="C11" s="11">
        <v>45513</v>
      </c>
      <c r="D11" t="s">
        <v>590</v>
      </c>
      <c r="E11" s="21">
        <v>60</v>
      </c>
      <c r="F11" t="s">
        <v>1218</v>
      </c>
      <c r="G11" t="s">
        <v>588</v>
      </c>
      <c r="H11" t="s">
        <v>1242</v>
      </c>
      <c r="I11">
        <v>340</v>
      </c>
    </row>
    <row r="12" spans="1:10" x14ac:dyDescent="0.2">
      <c r="B12" t="s">
        <v>1231</v>
      </c>
      <c r="C12" s="11">
        <v>45511</v>
      </c>
      <c r="D12" t="s">
        <v>598</v>
      </c>
      <c r="E12" s="21">
        <v>120</v>
      </c>
      <c r="F12" t="s">
        <v>1218</v>
      </c>
      <c r="G12" t="s">
        <v>602</v>
      </c>
    </row>
    <row r="13" spans="1:10" x14ac:dyDescent="0.2">
      <c r="B13" t="s">
        <v>1232</v>
      </c>
      <c r="C13" s="11">
        <v>45510</v>
      </c>
      <c r="D13" t="s">
        <v>1238</v>
      </c>
      <c r="E13" s="21">
        <v>0</v>
      </c>
      <c r="F13" t="s">
        <v>1218</v>
      </c>
      <c r="G13" t="s">
        <v>801</v>
      </c>
    </row>
    <row r="14" spans="1:10" x14ac:dyDescent="0.2">
      <c r="B14" t="s">
        <v>1233</v>
      </c>
      <c r="C14" s="11">
        <v>45505</v>
      </c>
      <c r="D14" t="s">
        <v>616</v>
      </c>
      <c r="E14" s="21">
        <v>30</v>
      </c>
      <c r="F14" t="s">
        <v>1218</v>
      </c>
      <c r="G14" t="s">
        <v>1222</v>
      </c>
      <c r="H14" t="s">
        <v>1243</v>
      </c>
    </row>
    <row r="15" spans="1:10" x14ac:dyDescent="0.2">
      <c r="B15" t="s">
        <v>1234</v>
      </c>
      <c r="C15" s="11">
        <v>45498</v>
      </c>
      <c r="D15" t="s">
        <v>1239</v>
      </c>
      <c r="E15" s="21">
        <v>300</v>
      </c>
      <c r="F15" t="s">
        <v>1218</v>
      </c>
      <c r="G15" t="s">
        <v>588</v>
      </c>
      <c r="H15" t="s">
        <v>1244</v>
      </c>
    </row>
    <row r="16" spans="1:10" x14ac:dyDescent="0.2">
      <c r="B16" t="s">
        <v>1235</v>
      </c>
      <c r="C16" s="11">
        <v>45497</v>
      </c>
      <c r="D16" t="s">
        <v>587</v>
      </c>
      <c r="E16" s="21">
        <v>200</v>
      </c>
      <c r="F16" t="s">
        <v>1218</v>
      </c>
      <c r="G16" t="s">
        <v>1245</v>
      </c>
      <c r="H16" t="s">
        <v>1246</v>
      </c>
    </row>
    <row r="17" spans="2:9" x14ac:dyDescent="0.2">
      <c r="B17" t="s">
        <v>1236</v>
      </c>
      <c r="C17" s="11">
        <v>45496</v>
      </c>
      <c r="D17" t="s">
        <v>587</v>
      </c>
      <c r="E17" s="21">
        <v>100</v>
      </c>
      <c r="F17" t="s">
        <v>1218</v>
      </c>
      <c r="G17" t="s">
        <v>1229</v>
      </c>
      <c r="H17" t="s">
        <v>1247</v>
      </c>
      <c r="I17">
        <v>2200</v>
      </c>
    </row>
    <row r="18" spans="2:9" x14ac:dyDescent="0.2">
      <c r="B18" t="s">
        <v>1237</v>
      </c>
      <c r="C18" s="11">
        <v>45496</v>
      </c>
      <c r="D18" t="s">
        <v>616</v>
      </c>
      <c r="E18" s="21">
        <v>5</v>
      </c>
      <c r="F18" t="s">
        <v>1218</v>
      </c>
      <c r="G18" t="s">
        <v>588</v>
      </c>
      <c r="H18" t="s">
        <v>1248</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77</v>
      </c>
    </row>
    <row r="2" spans="1:10" x14ac:dyDescent="0.2">
      <c r="B2" t="s">
        <v>246</v>
      </c>
      <c r="C2" t="s">
        <v>247</v>
      </c>
      <c r="D2" t="s">
        <v>582</v>
      </c>
      <c r="E2" s="6" t="s">
        <v>584</v>
      </c>
      <c r="F2" t="s">
        <v>579</v>
      </c>
      <c r="G2" t="s">
        <v>580</v>
      </c>
      <c r="H2" t="s">
        <v>581</v>
      </c>
      <c r="I2" t="s">
        <v>1225</v>
      </c>
      <c r="J2" t="s">
        <v>711</v>
      </c>
    </row>
    <row r="3" spans="1:10" x14ac:dyDescent="0.2">
      <c r="B3" t="s">
        <v>1250</v>
      </c>
      <c r="C3" s="11">
        <v>45524</v>
      </c>
    </row>
    <row r="4" spans="1:10" x14ac:dyDescent="0.2">
      <c r="B4" t="s">
        <v>1251</v>
      </c>
      <c r="C4" s="11">
        <v>45471</v>
      </c>
    </row>
    <row r="5" spans="1:10" x14ac:dyDescent="0.2">
      <c r="B5" t="s">
        <v>1252</v>
      </c>
      <c r="C5" s="11">
        <v>45468</v>
      </c>
      <c r="D5" t="s">
        <v>590</v>
      </c>
      <c r="E5">
        <v>120</v>
      </c>
      <c r="F5" t="s">
        <v>1218</v>
      </c>
      <c r="G5" t="s">
        <v>1260</v>
      </c>
      <c r="H5" t="s">
        <v>1261</v>
      </c>
    </row>
    <row r="6" spans="1:10" x14ac:dyDescent="0.2">
      <c r="B6" t="s">
        <v>1253</v>
      </c>
      <c r="C6" s="11">
        <v>45464</v>
      </c>
    </row>
    <row r="7" spans="1:10" x14ac:dyDescent="0.2">
      <c r="B7" t="s">
        <v>1254</v>
      </c>
      <c r="C7" s="11">
        <v>45428</v>
      </c>
    </row>
    <row r="8" spans="1:10" x14ac:dyDescent="0.2">
      <c r="B8" t="s">
        <v>1255</v>
      </c>
      <c r="C8" s="11">
        <v>45370</v>
      </c>
    </row>
    <row r="9" spans="1:10" x14ac:dyDescent="0.2">
      <c r="B9" t="s">
        <v>1256</v>
      </c>
      <c r="C9" s="11">
        <v>45342</v>
      </c>
    </row>
    <row r="10" spans="1:10" x14ac:dyDescent="0.2">
      <c r="B10" t="s">
        <v>1257</v>
      </c>
      <c r="C10" s="11">
        <v>45337</v>
      </c>
    </row>
    <row r="11" spans="1:10" x14ac:dyDescent="0.2">
      <c r="B11" t="s">
        <v>1258</v>
      </c>
      <c r="C11" s="11">
        <v>45202</v>
      </c>
    </row>
    <row r="12" spans="1:10" x14ac:dyDescent="0.2">
      <c r="B12" t="s">
        <v>1259</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77</v>
      </c>
    </row>
    <row r="2" spans="1:26" x14ac:dyDescent="0.2">
      <c r="C2" t="s">
        <v>17</v>
      </c>
      <c r="D2" t="s">
        <v>238</v>
      </c>
      <c r="E2" t="s">
        <v>224</v>
      </c>
      <c r="F2" t="s">
        <v>721</v>
      </c>
      <c r="G2">
        <v>1992</v>
      </c>
      <c r="H2">
        <v>1994</v>
      </c>
      <c r="I2">
        <v>1995</v>
      </c>
      <c r="J2">
        <v>1996</v>
      </c>
      <c r="K2">
        <v>1998</v>
      </c>
      <c r="L2">
        <v>1999</v>
      </c>
      <c r="M2">
        <v>2000</v>
      </c>
      <c r="N2">
        <v>2023</v>
      </c>
      <c r="U2" s="1" t="s">
        <v>1110</v>
      </c>
      <c r="V2" s="1" t="s">
        <v>1111</v>
      </c>
      <c r="W2" s="1" t="s">
        <v>1112</v>
      </c>
      <c r="Y2" s="1" t="s">
        <v>1787</v>
      </c>
      <c r="Z2" s="1" t="s">
        <v>1788</v>
      </c>
    </row>
    <row r="3" spans="1:26" s="12" customFormat="1" x14ac:dyDescent="0.2">
      <c r="B3" s="12" t="s">
        <v>841</v>
      </c>
      <c r="C3" s="19">
        <f>SUM(C6:C33)</f>
        <v>493706983890</v>
      </c>
      <c r="U3" s="43"/>
      <c r="V3" s="43"/>
      <c r="W3" s="43"/>
    </row>
    <row r="4" spans="1:26" s="12" customFormat="1" x14ac:dyDescent="0.2">
      <c r="B4" s="20" t="s">
        <v>873</v>
      </c>
      <c r="C4" s="19"/>
      <c r="U4" s="43"/>
      <c r="V4" s="43"/>
      <c r="W4" s="43"/>
    </row>
    <row r="5" spans="1:26" s="12" customFormat="1" x14ac:dyDescent="0.2">
      <c r="B5" s="20" t="s">
        <v>874</v>
      </c>
      <c r="C5" s="19"/>
      <c r="U5" s="43"/>
      <c r="V5" s="43"/>
      <c r="W5" s="43"/>
    </row>
    <row r="6" spans="1:26" x14ac:dyDescent="0.2">
      <c r="B6" t="s">
        <v>728</v>
      </c>
      <c r="C6" s="18">
        <v>89284508261</v>
      </c>
      <c r="F6">
        <v>501</v>
      </c>
    </row>
    <row r="7" spans="1:26" x14ac:dyDescent="0.2">
      <c r="B7" s="2" t="s">
        <v>686</v>
      </c>
      <c r="C7" s="18">
        <v>56310737031</v>
      </c>
      <c r="E7">
        <v>1972</v>
      </c>
      <c r="I7" t="s">
        <v>690</v>
      </c>
      <c r="K7" t="s">
        <v>689</v>
      </c>
      <c r="L7" t="s">
        <v>688</v>
      </c>
      <c r="M7" t="s">
        <v>687</v>
      </c>
      <c r="U7" s="3">
        <v>13531.029494</v>
      </c>
      <c r="V7" s="3">
        <v>12395.936883</v>
      </c>
      <c r="W7" s="3">
        <v>13699.156875000001</v>
      </c>
      <c r="Y7" s="3">
        <v>485</v>
      </c>
      <c r="Z7" s="3">
        <v>44</v>
      </c>
    </row>
    <row r="8" spans="1:26" x14ac:dyDescent="0.2">
      <c r="B8" t="s">
        <v>706</v>
      </c>
      <c r="C8" s="18">
        <v>56035682377</v>
      </c>
      <c r="D8" t="s">
        <v>749</v>
      </c>
      <c r="W8" s="3"/>
    </row>
    <row r="9" spans="1:26" x14ac:dyDescent="0.2">
      <c r="B9" t="s">
        <v>722</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40</v>
      </c>
      <c r="F9">
        <v>168</v>
      </c>
      <c r="W9" s="3"/>
    </row>
    <row r="10" spans="1:26" x14ac:dyDescent="0.2">
      <c r="B10" t="s">
        <v>707</v>
      </c>
      <c r="C10" s="18">
        <v>27317948305</v>
      </c>
      <c r="F10">
        <v>205</v>
      </c>
      <c r="W10" s="3"/>
    </row>
    <row r="11" spans="1:26" x14ac:dyDescent="0.2">
      <c r="B11" t="s">
        <v>708</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729</v>
      </c>
      <c r="C12" s="18">
        <v>25912724688</v>
      </c>
      <c r="F12">
        <v>126</v>
      </c>
      <c r="W12" s="3"/>
    </row>
    <row r="13" spans="1:26" x14ac:dyDescent="0.2">
      <c r="B13" t="s">
        <v>740</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736</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842</v>
      </c>
      <c r="W14" s="3"/>
    </row>
    <row r="15" spans="1:26" x14ac:dyDescent="0.2">
      <c r="B15" t="s">
        <v>732</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845</v>
      </c>
      <c r="C16" s="18">
        <f>111985019+38833130+114718+76481673+8938422+68134674+3668385+96648193+172761607+127417945+1997350176+623987982+28021416+31511097+555082436+1479327494+882411998+416952116+93694983+154088397+307267086+2520958881+1076948478+1630417140+1061336382+84588716</f>
        <v>13648928544</v>
      </c>
      <c r="D16" t="s">
        <v>852</v>
      </c>
      <c r="W16" s="3"/>
    </row>
    <row r="17" spans="2:23" x14ac:dyDescent="0.2">
      <c r="B17" t="s">
        <v>733</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735</v>
      </c>
      <c r="C18" s="18">
        <v>10775605970</v>
      </c>
      <c r="F18">
        <v>86</v>
      </c>
      <c r="W18" s="3"/>
    </row>
    <row r="19" spans="2:23" x14ac:dyDescent="0.2">
      <c r="B19" t="s">
        <v>691</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695</v>
      </c>
      <c r="H19" t="s">
        <v>696</v>
      </c>
      <c r="J19" t="s">
        <v>694</v>
      </c>
      <c r="L19" t="s">
        <v>693</v>
      </c>
      <c r="M19" t="s">
        <v>692</v>
      </c>
      <c r="W19" s="3"/>
    </row>
    <row r="20" spans="2:23" x14ac:dyDescent="0.2">
      <c r="B20" t="s">
        <v>723</v>
      </c>
      <c r="C20" s="18">
        <v>10289314151</v>
      </c>
      <c r="D20" t="s">
        <v>727</v>
      </c>
      <c r="W20" s="3"/>
    </row>
    <row r="21" spans="2:23" x14ac:dyDescent="0.2">
      <c r="B21" t="s">
        <v>734</v>
      </c>
      <c r="C21" s="18">
        <f>1600000000+6040000+21075000+73230897+2800652+1792045690+43883901+6128340+10661384+16036393+14964609+2342772147+35631197+441248824+12165510+2095773575</f>
        <v>8514458119</v>
      </c>
      <c r="W21" s="3"/>
    </row>
    <row r="22" spans="2:23" x14ac:dyDescent="0.2">
      <c r="B22" t="s">
        <v>730</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844</v>
      </c>
      <c r="E23">
        <v>1999</v>
      </c>
      <c r="F23">
        <v>174</v>
      </c>
      <c r="W23" s="3"/>
    </row>
    <row r="24" spans="2:23" x14ac:dyDescent="0.2">
      <c r="B24" t="s">
        <v>742</v>
      </c>
      <c r="C24" s="18">
        <f>870211039+200298599+783761122+6022316+75643+144709095+428529747+1147196244+4713305+1152924156+10330343+780543450+3884838+1150262436</f>
        <v>6683462333</v>
      </c>
      <c r="D24" t="s">
        <v>872</v>
      </c>
      <c r="W24" s="3"/>
    </row>
    <row r="25" spans="2:23" x14ac:dyDescent="0.2">
      <c r="B25" t="s">
        <v>731</v>
      </c>
      <c r="C25" s="18">
        <f>197879166+1279551615+152170350+1570061376+209382573+1335134504+148562541+1419515977</f>
        <v>6312258102</v>
      </c>
      <c r="D25" t="s">
        <v>843</v>
      </c>
      <c r="W25" s="3"/>
    </row>
    <row r="26" spans="2:23" x14ac:dyDescent="0.2">
      <c r="B26" t="s">
        <v>743</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851</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724</v>
      </c>
      <c r="C28" s="18">
        <f>6667680+281044637+880000000+640000000</f>
        <v>1807712317</v>
      </c>
      <c r="D28" t="s">
        <v>726</v>
      </c>
      <c r="N28" t="s">
        <v>725</v>
      </c>
      <c r="W28" s="3"/>
    </row>
    <row r="29" spans="2:23" x14ac:dyDescent="0.2">
      <c r="B29" t="s">
        <v>737</v>
      </c>
      <c r="W29" s="3"/>
    </row>
    <row r="30" spans="2:23" x14ac:dyDescent="0.2">
      <c r="B30" t="s">
        <v>738</v>
      </c>
      <c r="W30" s="3"/>
    </row>
    <row r="31" spans="2:23" x14ac:dyDescent="0.2">
      <c r="B31" t="s">
        <v>1841</v>
      </c>
      <c r="U31" s="3">
        <v>4318.743453</v>
      </c>
      <c r="V31" s="3">
        <v>5234.5245999999997</v>
      </c>
      <c r="W31" s="3">
        <v>5751.331236</v>
      </c>
    </row>
    <row r="32" spans="2:23" x14ac:dyDescent="0.2">
      <c r="B32" t="s">
        <v>739</v>
      </c>
    </row>
    <row r="33" spans="2:2" x14ac:dyDescent="0.2">
      <c r="B33" t="s">
        <v>741</v>
      </c>
    </row>
    <row r="34" spans="2:2" x14ac:dyDescent="0.2">
      <c r="B34" t="s">
        <v>744</v>
      </c>
    </row>
    <row r="35" spans="2:2" x14ac:dyDescent="0.2">
      <c r="B35" t="s">
        <v>745</v>
      </c>
    </row>
    <row r="36" spans="2:2" x14ac:dyDescent="0.2">
      <c r="B36" t="s">
        <v>1249</v>
      </c>
    </row>
    <row r="37" spans="2:2" x14ac:dyDescent="0.2">
      <c r="B37" t="s">
        <v>746</v>
      </c>
    </row>
    <row r="38" spans="2:2" x14ac:dyDescent="0.2">
      <c r="B38" t="s">
        <v>747</v>
      </c>
    </row>
    <row r="39" spans="2:2" x14ac:dyDescent="0.2">
      <c r="B39" t="s">
        <v>748</v>
      </c>
    </row>
    <row r="40" spans="2:2" x14ac:dyDescent="0.2">
      <c r="B40" t="s">
        <v>846</v>
      </c>
    </row>
    <row r="41" spans="2:2" x14ac:dyDescent="0.2">
      <c r="B41" t="s">
        <v>847</v>
      </c>
    </row>
    <row r="42" spans="2:2" x14ac:dyDescent="0.2">
      <c r="B42" t="s">
        <v>848</v>
      </c>
    </row>
    <row r="43" spans="2:2" x14ac:dyDescent="0.2">
      <c r="B43" t="s">
        <v>849</v>
      </c>
    </row>
    <row r="44" spans="2:2" x14ac:dyDescent="0.2">
      <c r="B44" t="s">
        <v>850</v>
      </c>
    </row>
    <row r="45" spans="2:2" x14ac:dyDescent="0.2">
      <c r="B45" t="s">
        <v>853</v>
      </c>
    </row>
    <row r="46" spans="2:2" x14ac:dyDescent="0.2">
      <c r="B46" t="s">
        <v>854</v>
      </c>
    </row>
    <row r="47" spans="2:2" x14ac:dyDescent="0.2">
      <c r="B47" t="s">
        <v>855</v>
      </c>
    </row>
    <row r="48" spans="2:2" x14ac:dyDescent="0.2">
      <c r="B48" t="s">
        <v>856</v>
      </c>
    </row>
    <row r="49" spans="2:2" x14ac:dyDescent="0.2">
      <c r="B49" t="s">
        <v>857</v>
      </c>
    </row>
    <row r="50" spans="2:2" x14ac:dyDescent="0.2">
      <c r="B50" t="s">
        <v>858</v>
      </c>
    </row>
    <row r="51" spans="2:2" x14ac:dyDescent="0.2">
      <c r="B51" t="s">
        <v>859</v>
      </c>
    </row>
    <row r="52" spans="2:2" x14ac:dyDescent="0.2">
      <c r="B52" t="s">
        <v>860</v>
      </c>
    </row>
    <row r="53" spans="2:2" x14ac:dyDescent="0.2">
      <c r="B53" t="s">
        <v>50</v>
      </c>
    </row>
    <row r="54" spans="2:2" x14ac:dyDescent="0.2">
      <c r="B54" t="s">
        <v>861</v>
      </c>
    </row>
    <row r="55" spans="2:2" x14ac:dyDescent="0.2">
      <c r="B55" t="s">
        <v>862</v>
      </c>
    </row>
    <row r="56" spans="2:2" x14ac:dyDescent="0.2">
      <c r="B56" t="s">
        <v>863</v>
      </c>
    </row>
    <row r="57" spans="2:2" x14ac:dyDescent="0.2">
      <c r="B57" t="s">
        <v>864</v>
      </c>
    </row>
    <row r="58" spans="2:2" x14ac:dyDescent="0.2">
      <c r="B58" t="s">
        <v>865</v>
      </c>
    </row>
    <row r="59" spans="2:2" x14ac:dyDescent="0.2">
      <c r="B59" t="s">
        <v>866</v>
      </c>
    </row>
    <row r="60" spans="2:2" x14ac:dyDescent="0.2">
      <c r="B60" t="s">
        <v>867</v>
      </c>
    </row>
    <row r="61" spans="2:2" x14ac:dyDescent="0.2">
      <c r="B61" t="s">
        <v>868</v>
      </c>
    </row>
    <row r="62" spans="2:2" x14ac:dyDescent="0.2">
      <c r="B62" t="s">
        <v>869</v>
      </c>
    </row>
    <row r="63" spans="2:2" x14ac:dyDescent="0.2">
      <c r="B63" t="s">
        <v>870</v>
      </c>
    </row>
    <row r="64" spans="2:2" x14ac:dyDescent="0.2">
      <c r="B64" t="s">
        <v>871</v>
      </c>
    </row>
    <row r="65" spans="2:2" x14ac:dyDescent="0.2">
      <c r="B65" s="20" t="s">
        <v>875</v>
      </c>
    </row>
    <row r="66" spans="2:2" x14ac:dyDescent="0.2">
      <c r="B66" s="20" t="s">
        <v>876</v>
      </c>
    </row>
    <row r="67" spans="2:2" x14ac:dyDescent="0.2">
      <c r="B67" s="20" t="s">
        <v>877</v>
      </c>
    </row>
    <row r="68" spans="2:2" x14ac:dyDescent="0.2">
      <c r="B68" s="20" t="s">
        <v>878</v>
      </c>
    </row>
    <row r="69" spans="2:2" x14ac:dyDescent="0.2">
      <c r="B69" s="20" t="s">
        <v>78</v>
      </c>
    </row>
    <row r="70" spans="2:2" x14ac:dyDescent="0.2">
      <c r="B70" s="20" t="s">
        <v>879</v>
      </c>
    </row>
    <row r="71" spans="2:2" x14ac:dyDescent="0.2">
      <c r="B71" s="20" t="s">
        <v>880</v>
      </c>
    </row>
    <row r="72" spans="2:2" x14ac:dyDescent="0.2">
      <c r="B72" s="20" t="s">
        <v>881</v>
      </c>
    </row>
    <row r="73" spans="2:2" x14ac:dyDescent="0.2">
      <c r="B73" s="20" t="s">
        <v>882</v>
      </c>
    </row>
    <row r="74" spans="2:2" x14ac:dyDescent="0.2">
      <c r="B74" s="20" t="s">
        <v>883</v>
      </c>
    </row>
    <row r="75" spans="2:2" x14ac:dyDescent="0.2">
      <c r="B75" s="20" t="s">
        <v>884</v>
      </c>
    </row>
    <row r="76" spans="2:2" x14ac:dyDescent="0.2">
      <c r="B76" s="20" t="s">
        <v>81</v>
      </c>
    </row>
    <row r="77" spans="2:2" x14ac:dyDescent="0.2">
      <c r="B77" s="20" t="s">
        <v>885</v>
      </c>
    </row>
    <row r="78" spans="2:2" x14ac:dyDescent="0.2">
      <c r="B78" s="20" t="s">
        <v>886</v>
      </c>
    </row>
    <row r="79" spans="2:2" x14ac:dyDescent="0.2">
      <c r="B79" t="s">
        <v>1293</v>
      </c>
    </row>
    <row r="80" spans="2:2" x14ac:dyDescent="0.2">
      <c r="B80" s="20" t="s">
        <v>1477</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53"/>
  <sheetViews>
    <sheetView zoomScale="145" zoomScaleNormal="145" workbookViewId="0">
      <pane xSplit="2" ySplit="2" topLeftCell="C351" activePane="bottomRight" state="frozen"/>
      <selection pane="topRight" activeCell="C1" sqref="C1"/>
      <selection pane="bottomLeft" activeCell="A3" sqref="A3"/>
      <selection pane="bottomRight" activeCell="Q354" sqref="Q354"/>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77</v>
      </c>
      <c r="P1" s="18">
        <f>SUM(P3:P450)</f>
        <v>21326524.000011005</v>
      </c>
      <c r="Q1" s="18">
        <f>SUM(Q3:Q450)</f>
        <v>41589181.488281846</v>
      </c>
      <c r="R1" s="18">
        <f>SUM(R3:R450)</f>
        <v>43760173.396351054</v>
      </c>
      <c r="S1" s="18">
        <f>SUM(S3:S450)</f>
        <v>44604942.787914015</v>
      </c>
      <c r="T1" s="18">
        <f t="shared" ref="T1" si="0">SUM(T3:T450)</f>
        <v>36791525.491282031</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232</v>
      </c>
      <c r="N2" s="3" t="s">
        <v>233</v>
      </c>
      <c r="O2" s="3" t="s">
        <v>649</v>
      </c>
      <c r="P2" s="3" t="s">
        <v>650</v>
      </c>
      <c r="Q2" s="3" t="s">
        <v>1110</v>
      </c>
      <c r="R2" s="3" t="s">
        <v>1111</v>
      </c>
      <c r="S2" s="3" t="s">
        <v>1112</v>
      </c>
      <c r="T2" s="3" t="s">
        <v>1113</v>
      </c>
      <c r="U2" s="3" t="s">
        <v>711</v>
      </c>
      <c r="V2" s="3" t="s">
        <v>1484</v>
      </c>
      <c r="W2" s="3" t="s">
        <v>1742</v>
      </c>
      <c r="X2" s="3" t="s">
        <v>1743</v>
      </c>
    </row>
    <row r="3" spans="1:24" x14ac:dyDescent="0.2">
      <c r="A3">
        <v>1</v>
      </c>
      <c r="B3" s="2" t="s">
        <v>659</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81</v>
      </c>
      <c r="C4" t="s">
        <v>658</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1519</v>
      </c>
      <c r="P5" s="17"/>
      <c r="R5" s="18">
        <v>3297007.03</v>
      </c>
      <c r="S5" s="18">
        <v>3084048.11</v>
      </c>
      <c r="T5" s="18">
        <v>2901984.0959999999</v>
      </c>
      <c r="V5" s="18">
        <v>68</v>
      </c>
      <c r="W5" s="18">
        <v>31</v>
      </c>
      <c r="X5" s="18">
        <v>0</v>
      </c>
    </row>
    <row r="6" spans="1:24" x14ac:dyDescent="0.2">
      <c r="A6">
        <f>+A5+1</f>
        <v>4</v>
      </c>
      <c r="B6" s="2" t="s">
        <v>84</v>
      </c>
      <c r="P6" s="17">
        <v>2055899.0158520001</v>
      </c>
      <c r="Q6" s="18">
        <v>2237183.5338409999</v>
      </c>
      <c r="R6" s="18">
        <v>2288513.2716049999</v>
      </c>
      <c r="S6" s="18">
        <v>2457609.9227229999</v>
      </c>
      <c r="V6" s="18">
        <v>46000</v>
      </c>
      <c r="W6" s="18">
        <v>6239</v>
      </c>
      <c r="X6" s="18">
        <v>1621</v>
      </c>
    </row>
    <row r="7" spans="1:24" x14ac:dyDescent="0.2">
      <c r="A7">
        <f t="shared" ref="A7:A122" si="1">+A6+1</f>
        <v>5</v>
      </c>
      <c r="B7" s="2" t="s">
        <v>78</v>
      </c>
      <c r="P7" s="17">
        <v>1301824.856715</v>
      </c>
      <c r="Q7" s="18">
        <f>1489547.690152+100859.866478</f>
        <v>1590407.55663</v>
      </c>
      <c r="R7" s="18">
        <f>1562348.89878+101140.231557</f>
        <v>1663489.1303369999</v>
      </c>
      <c r="S7" s="18">
        <f>1643409.181326+110317.770819</f>
        <v>1753726.952145</v>
      </c>
      <c r="T7" s="18">
        <f>1675616.916343+107040.011658</f>
        <v>1782656.9280010001</v>
      </c>
      <c r="U7" t="s">
        <v>1119</v>
      </c>
      <c r="V7" s="18">
        <v>74000</v>
      </c>
      <c r="W7" s="18">
        <v>2415</v>
      </c>
      <c r="X7" s="18">
        <v>1153</v>
      </c>
    </row>
    <row r="8" spans="1:24" x14ac:dyDescent="0.2">
      <c r="A8">
        <f t="shared" si="1"/>
        <v>6</v>
      </c>
      <c r="B8" s="2" t="s">
        <v>79</v>
      </c>
      <c r="P8" s="17">
        <v>1134780.9962540001</v>
      </c>
      <c r="Q8" s="18">
        <v>1246178.634816</v>
      </c>
      <c r="R8" s="18">
        <v>1292289.902852</v>
      </c>
      <c r="S8" s="18">
        <v>1379356.1227249999</v>
      </c>
      <c r="V8" s="18">
        <v>80000</v>
      </c>
      <c r="W8" s="18">
        <v>28653</v>
      </c>
      <c r="X8" s="18">
        <v>9385</v>
      </c>
    </row>
    <row r="9" spans="1:24" x14ac:dyDescent="0.2">
      <c r="A9">
        <f t="shared" si="1"/>
        <v>7</v>
      </c>
      <c r="B9" s="2" t="s">
        <v>676</v>
      </c>
      <c r="P9" s="17">
        <v>1040788.602081</v>
      </c>
      <c r="Q9" s="18">
        <v>1182176.1407679999</v>
      </c>
      <c r="R9" s="18">
        <v>1217337.999355</v>
      </c>
      <c r="S9" s="18">
        <v>1315995.3002889999</v>
      </c>
      <c r="T9" s="18">
        <v>1342979.0938009999</v>
      </c>
      <c r="V9" s="18">
        <v>310000</v>
      </c>
      <c r="W9" s="18">
        <v>29804</v>
      </c>
      <c r="X9" s="18">
        <v>10631</v>
      </c>
    </row>
    <row r="10" spans="1:24" x14ac:dyDescent="0.2">
      <c r="A10">
        <f t="shared" si="1"/>
        <v>8</v>
      </c>
      <c r="B10" s="2" t="s">
        <v>86</v>
      </c>
      <c r="P10" s="17">
        <v>955851.22653400002</v>
      </c>
      <c r="Q10" s="18">
        <v>1081305.984797</v>
      </c>
      <c r="R10" s="18">
        <v>1139478.5315179999</v>
      </c>
      <c r="S10" s="18">
        <v>1234954.2116789999</v>
      </c>
      <c r="T10" s="18">
        <v>1290565.4064130001</v>
      </c>
      <c r="V10" s="18">
        <v>170</v>
      </c>
      <c r="W10" s="18">
        <v>82</v>
      </c>
      <c r="X10" s="18">
        <v>48</v>
      </c>
    </row>
    <row r="11" spans="1:24" x14ac:dyDescent="0.2">
      <c r="A11">
        <f t="shared" si="1"/>
        <v>9</v>
      </c>
      <c r="B11" t="s">
        <v>710</v>
      </c>
      <c r="Q11" s="18">
        <v>1067158.623318</v>
      </c>
      <c r="R11" s="18">
        <v>1131669.0128500001</v>
      </c>
      <c r="T11" s="18">
        <v>1204606.5588430001</v>
      </c>
      <c r="V11" s="18">
        <v>213000</v>
      </c>
      <c r="W11" s="18">
        <v>17881</v>
      </c>
      <c r="X11" s="18">
        <v>6323</v>
      </c>
    </row>
    <row r="12" spans="1:24" x14ac:dyDescent="0.2">
      <c r="A12">
        <f t="shared" si="1"/>
        <v>10</v>
      </c>
      <c r="B12" s="2" t="s">
        <v>82</v>
      </c>
      <c r="P12" s="17">
        <v>744231.402</v>
      </c>
      <c r="V12" s="18">
        <v>7868</v>
      </c>
      <c r="W12" s="18">
        <v>1675</v>
      </c>
      <c r="X12" s="18">
        <v>827</v>
      </c>
    </row>
    <row r="13" spans="1:24" x14ac:dyDescent="0.2">
      <c r="A13">
        <f t="shared" si="1"/>
        <v>11</v>
      </c>
      <c r="B13" s="2" t="s">
        <v>677</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1"/>
        <v>12</v>
      </c>
      <c r="B14" s="2" t="s">
        <v>90</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1"/>
        <v>13</v>
      </c>
      <c r="B15" s="2" t="s">
        <v>673</v>
      </c>
      <c r="P15" s="17">
        <v>552459.06116399996</v>
      </c>
      <c r="Q15" s="18">
        <v>578764.88933399995</v>
      </c>
      <c r="R15" s="18">
        <v>593475.30902000004</v>
      </c>
      <c r="S15" s="18">
        <v>610871.34267000004</v>
      </c>
      <c r="V15" s="18">
        <v>23000</v>
      </c>
      <c r="W15" s="18">
        <v>1534</v>
      </c>
      <c r="X15" s="18">
        <v>410</v>
      </c>
    </row>
    <row r="16" spans="1:24" x14ac:dyDescent="0.2">
      <c r="A16">
        <f t="shared" si="1"/>
        <v>14</v>
      </c>
      <c r="B16" s="2" t="s">
        <v>661</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1"/>
        <v>15</v>
      </c>
      <c r="B17" s="2" t="s">
        <v>89</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1"/>
        <v>16</v>
      </c>
      <c r="B18" t="s">
        <v>1138</v>
      </c>
      <c r="Q18" s="18">
        <f>433157.805036+72778.185022</f>
        <v>505935.99005799997</v>
      </c>
      <c r="R18" s="18">
        <v>524874.08782799996</v>
      </c>
      <c r="S18" s="18">
        <v>523952.37018799997</v>
      </c>
      <c r="T18" s="18">
        <v>542443.40071099997</v>
      </c>
      <c r="U18" t="s">
        <v>1573</v>
      </c>
      <c r="V18" s="18">
        <v>33000</v>
      </c>
      <c r="W18" s="18">
        <v>1524</v>
      </c>
      <c r="X18" s="18">
        <v>544</v>
      </c>
    </row>
    <row r="19" spans="1:24" x14ac:dyDescent="0.2">
      <c r="A19">
        <f t="shared" si="1"/>
        <v>17</v>
      </c>
      <c r="B19" t="s">
        <v>1131</v>
      </c>
      <c r="Q19" s="18">
        <v>520682.601693</v>
      </c>
      <c r="R19" s="18">
        <v>527503.39329499996</v>
      </c>
      <c r="S19" s="18">
        <v>537721.40910199995</v>
      </c>
      <c r="T19" s="18">
        <v>541436.28154300002</v>
      </c>
      <c r="V19" s="18">
        <v>53400</v>
      </c>
      <c r="W19" s="18">
        <v>5090</v>
      </c>
      <c r="X19" s="18">
        <v>1261</v>
      </c>
    </row>
    <row r="20" spans="1:24" x14ac:dyDescent="0.2">
      <c r="A20">
        <f t="shared" si="1"/>
        <v>18</v>
      </c>
      <c r="B20" s="2" t="s">
        <v>709</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1"/>
        <v>19</v>
      </c>
      <c r="B21" t="s">
        <v>1522</v>
      </c>
      <c r="P21" s="17"/>
      <c r="Q21" s="18">
        <v>493899.28272900003</v>
      </c>
      <c r="R21" s="18">
        <v>485733.68106199999</v>
      </c>
      <c r="S21" s="18">
        <v>520973.56381800002</v>
      </c>
      <c r="T21" s="18">
        <v>532304.80157300003</v>
      </c>
      <c r="V21" s="42" t="s">
        <v>1745</v>
      </c>
      <c r="W21" s="42" t="s">
        <v>1745</v>
      </c>
      <c r="X21" s="42" t="s">
        <v>1745</v>
      </c>
    </row>
    <row r="22" spans="1:24" x14ac:dyDescent="0.2">
      <c r="A22">
        <f t="shared" si="1"/>
        <v>20</v>
      </c>
      <c r="B22" t="s">
        <v>94</v>
      </c>
      <c r="Q22" s="18">
        <v>438142.30900000001</v>
      </c>
      <c r="R22" s="18">
        <v>441274.94</v>
      </c>
      <c r="S22" s="18">
        <v>489789.59299999999</v>
      </c>
      <c r="V22" s="18">
        <v>94838</v>
      </c>
      <c r="W22" s="18">
        <v>7606</v>
      </c>
      <c r="X22" s="18">
        <v>2896</v>
      </c>
    </row>
    <row r="23" spans="1:24" x14ac:dyDescent="0.2">
      <c r="A23">
        <f t="shared" si="1"/>
        <v>21</v>
      </c>
      <c r="B23" t="s">
        <v>1523</v>
      </c>
      <c r="Q23" s="18">
        <v>441983.43171600002</v>
      </c>
      <c r="R23" s="18">
        <v>455741.773354</v>
      </c>
      <c r="S23" s="18">
        <v>481142.91263899999</v>
      </c>
      <c r="T23" s="18">
        <v>486376.918542</v>
      </c>
      <c r="V23" s="42" t="s">
        <v>1745</v>
      </c>
      <c r="W23" s="42" t="s">
        <v>1745</v>
      </c>
      <c r="X23" s="42" t="s">
        <v>1745</v>
      </c>
    </row>
    <row r="24" spans="1:24" x14ac:dyDescent="0.2">
      <c r="A24">
        <f t="shared" si="1"/>
        <v>22</v>
      </c>
      <c r="B24" t="s">
        <v>1122</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1"/>
        <v>23</v>
      </c>
      <c r="B25" s="39" t="s">
        <v>1520</v>
      </c>
      <c r="P25" s="17"/>
      <c r="Q25" s="18">
        <v>2320531.343756</v>
      </c>
      <c r="R25" s="18">
        <v>24027.773851000002</v>
      </c>
      <c r="S25" s="18">
        <v>25282.260823000001</v>
      </c>
      <c r="V25" s="18">
        <v>10000</v>
      </c>
      <c r="W25" s="18">
        <v>159</v>
      </c>
      <c r="X25" s="18">
        <v>48</v>
      </c>
    </row>
    <row r="26" spans="1:24" x14ac:dyDescent="0.2">
      <c r="A26">
        <f t="shared" si="1"/>
        <v>24</v>
      </c>
      <c r="B26" t="s">
        <v>1524</v>
      </c>
      <c r="Q26" s="18">
        <v>415111.87051199999</v>
      </c>
      <c r="R26" s="18">
        <v>412472.418099</v>
      </c>
      <c r="S26" s="18">
        <v>441740.45741099998</v>
      </c>
      <c r="T26" s="18">
        <v>443369.42776200001</v>
      </c>
      <c r="V26" s="18">
        <v>226000</v>
      </c>
      <c r="W26" s="18">
        <v>7692</v>
      </c>
      <c r="X26" s="18">
        <v>2652</v>
      </c>
    </row>
    <row r="27" spans="1:24" x14ac:dyDescent="0.2">
      <c r="A27">
        <f t="shared" si="1"/>
        <v>25</v>
      </c>
      <c r="B27" s="2" t="s">
        <v>668</v>
      </c>
      <c r="P27" s="17">
        <v>342467.29001499998</v>
      </c>
      <c r="Q27" s="18">
        <v>369363.96272700001</v>
      </c>
      <c r="R27" s="18">
        <v>382853.366331</v>
      </c>
      <c r="S27" s="18">
        <v>412281.37746699998</v>
      </c>
      <c r="T27" s="18">
        <v>416375.320611</v>
      </c>
      <c r="V27" s="18">
        <v>1500</v>
      </c>
      <c r="W27" s="18">
        <v>525</v>
      </c>
      <c r="X27" s="18">
        <v>176</v>
      </c>
    </row>
    <row r="28" spans="1:24" x14ac:dyDescent="0.2">
      <c r="A28">
        <f t="shared" si="1"/>
        <v>26</v>
      </c>
      <c r="B28" s="2" t="s">
        <v>674</v>
      </c>
      <c r="P28" s="17">
        <v>334075.07418200001</v>
      </c>
      <c r="Q28" s="18">
        <v>401538.67780399998</v>
      </c>
      <c r="R28" s="18">
        <v>404795.01013800001</v>
      </c>
      <c r="S28" s="18">
        <v>459013.25620300003</v>
      </c>
      <c r="V28" s="18">
        <v>115038</v>
      </c>
      <c r="W28" s="18">
        <v>12470</v>
      </c>
      <c r="X28" s="18">
        <v>4287</v>
      </c>
    </row>
    <row r="29" spans="1:24" x14ac:dyDescent="0.2">
      <c r="A29">
        <f t="shared" si="1"/>
        <v>27</v>
      </c>
      <c r="B29" t="s">
        <v>91</v>
      </c>
      <c r="Q29" s="18">
        <v>363355.816307</v>
      </c>
      <c r="R29" s="18">
        <v>369568.701489</v>
      </c>
      <c r="S29" s="18">
        <v>389936.84871300001</v>
      </c>
      <c r="V29" s="18">
        <v>13800</v>
      </c>
      <c r="W29" s="18">
        <v>1816</v>
      </c>
      <c r="X29" s="18">
        <v>705</v>
      </c>
    </row>
    <row r="30" spans="1:24" x14ac:dyDescent="0.2">
      <c r="A30">
        <f t="shared" si="1"/>
        <v>28</v>
      </c>
      <c r="B30" t="s">
        <v>1525</v>
      </c>
      <c r="Q30" s="18">
        <v>281288.54391200002</v>
      </c>
      <c r="R30" s="18">
        <v>348554.16528700001</v>
      </c>
      <c r="S30" s="18">
        <v>389254.74512400001</v>
      </c>
      <c r="V30" s="42" t="s">
        <v>1745</v>
      </c>
      <c r="W30" s="42" t="s">
        <v>1745</v>
      </c>
      <c r="X30" s="42" t="s">
        <v>1745</v>
      </c>
    </row>
    <row r="31" spans="1:24" x14ac:dyDescent="0.2">
      <c r="A31">
        <f t="shared" si="1"/>
        <v>29</v>
      </c>
      <c r="B31" s="2" t="s">
        <v>665</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1"/>
        <v>30</v>
      </c>
      <c r="B32" s="2" t="s">
        <v>88</v>
      </c>
      <c r="P32" s="17">
        <v>213868.38212200001</v>
      </c>
      <c r="Q32" s="18">
        <v>315819.42618399998</v>
      </c>
      <c r="R32" s="18">
        <v>325270.34935500001</v>
      </c>
      <c r="S32" s="18">
        <v>367698.71866299998</v>
      </c>
      <c r="T32" s="18">
        <v>360138.82420700003</v>
      </c>
      <c r="V32" s="18">
        <v>6400</v>
      </c>
      <c r="X32" s="28">
        <v>500</v>
      </c>
    </row>
    <row r="33" spans="1:24" x14ac:dyDescent="0.2">
      <c r="A33">
        <f t="shared" si="1"/>
        <v>31</v>
      </c>
      <c r="B33" t="s">
        <v>1526</v>
      </c>
      <c r="P33" s="17"/>
      <c r="Q33" s="18">
        <v>329815.74212200003</v>
      </c>
      <c r="R33" s="18">
        <v>344471.79194700002</v>
      </c>
      <c r="S33" s="18">
        <v>227422.668428</v>
      </c>
      <c r="T33" s="18">
        <v>214679.052047</v>
      </c>
      <c r="V33" s="18">
        <v>53597</v>
      </c>
      <c r="W33" s="18">
        <v>4784</v>
      </c>
      <c r="X33" s="18">
        <v>1538</v>
      </c>
    </row>
    <row r="34" spans="1:24" x14ac:dyDescent="0.2">
      <c r="A34">
        <f t="shared" si="1"/>
        <v>32</v>
      </c>
      <c r="B34" s="2" t="s">
        <v>675</v>
      </c>
      <c r="P34" s="17">
        <v>167659.82777</v>
      </c>
      <c r="Q34" s="18">
        <v>183325.04100500001</v>
      </c>
      <c r="R34" s="18">
        <v>186741.47554099999</v>
      </c>
      <c r="S34" s="18">
        <v>195375.194628</v>
      </c>
      <c r="V34" s="18">
        <v>2200</v>
      </c>
      <c r="W34" s="18">
        <v>1322</v>
      </c>
      <c r="X34" s="18">
        <v>516</v>
      </c>
    </row>
    <row r="35" spans="1:24" x14ac:dyDescent="0.2">
      <c r="A35">
        <f t="shared" si="1"/>
        <v>33</v>
      </c>
      <c r="B35" s="2" t="s">
        <v>682</v>
      </c>
      <c r="P35" s="17">
        <v>157303.97482100001</v>
      </c>
      <c r="Q35" s="18">
        <v>172384.64535199999</v>
      </c>
      <c r="R35" s="18">
        <v>166621.695897</v>
      </c>
      <c r="S35" s="18">
        <v>176833.28215000001</v>
      </c>
      <c r="T35" s="18">
        <v>171840.60348399999</v>
      </c>
      <c r="V35" s="18">
        <v>478</v>
      </c>
      <c r="W35" s="18">
        <v>253</v>
      </c>
      <c r="X35" s="18">
        <v>126</v>
      </c>
    </row>
    <row r="36" spans="1:24" x14ac:dyDescent="0.2">
      <c r="A36">
        <f t="shared" si="1"/>
        <v>34</v>
      </c>
      <c r="B36" s="2" t="s">
        <v>660</v>
      </c>
      <c r="P36" s="17">
        <v>135253.96826699999</v>
      </c>
      <c r="Q36" s="18">
        <v>145663.18540300001</v>
      </c>
      <c r="R36" s="18">
        <v>135477.739352</v>
      </c>
      <c r="S36" s="18">
        <v>144293.14772800001</v>
      </c>
      <c r="T36" s="18">
        <v>148152.622206</v>
      </c>
      <c r="V36" s="18">
        <v>103000</v>
      </c>
      <c r="W36" s="18">
        <v>2448</v>
      </c>
      <c r="X36" s="18">
        <v>1152</v>
      </c>
    </row>
    <row r="37" spans="1:24" x14ac:dyDescent="0.2">
      <c r="A37">
        <f t="shared" si="1"/>
        <v>35</v>
      </c>
      <c r="B37" s="2" t="s">
        <v>80</v>
      </c>
      <c r="P37" s="17">
        <v>126191.005081</v>
      </c>
      <c r="Q37" s="18">
        <v>128561.743993</v>
      </c>
      <c r="R37" s="18">
        <v>128363.302882</v>
      </c>
      <c r="S37" s="18">
        <v>133630.523609</v>
      </c>
      <c r="T37" s="18">
        <v>130140.55098099999</v>
      </c>
      <c r="V37" s="18">
        <v>1600</v>
      </c>
      <c r="W37" s="18">
        <v>414</v>
      </c>
      <c r="X37" s="18">
        <v>130</v>
      </c>
    </row>
    <row r="38" spans="1:24" x14ac:dyDescent="0.2">
      <c r="A38">
        <f t="shared" si="1"/>
        <v>36</v>
      </c>
      <c r="B38" s="2" t="s">
        <v>85</v>
      </c>
      <c r="P38" s="17">
        <v>134187.690302</v>
      </c>
      <c r="Q38" s="18">
        <v>149561.31893800001</v>
      </c>
      <c r="R38" s="18">
        <v>156014.794719</v>
      </c>
      <c r="S38" s="18">
        <v>159742.10649199999</v>
      </c>
      <c r="T38" s="18">
        <v>164678.08980300001</v>
      </c>
      <c r="V38" s="18">
        <v>407</v>
      </c>
      <c r="W38" s="18">
        <v>203</v>
      </c>
      <c r="X38" s="18">
        <v>120</v>
      </c>
    </row>
    <row r="39" spans="1:24" x14ac:dyDescent="0.2">
      <c r="A39">
        <f t="shared" si="1"/>
        <v>37</v>
      </c>
      <c r="B39" s="2" t="s">
        <v>680</v>
      </c>
      <c r="P39" s="17">
        <v>86567.032804000002</v>
      </c>
      <c r="Q39" s="18">
        <v>88170.157034000003</v>
      </c>
      <c r="R39" s="18">
        <v>87188.138693999994</v>
      </c>
      <c r="S39" s="18">
        <v>92640.34474</v>
      </c>
      <c r="V39" s="18">
        <v>20600</v>
      </c>
      <c r="W39" s="18">
        <v>4224</v>
      </c>
      <c r="X39" s="18">
        <v>1345</v>
      </c>
    </row>
    <row r="40" spans="1:24" x14ac:dyDescent="0.2">
      <c r="A40">
        <f t="shared" si="1"/>
        <v>38</v>
      </c>
      <c r="B40" s="2" t="s">
        <v>664</v>
      </c>
      <c r="P40" s="17">
        <v>40281.263610000002</v>
      </c>
      <c r="Q40" s="18">
        <v>43424.648504999997</v>
      </c>
      <c r="R40" s="18">
        <v>42193.947480000003</v>
      </c>
      <c r="S40" s="18">
        <v>45540.436890999998</v>
      </c>
      <c r="T40" s="18">
        <v>45656.064585</v>
      </c>
      <c r="V40" s="18">
        <v>2000</v>
      </c>
      <c r="W40" s="18">
        <v>892</v>
      </c>
      <c r="X40" s="18">
        <v>376</v>
      </c>
    </row>
    <row r="41" spans="1:24" x14ac:dyDescent="0.2">
      <c r="A41">
        <f t="shared" si="1"/>
        <v>39</v>
      </c>
      <c r="B41" s="2" t="s">
        <v>671</v>
      </c>
      <c r="P41" s="17">
        <v>27940.746802000001</v>
      </c>
      <c r="Q41" s="18">
        <v>30555.966692000002</v>
      </c>
      <c r="R41" s="18">
        <v>31344.133645000002</v>
      </c>
      <c r="S41" s="18">
        <v>32626.957294</v>
      </c>
      <c r="T41" s="18">
        <v>32846.826077999998</v>
      </c>
      <c r="V41" s="18">
        <v>4930</v>
      </c>
      <c r="W41" s="18">
        <v>0</v>
      </c>
      <c r="X41" s="18">
        <v>0</v>
      </c>
    </row>
    <row r="42" spans="1:24" x14ac:dyDescent="0.2">
      <c r="A42">
        <f t="shared" si="1"/>
        <v>40</v>
      </c>
      <c r="B42" s="2" t="s">
        <v>83</v>
      </c>
      <c r="C42" t="s">
        <v>657</v>
      </c>
      <c r="P42" s="17">
        <v>16890.984818000001</v>
      </c>
      <c r="Q42" s="18">
        <v>14442.819044</v>
      </c>
      <c r="R42" s="18">
        <v>11269.114607</v>
      </c>
      <c r="S42" s="18">
        <v>10934.130427</v>
      </c>
      <c r="T42" s="18">
        <v>12007.736397999999</v>
      </c>
      <c r="V42" s="18">
        <v>150</v>
      </c>
      <c r="W42" s="18">
        <v>36</v>
      </c>
      <c r="X42" s="18">
        <v>11</v>
      </c>
    </row>
    <row r="43" spans="1:24" x14ac:dyDescent="0.2">
      <c r="A43">
        <f t="shared" si="1"/>
        <v>41</v>
      </c>
      <c r="B43" t="s">
        <v>87</v>
      </c>
      <c r="Q43" s="18">
        <v>337048.38834100001</v>
      </c>
      <c r="R43" s="18">
        <v>342043.34735900001</v>
      </c>
      <c r="S43" s="18">
        <v>356179.74121399998</v>
      </c>
      <c r="V43" s="18">
        <v>3000</v>
      </c>
      <c r="W43" s="18">
        <v>1557</v>
      </c>
      <c r="X43" s="18">
        <v>576</v>
      </c>
    </row>
    <row r="44" spans="1:24" x14ac:dyDescent="0.2">
      <c r="A44">
        <f t="shared" si="1"/>
        <v>42</v>
      </c>
      <c r="B44" t="s">
        <v>1527</v>
      </c>
      <c r="Q44" s="18">
        <v>334729.51543299999</v>
      </c>
      <c r="R44" s="18">
        <v>325320.50927699998</v>
      </c>
      <c r="S44" s="18">
        <v>334822.17992000002</v>
      </c>
      <c r="T44" s="18">
        <v>316871.95795100002</v>
      </c>
      <c r="V44" s="18">
        <v>2800</v>
      </c>
      <c r="W44" s="18">
        <v>1781</v>
      </c>
      <c r="X44" s="18">
        <v>608</v>
      </c>
    </row>
    <row r="45" spans="1:24" x14ac:dyDescent="0.2">
      <c r="A45">
        <f t="shared" si="1"/>
        <v>43</v>
      </c>
      <c r="B45" t="s">
        <v>1528</v>
      </c>
      <c r="Q45" s="18">
        <f>267852.554954+26607.312594</f>
        <v>294459.86754800001</v>
      </c>
      <c r="R45" s="18">
        <f>287035.128118+28661.505586</f>
        <v>315696.63370399998</v>
      </c>
      <c r="S45" s="18">
        <f>309815.251364+30573.608584</f>
        <v>340388.85994800006</v>
      </c>
      <c r="T45" s="18">
        <f>311534.250506+30573.608584</f>
        <v>342107.85909000004</v>
      </c>
      <c r="U45" t="s">
        <v>1642</v>
      </c>
      <c r="V45" s="18">
        <v>3100</v>
      </c>
      <c r="W45" s="18">
        <v>80</v>
      </c>
      <c r="X45" s="18">
        <v>11</v>
      </c>
    </row>
    <row r="46" spans="1:24" x14ac:dyDescent="0.2">
      <c r="A46">
        <f t="shared" si="1"/>
        <v>44</v>
      </c>
      <c r="B46" t="s">
        <v>1529</v>
      </c>
      <c r="Q46" s="18">
        <v>232696.314973</v>
      </c>
      <c r="R46" s="18">
        <v>260883.94960399999</v>
      </c>
      <c r="S46" s="18">
        <v>271359.92855000001</v>
      </c>
      <c r="T46" s="18">
        <v>287592.53518100001</v>
      </c>
      <c r="V46" s="18">
        <v>5500</v>
      </c>
      <c r="W46" s="18">
        <v>6882</v>
      </c>
      <c r="X46" s="18">
        <v>2516</v>
      </c>
    </row>
    <row r="47" spans="1:24" x14ac:dyDescent="0.2">
      <c r="A47">
        <f t="shared" si="1"/>
        <v>45</v>
      </c>
      <c r="B47" t="s">
        <v>1530</v>
      </c>
      <c r="Q47" s="18">
        <f>147510.620184+67349.222263</f>
        <v>214859.842447</v>
      </c>
      <c r="R47" s="18">
        <f>152277.522756+70350.108896</f>
        <v>222627.63165200001</v>
      </c>
      <c r="S47" s="18">
        <f>164078.989211+75081.357431</f>
        <v>239160.34664200002</v>
      </c>
      <c r="T47" s="18">
        <v>269457.49447199999</v>
      </c>
      <c r="U47" t="s">
        <v>1569</v>
      </c>
      <c r="V47" s="18">
        <v>19000</v>
      </c>
      <c r="W47" s="18">
        <v>1947</v>
      </c>
      <c r="X47" s="18">
        <v>758</v>
      </c>
    </row>
    <row r="48" spans="1:24" x14ac:dyDescent="0.2">
      <c r="A48">
        <f t="shared" si="1"/>
        <v>46</v>
      </c>
      <c r="B48" t="s">
        <v>1531</v>
      </c>
      <c r="Q48" s="18">
        <v>214110.154901</v>
      </c>
      <c r="R48" s="18">
        <v>229851.765575</v>
      </c>
      <c r="S48" s="18">
        <v>244023.93695900001</v>
      </c>
      <c r="T48" s="18">
        <v>251327.283058</v>
      </c>
      <c r="V48" s="18">
        <v>6000</v>
      </c>
      <c r="W48" s="18">
        <v>68</v>
      </c>
      <c r="X48" s="18">
        <v>31</v>
      </c>
    </row>
    <row r="49" spans="1:24" x14ac:dyDescent="0.2">
      <c r="A49">
        <f t="shared" si="1"/>
        <v>47</v>
      </c>
      <c r="B49" t="s">
        <v>1532</v>
      </c>
      <c r="Q49" s="18">
        <v>186265.56020599999</v>
      </c>
      <c r="R49" s="18">
        <v>200767.69547400001</v>
      </c>
      <c r="S49" s="18">
        <v>224320.474667</v>
      </c>
      <c r="T49" s="18">
        <v>246016.245758</v>
      </c>
      <c r="V49" s="18">
        <v>8400</v>
      </c>
      <c r="W49" s="18">
        <v>243</v>
      </c>
      <c r="X49" s="18">
        <v>92</v>
      </c>
    </row>
    <row r="50" spans="1:24" x14ac:dyDescent="0.2">
      <c r="A50">
        <f t="shared" si="1"/>
        <v>48</v>
      </c>
      <c r="B50" t="s">
        <v>1150</v>
      </c>
      <c r="Q50" s="18">
        <v>215431.647459</v>
      </c>
      <c r="R50" s="18">
        <v>221628.67531300001</v>
      </c>
      <c r="T50" s="18">
        <v>245687.36791199999</v>
      </c>
      <c r="V50" s="18">
        <v>90130</v>
      </c>
      <c r="W50" s="18">
        <v>7418</v>
      </c>
      <c r="X50" s="18">
        <v>3389</v>
      </c>
    </row>
    <row r="51" spans="1:24" x14ac:dyDescent="0.2">
      <c r="A51">
        <f t="shared" si="1"/>
        <v>49</v>
      </c>
      <c r="B51" t="s">
        <v>1537</v>
      </c>
      <c r="Q51" s="18">
        <v>170139.15328500001</v>
      </c>
      <c r="R51" s="18">
        <v>168395.674753</v>
      </c>
      <c r="S51" s="18">
        <v>181535.15519200001</v>
      </c>
      <c r="T51" s="18">
        <v>183435.11627500001</v>
      </c>
      <c r="V51" s="18">
        <v>19800</v>
      </c>
      <c r="W51" s="18">
        <v>1417</v>
      </c>
      <c r="X51" s="18">
        <v>455</v>
      </c>
    </row>
    <row r="52" spans="1:24" x14ac:dyDescent="0.2">
      <c r="A52">
        <f t="shared" si="1"/>
        <v>50</v>
      </c>
      <c r="B52" t="s">
        <v>1538</v>
      </c>
      <c r="Q52" s="18">
        <v>159121.81900399999</v>
      </c>
      <c r="R52" s="18">
        <v>163404.07551299999</v>
      </c>
      <c r="S52" s="18">
        <v>172137.57574199999</v>
      </c>
      <c r="T52" s="18">
        <v>174100.225554</v>
      </c>
      <c r="V52" s="18">
        <v>1400</v>
      </c>
      <c r="W52" s="18">
        <v>239</v>
      </c>
      <c r="X52" s="18">
        <v>69</v>
      </c>
    </row>
    <row r="53" spans="1:24" x14ac:dyDescent="0.2">
      <c r="A53">
        <f t="shared" si="1"/>
        <v>51</v>
      </c>
      <c r="B53" t="s">
        <v>1539</v>
      </c>
      <c r="Q53" s="18">
        <v>152258.82949199999</v>
      </c>
      <c r="R53" s="18">
        <v>156096.503375</v>
      </c>
      <c r="S53" s="18">
        <v>172652.388905</v>
      </c>
      <c r="T53" s="18">
        <v>168586.073435</v>
      </c>
      <c r="V53" s="18">
        <v>239000</v>
      </c>
      <c r="W53" s="18">
        <v>14249</v>
      </c>
      <c r="X53" s="18">
        <v>5054</v>
      </c>
    </row>
    <row r="54" spans="1:24" x14ac:dyDescent="0.2">
      <c r="A54">
        <f t="shared" si="1"/>
        <v>52</v>
      </c>
      <c r="B54" t="s">
        <v>1540</v>
      </c>
      <c r="Q54" s="18">
        <v>147724.121266</v>
      </c>
      <c r="R54" s="18">
        <v>163562.601295</v>
      </c>
      <c r="S54" s="18">
        <v>171770.604173</v>
      </c>
      <c r="V54" s="18">
        <v>221000</v>
      </c>
      <c r="W54" s="18">
        <v>10718</v>
      </c>
      <c r="X54" s="18">
        <v>3519</v>
      </c>
    </row>
    <row r="55" spans="1:24" x14ac:dyDescent="0.2">
      <c r="A55">
        <f t="shared" si="1"/>
        <v>53</v>
      </c>
      <c r="B55" t="s">
        <v>716</v>
      </c>
      <c r="Q55" s="18">
        <f>168939.569844+49603.126175+16806.091012</f>
        <v>235348.78703100001</v>
      </c>
      <c r="R55" s="18">
        <f>123105.528523+51002.499342+17074.394051</f>
        <v>191182.42191600002</v>
      </c>
      <c r="S55" s="18">
        <f>131435.014616+49627.666628+18680.588777</f>
        <v>199743.270021</v>
      </c>
      <c r="T55" s="18">
        <f>54451.676345+18983.243552</f>
        <v>73434.919897</v>
      </c>
      <c r="U55" t="s">
        <v>1705</v>
      </c>
      <c r="W55" s="18">
        <v>5027</v>
      </c>
      <c r="X55" s="18">
        <v>1604</v>
      </c>
    </row>
    <row r="56" spans="1:24" x14ac:dyDescent="0.2">
      <c r="A56">
        <f t="shared" si="1"/>
        <v>54</v>
      </c>
      <c r="B56" t="s">
        <v>92</v>
      </c>
      <c r="Q56" s="18">
        <v>142689.247168</v>
      </c>
      <c r="R56" s="18">
        <v>145536.95328099999</v>
      </c>
      <c r="S56" s="18">
        <v>153962.351291</v>
      </c>
      <c r="T56" s="18">
        <v>150327.292472</v>
      </c>
      <c r="W56" s="18">
        <v>13</v>
      </c>
      <c r="X56" s="18">
        <v>0</v>
      </c>
    </row>
    <row r="57" spans="1:24" x14ac:dyDescent="0.2">
      <c r="A57">
        <f t="shared" si="1"/>
        <v>55</v>
      </c>
      <c r="B57" t="s">
        <v>1541</v>
      </c>
      <c r="Q57" s="18">
        <v>142196.740712</v>
      </c>
      <c r="R57" s="18">
        <v>136345.056426</v>
      </c>
      <c r="S57" s="18">
        <v>142949.19170900001</v>
      </c>
      <c r="T57" s="18">
        <v>149518.21004000001</v>
      </c>
      <c r="V57" s="18">
        <v>2843</v>
      </c>
      <c r="W57" s="18">
        <v>444</v>
      </c>
      <c r="X57" s="18">
        <v>194</v>
      </c>
    </row>
    <row r="58" spans="1:24" x14ac:dyDescent="0.2">
      <c r="A58">
        <f t="shared" si="1"/>
        <v>56</v>
      </c>
      <c r="B58" t="s">
        <v>1155</v>
      </c>
      <c r="Q58" s="18">
        <v>113858.40085599999</v>
      </c>
      <c r="R58" s="18">
        <v>122728.83816499999</v>
      </c>
      <c r="S58" s="18">
        <v>148820.61289700001</v>
      </c>
      <c r="V58" s="18">
        <v>163000</v>
      </c>
      <c r="W58" s="18">
        <v>6633</v>
      </c>
      <c r="X58" s="18">
        <v>3108</v>
      </c>
    </row>
    <row r="59" spans="1:24" x14ac:dyDescent="0.2">
      <c r="A59">
        <f t="shared" si="1"/>
        <v>57</v>
      </c>
      <c r="B59" t="s">
        <v>1542</v>
      </c>
      <c r="Q59" s="18">
        <v>128545.450604</v>
      </c>
      <c r="R59" s="18">
        <v>135409.19733600001</v>
      </c>
      <c r="S59" s="18">
        <v>140851.29356399999</v>
      </c>
      <c r="T59" s="18">
        <v>133987.38267699999</v>
      </c>
      <c r="V59" s="18">
        <v>61545</v>
      </c>
      <c r="W59" s="18">
        <v>1480</v>
      </c>
      <c r="X59" s="18">
        <v>501</v>
      </c>
    </row>
    <row r="60" spans="1:24" x14ac:dyDescent="0.2">
      <c r="A60">
        <f t="shared" si="1"/>
        <v>58</v>
      </c>
      <c r="B60" t="s">
        <v>1543</v>
      </c>
      <c r="Q60" s="18">
        <v>134077.21304500001</v>
      </c>
      <c r="R60" s="18">
        <v>138125.23652599999</v>
      </c>
      <c r="S60" s="18">
        <v>136008.850458</v>
      </c>
      <c r="T60" s="18">
        <v>129119.418859</v>
      </c>
      <c r="W60" s="18">
        <v>29</v>
      </c>
      <c r="X60" s="18">
        <v>4</v>
      </c>
    </row>
    <row r="61" spans="1:24" x14ac:dyDescent="0.2">
      <c r="A61">
        <f t="shared" si="1"/>
        <v>59</v>
      </c>
      <c r="B61" t="s">
        <v>1544</v>
      </c>
      <c r="Q61" s="18">
        <v>121002.35333300001</v>
      </c>
      <c r="R61" s="18">
        <v>121843.930448</v>
      </c>
      <c r="S61" s="18">
        <v>128159.392372</v>
      </c>
      <c r="T61" s="18">
        <v>125966.72394700001</v>
      </c>
      <c r="V61" s="18">
        <v>2800</v>
      </c>
      <c r="W61" s="18">
        <v>960</v>
      </c>
      <c r="X61" s="18">
        <v>432</v>
      </c>
    </row>
    <row r="62" spans="1:24" x14ac:dyDescent="0.2">
      <c r="A62">
        <f t="shared" si="1"/>
        <v>60</v>
      </c>
      <c r="B62" t="s">
        <v>1545</v>
      </c>
      <c r="Q62" s="18">
        <v>126142.347454</v>
      </c>
      <c r="R62" s="18">
        <v>121715.526379</v>
      </c>
      <c r="S62" s="18">
        <v>127163.20401099999</v>
      </c>
      <c r="T62" s="18">
        <v>123391.087224</v>
      </c>
      <c r="V62" s="18">
        <v>285</v>
      </c>
      <c r="W62" s="18">
        <v>224</v>
      </c>
      <c r="X62" s="18">
        <v>105</v>
      </c>
    </row>
    <row r="63" spans="1:24" x14ac:dyDescent="0.2">
      <c r="A63">
        <f t="shared" si="1"/>
        <v>61</v>
      </c>
      <c r="B63" t="s">
        <v>1546</v>
      </c>
      <c r="Q63" s="18">
        <v>97316.616003999996</v>
      </c>
      <c r="R63" s="18">
        <v>101370.80719199999</v>
      </c>
      <c r="S63" s="18">
        <v>112555.22175300001</v>
      </c>
      <c r="T63" s="18">
        <v>118519.35247300001</v>
      </c>
      <c r="W63" s="18">
        <v>86</v>
      </c>
      <c r="X63" s="18">
        <v>8</v>
      </c>
    </row>
    <row r="64" spans="1:24" x14ac:dyDescent="0.2">
      <c r="A64">
        <f t="shared" si="1"/>
        <v>62</v>
      </c>
      <c r="B64" t="s">
        <v>1132</v>
      </c>
      <c r="Q64" s="18">
        <v>111080.877796</v>
      </c>
      <c r="R64" s="18">
        <v>110759.09334199999</v>
      </c>
      <c r="S64" s="18">
        <v>115199.89564</v>
      </c>
      <c r="T64" s="18">
        <v>109790.96331599999</v>
      </c>
      <c r="W64" s="18">
        <v>144</v>
      </c>
      <c r="X64" s="18">
        <v>66</v>
      </c>
    </row>
    <row r="65" spans="1:24" x14ac:dyDescent="0.2">
      <c r="A65">
        <f t="shared" si="1"/>
        <v>63</v>
      </c>
      <c r="B65" t="s">
        <v>1547</v>
      </c>
      <c r="Q65" s="18">
        <v>107941.73597199999</v>
      </c>
      <c r="R65" s="18">
        <v>107108.391026</v>
      </c>
      <c r="S65" s="18">
        <v>114061.992136</v>
      </c>
      <c r="W65" s="18">
        <v>1846</v>
      </c>
      <c r="X65" s="18">
        <v>620</v>
      </c>
    </row>
    <row r="66" spans="1:24" x14ac:dyDescent="0.2">
      <c r="A66">
        <f t="shared" si="1"/>
        <v>64</v>
      </c>
      <c r="B66" t="s">
        <v>93</v>
      </c>
      <c r="W66" s="18">
        <v>192</v>
      </c>
      <c r="X66" s="18">
        <v>103</v>
      </c>
    </row>
    <row r="67" spans="1:24" x14ac:dyDescent="0.2">
      <c r="A67">
        <f t="shared" si="1"/>
        <v>65</v>
      </c>
      <c r="B67" s="2" t="s">
        <v>131</v>
      </c>
      <c r="P67" s="17">
        <v>3375.9219109999999</v>
      </c>
      <c r="Q67" s="18">
        <f>91852.161144+10647.534446</f>
        <v>102499.69559</v>
      </c>
      <c r="R67" s="18">
        <f>87250.98482+11040.366367</f>
        <v>98291.351186999993</v>
      </c>
      <c r="S67" s="18">
        <f>90859.665541+13182.530533</f>
        <v>104042.19607399999</v>
      </c>
      <c r="T67" s="18">
        <f>92663.593089+14979.798546</f>
        <v>107643.39163500001</v>
      </c>
      <c r="U67" t="s">
        <v>1793</v>
      </c>
      <c r="V67" s="18">
        <v>5400</v>
      </c>
      <c r="W67" s="18">
        <v>1013</v>
      </c>
      <c r="X67" s="18">
        <v>544</v>
      </c>
    </row>
    <row r="68" spans="1:24" x14ac:dyDescent="0.2">
      <c r="A68">
        <f t="shared" si="1"/>
        <v>66</v>
      </c>
      <c r="B68" t="s">
        <v>685</v>
      </c>
      <c r="W68" s="18">
        <v>717</v>
      </c>
      <c r="X68" s="18">
        <v>418</v>
      </c>
    </row>
    <row r="69" spans="1:24" x14ac:dyDescent="0.2">
      <c r="A69">
        <f t="shared" si="1"/>
        <v>67</v>
      </c>
      <c r="B69" t="s">
        <v>705</v>
      </c>
      <c r="Q69" s="18">
        <v>20550.468414999999</v>
      </c>
      <c r="R69" s="18">
        <v>20660.166120000002</v>
      </c>
      <c r="S69" s="18">
        <v>26746.671276000001</v>
      </c>
      <c r="W69" s="18">
        <v>804</v>
      </c>
      <c r="X69" s="18">
        <v>278</v>
      </c>
    </row>
    <row r="70" spans="1:24" x14ac:dyDescent="0.2">
      <c r="A70">
        <f t="shared" si="1"/>
        <v>68</v>
      </c>
      <c r="B70" t="s">
        <v>717</v>
      </c>
      <c r="Q70" s="18">
        <v>88289.399514999997</v>
      </c>
      <c r="R70" s="18">
        <v>88167.524101000003</v>
      </c>
      <c r="S70" s="18">
        <v>96445.802918999994</v>
      </c>
      <c r="W70" s="18">
        <v>629</v>
      </c>
      <c r="X70" s="18">
        <v>290</v>
      </c>
    </row>
    <row r="71" spans="1:24" x14ac:dyDescent="0.2">
      <c r="A71">
        <f t="shared" si="1"/>
        <v>69</v>
      </c>
      <c r="B71" t="s">
        <v>718</v>
      </c>
      <c r="W71" s="18">
        <v>610</v>
      </c>
      <c r="X71" s="18">
        <v>173</v>
      </c>
    </row>
    <row r="72" spans="1:24" x14ac:dyDescent="0.2">
      <c r="A72">
        <f t="shared" si="1"/>
        <v>70</v>
      </c>
      <c r="B72" t="s">
        <v>719</v>
      </c>
      <c r="Q72" s="18">
        <v>98527.705854</v>
      </c>
      <c r="R72" s="18">
        <v>98079.393719</v>
      </c>
      <c r="S72" s="18">
        <v>104966.71606000001</v>
      </c>
      <c r="T72" s="18">
        <v>113443.656642</v>
      </c>
      <c r="W72" s="18">
        <v>323</v>
      </c>
      <c r="X72" s="18">
        <v>190</v>
      </c>
    </row>
    <row r="73" spans="1:24" x14ac:dyDescent="0.2">
      <c r="A73">
        <f t="shared" si="1"/>
        <v>71</v>
      </c>
      <c r="B73" t="s">
        <v>1548</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1768</v>
      </c>
      <c r="W73" s="18">
        <v>2560</v>
      </c>
      <c r="X73" s="18">
        <v>1088</v>
      </c>
    </row>
    <row r="74" spans="1:24" x14ac:dyDescent="0.2">
      <c r="A74">
        <f t="shared" si="1"/>
        <v>72</v>
      </c>
      <c r="B74" t="s">
        <v>1549</v>
      </c>
      <c r="Q74" s="18">
        <v>104131.915291</v>
      </c>
      <c r="R74" s="18">
        <v>106400.505297</v>
      </c>
      <c r="S74" s="18">
        <v>110852.92133899999</v>
      </c>
      <c r="T74" s="18">
        <v>111788.906814</v>
      </c>
      <c r="W74" s="18">
        <v>20</v>
      </c>
      <c r="X74" s="18">
        <v>6</v>
      </c>
    </row>
    <row r="75" spans="1:24" x14ac:dyDescent="0.2">
      <c r="A75">
        <f t="shared" si="1"/>
        <v>73</v>
      </c>
      <c r="B75" t="s">
        <v>1550</v>
      </c>
      <c r="Q75" s="18">
        <v>83331.937585000007</v>
      </c>
      <c r="R75" s="18">
        <v>87034.22709</v>
      </c>
      <c r="S75" s="18">
        <v>103695.042782</v>
      </c>
      <c r="T75" s="18">
        <v>105669.449414</v>
      </c>
      <c r="W75" s="18">
        <v>238</v>
      </c>
      <c r="X75" s="18">
        <v>93</v>
      </c>
    </row>
    <row r="76" spans="1:24" x14ac:dyDescent="0.2">
      <c r="A76">
        <f t="shared" si="1"/>
        <v>74</v>
      </c>
      <c r="B76" t="s">
        <v>878</v>
      </c>
      <c r="Q76" s="18">
        <v>95202.044771000001</v>
      </c>
      <c r="R76" s="18">
        <v>101757.31254499999</v>
      </c>
      <c r="S76" s="18">
        <v>105587.273906</v>
      </c>
      <c r="T76" s="18">
        <v>105026.714714</v>
      </c>
      <c r="W76" s="18">
        <v>3428</v>
      </c>
      <c r="X76" s="18">
        <v>1256</v>
      </c>
    </row>
    <row r="77" spans="1:24" x14ac:dyDescent="0.2">
      <c r="A77">
        <f t="shared" si="1"/>
        <v>75</v>
      </c>
      <c r="B77" t="s">
        <v>1551</v>
      </c>
      <c r="Q77" s="18">
        <v>73370.478973999998</v>
      </c>
      <c r="R77" s="18">
        <v>86516.438221000004</v>
      </c>
      <c r="S77" s="18">
        <v>97496.931272999995</v>
      </c>
      <c r="T77" s="18">
        <v>105199.698104</v>
      </c>
      <c r="W77" s="18">
        <v>377</v>
      </c>
      <c r="X77" s="18">
        <v>138</v>
      </c>
    </row>
    <row r="78" spans="1:24" x14ac:dyDescent="0.2">
      <c r="A78">
        <f t="shared" si="1"/>
        <v>76</v>
      </c>
      <c r="B78" t="s">
        <v>1552</v>
      </c>
      <c r="Q78" s="18">
        <v>104481.006479</v>
      </c>
      <c r="W78" s="18">
        <v>8436</v>
      </c>
      <c r="X78" s="18">
        <v>846</v>
      </c>
    </row>
    <row r="79" spans="1:24" x14ac:dyDescent="0.2">
      <c r="A79">
        <f t="shared" si="1"/>
        <v>77</v>
      </c>
      <c r="B79" t="s">
        <v>1553</v>
      </c>
      <c r="Q79" s="18">
        <v>85017.072023000001</v>
      </c>
      <c r="R79" s="18">
        <v>90675.455050999997</v>
      </c>
      <c r="S79" s="18">
        <v>97575.318847999995</v>
      </c>
      <c r="T79" s="18">
        <v>104373.414888</v>
      </c>
      <c r="V79" s="18">
        <v>6438</v>
      </c>
      <c r="W79" s="18">
        <v>1641</v>
      </c>
      <c r="X79" s="18">
        <v>583</v>
      </c>
    </row>
    <row r="80" spans="1:24" x14ac:dyDescent="0.2">
      <c r="A80">
        <f t="shared" si="1"/>
        <v>78</v>
      </c>
      <c r="B80" t="s">
        <v>1554</v>
      </c>
      <c r="Q80" s="18">
        <v>102433.49579</v>
      </c>
      <c r="R80" s="18">
        <v>99752.962178999995</v>
      </c>
      <c r="S80" s="18">
        <v>103809.450025</v>
      </c>
      <c r="T80" s="18">
        <v>101734.1902</v>
      </c>
      <c r="W80" s="18">
        <v>176</v>
      </c>
      <c r="X80" s="18">
        <v>82</v>
      </c>
    </row>
    <row r="81" spans="1:24" x14ac:dyDescent="0.2">
      <c r="A81">
        <f t="shared" si="1"/>
        <v>79</v>
      </c>
      <c r="B81" t="s">
        <v>1555</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1611</v>
      </c>
      <c r="W81" s="18">
        <v>11500</v>
      </c>
      <c r="X81" s="18">
        <v>4093</v>
      </c>
    </row>
    <row r="82" spans="1:24" x14ac:dyDescent="0.2">
      <c r="A82">
        <f t="shared" si="1"/>
        <v>80</v>
      </c>
      <c r="B82" t="s">
        <v>1556</v>
      </c>
      <c r="Q82" s="18">
        <v>93216.836777000004</v>
      </c>
      <c r="R82" s="18">
        <v>97569.766048000005</v>
      </c>
      <c r="S82" s="18">
        <v>102013.857638</v>
      </c>
      <c r="W82" s="18">
        <v>1457</v>
      </c>
      <c r="X82" s="18">
        <v>719</v>
      </c>
    </row>
    <row r="83" spans="1:24" x14ac:dyDescent="0.2">
      <c r="A83">
        <f t="shared" si="1"/>
        <v>81</v>
      </c>
      <c r="B83" t="s">
        <v>1557</v>
      </c>
      <c r="Q83" s="18">
        <v>90216.875637000005</v>
      </c>
      <c r="R83" s="18">
        <v>93667.207616999993</v>
      </c>
      <c r="S83" s="18">
        <v>101004.35415699999</v>
      </c>
      <c r="W83" s="18">
        <v>23</v>
      </c>
      <c r="X83" s="18">
        <v>7</v>
      </c>
    </row>
    <row r="84" spans="1:24" x14ac:dyDescent="0.2">
      <c r="A84">
        <f t="shared" si="1"/>
        <v>82</v>
      </c>
      <c r="B84" t="s">
        <v>1559</v>
      </c>
      <c r="Q84" s="18">
        <v>87771.521859999993</v>
      </c>
      <c r="R84" s="18">
        <v>88865.712568000003</v>
      </c>
      <c r="S84" s="18">
        <v>95358.736348000006</v>
      </c>
      <c r="T84" s="18">
        <v>96007.230089000004</v>
      </c>
      <c r="V84" s="18">
        <v>9000</v>
      </c>
      <c r="W84" s="18">
        <v>2949</v>
      </c>
      <c r="X84" s="18">
        <v>1183</v>
      </c>
    </row>
    <row r="85" spans="1:24" x14ac:dyDescent="0.2">
      <c r="A85">
        <f t="shared" si="1"/>
        <v>83</v>
      </c>
      <c r="B85" t="s">
        <v>1560</v>
      </c>
      <c r="Q85" s="18">
        <v>65387.643601999996</v>
      </c>
      <c r="R85" s="18">
        <v>73365.540609999996</v>
      </c>
      <c r="S85" s="18">
        <v>87347.563110999996</v>
      </c>
      <c r="T85" s="18">
        <v>94392.434594000006</v>
      </c>
      <c r="W85" s="18">
        <v>1171</v>
      </c>
      <c r="X85" s="18">
        <v>474</v>
      </c>
    </row>
    <row r="86" spans="1:24" x14ac:dyDescent="0.2">
      <c r="A86">
        <f t="shared" si="1"/>
        <v>84</v>
      </c>
      <c r="B86" t="s">
        <v>1561</v>
      </c>
      <c r="Q86" s="18">
        <v>76939.318228000004</v>
      </c>
      <c r="R86" s="18">
        <v>88154.468544999996</v>
      </c>
      <c r="S86" s="18">
        <v>85840.478988999996</v>
      </c>
      <c r="T86" s="18">
        <v>74800.607015999994</v>
      </c>
      <c r="W86" s="18">
        <v>14</v>
      </c>
      <c r="X86" s="18">
        <v>1</v>
      </c>
    </row>
    <row r="87" spans="1:24" x14ac:dyDescent="0.2">
      <c r="A87">
        <f t="shared" si="1"/>
        <v>85</v>
      </c>
      <c r="B87" t="s">
        <v>1566</v>
      </c>
      <c r="Q87" s="18">
        <v>79148.512529</v>
      </c>
      <c r="R87" s="18">
        <v>68406.448638999995</v>
      </c>
      <c r="S87" s="18">
        <v>71352.683953999993</v>
      </c>
      <c r="W87" s="18">
        <v>444</v>
      </c>
      <c r="X87" s="18">
        <v>194</v>
      </c>
    </row>
    <row r="88" spans="1:24" x14ac:dyDescent="0.2">
      <c r="A88">
        <f t="shared" si="1"/>
        <v>86</v>
      </c>
      <c r="B88" t="s">
        <v>1116</v>
      </c>
      <c r="Q88" s="18">
        <v>43498.348695000001</v>
      </c>
      <c r="R88" s="18">
        <v>44127.315351999998</v>
      </c>
      <c r="S88" s="18">
        <v>47310.542157999997</v>
      </c>
      <c r="T88" s="18">
        <v>46354.038391000002</v>
      </c>
      <c r="W88" s="18">
        <v>19</v>
      </c>
      <c r="X88" s="18">
        <v>7</v>
      </c>
    </row>
    <row r="89" spans="1:24" x14ac:dyDescent="0.2">
      <c r="A89">
        <f t="shared" si="1"/>
        <v>87</v>
      </c>
      <c r="B89" t="s">
        <v>1118</v>
      </c>
      <c r="W89" s="18">
        <v>163</v>
      </c>
      <c r="X89" s="18">
        <v>59</v>
      </c>
    </row>
    <row r="90" spans="1:24" x14ac:dyDescent="0.2">
      <c r="A90">
        <f t="shared" si="1"/>
        <v>88</v>
      </c>
      <c r="B90" t="s">
        <v>1123</v>
      </c>
      <c r="W90" s="18">
        <v>831</v>
      </c>
      <c r="X90" s="18">
        <v>326</v>
      </c>
    </row>
    <row r="91" spans="1:24" x14ac:dyDescent="0.2">
      <c r="A91">
        <f t="shared" si="1"/>
        <v>89</v>
      </c>
      <c r="B91" t="s">
        <v>1124</v>
      </c>
      <c r="W91" s="18">
        <v>2527</v>
      </c>
      <c r="X91" s="18">
        <v>204</v>
      </c>
    </row>
    <row r="92" spans="1:24" x14ac:dyDescent="0.2">
      <c r="A92">
        <f t="shared" si="1"/>
        <v>90</v>
      </c>
      <c r="B92" t="s">
        <v>1125</v>
      </c>
      <c r="Q92" s="18">
        <v>41557.530975000001</v>
      </c>
      <c r="R92" s="18">
        <v>41188.301886000001</v>
      </c>
      <c r="S92" s="18">
        <v>50294.463882999997</v>
      </c>
      <c r="W92" s="18">
        <v>878</v>
      </c>
      <c r="X92" s="18">
        <v>286</v>
      </c>
    </row>
    <row r="93" spans="1:24" x14ac:dyDescent="0.2">
      <c r="A93">
        <f t="shared" si="1"/>
        <v>91</v>
      </c>
      <c r="B93" t="s">
        <v>1126</v>
      </c>
    </row>
    <row r="94" spans="1:24" x14ac:dyDescent="0.2">
      <c r="A94">
        <f t="shared" si="1"/>
        <v>92</v>
      </c>
      <c r="B94" t="s">
        <v>1128</v>
      </c>
      <c r="Q94" s="18">
        <v>29131.351996000001</v>
      </c>
      <c r="R94" s="18">
        <v>28442.165994999999</v>
      </c>
      <c r="S94" s="18">
        <v>31017.300455000001</v>
      </c>
      <c r="T94" s="18">
        <v>29388.254087000001</v>
      </c>
      <c r="W94" s="18">
        <v>35</v>
      </c>
      <c r="X94" s="18">
        <v>6</v>
      </c>
    </row>
    <row r="95" spans="1:24" x14ac:dyDescent="0.2">
      <c r="A95">
        <f t="shared" si="1"/>
        <v>93</v>
      </c>
      <c r="B95" t="s">
        <v>1129</v>
      </c>
      <c r="Q95" s="18">
        <v>61819.593902000001</v>
      </c>
      <c r="R95" s="18">
        <v>59081.494256999998</v>
      </c>
      <c r="S95" s="18">
        <v>76621.179646999997</v>
      </c>
      <c r="W95" s="18">
        <v>139</v>
      </c>
      <c r="X95" s="18">
        <v>37</v>
      </c>
    </row>
    <row r="96" spans="1:24" x14ac:dyDescent="0.2">
      <c r="A96">
        <f t="shared" si="1"/>
        <v>94</v>
      </c>
      <c r="B96" t="s">
        <v>1130</v>
      </c>
      <c r="Q96" s="18">
        <v>84606.229947</v>
      </c>
      <c r="R96" s="18">
        <v>85232.562961999996</v>
      </c>
      <c r="S96" s="18">
        <v>88036.376424000002</v>
      </c>
      <c r="T96" s="18">
        <v>95580.756695000004</v>
      </c>
      <c r="W96" s="18">
        <v>2069</v>
      </c>
      <c r="X96" s="18">
        <v>769</v>
      </c>
    </row>
    <row r="97" spans="1:24" x14ac:dyDescent="0.2">
      <c r="A97">
        <f t="shared" si="1"/>
        <v>95</v>
      </c>
      <c r="B97" t="s">
        <v>1562</v>
      </c>
      <c r="Q97" s="18">
        <v>83958.163931999996</v>
      </c>
      <c r="R97" s="18">
        <v>80497.228262999997</v>
      </c>
      <c r="S97" s="18">
        <v>84730.204415</v>
      </c>
      <c r="T97" s="18">
        <v>82214.319143000001</v>
      </c>
      <c r="W97" s="18">
        <v>102</v>
      </c>
      <c r="X97" s="18">
        <v>58</v>
      </c>
    </row>
    <row r="98" spans="1:24" x14ac:dyDescent="0.2">
      <c r="A98">
        <f t="shared" si="1"/>
        <v>96</v>
      </c>
      <c r="B98" t="s">
        <v>1564</v>
      </c>
      <c r="R98" s="18">
        <v>74809.760307999997</v>
      </c>
      <c r="S98" s="18">
        <v>78307.138391</v>
      </c>
      <c r="T98" s="18">
        <v>81324.659444999998</v>
      </c>
      <c r="W98" s="18">
        <v>940</v>
      </c>
      <c r="X98" s="18">
        <v>368</v>
      </c>
    </row>
    <row r="99" spans="1:24" x14ac:dyDescent="0.2">
      <c r="A99">
        <f t="shared" si="1"/>
        <v>97</v>
      </c>
      <c r="B99" t="s">
        <v>1565</v>
      </c>
      <c r="Q99" s="18">
        <v>74803.326224000004</v>
      </c>
      <c r="R99" s="18">
        <v>76497.694457000005</v>
      </c>
      <c r="S99" s="18">
        <v>79641.139135999998</v>
      </c>
      <c r="W99" s="18">
        <v>366</v>
      </c>
      <c r="X99" s="18">
        <v>111</v>
      </c>
    </row>
    <row r="100" spans="1:24" x14ac:dyDescent="0.2">
      <c r="A100">
        <f t="shared" si="1"/>
        <v>98</v>
      </c>
      <c r="B100" t="s">
        <v>1567</v>
      </c>
      <c r="Q100" s="18">
        <v>71752.348071999993</v>
      </c>
      <c r="R100" s="18">
        <v>73360.476569999999</v>
      </c>
      <c r="S100" s="18">
        <v>77877.840213000003</v>
      </c>
      <c r="T100" s="18">
        <v>76377.787009000007</v>
      </c>
      <c r="W100" s="18">
        <v>3263</v>
      </c>
      <c r="X100" s="18">
        <v>1230</v>
      </c>
    </row>
    <row r="101" spans="1:24" x14ac:dyDescent="0.2">
      <c r="A101">
        <f t="shared" si="1"/>
        <v>99</v>
      </c>
      <c r="B101" t="s">
        <v>1568</v>
      </c>
      <c r="Q101" s="18">
        <v>68249.527189999993</v>
      </c>
      <c r="R101" s="18">
        <v>70584.697931000002</v>
      </c>
      <c r="S101" s="18">
        <v>77007.505778999999</v>
      </c>
      <c r="T101" s="18">
        <v>77867.971925999998</v>
      </c>
      <c r="W101" s="18">
        <v>600</v>
      </c>
      <c r="X101" s="18">
        <v>92</v>
      </c>
    </row>
    <row r="102" spans="1:24" x14ac:dyDescent="0.2">
      <c r="A102">
        <f t="shared" si="1"/>
        <v>100</v>
      </c>
      <c r="B102" t="s">
        <v>1570</v>
      </c>
      <c r="Q102" s="18">
        <v>64823.486548000001</v>
      </c>
      <c r="R102" s="18">
        <v>67508.613519000006</v>
      </c>
      <c r="S102" s="18">
        <v>71514.255499000006</v>
      </c>
      <c r="T102" s="18">
        <v>74923.654905000003</v>
      </c>
      <c r="V102" s="18">
        <v>157000</v>
      </c>
      <c r="W102" s="18">
        <v>6175</v>
      </c>
      <c r="X102" s="18">
        <v>2120</v>
      </c>
    </row>
    <row r="103" spans="1:24" x14ac:dyDescent="0.2">
      <c r="A103">
        <f t="shared" si="1"/>
        <v>101</v>
      </c>
      <c r="B103" t="s">
        <v>1571</v>
      </c>
      <c r="Q103" s="18">
        <v>61734.758314999999</v>
      </c>
      <c r="R103" s="18">
        <v>64685.519734000001</v>
      </c>
      <c r="S103" s="18">
        <v>69999.426533000005</v>
      </c>
      <c r="T103" s="18">
        <v>73132.320387999993</v>
      </c>
      <c r="V103" s="18">
        <v>1700</v>
      </c>
      <c r="W103" s="18">
        <v>73</v>
      </c>
      <c r="X103" s="18">
        <v>6</v>
      </c>
    </row>
    <row r="104" spans="1:24" x14ac:dyDescent="0.2">
      <c r="A104">
        <f t="shared" si="1"/>
        <v>102</v>
      </c>
      <c r="B104" t="s">
        <v>1572</v>
      </c>
      <c r="Q104" s="18">
        <f>71023.578411+13122.324254</f>
        <v>84145.902665000001</v>
      </c>
      <c r="R104" s="18">
        <f>66606.645637+14826.9352</f>
        <v>81433.580836999987</v>
      </c>
      <c r="S104" s="18">
        <f>70978.680427+19905.023981</f>
        <v>90883.704407999991</v>
      </c>
      <c r="T104" s="18">
        <f>72947.906737+19882.82658</f>
        <v>92830.733317000006</v>
      </c>
      <c r="U104" t="s">
        <v>1699</v>
      </c>
      <c r="W104" s="18">
        <v>1888</v>
      </c>
      <c r="X104" s="18">
        <v>565</v>
      </c>
    </row>
    <row r="105" spans="1:24" x14ac:dyDescent="0.2">
      <c r="A105">
        <f t="shared" si="1"/>
        <v>103</v>
      </c>
      <c r="B105" t="s">
        <v>934</v>
      </c>
      <c r="Q105" s="18">
        <v>63378.592024999998</v>
      </c>
      <c r="R105" s="18">
        <v>62065.454792999997</v>
      </c>
      <c r="S105" s="18">
        <v>69052.023189</v>
      </c>
      <c r="T105" s="18">
        <v>72394.263737000001</v>
      </c>
      <c r="W105" s="18">
        <v>273</v>
      </c>
      <c r="X105" s="18">
        <v>107</v>
      </c>
    </row>
    <row r="106" spans="1:24" x14ac:dyDescent="0.2">
      <c r="A106">
        <f t="shared" si="1"/>
        <v>104</v>
      </c>
      <c r="B106" t="s">
        <v>1574</v>
      </c>
      <c r="Q106" s="18">
        <v>69392.973184000002</v>
      </c>
      <c r="R106" s="18">
        <v>67300.455818999995</v>
      </c>
      <c r="S106" s="18">
        <v>71862.229324</v>
      </c>
      <c r="W106" s="18">
        <v>996</v>
      </c>
      <c r="X106" s="18">
        <v>370</v>
      </c>
    </row>
    <row r="107" spans="1:24" x14ac:dyDescent="0.2">
      <c r="A107">
        <f t="shared" si="1"/>
        <v>105</v>
      </c>
      <c r="B107" t="s">
        <v>1135</v>
      </c>
      <c r="Q107" s="18">
        <v>69134.311300000001</v>
      </c>
      <c r="R107" s="18">
        <v>66685.231107</v>
      </c>
      <c r="S107" s="18">
        <v>67292.375109999994</v>
      </c>
      <c r="T107" s="18">
        <v>66474.011048</v>
      </c>
      <c r="W107" s="18">
        <v>398</v>
      </c>
      <c r="X107" s="18">
        <v>227</v>
      </c>
    </row>
    <row r="108" spans="1:24" x14ac:dyDescent="0.2">
      <c r="A108">
        <f t="shared" si="1"/>
        <v>106</v>
      </c>
      <c r="B108" t="s">
        <v>1575</v>
      </c>
      <c r="Q108" s="18">
        <v>59901.768964000003</v>
      </c>
      <c r="R108" s="18">
        <v>65280.030487000004</v>
      </c>
      <c r="S108" s="18">
        <v>69029.04135</v>
      </c>
      <c r="T108" s="18">
        <v>68389.92886</v>
      </c>
      <c r="W108" s="18">
        <v>22</v>
      </c>
      <c r="X108" s="18">
        <v>10</v>
      </c>
    </row>
    <row r="109" spans="1:24" x14ac:dyDescent="0.2">
      <c r="A109">
        <f t="shared" si="1"/>
        <v>107</v>
      </c>
      <c r="B109" t="s">
        <v>1576</v>
      </c>
      <c r="Q109" s="18">
        <v>62171.059484999998</v>
      </c>
      <c r="R109" s="18">
        <v>65955.262344999996</v>
      </c>
      <c r="S109" s="18">
        <v>63805.903496999999</v>
      </c>
      <c r="T109" s="18">
        <v>67379.043328999993</v>
      </c>
      <c r="W109" s="18">
        <v>72</v>
      </c>
      <c r="X109" s="18">
        <v>42</v>
      </c>
    </row>
    <row r="110" spans="1:24" x14ac:dyDescent="0.2">
      <c r="A110">
        <f t="shared" si="1"/>
        <v>108</v>
      </c>
      <c r="B110" t="s">
        <v>1577</v>
      </c>
      <c r="Q110" s="18">
        <v>66034.273629000003</v>
      </c>
      <c r="R110" s="18">
        <v>65752.064698999995</v>
      </c>
      <c r="S110" s="18">
        <v>63809.954867</v>
      </c>
      <c r="T110" s="18">
        <v>63913.030798</v>
      </c>
      <c r="V110" s="18">
        <v>25000</v>
      </c>
      <c r="W110" s="18">
        <v>2089</v>
      </c>
      <c r="X110" s="18">
        <v>561</v>
      </c>
    </row>
    <row r="111" spans="1:24" x14ac:dyDescent="0.2">
      <c r="A111">
        <f t="shared" si="1"/>
        <v>109</v>
      </c>
      <c r="B111" t="s">
        <v>1578</v>
      </c>
      <c r="Q111" s="18">
        <v>63963.062307</v>
      </c>
      <c r="R111" s="18">
        <v>61306.321340000002</v>
      </c>
      <c r="S111" s="18">
        <v>64579.842772000004</v>
      </c>
      <c r="T111" s="18">
        <v>62387.176861</v>
      </c>
      <c r="W111" s="18">
        <v>879</v>
      </c>
      <c r="X111" s="18">
        <v>388</v>
      </c>
    </row>
    <row r="112" spans="1:24" x14ac:dyDescent="0.2">
      <c r="A112">
        <f t="shared" si="1"/>
        <v>110</v>
      </c>
      <c r="B112" t="s">
        <v>1579</v>
      </c>
      <c r="Q112" s="18">
        <v>56170.884024999999</v>
      </c>
      <c r="R112" s="18">
        <v>57408.030899999998</v>
      </c>
      <c r="S112" s="18">
        <v>64068.364453000002</v>
      </c>
      <c r="T112" s="18">
        <v>60260.476025000004</v>
      </c>
    </row>
    <row r="113" spans="1:24" x14ac:dyDescent="0.2">
      <c r="A113">
        <f t="shared" si="1"/>
        <v>111</v>
      </c>
      <c r="B113" t="s">
        <v>1581</v>
      </c>
      <c r="Q113" s="18">
        <v>42245.776343999998</v>
      </c>
      <c r="R113" s="18">
        <v>44921.675081000001</v>
      </c>
      <c r="S113" s="18">
        <v>54336.524546000001</v>
      </c>
      <c r="T113" s="18">
        <v>62002.059526999998</v>
      </c>
    </row>
    <row r="114" spans="1:24" x14ac:dyDescent="0.2">
      <c r="A114">
        <f t="shared" si="1"/>
        <v>112</v>
      </c>
      <c r="B114" t="s">
        <v>1582</v>
      </c>
      <c r="Q114" s="18">
        <v>48359.176796</v>
      </c>
      <c r="R114" s="18">
        <v>51581.061628000003</v>
      </c>
      <c r="S114" s="18">
        <v>56362.952983000003</v>
      </c>
      <c r="T114" s="18">
        <v>59551.780386999999</v>
      </c>
      <c r="W114" s="18">
        <v>59</v>
      </c>
      <c r="X114" s="18">
        <v>8</v>
      </c>
    </row>
    <row r="115" spans="1:24" x14ac:dyDescent="0.2">
      <c r="A115">
        <f t="shared" si="1"/>
        <v>113</v>
      </c>
      <c r="B115" t="s">
        <v>1584</v>
      </c>
      <c r="Q115" s="18">
        <f>57082.692787+17274.511244</f>
        <v>74357.204031000001</v>
      </c>
      <c r="R115" s="18">
        <f>56050.347233+17462.82922</f>
        <v>73513.176452999993</v>
      </c>
      <c r="S115" s="18">
        <f>15066.968433+14775.401061</f>
        <v>29842.369493999999</v>
      </c>
      <c r="T115" s="18">
        <f>35903.091375+13180.930778</f>
        <v>49084.022153000005</v>
      </c>
      <c r="U115" t="s">
        <v>1722</v>
      </c>
    </row>
    <row r="116" spans="1:24" x14ac:dyDescent="0.2">
      <c r="A116">
        <f t="shared" si="1"/>
        <v>114</v>
      </c>
      <c r="B116" t="s">
        <v>1585</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1765</v>
      </c>
      <c r="V116" s="18">
        <v>48525</v>
      </c>
    </row>
    <row r="117" spans="1:24" x14ac:dyDescent="0.2">
      <c r="A117">
        <f t="shared" si="1"/>
        <v>115</v>
      </c>
      <c r="B117" t="s">
        <v>1587</v>
      </c>
      <c r="Q117" s="18">
        <v>53885.177388999997</v>
      </c>
      <c r="R117" s="18">
        <v>51703.013235999999</v>
      </c>
      <c r="S117" s="18">
        <v>54928.639590999999</v>
      </c>
    </row>
    <row r="118" spans="1:24" x14ac:dyDescent="0.2">
      <c r="A118">
        <f t="shared" si="1"/>
        <v>116</v>
      </c>
      <c r="B118" t="s">
        <v>1136</v>
      </c>
    </row>
    <row r="119" spans="1:24" x14ac:dyDescent="0.2">
      <c r="A119">
        <f t="shared" si="1"/>
        <v>117</v>
      </c>
      <c r="B119" t="s">
        <v>1137</v>
      </c>
    </row>
    <row r="120" spans="1:24" x14ac:dyDescent="0.2">
      <c r="A120">
        <f t="shared" si="1"/>
        <v>118</v>
      </c>
      <c r="B120" t="s">
        <v>1139</v>
      </c>
    </row>
    <row r="121" spans="1:24" x14ac:dyDescent="0.2">
      <c r="A121">
        <f t="shared" si="1"/>
        <v>119</v>
      </c>
      <c r="B121" t="s">
        <v>1140</v>
      </c>
      <c r="Q121" s="18">
        <v>46791.0867</v>
      </c>
      <c r="R121" s="18">
        <v>45915.617215999999</v>
      </c>
      <c r="S121" s="18">
        <v>47139.118639</v>
      </c>
      <c r="T121" s="18">
        <v>45019.622474000003</v>
      </c>
    </row>
    <row r="122" spans="1:24" x14ac:dyDescent="0.2">
      <c r="A122">
        <f t="shared" si="1"/>
        <v>120</v>
      </c>
      <c r="B122" t="s">
        <v>1141</v>
      </c>
    </row>
    <row r="123" spans="1:24" x14ac:dyDescent="0.2">
      <c r="A123">
        <f t="shared" ref="A123:A353" si="2">+A122+1</f>
        <v>121</v>
      </c>
      <c r="B123" t="s">
        <v>1142</v>
      </c>
    </row>
    <row r="124" spans="1:24" x14ac:dyDescent="0.2">
      <c r="A124">
        <f t="shared" si="2"/>
        <v>122</v>
      </c>
      <c r="B124" t="s">
        <v>1143</v>
      </c>
    </row>
    <row r="125" spans="1:24" x14ac:dyDescent="0.2">
      <c r="A125">
        <f t="shared" si="2"/>
        <v>123</v>
      </c>
      <c r="B125" t="s">
        <v>1144</v>
      </c>
      <c r="Q125" s="18">
        <v>10821.350415000001</v>
      </c>
      <c r="R125" s="18">
        <v>10387.065741</v>
      </c>
      <c r="S125" s="18">
        <v>11008.486943</v>
      </c>
      <c r="T125" s="18">
        <v>10376.065932</v>
      </c>
    </row>
    <row r="126" spans="1:24" x14ac:dyDescent="0.2">
      <c r="A126">
        <f t="shared" si="2"/>
        <v>124</v>
      </c>
      <c r="B126" t="s">
        <v>1145</v>
      </c>
    </row>
    <row r="127" spans="1:24" x14ac:dyDescent="0.2">
      <c r="A127">
        <f t="shared" si="2"/>
        <v>125</v>
      </c>
      <c r="B127" t="s">
        <v>1146</v>
      </c>
    </row>
    <row r="128" spans="1:24" x14ac:dyDescent="0.2">
      <c r="A128">
        <f t="shared" si="2"/>
        <v>126</v>
      </c>
      <c r="B128" t="s">
        <v>1147</v>
      </c>
      <c r="Q128" s="18">
        <v>21908.105871</v>
      </c>
      <c r="R128" s="18">
        <v>20775.578858000001</v>
      </c>
      <c r="S128" s="18">
        <v>21407.540123999999</v>
      </c>
    </row>
    <row r="129" spans="1:24" x14ac:dyDescent="0.2">
      <c r="A129">
        <f t="shared" si="2"/>
        <v>127</v>
      </c>
      <c r="B129" t="s">
        <v>1148</v>
      </c>
    </row>
    <row r="130" spans="1:24" x14ac:dyDescent="0.2">
      <c r="A130">
        <f t="shared" si="2"/>
        <v>128</v>
      </c>
      <c r="B130" t="s">
        <v>1149</v>
      </c>
    </row>
    <row r="131" spans="1:24" x14ac:dyDescent="0.2">
      <c r="A131">
        <f t="shared" si="2"/>
        <v>129</v>
      </c>
      <c r="B131" t="s">
        <v>1151</v>
      </c>
    </row>
    <row r="132" spans="1:24" x14ac:dyDescent="0.2">
      <c r="A132">
        <f t="shared" si="2"/>
        <v>130</v>
      </c>
      <c r="B132" t="s">
        <v>1152</v>
      </c>
    </row>
    <row r="133" spans="1:24" x14ac:dyDescent="0.2">
      <c r="A133">
        <f t="shared" si="2"/>
        <v>131</v>
      </c>
      <c r="B133" t="s">
        <v>1153</v>
      </c>
    </row>
    <row r="134" spans="1:24" x14ac:dyDescent="0.2">
      <c r="A134">
        <f t="shared" si="2"/>
        <v>132</v>
      </c>
      <c r="B134" t="s">
        <v>1154</v>
      </c>
      <c r="Q134" s="18">
        <v>9303.4897380000002</v>
      </c>
      <c r="R134" s="18">
        <v>18620.051256999999</v>
      </c>
      <c r="S134" s="18">
        <v>23281.439689999999</v>
      </c>
      <c r="W134" s="18">
        <v>8746</v>
      </c>
      <c r="X134" s="18">
        <v>2852</v>
      </c>
    </row>
    <row r="135" spans="1:24" x14ac:dyDescent="0.2">
      <c r="A135">
        <f t="shared" si="2"/>
        <v>133</v>
      </c>
      <c r="B135" t="s">
        <v>1156</v>
      </c>
    </row>
    <row r="136" spans="1:24" x14ac:dyDescent="0.2">
      <c r="A136">
        <f t="shared" si="2"/>
        <v>134</v>
      </c>
      <c r="B136" t="s">
        <v>1207</v>
      </c>
      <c r="Q136" s="18">
        <v>54751.960169999998</v>
      </c>
      <c r="R136" s="18">
        <v>54719.876559999997</v>
      </c>
      <c r="S136" s="18">
        <v>56861.956705999997</v>
      </c>
    </row>
    <row r="137" spans="1:24" x14ac:dyDescent="0.2">
      <c r="A137">
        <f t="shared" si="2"/>
        <v>135</v>
      </c>
      <c r="B137" t="s">
        <v>199</v>
      </c>
      <c r="Q137" s="18">
        <v>52979.539382000003</v>
      </c>
      <c r="R137" s="18">
        <v>54008.710010000003</v>
      </c>
      <c r="S137" s="18">
        <v>56635.136795999999</v>
      </c>
    </row>
    <row r="138" spans="1:24" x14ac:dyDescent="0.2">
      <c r="A138">
        <f t="shared" si="2"/>
        <v>136</v>
      </c>
      <c r="B138" t="s">
        <v>1588</v>
      </c>
      <c r="Q138" s="18">
        <v>51002.404795000002</v>
      </c>
      <c r="R138" s="18">
        <v>52167.367171999998</v>
      </c>
      <c r="S138" s="18">
        <v>54540.124961000001</v>
      </c>
      <c r="T138" s="18">
        <v>53268.546018000001</v>
      </c>
    </row>
    <row r="139" spans="1:24" x14ac:dyDescent="0.2">
      <c r="A139">
        <f t="shared" si="2"/>
        <v>137</v>
      </c>
      <c r="B139" t="s">
        <v>1589</v>
      </c>
      <c r="Q139" s="18">
        <v>46019.196891</v>
      </c>
      <c r="R139" s="18">
        <v>46476.831030000001</v>
      </c>
      <c r="S139" s="18">
        <v>50343.044012999999</v>
      </c>
      <c r="T139" s="18">
        <v>52757.395789000002</v>
      </c>
      <c r="V139" s="18">
        <v>1500</v>
      </c>
      <c r="W139" s="18">
        <v>339</v>
      </c>
      <c r="X139" s="18">
        <v>164</v>
      </c>
    </row>
    <row r="140" spans="1:24" x14ac:dyDescent="0.2">
      <c r="A140">
        <f t="shared" si="2"/>
        <v>138</v>
      </c>
      <c r="B140" t="s">
        <v>1590</v>
      </c>
      <c r="Q140" s="18">
        <v>42716.147340000003</v>
      </c>
      <c r="R140" s="18">
        <v>50778.216228999998</v>
      </c>
      <c r="S140" s="18">
        <v>52418.774123000003</v>
      </c>
      <c r="T140" s="18">
        <v>52555.475607</v>
      </c>
    </row>
    <row r="141" spans="1:24" x14ac:dyDescent="0.2">
      <c r="A141">
        <f t="shared" si="2"/>
        <v>139</v>
      </c>
      <c r="B141" t="s">
        <v>1591</v>
      </c>
      <c r="Q141" s="18">
        <f>40048.195645+27550.133324</f>
        <v>67598.328968999995</v>
      </c>
      <c r="R141" s="18">
        <f>52168.9389+29341.480056</f>
        <v>81510.418956000009</v>
      </c>
      <c r="S141" s="18">
        <f>43579.740009+32436.261691</f>
        <v>76016.001699999993</v>
      </c>
      <c r="T141" s="18">
        <v>33237.001909999999</v>
      </c>
      <c r="U141" t="s">
        <v>1637</v>
      </c>
      <c r="V141" s="18">
        <v>26850</v>
      </c>
      <c r="W141" s="18">
        <v>7391</v>
      </c>
      <c r="X141" s="18">
        <v>3030</v>
      </c>
    </row>
    <row r="142" spans="1:24" x14ac:dyDescent="0.2">
      <c r="A142">
        <f t="shared" si="2"/>
        <v>140</v>
      </c>
      <c r="B142" t="s">
        <v>1592</v>
      </c>
      <c r="Q142" s="18">
        <v>47689.546507999999</v>
      </c>
      <c r="R142" s="18">
        <v>48206.226021000002</v>
      </c>
      <c r="S142" s="18">
        <v>51494.799701999997</v>
      </c>
    </row>
    <row r="143" spans="1:24" x14ac:dyDescent="0.2">
      <c r="A143">
        <f t="shared" si="2"/>
        <v>141</v>
      </c>
      <c r="B143" t="s">
        <v>1593</v>
      </c>
      <c r="Q143" s="18">
        <v>38666.183408999997</v>
      </c>
      <c r="R143" s="18">
        <v>42101.555493</v>
      </c>
      <c r="S143" s="18">
        <v>46519.639168000002</v>
      </c>
      <c r="T143" s="18">
        <v>49486.210978000003</v>
      </c>
    </row>
    <row r="144" spans="1:24" x14ac:dyDescent="0.2">
      <c r="A144">
        <f t="shared" si="2"/>
        <v>142</v>
      </c>
      <c r="B144" t="s">
        <v>1594</v>
      </c>
      <c r="Q144" s="18">
        <v>44022.364403</v>
      </c>
      <c r="R144" s="18">
        <v>44670.110519000002</v>
      </c>
      <c r="S144" s="18">
        <v>48607.373247000003</v>
      </c>
      <c r="T144" s="18">
        <v>44807.139258000003</v>
      </c>
    </row>
    <row r="145" spans="1:24" x14ac:dyDescent="0.2">
      <c r="A145">
        <f t="shared" si="2"/>
        <v>143</v>
      </c>
      <c r="B145" t="s">
        <v>1595</v>
      </c>
      <c r="Q145" s="18">
        <v>44368.548970000003</v>
      </c>
      <c r="R145" s="18">
        <v>45011.374929999998</v>
      </c>
      <c r="S145" s="18">
        <v>47918.061158999997</v>
      </c>
      <c r="T145" s="18">
        <v>47515.786766999998</v>
      </c>
    </row>
    <row r="146" spans="1:24" x14ac:dyDescent="0.2">
      <c r="A146">
        <f t="shared" si="2"/>
        <v>144</v>
      </c>
      <c r="B146" t="s">
        <v>1596</v>
      </c>
      <c r="Q146" s="18">
        <v>45859.445374000003</v>
      </c>
      <c r="R146" s="18">
        <v>47666.958892000002</v>
      </c>
      <c r="S146" s="18">
        <v>45088.138766999997</v>
      </c>
    </row>
    <row r="147" spans="1:24" x14ac:dyDescent="0.2">
      <c r="A147">
        <f t="shared" si="2"/>
        <v>145</v>
      </c>
      <c r="B147" t="s">
        <v>1599</v>
      </c>
      <c r="Q147" s="18">
        <v>37863.906886999997</v>
      </c>
      <c r="R147" s="18">
        <v>37979.267502000002</v>
      </c>
      <c r="S147" s="18">
        <v>45165.017097000004</v>
      </c>
      <c r="T147" s="18">
        <v>46096.092685000003</v>
      </c>
    </row>
    <row r="148" spans="1:24" x14ac:dyDescent="0.2">
      <c r="A148">
        <f t="shared" si="2"/>
        <v>146</v>
      </c>
      <c r="B148" t="s">
        <v>1600</v>
      </c>
      <c r="Q148" s="18">
        <v>46072.208547000002</v>
      </c>
      <c r="R148" s="18">
        <f>42060.220821+20069.394085</f>
        <v>62129.614906000003</v>
      </c>
      <c r="S148" s="18">
        <f>44461.80943+22598.005658</f>
        <v>67059.815088000003</v>
      </c>
      <c r="T148" s="18">
        <v>24628.108183</v>
      </c>
      <c r="U148" t="s">
        <v>1606</v>
      </c>
    </row>
    <row r="149" spans="1:24" x14ac:dyDescent="0.2">
      <c r="A149">
        <f t="shared" si="2"/>
        <v>147</v>
      </c>
      <c r="B149" t="s">
        <v>1601</v>
      </c>
      <c r="Q149" s="18">
        <f>20199.635956+12684.684809+9287.658356</f>
        <v>42171.979120999997</v>
      </c>
      <c r="R149" s="18">
        <v>43422.523611999997</v>
      </c>
      <c r="S149" s="18">
        <v>45714.122976999999</v>
      </c>
      <c r="U149" t="s">
        <v>1694</v>
      </c>
      <c r="W149" s="18">
        <v>306</v>
      </c>
      <c r="X149" s="18">
        <v>54</v>
      </c>
    </row>
    <row r="150" spans="1:24" x14ac:dyDescent="0.2">
      <c r="A150">
        <f t="shared" si="2"/>
        <v>148</v>
      </c>
      <c r="B150" t="s">
        <v>1603</v>
      </c>
      <c r="Q150" s="18">
        <v>43135.381801000003</v>
      </c>
      <c r="R150" s="18">
        <v>40966.78585</v>
      </c>
      <c r="S150" s="18">
        <v>45305.643426000002</v>
      </c>
      <c r="T150" s="18">
        <v>43052.559330999997</v>
      </c>
      <c r="W150" s="18">
        <v>605</v>
      </c>
      <c r="X150" s="18">
        <v>268</v>
      </c>
    </row>
    <row r="151" spans="1:24" x14ac:dyDescent="0.2">
      <c r="A151">
        <f t="shared" si="2"/>
        <v>149</v>
      </c>
      <c r="B151" t="s">
        <v>1604</v>
      </c>
      <c r="Q151" s="18">
        <v>44770.242665999998</v>
      </c>
      <c r="R151" s="18">
        <v>42320.440338</v>
      </c>
      <c r="S151" s="18">
        <v>44348.111970999998</v>
      </c>
      <c r="T151" s="18">
        <v>39201.835650000001</v>
      </c>
    </row>
    <row r="152" spans="1:24" x14ac:dyDescent="0.2">
      <c r="A152">
        <f t="shared" si="2"/>
        <v>150</v>
      </c>
      <c r="B152" t="s">
        <v>1605</v>
      </c>
      <c r="T152" s="18">
        <v>44628.469355000001</v>
      </c>
    </row>
    <row r="153" spans="1:24" x14ac:dyDescent="0.2">
      <c r="A153">
        <f t="shared" si="2"/>
        <v>151</v>
      </c>
      <c r="B153" t="s">
        <v>1607</v>
      </c>
      <c r="Q153" s="18">
        <v>42069.674503000002</v>
      </c>
      <c r="R153" s="18">
        <v>42304.285980000001</v>
      </c>
      <c r="S153" s="18">
        <v>44123.746715000001</v>
      </c>
      <c r="T153" s="18">
        <v>42523.933711999998</v>
      </c>
    </row>
    <row r="154" spans="1:24" x14ac:dyDescent="0.2">
      <c r="A154">
        <f t="shared" si="2"/>
        <v>152</v>
      </c>
      <c r="B154" t="s">
        <v>1609</v>
      </c>
      <c r="Q154" s="18">
        <v>43317.845974999997</v>
      </c>
      <c r="R154" s="18">
        <v>39855.562576999997</v>
      </c>
      <c r="S154" s="18">
        <v>38739.331264</v>
      </c>
      <c r="T154" s="18">
        <v>37010.355943000002</v>
      </c>
    </row>
    <row r="155" spans="1:24" x14ac:dyDescent="0.2">
      <c r="A155">
        <f t="shared" si="2"/>
        <v>153</v>
      </c>
      <c r="B155" t="s">
        <v>1610</v>
      </c>
      <c r="R155" s="18">
        <v>36679.393512000002</v>
      </c>
      <c r="S155" s="18">
        <v>42730.720221000003</v>
      </c>
      <c r="W155" s="18">
        <v>249</v>
      </c>
      <c r="X155" s="18">
        <v>39</v>
      </c>
    </row>
    <row r="156" spans="1:24" x14ac:dyDescent="0.2">
      <c r="A156">
        <f t="shared" si="2"/>
        <v>154</v>
      </c>
      <c r="B156" t="s">
        <v>1612</v>
      </c>
      <c r="Q156" s="18">
        <v>29668.001351999999</v>
      </c>
      <c r="R156" s="18">
        <v>34907.205350999997</v>
      </c>
      <c r="S156" s="18">
        <v>42244.808022999998</v>
      </c>
    </row>
    <row r="157" spans="1:24" x14ac:dyDescent="0.2">
      <c r="A157">
        <f t="shared" si="2"/>
        <v>155</v>
      </c>
      <c r="B157" t="s">
        <v>1613</v>
      </c>
      <c r="Q157" s="18">
        <v>39407.883379999999</v>
      </c>
      <c r="R157" s="18">
        <v>39689.789810000002</v>
      </c>
      <c r="S157" s="18">
        <v>42136.021312999997</v>
      </c>
      <c r="T157" s="18">
        <v>42177.380848000001</v>
      </c>
      <c r="W157" s="18">
        <v>252</v>
      </c>
      <c r="X157" s="18">
        <v>100</v>
      </c>
    </row>
    <row r="158" spans="1:24" x14ac:dyDescent="0.2">
      <c r="A158">
        <f t="shared" si="2"/>
        <v>156</v>
      </c>
      <c r="B158" t="s">
        <v>1614</v>
      </c>
      <c r="Q158" s="18">
        <v>36797.567920000001</v>
      </c>
      <c r="R158" s="18">
        <v>39807.957020000002</v>
      </c>
      <c r="S158" s="18">
        <v>41244.903600999998</v>
      </c>
      <c r="T158" s="18">
        <v>41272.387094999998</v>
      </c>
    </row>
    <row r="159" spans="1:24" x14ac:dyDescent="0.2">
      <c r="A159">
        <f t="shared" si="2"/>
        <v>157</v>
      </c>
      <c r="B159" t="s">
        <v>1615</v>
      </c>
      <c r="Q159" s="18">
        <v>40121.945845000002</v>
      </c>
      <c r="R159" s="18">
        <v>39169.590728000003</v>
      </c>
      <c r="S159" s="18">
        <v>40614.495894</v>
      </c>
      <c r="T159" s="18">
        <v>41011.176628000001</v>
      </c>
    </row>
    <row r="160" spans="1:24" x14ac:dyDescent="0.2">
      <c r="A160">
        <f t="shared" si="2"/>
        <v>158</v>
      </c>
      <c r="B160" t="s">
        <v>1616</v>
      </c>
      <c r="Q160" s="18">
        <f>38687.455009+31838.490579</f>
        <v>70525.945588000002</v>
      </c>
      <c r="R160" s="18">
        <f>38120.36827+32421.064819</f>
        <v>70541.433088999998</v>
      </c>
      <c r="S160" s="18">
        <f>40534.351361+34050.187603</f>
        <v>74584.538964000007</v>
      </c>
      <c r="T160" s="18">
        <f>40939.661997+34378.594285</f>
        <v>75318.256282000002</v>
      </c>
      <c r="U160" t="s">
        <v>1629</v>
      </c>
      <c r="W160" s="18">
        <v>730</v>
      </c>
      <c r="X160" s="18">
        <v>220</v>
      </c>
    </row>
    <row r="161" spans="1:24" x14ac:dyDescent="0.2">
      <c r="A161">
        <f t="shared" si="2"/>
        <v>159</v>
      </c>
      <c r="B161" t="s">
        <v>1617</v>
      </c>
      <c r="Q161" s="18">
        <v>37612.394798000001</v>
      </c>
      <c r="R161" s="18">
        <v>37378.109923999997</v>
      </c>
      <c r="S161" s="18">
        <v>40800.019390000001</v>
      </c>
      <c r="W161" s="18">
        <v>18</v>
      </c>
      <c r="X161" s="18">
        <v>1</v>
      </c>
    </row>
    <row r="162" spans="1:24" x14ac:dyDescent="0.2">
      <c r="A162">
        <f t="shared" si="2"/>
        <v>160</v>
      </c>
      <c r="B162" t="s">
        <v>1621</v>
      </c>
      <c r="Q162" s="18">
        <v>37896.465042000003</v>
      </c>
      <c r="R162" s="18">
        <v>37831.387917</v>
      </c>
      <c r="S162" s="18">
        <v>39772.927227</v>
      </c>
    </row>
    <row r="163" spans="1:24" x14ac:dyDescent="0.2">
      <c r="A163">
        <f t="shared" si="2"/>
        <v>161</v>
      </c>
      <c r="B163" t="s">
        <v>1618</v>
      </c>
      <c r="P163" s="18">
        <v>32723.236637000002</v>
      </c>
      <c r="Q163" s="18">
        <v>33553.310835999997</v>
      </c>
      <c r="R163" s="18">
        <v>37059.194254000002</v>
      </c>
      <c r="S163" s="18">
        <v>39337.977121999997</v>
      </c>
      <c r="W163" s="18">
        <v>36</v>
      </c>
      <c r="X163" s="18">
        <v>8</v>
      </c>
    </row>
    <row r="164" spans="1:24" x14ac:dyDescent="0.2">
      <c r="A164">
        <f t="shared" si="2"/>
        <v>162</v>
      </c>
      <c r="B164" t="s">
        <v>1619</v>
      </c>
      <c r="Q164" s="18">
        <v>34261.235830999998</v>
      </c>
      <c r="R164" s="18">
        <v>35183.070574999998</v>
      </c>
      <c r="S164" s="18">
        <v>37152.409510999998</v>
      </c>
      <c r="T164" s="18">
        <v>38610.010824999998</v>
      </c>
      <c r="W164" s="18">
        <v>294</v>
      </c>
      <c r="X164" s="18">
        <v>98</v>
      </c>
    </row>
    <row r="165" spans="1:24" x14ac:dyDescent="0.2">
      <c r="A165">
        <f t="shared" si="2"/>
        <v>163</v>
      </c>
      <c r="B165" t="s">
        <v>1620</v>
      </c>
      <c r="Q165" s="18">
        <v>30371.248124000002</v>
      </c>
      <c r="R165" s="18">
        <v>36073.68679</v>
      </c>
      <c r="S165" s="18">
        <v>38595.650685000001</v>
      </c>
      <c r="T165" s="18">
        <v>38501.093649000002</v>
      </c>
      <c r="W165" s="18">
        <v>1265</v>
      </c>
      <c r="X165" s="18">
        <v>384</v>
      </c>
    </row>
    <row r="166" spans="1:24" x14ac:dyDescent="0.2">
      <c r="A166">
        <f t="shared" si="2"/>
        <v>164</v>
      </c>
      <c r="B166" t="s">
        <v>1622</v>
      </c>
      <c r="Q166" s="18">
        <v>37521.423334999999</v>
      </c>
      <c r="R166" s="18">
        <v>34917.811759999997</v>
      </c>
      <c r="S166" s="18">
        <v>37697.860591999997</v>
      </c>
      <c r="W166" s="18">
        <v>90</v>
      </c>
      <c r="X166" s="18">
        <v>31</v>
      </c>
    </row>
    <row r="167" spans="1:24" x14ac:dyDescent="0.2">
      <c r="A167">
        <f t="shared" si="2"/>
        <v>165</v>
      </c>
      <c r="B167" t="s">
        <v>1623</v>
      </c>
      <c r="Q167" s="18">
        <v>35609.987120999998</v>
      </c>
      <c r="R167" s="18">
        <v>36215.546027999997</v>
      </c>
      <c r="S167" s="18">
        <v>37466.840981000001</v>
      </c>
      <c r="T167" s="18">
        <v>37379.906458999998</v>
      </c>
      <c r="W167" s="18">
        <v>77</v>
      </c>
      <c r="X167" s="18">
        <v>30</v>
      </c>
    </row>
    <row r="168" spans="1:24" x14ac:dyDescent="0.2">
      <c r="A168">
        <f t="shared" si="2"/>
        <v>166</v>
      </c>
      <c r="B168" t="s">
        <v>1624</v>
      </c>
      <c r="Q168" s="18">
        <v>37230.066219</v>
      </c>
      <c r="R168" s="18">
        <v>36888.536778000002</v>
      </c>
      <c r="S168" s="18">
        <v>37077.308106999997</v>
      </c>
      <c r="T168" s="18">
        <v>34834.960855999998</v>
      </c>
      <c r="W168" s="18">
        <v>56</v>
      </c>
      <c r="X168" s="18">
        <v>15</v>
      </c>
    </row>
    <row r="169" spans="1:24" x14ac:dyDescent="0.2">
      <c r="A169">
        <f t="shared" si="2"/>
        <v>167</v>
      </c>
      <c r="B169" t="s">
        <v>1625</v>
      </c>
      <c r="Q169" s="18">
        <v>30759.680285999999</v>
      </c>
      <c r="R169" s="18">
        <v>32334.211027000001</v>
      </c>
      <c r="S169" s="18">
        <v>34915.672702000003</v>
      </c>
      <c r="T169" s="18">
        <v>36814.830044000002</v>
      </c>
      <c r="W169" s="18">
        <v>38</v>
      </c>
      <c r="X169" s="18">
        <v>8</v>
      </c>
    </row>
    <row r="170" spans="1:24" x14ac:dyDescent="0.2">
      <c r="A170">
        <f t="shared" si="2"/>
        <v>168</v>
      </c>
      <c r="B170" t="s">
        <v>1626</v>
      </c>
      <c r="Q170" s="18">
        <v>35751.757681000003</v>
      </c>
      <c r="R170" s="18">
        <v>34032.557868999997</v>
      </c>
      <c r="S170" s="18">
        <v>32948.045234999998</v>
      </c>
      <c r="T170" s="18">
        <v>33795.783382000001</v>
      </c>
      <c r="W170" s="18">
        <v>112</v>
      </c>
      <c r="X170" s="18">
        <v>12</v>
      </c>
    </row>
    <row r="171" spans="1:24" x14ac:dyDescent="0.2">
      <c r="A171">
        <f t="shared" si="2"/>
        <v>169</v>
      </c>
      <c r="B171" t="s">
        <v>1627</v>
      </c>
      <c r="Q171" s="18">
        <v>28549.248364999999</v>
      </c>
      <c r="R171" s="18">
        <v>30748.776248999999</v>
      </c>
      <c r="S171" s="18">
        <v>33600.970461999997</v>
      </c>
      <c r="T171" s="18">
        <v>35097.639185</v>
      </c>
    </row>
    <row r="172" spans="1:24" x14ac:dyDescent="0.2">
      <c r="A172">
        <f t="shared" si="2"/>
        <v>170</v>
      </c>
      <c r="B172" t="s">
        <v>1630</v>
      </c>
      <c r="Q172" s="18">
        <v>34313.327147999997</v>
      </c>
      <c r="R172" s="18">
        <v>31799.354093000002</v>
      </c>
      <c r="S172" s="18">
        <v>33251.276290000002</v>
      </c>
      <c r="T172" s="18">
        <v>31757.266285999998</v>
      </c>
    </row>
    <row r="173" spans="1:24" x14ac:dyDescent="0.2">
      <c r="A173">
        <f t="shared" si="2"/>
        <v>171</v>
      </c>
      <c r="B173" t="s">
        <v>1631</v>
      </c>
      <c r="Q173" s="18">
        <v>33361.073810000002</v>
      </c>
      <c r="R173" s="18">
        <v>33615.929752999997</v>
      </c>
      <c r="S173" s="18">
        <v>33773.635363000001</v>
      </c>
      <c r="W173" s="18">
        <v>2409</v>
      </c>
      <c r="X173" s="18">
        <v>674</v>
      </c>
    </row>
    <row r="174" spans="1:24" x14ac:dyDescent="0.2">
      <c r="A174">
        <f t="shared" si="2"/>
        <v>172</v>
      </c>
      <c r="B174" t="s">
        <v>1632</v>
      </c>
      <c r="Q174" s="18">
        <v>30862.907063999999</v>
      </c>
      <c r="R174" s="18">
        <v>31181.095494000001</v>
      </c>
      <c r="S174" s="18">
        <v>33728.772685000004</v>
      </c>
      <c r="W174" s="18">
        <v>56</v>
      </c>
      <c r="X174" s="18">
        <v>0</v>
      </c>
    </row>
    <row r="175" spans="1:24" x14ac:dyDescent="0.2">
      <c r="A175">
        <f t="shared" si="2"/>
        <v>173</v>
      </c>
      <c r="B175" t="s">
        <v>1633</v>
      </c>
      <c r="Q175" s="18">
        <v>27215.512261</v>
      </c>
      <c r="R175" s="18">
        <v>31071.506447</v>
      </c>
      <c r="S175" s="18">
        <v>33707.861091999999</v>
      </c>
    </row>
    <row r="176" spans="1:24" x14ac:dyDescent="0.2">
      <c r="A176">
        <f t="shared" si="2"/>
        <v>174</v>
      </c>
      <c r="B176" t="s">
        <v>1634</v>
      </c>
      <c r="Q176" s="18">
        <v>32684.862487999999</v>
      </c>
      <c r="R176" s="18">
        <v>32399.876112000002</v>
      </c>
      <c r="S176" s="18">
        <v>33548.071670999998</v>
      </c>
      <c r="T176" s="18">
        <v>32939.805691000001</v>
      </c>
      <c r="W176" s="18">
        <v>1577</v>
      </c>
      <c r="X176" s="18">
        <v>576</v>
      </c>
    </row>
    <row r="177" spans="1:24" x14ac:dyDescent="0.2">
      <c r="A177">
        <f t="shared" si="2"/>
        <v>175</v>
      </c>
      <c r="B177" t="s">
        <v>1635</v>
      </c>
      <c r="Q177" s="18">
        <v>28576.193691</v>
      </c>
      <c r="R177" s="18">
        <v>29719.802032</v>
      </c>
      <c r="S177" s="18">
        <v>32527.233787000001</v>
      </c>
      <c r="T177" s="18">
        <v>33102.470594999999</v>
      </c>
    </row>
    <row r="178" spans="1:24" x14ac:dyDescent="0.2">
      <c r="A178">
        <f t="shared" si="2"/>
        <v>176</v>
      </c>
      <c r="B178" t="s">
        <v>1636</v>
      </c>
      <c r="Q178" s="18">
        <v>33086.420536999998</v>
      </c>
      <c r="R178" s="18">
        <v>22921.294308</v>
      </c>
      <c r="S178" s="18">
        <v>24261.044312000002</v>
      </c>
      <c r="T178" s="18">
        <v>24772.480299999999</v>
      </c>
    </row>
    <row r="179" spans="1:24" x14ac:dyDescent="0.2">
      <c r="A179">
        <f t="shared" si="2"/>
        <v>177</v>
      </c>
      <c r="B179" t="s">
        <v>135</v>
      </c>
      <c r="Q179" s="18">
        <v>23465.795541</v>
      </c>
      <c r="R179" s="18">
        <v>31918.202727</v>
      </c>
      <c r="S179" s="18">
        <v>32860.152525999998</v>
      </c>
    </row>
    <row r="180" spans="1:24" x14ac:dyDescent="0.2">
      <c r="A180">
        <f t="shared" si="2"/>
        <v>178</v>
      </c>
      <c r="B180" t="s">
        <v>1638</v>
      </c>
      <c r="Q180" s="18">
        <v>26054.755892000001</v>
      </c>
      <c r="R180" s="18">
        <v>26147.062579000001</v>
      </c>
      <c r="S180" s="18">
        <v>29726.846655000001</v>
      </c>
      <c r="T180" s="18">
        <v>32388.006559000001</v>
      </c>
      <c r="W180" s="18">
        <v>1460</v>
      </c>
      <c r="X180" s="18">
        <v>669</v>
      </c>
    </row>
    <row r="181" spans="1:24" x14ac:dyDescent="0.2">
      <c r="A181">
        <f t="shared" si="2"/>
        <v>179</v>
      </c>
      <c r="B181" t="s">
        <v>1639</v>
      </c>
      <c r="Q181" s="18">
        <v>27517.344581000001</v>
      </c>
      <c r="R181" s="18">
        <v>29607.884775999999</v>
      </c>
      <c r="S181" s="18">
        <v>31906.011006000001</v>
      </c>
      <c r="T181" s="18">
        <v>30741.684611000001</v>
      </c>
    </row>
    <row r="182" spans="1:24" x14ac:dyDescent="0.2">
      <c r="A182">
        <f t="shared" si="2"/>
        <v>180</v>
      </c>
      <c r="B182" t="s">
        <v>1640</v>
      </c>
      <c r="Q182" s="18">
        <v>29965.221009000001</v>
      </c>
      <c r="R182" s="18">
        <v>29761.975729999998</v>
      </c>
      <c r="S182" s="18">
        <v>31230.908328000001</v>
      </c>
      <c r="T182" s="18">
        <v>29309.050824999998</v>
      </c>
    </row>
    <row r="183" spans="1:24" x14ac:dyDescent="0.2">
      <c r="A183">
        <f t="shared" si="2"/>
        <v>181</v>
      </c>
      <c r="B183" t="s">
        <v>1641</v>
      </c>
      <c r="Q183" s="18">
        <f>18078.465386+12507.585741</f>
        <v>30586.051126999999</v>
      </c>
      <c r="R183" s="18">
        <v>30791.008440000001</v>
      </c>
      <c r="S183" s="18">
        <v>30977.122673999998</v>
      </c>
      <c r="T183" s="18">
        <v>29222.961353999999</v>
      </c>
      <c r="U183" t="s">
        <v>1772</v>
      </c>
      <c r="W183" s="18">
        <v>997</v>
      </c>
      <c r="X183" s="18">
        <v>384</v>
      </c>
    </row>
    <row r="184" spans="1:24" x14ac:dyDescent="0.2">
      <c r="A184">
        <f t="shared" si="2"/>
        <v>182</v>
      </c>
      <c r="B184" t="s">
        <v>1643</v>
      </c>
      <c r="Q184" s="18">
        <v>28738.848051000001</v>
      </c>
      <c r="R184" s="18">
        <v>29300.844491</v>
      </c>
      <c r="S184" s="18">
        <v>30430.066702</v>
      </c>
      <c r="T184" s="18">
        <v>29837.122951000001</v>
      </c>
      <c r="W184" s="18">
        <v>533</v>
      </c>
      <c r="X184" s="18">
        <v>151</v>
      </c>
    </row>
    <row r="185" spans="1:24" x14ac:dyDescent="0.2">
      <c r="A185">
        <f t="shared" si="2"/>
        <v>183</v>
      </c>
      <c r="B185" t="s">
        <v>1644</v>
      </c>
      <c r="Q185" s="18">
        <v>30010.190918</v>
      </c>
      <c r="R185" s="18">
        <v>28676.946320999999</v>
      </c>
      <c r="S185" s="18">
        <v>30100.661113999999</v>
      </c>
    </row>
    <row r="186" spans="1:24" x14ac:dyDescent="0.2">
      <c r="A186">
        <f t="shared" si="2"/>
        <v>184</v>
      </c>
      <c r="B186" t="s">
        <v>1645</v>
      </c>
      <c r="Q186" s="18">
        <v>26710.714907000001</v>
      </c>
      <c r="R186" s="18">
        <v>26940.155819</v>
      </c>
      <c r="S186" s="18">
        <v>29579.463755000001</v>
      </c>
      <c r="T186" s="18">
        <v>29693.878825</v>
      </c>
    </row>
    <row r="187" spans="1:24" x14ac:dyDescent="0.2">
      <c r="A187">
        <f t="shared" si="2"/>
        <v>185</v>
      </c>
      <c r="B187" t="s">
        <v>876</v>
      </c>
      <c r="Q187" s="18">
        <v>25527.830458</v>
      </c>
      <c r="R187" s="18">
        <v>24737.314181000002</v>
      </c>
      <c r="S187" s="18">
        <v>18831.409180999999</v>
      </c>
      <c r="W187" s="18">
        <v>2434</v>
      </c>
      <c r="X187" s="18">
        <v>815</v>
      </c>
    </row>
    <row r="188" spans="1:24" x14ac:dyDescent="0.2">
      <c r="A188">
        <f t="shared" si="2"/>
        <v>186</v>
      </c>
      <c r="B188" t="s">
        <v>1646</v>
      </c>
      <c r="Q188" s="18">
        <v>26806.242954000001</v>
      </c>
      <c r="R188" s="18">
        <v>26939.614300000001</v>
      </c>
      <c r="S188" s="18">
        <v>29188.082216999999</v>
      </c>
      <c r="W188" s="18">
        <v>57</v>
      </c>
      <c r="X188" s="18">
        <v>19</v>
      </c>
    </row>
    <row r="189" spans="1:24" x14ac:dyDescent="0.2">
      <c r="A189">
        <f t="shared" si="2"/>
        <v>187</v>
      </c>
      <c r="B189" t="s">
        <v>1647</v>
      </c>
      <c r="Q189" s="18">
        <v>25946.766387</v>
      </c>
      <c r="R189" s="18">
        <v>26139.350858000002</v>
      </c>
      <c r="S189" s="18">
        <v>28100.679454000001</v>
      </c>
      <c r="T189" s="18">
        <v>29105.402633000002</v>
      </c>
    </row>
    <row r="190" spans="1:24" x14ac:dyDescent="0.2">
      <c r="A190">
        <f t="shared" si="2"/>
        <v>188</v>
      </c>
      <c r="B190" t="s">
        <v>1648</v>
      </c>
      <c r="Q190" s="18">
        <v>27039.104735000001</v>
      </c>
      <c r="R190" s="18">
        <v>27207.389899999998</v>
      </c>
      <c r="S190" s="18">
        <v>28445.133815000001</v>
      </c>
      <c r="T190" s="18">
        <v>27553.759077999999</v>
      </c>
    </row>
    <row r="191" spans="1:24" x14ac:dyDescent="0.2">
      <c r="A191">
        <f t="shared" si="2"/>
        <v>189</v>
      </c>
      <c r="B191" t="s">
        <v>1649</v>
      </c>
      <c r="Q191" s="18">
        <v>28278.568415000002</v>
      </c>
      <c r="R191" s="18">
        <v>25412.041565</v>
      </c>
      <c r="S191" s="18">
        <v>27846.78053</v>
      </c>
      <c r="U191" t="s">
        <v>1650</v>
      </c>
    </row>
    <row r="192" spans="1:24" x14ac:dyDescent="0.2">
      <c r="A192">
        <f t="shared" si="2"/>
        <v>190</v>
      </c>
      <c r="B192" t="s">
        <v>1651</v>
      </c>
      <c r="Q192" s="18">
        <v>26477.296376999999</v>
      </c>
      <c r="R192" s="18">
        <v>25351.999607000002</v>
      </c>
      <c r="S192" s="18">
        <v>27700.919522</v>
      </c>
      <c r="T192" s="18">
        <v>16200.703942</v>
      </c>
    </row>
    <row r="193" spans="1:24" x14ac:dyDescent="0.2">
      <c r="A193">
        <f t="shared" si="2"/>
        <v>191</v>
      </c>
      <c r="B193" t="s">
        <v>1652</v>
      </c>
      <c r="Q193" s="18">
        <v>26547.531223999998</v>
      </c>
      <c r="R193" s="18">
        <v>27723.915624000001</v>
      </c>
      <c r="S193" s="18">
        <v>27830.143078000001</v>
      </c>
      <c r="T193" s="18">
        <v>28148.258869000001</v>
      </c>
      <c r="U193" t="s">
        <v>1659</v>
      </c>
      <c r="W193" s="18">
        <v>34</v>
      </c>
      <c r="X193" s="18">
        <v>6</v>
      </c>
    </row>
    <row r="194" spans="1:24" x14ac:dyDescent="0.2">
      <c r="A194">
        <f t="shared" si="2"/>
        <v>192</v>
      </c>
      <c r="B194" t="s">
        <v>1653</v>
      </c>
      <c r="Q194" s="18">
        <v>27919.277783000001</v>
      </c>
      <c r="R194" s="18">
        <v>8863.9294339999997</v>
      </c>
      <c r="S194" s="18">
        <v>8504.0392019999999</v>
      </c>
      <c r="W194" s="18">
        <v>1514</v>
      </c>
      <c r="X194" s="18">
        <v>328</v>
      </c>
    </row>
    <row r="195" spans="1:24" x14ac:dyDescent="0.2">
      <c r="A195">
        <f t="shared" si="2"/>
        <v>193</v>
      </c>
      <c r="B195" t="s">
        <v>1654</v>
      </c>
      <c r="Q195" s="18">
        <v>25563.147280000001</v>
      </c>
      <c r="R195" s="18">
        <v>26259.190061000001</v>
      </c>
      <c r="S195" s="18">
        <v>27606.756689999998</v>
      </c>
      <c r="T195" s="18">
        <v>27569.971207999999</v>
      </c>
      <c r="W195" s="18">
        <v>837</v>
      </c>
      <c r="X195" s="18">
        <v>308</v>
      </c>
    </row>
    <row r="196" spans="1:24" x14ac:dyDescent="0.2">
      <c r="A196">
        <f t="shared" si="2"/>
        <v>194</v>
      </c>
      <c r="B196" t="s">
        <v>1656</v>
      </c>
      <c r="Q196" s="18">
        <v>27026.716371999999</v>
      </c>
      <c r="R196" s="18">
        <v>25789.35785</v>
      </c>
      <c r="S196" s="18">
        <v>24768.158759999998</v>
      </c>
      <c r="T196" s="18">
        <v>24618.487260999998</v>
      </c>
      <c r="W196" s="18">
        <v>61</v>
      </c>
      <c r="X196" s="18">
        <v>14</v>
      </c>
    </row>
    <row r="197" spans="1:24" x14ac:dyDescent="0.2">
      <c r="A197">
        <f t="shared" si="2"/>
        <v>195</v>
      </c>
      <c r="B197" t="s">
        <v>1657</v>
      </c>
      <c r="Q197" s="18">
        <v>25859.27291</v>
      </c>
      <c r="R197" s="18">
        <v>26966.883529999999</v>
      </c>
      <c r="S197" s="18">
        <v>26920.442589999999</v>
      </c>
      <c r="W197" s="18">
        <v>21</v>
      </c>
      <c r="X197" s="18">
        <v>5</v>
      </c>
    </row>
    <row r="198" spans="1:24" x14ac:dyDescent="0.2">
      <c r="A198">
        <f t="shared" si="2"/>
        <v>196</v>
      </c>
      <c r="B198" t="s">
        <v>1658</v>
      </c>
      <c r="Q198" s="18">
        <v>25859.865043000002</v>
      </c>
      <c r="R198" s="18">
        <v>25854.064870999999</v>
      </c>
      <c r="S198" s="18">
        <v>26728.420631000001</v>
      </c>
      <c r="T198" s="18">
        <v>26944.070534999999</v>
      </c>
    </row>
    <row r="199" spans="1:24" x14ac:dyDescent="0.2">
      <c r="A199">
        <f t="shared" si="2"/>
        <v>197</v>
      </c>
      <c r="B199" t="s">
        <v>1660</v>
      </c>
      <c r="Q199" s="18">
        <v>26126.729745000001</v>
      </c>
      <c r="R199" s="18">
        <v>24540.128001000001</v>
      </c>
      <c r="S199" s="18">
        <v>25371.039341</v>
      </c>
      <c r="T199" s="18">
        <v>22081.146792</v>
      </c>
    </row>
    <row r="200" spans="1:24" x14ac:dyDescent="0.2">
      <c r="A200">
        <f t="shared" si="2"/>
        <v>198</v>
      </c>
      <c r="B200" t="s">
        <v>1661</v>
      </c>
      <c r="Q200" s="18">
        <v>24224.927899999999</v>
      </c>
      <c r="R200" s="18">
        <v>24439.1973</v>
      </c>
      <c r="S200" s="18">
        <v>25928.866808999999</v>
      </c>
      <c r="T200" s="18">
        <v>26041.617068</v>
      </c>
      <c r="W200" s="18">
        <v>113</v>
      </c>
      <c r="X200" s="18">
        <v>7</v>
      </c>
    </row>
    <row r="201" spans="1:24" x14ac:dyDescent="0.2">
      <c r="A201">
        <f t="shared" si="2"/>
        <v>199</v>
      </c>
      <c r="B201" t="s">
        <v>1662</v>
      </c>
      <c r="P201" s="18">
        <v>25028.243842</v>
      </c>
      <c r="Q201" s="18">
        <f>25553.48889+25098.855305</f>
        <v>50652.344194999998</v>
      </c>
      <c r="R201" s="18">
        <f>25620.349934+25308.30661</f>
        <v>50928.656543999998</v>
      </c>
      <c r="S201" s="18">
        <f>25992.151403+23356.411554</f>
        <v>49348.562957000002</v>
      </c>
      <c r="U201" t="s">
        <v>1666</v>
      </c>
    </row>
    <row r="202" spans="1:24" x14ac:dyDescent="0.2">
      <c r="A202">
        <f t="shared" si="2"/>
        <v>200</v>
      </c>
      <c r="B202" t="s">
        <v>1663</v>
      </c>
      <c r="Q202" s="18">
        <v>20776.503508999998</v>
      </c>
      <c r="R202" s="18">
        <v>23808.847710999999</v>
      </c>
      <c r="S202" s="18">
        <v>25986.991211</v>
      </c>
    </row>
    <row r="203" spans="1:24" x14ac:dyDescent="0.2">
      <c r="A203">
        <f t="shared" si="2"/>
        <v>201</v>
      </c>
      <c r="B203" t="s">
        <v>1664</v>
      </c>
      <c r="Q203" s="18">
        <v>22376.673975000002</v>
      </c>
      <c r="R203" s="18">
        <v>24180.953458</v>
      </c>
      <c r="S203" s="18">
        <v>25930.722989999998</v>
      </c>
      <c r="W203" s="18">
        <v>9</v>
      </c>
      <c r="X203" s="18">
        <v>7</v>
      </c>
    </row>
    <row r="204" spans="1:24" x14ac:dyDescent="0.2">
      <c r="A204">
        <f t="shared" si="2"/>
        <v>202</v>
      </c>
      <c r="B204" t="s">
        <v>1665</v>
      </c>
      <c r="Q204" s="18">
        <v>15383.359841</v>
      </c>
      <c r="R204" s="18">
        <v>15902.842608999999</v>
      </c>
      <c r="S204" s="18">
        <v>16894.506954</v>
      </c>
      <c r="T204" s="18">
        <v>25785.799429999999</v>
      </c>
      <c r="W204" s="18">
        <v>365</v>
      </c>
      <c r="X204" s="18">
        <v>192</v>
      </c>
    </row>
    <row r="205" spans="1:24" x14ac:dyDescent="0.2">
      <c r="A205">
        <f t="shared" si="2"/>
        <v>203</v>
      </c>
      <c r="B205" t="s">
        <v>1667</v>
      </c>
      <c r="Q205" s="18">
        <v>25550.406404000001</v>
      </c>
      <c r="R205" s="18">
        <v>24539.466800999999</v>
      </c>
      <c r="S205" s="18">
        <v>25278.411424999998</v>
      </c>
      <c r="W205" s="18">
        <v>36</v>
      </c>
      <c r="X205" s="18">
        <v>21</v>
      </c>
    </row>
    <row r="206" spans="1:24" x14ac:dyDescent="0.2">
      <c r="A206">
        <f t="shared" si="2"/>
        <v>204</v>
      </c>
      <c r="B206" t="s">
        <v>1668</v>
      </c>
      <c r="Q206" s="18">
        <v>22983.332232000001</v>
      </c>
      <c r="R206" s="18">
        <v>23856.983187999998</v>
      </c>
      <c r="S206" s="18">
        <v>25497.831043999999</v>
      </c>
      <c r="T206" s="18">
        <v>25134.402555000001</v>
      </c>
    </row>
    <row r="207" spans="1:24" x14ac:dyDescent="0.2">
      <c r="A207">
        <f t="shared" si="2"/>
        <v>205</v>
      </c>
      <c r="B207" t="s">
        <v>1669</v>
      </c>
      <c r="Q207" s="18">
        <v>22924.152096000002</v>
      </c>
      <c r="R207" s="18">
        <v>23355.046605</v>
      </c>
      <c r="S207" s="18">
        <v>25472.972441000002</v>
      </c>
      <c r="W207" s="18">
        <v>29</v>
      </c>
      <c r="X207" s="18">
        <v>11</v>
      </c>
    </row>
    <row r="208" spans="1:24" x14ac:dyDescent="0.2">
      <c r="A208">
        <f t="shared" si="2"/>
        <v>206</v>
      </c>
      <c r="B208" t="s">
        <v>1670</v>
      </c>
      <c r="Q208" s="18">
        <v>24764.541324000002</v>
      </c>
      <c r="R208" s="18">
        <v>23931.511087999999</v>
      </c>
      <c r="S208" s="18">
        <v>22927.663719</v>
      </c>
      <c r="W208" s="18">
        <v>1320</v>
      </c>
      <c r="X208" s="18">
        <v>423</v>
      </c>
    </row>
    <row r="209" spans="1:24" x14ac:dyDescent="0.2">
      <c r="A209">
        <f t="shared" si="2"/>
        <v>207</v>
      </c>
      <c r="B209" t="s">
        <v>1671</v>
      </c>
      <c r="Q209" s="18">
        <v>24501.252111999998</v>
      </c>
      <c r="R209" s="18">
        <v>23379.941973000001</v>
      </c>
      <c r="S209" s="18">
        <v>24719.469423999999</v>
      </c>
      <c r="T209" s="18">
        <v>22646.357067000001</v>
      </c>
      <c r="W209" s="18">
        <v>119</v>
      </c>
      <c r="X209" s="18">
        <v>31</v>
      </c>
    </row>
    <row r="210" spans="1:24" x14ac:dyDescent="0.2">
      <c r="A210">
        <f t="shared" si="2"/>
        <v>208</v>
      </c>
      <c r="B210" t="s">
        <v>882</v>
      </c>
      <c r="Q210" s="18">
        <v>18062.347472000001</v>
      </c>
      <c r="R210" s="18">
        <v>21535.153732999999</v>
      </c>
      <c r="S210" s="18">
        <v>24690.574099000001</v>
      </c>
      <c r="W210" s="18">
        <v>2571</v>
      </c>
    </row>
    <row r="211" spans="1:24" x14ac:dyDescent="0.2">
      <c r="A211">
        <f t="shared" si="2"/>
        <v>209</v>
      </c>
      <c r="B211" t="s">
        <v>1672</v>
      </c>
      <c r="Q211" s="18">
        <v>21107.344217999998</v>
      </c>
      <c r="R211" s="18">
        <v>22515.377495000001</v>
      </c>
      <c r="S211" s="18">
        <v>23126.305892</v>
      </c>
      <c r="T211" s="18">
        <v>23911.123619999998</v>
      </c>
      <c r="W211" s="18">
        <v>156</v>
      </c>
      <c r="X211" s="18">
        <v>78</v>
      </c>
    </row>
    <row r="212" spans="1:24" x14ac:dyDescent="0.2">
      <c r="A212">
        <f t="shared" si="2"/>
        <v>210</v>
      </c>
      <c r="B212" t="s">
        <v>1673</v>
      </c>
      <c r="Q212" s="18">
        <v>23904.067749999998</v>
      </c>
      <c r="R212" s="18">
        <v>22653.397343000001</v>
      </c>
      <c r="S212" s="18">
        <v>23600.158368</v>
      </c>
      <c r="T212" s="18">
        <v>19939.372554000001</v>
      </c>
    </row>
    <row r="213" spans="1:24" x14ac:dyDescent="0.2">
      <c r="A213">
        <f t="shared" si="2"/>
        <v>211</v>
      </c>
      <c r="B213" t="s">
        <v>1674</v>
      </c>
      <c r="Q213" s="18">
        <v>23246.477964000002</v>
      </c>
      <c r="R213" s="18">
        <v>23814.499918000001</v>
      </c>
      <c r="S213" s="18">
        <v>20625.263959</v>
      </c>
      <c r="T213" s="18">
        <v>22116.519230999998</v>
      </c>
      <c r="W213" s="18">
        <v>76</v>
      </c>
      <c r="X213" s="18">
        <v>28</v>
      </c>
    </row>
    <row r="214" spans="1:24" x14ac:dyDescent="0.2">
      <c r="A214">
        <f t="shared" si="2"/>
        <v>212</v>
      </c>
      <c r="B214" t="s">
        <v>1675</v>
      </c>
      <c r="Q214" s="18">
        <v>19047.708537999999</v>
      </c>
      <c r="R214" s="18">
        <v>21418.721393</v>
      </c>
      <c r="S214" s="18">
        <v>23718.035</v>
      </c>
      <c r="W214" s="18">
        <v>154</v>
      </c>
      <c r="X214" s="18">
        <v>51</v>
      </c>
    </row>
    <row r="215" spans="1:24" x14ac:dyDescent="0.2">
      <c r="A215">
        <f t="shared" si="2"/>
        <v>213</v>
      </c>
      <c r="B215" t="s">
        <v>1676</v>
      </c>
      <c r="Q215" s="18">
        <v>22169.872920999998</v>
      </c>
      <c r="R215" s="18">
        <v>22188.926476000001</v>
      </c>
      <c r="S215" s="18">
        <v>23298.135470000001</v>
      </c>
      <c r="T215" s="18">
        <v>23107.338851</v>
      </c>
      <c r="W215" s="18">
        <v>71</v>
      </c>
      <c r="X215" s="18">
        <v>21</v>
      </c>
    </row>
    <row r="216" spans="1:24" x14ac:dyDescent="0.2">
      <c r="A216">
        <f t="shared" si="2"/>
        <v>214</v>
      </c>
      <c r="B216" t="s">
        <v>1677</v>
      </c>
      <c r="Q216" s="18">
        <v>19179.142561000001</v>
      </c>
      <c r="R216" s="18">
        <v>20960.054118</v>
      </c>
      <c r="S216" s="18">
        <v>22149.515775</v>
      </c>
      <c r="T216" s="18">
        <v>23112.189514000002</v>
      </c>
      <c r="W216" s="18">
        <v>1114</v>
      </c>
      <c r="X216" s="18">
        <v>521</v>
      </c>
    </row>
    <row r="217" spans="1:24" x14ac:dyDescent="0.2">
      <c r="A217">
        <f t="shared" si="2"/>
        <v>215</v>
      </c>
      <c r="B217" t="s">
        <v>1678</v>
      </c>
      <c r="R217" s="18">
        <v>20353.525988000001</v>
      </c>
      <c r="S217" s="18">
        <v>22133.837079000001</v>
      </c>
      <c r="T217" s="18">
        <v>22971.696459999999</v>
      </c>
      <c r="W217" s="18">
        <v>68</v>
      </c>
      <c r="X217" s="18">
        <v>25</v>
      </c>
    </row>
    <row r="218" spans="1:24" x14ac:dyDescent="0.2">
      <c r="A218">
        <f t="shared" si="2"/>
        <v>216</v>
      </c>
      <c r="B218" t="s">
        <v>1679</v>
      </c>
      <c r="Q218" s="18">
        <v>21841.700628999999</v>
      </c>
      <c r="R218" s="18">
        <v>21389.716579</v>
      </c>
      <c r="S218" s="18">
        <v>22966.652764999999</v>
      </c>
    </row>
    <row r="219" spans="1:24" x14ac:dyDescent="0.2">
      <c r="A219">
        <f t="shared" si="2"/>
        <v>217</v>
      </c>
      <c r="B219" t="s">
        <v>1680</v>
      </c>
      <c r="Q219" s="18">
        <v>21457.299222000001</v>
      </c>
      <c r="R219" s="18">
        <v>22153.388285000001</v>
      </c>
      <c r="S219" s="18">
        <v>22606.285077</v>
      </c>
    </row>
    <row r="220" spans="1:24" x14ac:dyDescent="0.2">
      <c r="A220">
        <f t="shared" si="2"/>
        <v>218</v>
      </c>
      <c r="B220" t="s">
        <v>1681</v>
      </c>
      <c r="Q220" s="18">
        <v>21564.493218</v>
      </c>
      <c r="R220" s="18">
        <v>21124.607425999999</v>
      </c>
      <c r="S220" s="18">
        <v>21949.312019000001</v>
      </c>
      <c r="T220" s="18">
        <v>22030.393779999999</v>
      </c>
    </row>
    <row r="221" spans="1:24" x14ac:dyDescent="0.2">
      <c r="A221">
        <f t="shared" si="2"/>
        <v>219</v>
      </c>
      <c r="B221" t="s">
        <v>873</v>
      </c>
      <c r="Q221" s="18">
        <v>19058.019715999999</v>
      </c>
      <c r="R221" s="18">
        <v>19194.117276000001</v>
      </c>
      <c r="S221" s="18">
        <v>21947.420055999999</v>
      </c>
      <c r="W221" s="18">
        <v>212</v>
      </c>
      <c r="X221" s="18">
        <v>25</v>
      </c>
    </row>
    <row r="222" spans="1:24" x14ac:dyDescent="0.2">
      <c r="A222">
        <f t="shared" si="2"/>
        <v>220</v>
      </c>
      <c r="B222" t="s">
        <v>1683</v>
      </c>
      <c r="Q222" s="18">
        <v>19184.773739</v>
      </c>
      <c r="R222" s="18">
        <v>19886.492903999999</v>
      </c>
      <c r="S222" s="18">
        <v>20928.388126999998</v>
      </c>
      <c r="T222" s="18">
        <v>21636.409666</v>
      </c>
      <c r="U222" t="s">
        <v>1684</v>
      </c>
      <c r="W222" s="18">
        <v>137</v>
      </c>
      <c r="X222" s="18">
        <v>45</v>
      </c>
    </row>
    <row r="223" spans="1:24" x14ac:dyDescent="0.2">
      <c r="A223">
        <f t="shared" si="2"/>
        <v>221</v>
      </c>
      <c r="B223" t="s">
        <v>1685</v>
      </c>
      <c r="Q223" s="18">
        <v>17089.419456</v>
      </c>
      <c r="R223" s="18">
        <v>17353.009730999998</v>
      </c>
      <c r="S223" s="18">
        <v>20063.426645</v>
      </c>
      <c r="T223" s="18">
        <v>21195.010675000001</v>
      </c>
    </row>
    <row r="224" spans="1:24" x14ac:dyDescent="0.2">
      <c r="A224">
        <f t="shared" si="2"/>
        <v>222</v>
      </c>
      <c r="B224" t="s">
        <v>1686</v>
      </c>
      <c r="T224" s="18">
        <v>21112.242719999998</v>
      </c>
    </row>
    <row r="225" spans="1:24" x14ac:dyDescent="0.2">
      <c r="A225">
        <f t="shared" si="2"/>
        <v>223</v>
      </c>
      <c r="B225" t="s">
        <v>1687</v>
      </c>
      <c r="Q225" s="18">
        <v>19065.029340000001</v>
      </c>
      <c r="R225" s="18">
        <v>16970.478769000001</v>
      </c>
      <c r="S225" s="18">
        <v>20962.784679</v>
      </c>
    </row>
    <row r="226" spans="1:24" x14ac:dyDescent="0.2">
      <c r="A226">
        <f t="shared" si="2"/>
        <v>224</v>
      </c>
      <c r="B226" t="s">
        <v>1688</v>
      </c>
      <c r="Q226" s="18">
        <v>19945.769101000002</v>
      </c>
      <c r="R226" s="18">
        <v>19724.037337999998</v>
      </c>
      <c r="S226" s="18">
        <v>20908.804264999999</v>
      </c>
    </row>
    <row r="227" spans="1:24" x14ac:dyDescent="0.2">
      <c r="A227">
        <f t="shared" si="2"/>
        <v>225</v>
      </c>
      <c r="B227" t="s">
        <v>1689</v>
      </c>
      <c r="Q227" s="18">
        <v>17328.011709999999</v>
      </c>
      <c r="R227" s="18">
        <v>18360.219682999999</v>
      </c>
      <c r="S227" s="18">
        <v>19817.322027999999</v>
      </c>
      <c r="T227" s="18">
        <v>20656.248672999998</v>
      </c>
    </row>
    <row r="228" spans="1:24" x14ac:dyDescent="0.2">
      <c r="A228">
        <f t="shared" si="2"/>
        <v>226</v>
      </c>
      <c r="B228" t="s">
        <v>1690</v>
      </c>
      <c r="Q228" s="18">
        <v>20166.473183999999</v>
      </c>
      <c r="R228" s="18">
        <v>20570.057184000001</v>
      </c>
      <c r="S228" s="18">
        <v>20630.441944999999</v>
      </c>
    </row>
    <row r="229" spans="1:24" x14ac:dyDescent="0.2">
      <c r="A229">
        <f t="shared" si="2"/>
        <v>227</v>
      </c>
      <c r="B229" t="s">
        <v>1691</v>
      </c>
      <c r="Q229" s="18">
        <v>20442.162294999998</v>
      </c>
    </row>
    <row r="230" spans="1:24" x14ac:dyDescent="0.2">
      <c r="A230">
        <f t="shared" si="2"/>
        <v>228</v>
      </c>
      <c r="B230" t="s">
        <v>1692</v>
      </c>
      <c r="Q230" s="18">
        <v>19121.616769</v>
      </c>
      <c r="R230" s="18">
        <v>18695.800093999998</v>
      </c>
      <c r="S230" s="18">
        <v>20403.244848999999</v>
      </c>
      <c r="T230" s="18">
        <v>20199.486829000001</v>
      </c>
      <c r="W230" s="18">
        <v>92</v>
      </c>
      <c r="X230" s="18">
        <v>39</v>
      </c>
    </row>
    <row r="231" spans="1:24" x14ac:dyDescent="0.2">
      <c r="A231">
        <f t="shared" si="2"/>
        <v>229</v>
      </c>
      <c r="B231" t="s">
        <v>1693</v>
      </c>
      <c r="Q231" s="18">
        <v>13847.513846</v>
      </c>
      <c r="R231" s="18">
        <v>18641.481844000002</v>
      </c>
      <c r="S231" s="18">
        <v>20236.219796000001</v>
      </c>
    </row>
    <row r="232" spans="1:24" x14ac:dyDescent="0.2">
      <c r="A232">
        <f t="shared" si="2"/>
        <v>230</v>
      </c>
      <c r="B232" t="s">
        <v>1695</v>
      </c>
      <c r="Q232" s="18">
        <v>18601.829435</v>
      </c>
      <c r="S232" s="18">
        <v>20165.853102000001</v>
      </c>
      <c r="T232" s="18">
        <v>19235.425047000001</v>
      </c>
    </row>
    <row r="233" spans="1:24" x14ac:dyDescent="0.2">
      <c r="A233">
        <f t="shared" si="2"/>
        <v>231</v>
      </c>
      <c r="B233" t="s">
        <v>1697</v>
      </c>
      <c r="Q233" s="18">
        <v>18044.773056000002</v>
      </c>
      <c r="R233" s="18">
        <v>18018.705733999999</v>
      </c>
      <c r="S233" s="18">
        <v>19745.788221999999</v>
      </c>
      <c r="T233" s="18">
        <v>20108.294016</v>
      </c>
    </row>
    <row r="234" spans="1:24" x14ac:dyDescent="0.2">
      <c r="A234">
        <f t="shared" si="2"/>
        <v>232</v>
      </c>
      <c r="B234" t="s">
        <v>1698</v>
      </c>
      <c r="Q234" s="18">
        <v>17003.780708999999</v>
      </c>
      <c r="R234" s="18">
        <v>17964.036064</v>
      </c>
      <c r="S234" s="18">
        <v>20058.365463999999</v>
      </c>
    </row>
    <row r="235" spans="1:24" x14ac:dyDescent="0.2">
      <c r="A235">
        <f t="shared" si="2"/>
        <v>233</v>
      </c>
      <c r="B235" t="s">
        <v>1700</v>
      </c>
      <c r="Q235" s="18">
        <v>19742.315164</v>
      </c>
      <c r="R235" s="18">
        <v>18644.835427999999</v>
      </c>
      <c r="S235" s="18">
        <v>19596.820111000001</v>
      </c>
    </row>
    <row r="236" spans="1:24" x14ac:dyDescent="0.2">
      <c r="A236">
        <f t="shared" si="2"/>
        <v>234</v>
      </c>
      <c r="B236" t="s">
        <v>1701</v>
      </c>
      <c r="Q236" s="18">
        <v>17960.900615999999</v>
      </c>
      <c r="R236" s="18">
        <v>17898.695583000001</v>
      </c>
      <c r="S236" s="18">
        <v>19420.090258</v>
      </c>
      <c r="T236" s="18">
        <v>18913.744353999999</v>
      </c>
    </row>
    <row r="237" spans="1:24" x14ac:dyDescent="0.2">
      <c r="A237">
        <f t="shared" si="2"/>
        <v>235</v>
      </c>
      <c r="B237" t="s">
        <v>1702</v>
      </c>
      <c r="Q237" s="18">
        <v>19236.581719999998</v>
      </c>
      <c r="R237" s="18">
        <v>17469.700731000001</v>
      </c>
      <c r="S237" s="18">
        <v>17741.754578</v>
      </c>
      <c r="T237" s="18">
        <v>16369.059316000001</v>
      </c>
      <c r="W237" s="18">
        <v>4242</v>
      </c>
      <c r="X237" s="18">
        <v>1061</v>
      </c>
    </row>
    <row r="238" spans="1:24" x14ac:dyDescent="0.2">
      <c r="A238">
        <f t="shared" si="2"/>
        <v>236</v>
      </c>
      <c r="B238" t="s">
        <v>1703</v>
      </c>
      <c r="T238" s="18">
        <v>19136.174384000002</v>
      </c>
    </row>
    <row r="239" spans="1:24" x14ac:dyDescent="0.2">
      <c r="A239">
        <f t="shared" si="2"/>
        <v>237</v>
      </c>
      <c r="B239" t="s">
        <v>1704</v>
      </c>
      <c r="Q239" s="18">
        <v>18990.216770999999</v>
      </c>
      <c r="R239" s="18">
        <v>17795.488224000001</v>
      </c>
      <c r="S239" s="18">
        <v>18990.692325</v>
      </c>
    </row>
    <row r="240" spans="1:24" x14ac:dyDescent="0.2">
      <c r="A240">
        <f t="shared" si="2"/>
        <v>238</v>
      </c>
      <c r="B240" t="s">
        <v>1706</v>
      </c>
      <c r="Q240" s="18">
        <v>17488.510439999998</v>
      </c>
      <c r="R240" s="18">
        <v>17945.400205999998</v>
      </c>
      <c r="S240" s="18">
        <v>18173.393091999998</v>
      </c>
      <c r="T240" s="18">
        <v>18967.154897</v>
      </c>
    </row>
    <row r="241" spans="1:24" x14ac:dyDescent="0.2">
      <c r="A241">
        <f t="shared" si="2"/>
        <v>239</v>
      </c>
      <c r="B241" t="s">
        <v>1707</v>
      </c>
      <c r="Q241" s="18">
        <v>16692.216862000001</v>
      </c>
      <c r="R241" s="18">
        <v>16053.60533</v>
      </c>
      <c r="S241" s="18">
        <v>18887.460583</v>
      </c>
    </row>
    <row r="242" spans="1:24" x14ac:dyDescent="0.2">
      <c r="A242">
        <f t="shared" si="2"/>
        <v>240</v>
      </c>
      <c r="B242" t="s">
        <v>1708</v>
      </c>
      <c r="R242" s="18">
        <v>18194.958573</v>
      </c>
      <c r="S242" s="18">
        <v>18733.757719000001</v>
      </c>
      <c r="T242" s="18">
        <v>18502.047581999999</v>
      </c>
      <c r="W242" s="18">
        <v>245</v>
      </c>
      <c r="X242" s="18">
        <v>100</v>
      </c>
    </row>
    <row r="243" spans="1:24" x14ac:dyDescent="0.2">
      <c r="A243">
        <f t="shared" si="2"/>
        <v>241</v>
      </c>
      <c r="B243" t="s">
        <v>1710</v>
      </c>
      <c r="R243" s="18">
        <v>15987.052314</v>
      </c>
      <c r="S243" s="18">
        <v>18549.866391</v>
      </c>
    </row>
    <row r="244" spans="1:24" x14ac:dyDescent="0.2">
      <c r="A244">
        <f t="shared" si="2"/>
        <v>242</v>
      </c>
      <c r="B244" t="s">
        <v>1711</v>
      </c>
      <c r="Q244" s="18">
        <v>14882.294664999999</v>
      </c>
      <c r="R244" s="18">
        <v>16835.092412000002</v>
      </c>
      <c r="S244" s="18">
        <v>17438.862680999999</v>
      </c>
      <c r="T244" s="18">
        <v>18429.461976999999</v>
      </c>
      <c r="W244" s="18">
        <v>1231</v>
      </c>
      <c r="X244" s="18">
        <v>383</v>
      </c>
    </row>
    <row r="245" spans="1:24" x14ac:dyDescent="0.2">
      <c r="A245">
        <f t="shared" si="2"/>
        <v>243</v>
      </c>
      <c r="B245" t="s">
        <v>1712</v>
      </c>
      <c r="Q245" s="18">
        <v>11275.010018000001</v>
      </c>
      <c r="R245" s="18">
        <v>13582.201462999999</v>
      </c>
      <c r="S245" s="18">
        <v>16932.873824999999</v>
      </c>
      <c r="T245" s="18">
        <v>18404.994832</v>
      </c>
      <c r="W245" s="18">
        <v>7</v>
      </c>
      <c r="X245" s="18">
        <v>3</v>
      </c>
    </row>
    <row r="246" spans="1:24" x14ac:dyDescent="0.2">
      <c r="A246">
        <f t="shared" si="2"/>
        <v>244</v>
      </c>
      <c r="B246" t="s">
        <v>1713</v>
      </c>
      <c r="Q246" s="18">
        <v>14920.784954000001</v>
      </c>
      <c r="R246" s="18">
        <v>17893.367679999999</v>
      </c>
      <c r="S246" s="18">
        <v>18153.957890000001</v>
      </c>
      <c r="T246" s="18">
        <v>18297.710551</v>
      </c>
    </row>
    <row r="247" spans="1:24" x14ac:dyDescent="0.2">
      <c r="A247">
        <f t="shared" si="2"/>
        <v>245</v>
      </c>
      <c r="B247" t="s">
        <v>1714</v>
      </c>
      <c r="Q247" s="18">
        <v>14151.98156</v>
      </c>
      <c r="R247" s="18">
        <v>15507.427992000001</v>
      </c>
      <c r="S247" s="18">
        <v>16423.837506</v>
      </c>
      <c r="T247" s="18">
        <v>18177.311613999998</v>
      </c>
    </row>
    <row r="248" spans="1:24" x14ac:dyDescent="0.2">
      <c r="A248">
        <f t="shared" si="2"/>
        <v>246</v>
      </c>
      <c r="B248" t="s">
        <v>1715</v>
      </c>
      <c r="Q248" s="18">
        <v>16201.530237000001</v>
      </c>
      <c r="R248" s="18">
        <v>18118.374239000001</v>
      </c>
      <c r="S248" s="18">
        <v>17334.718065000001</v>
      </c>
    </row>
    <row r="249" spans="1:24" x14ac:dyDescent="0.2">
      <c r="A249">
        <f t="shared" si="2"/>
        <v>247</v>
      </c>
      <c r="B249" t="s">
        <v>1716</v>
      </c>
      <c r="R249" s="18">
        <v>16464.743735</v>
      </c>
      <c r="S249" s="18">
        <v>17879.154764999999</v>
      </c>
    </row>
    <row r="250" spans="1:24" x14ac:dyDescent="0.2">
      <c r="A250">
        <f t="shared" si="2"/>
        <v>248</v>
      </c>
      <c r="B250" t="s">
        <v>1717</v>
      </c>
      <c r="Q250" s="18">
        <v>17841.580568000001</v>
      </c>
      <c r="R250" s="18">
        <v>17215.167888</v>
      </c>
      <c r="S250" s="18">
        <v>17828.055833999999</v>
      </c>
      <c r="T250" s="18">
        <v>17206.361762</v>
      </c>
    </row>
    <row r="251" spans="1:24" x14ac:dyDescent="0.2">
      <c r="A251">
        <f t="shared" si="2"/>
        <v>249</v>
      </c>
      <c r="B251" t="s">
        <v>1718</v>
      </c>
      <c r="Q251" s="18">
        <v>13915.653206999999</v>
      </c>
      <c r="R251" s="18">
        <v>14906.627751</v>
      </c>
      <c r="S251" s="18">
        <v>16106.196598</v>
      </c>
      <c r="T251" s="18">
        <v>17765.141124999998</v>
      </c>
    </row>
    <row r="252" spans="1:24" x14ac:dyDescent="0.2">
      <c r="A252">
        <f t="shared" si="2"/>
        <v>250</v>
      </c>
      <c r="B252" t="s">
        <v>1719</v>
      </c>
      <c r="Q252" s="18">
        <v>16310.407864000001</v>
      </c>
      <c r="R252" s="18">
        <v>16557.877777000002</v>
      </c>
      <c r="S252" s="18">
        <v>17643.774374000001</v>
      </c>
      <c r="T252" s="18">
        <v>17704.13492</v>
      </c>
      <c r="W252" s="18">
        <v>249</v>
      </c>
      <c r="X252" s="18">
        <v>29</v>
      </c>
    </row>
    <row r="253" spans="1:24" x14ac:dyDescent="0.2">
      <c r="A253">
        <f t="shared" si="2"/>
        <v>251</v>
      </c>
      <c r="B253" t="s">
        <v>1720</v>
      </c>
      <c r="Q253" s="18">
        <v>16930.187104000001</v>
      </c>
      <c r="R253" s="18">
        <v>15947.877173999999</v>
      </c>
      <c r="T253" s="18">
        <v>17694.139755</v>
      </c>
    </row>
    <row r="254" spans="1:24" x14ac:dyDescent="0.2">
      <c r="A254">
        <f t="shared" si="2"/>
        <v>252</v>
      </c>
      <c r="B254" t="s">
        <v>1721</v>
      </c>
      <c r="Q254" s="18">
        <v>17463.754084</v>
      </c>
      <c r="R254" s="18">
        <v>16310.324364</v>
      </c>
      <c r="S254" s="18">
        <v>16545.382973</v>
      </c>
      <c r="T254" s="18">
        <v>15804.194895000001</v>
      </c>
    </row>
    <row r="255" spans="1:24" x14ac:dyDescent="0.2">
      <c r="A255">
        <f t="shared" si="2"/>
        <v>253</v>
      </c>
      <c r="B255" t="s">
        <v>1723</v>
      </c>
      <c r="Q255" s="18">
        <v>15637.086799000001</v>
      </c>
      <c r="R255" s="18">
        <v>16497.614829999999</v>
      </c>
      <c r="S255" s="18">
        <v>17401.934455999999</v>
      </c>
      <c r="T255" s="18">
        <v>17365.299833000001</v>
      </c>
      <c r="U255" t="s">
        <v>1724</v>
      </c>
    </row>
    <row r="256" spans="1:24" x14ac:dyDescent="0.2">
      <c r="A256">
        <f t="shared" si="2"/>
        <v>254</v>
      </c>
      <c r="B256" t="s">
        <v>1725</v>
      </c>
      <c r="Q256" s="18">
        <v>14587.821733000001</v>
      </c>
      <c r="R256" s="18">
        <v>16858.265330999999</v>
      </c>
      <c r="S256" s="18">
        <v>17205.849381</v>
      </c>
      <c r="T256" s="18">
        <v>14839.713414</v>
      </c>
      <c r="W256" s="18">
        <v>3789</v>
      </c>
      <c r="X256" s="18">
        <v>1313</v>
      </c>
    </row>
    <row r="257" spans="1:24" x14ac:dyDescent="0.2">
      <c r="A257">
        <f t="shared" si="2"/>
        <v>255</v>
      </c>
      <c r="B257" t="s">
        <v>1726</v>
      </c>
      <c r="T257" s="18">
        <v>16904.301607000001</v>
      </c>
    </row>
    <row r="258" spans="1:24" x14ac:dyDescent="0.2">
      <c r="A258">
        <f t="shared" si="2"/>
        <v>256</v>
      </c>
      <c r="B258" t="s">
        <v>1727</v>
      </c>
      <c r="Q258" s="18">
        <v>14456.101564000001</v>
      </c>
      <c r="R258" s="18">
        <v>15345.312103</v>
      </c>
      <c r="T258" s="18">
        <v>16745.939428999998</v>
      </c>
    </row>
    <row r="259" spans="1:24" x14ac:dyDescent="0.2">
      <c r="A259">
        <f t="shared" si="2"/>
        <v>257</v>
      </c>
      <c r="B259" t="s">
        <v>1728</v>
      </c>
      <c r="Q259" s="18">
        <v>14474.781418</v>
      </c>
      <c r="R259" s="18">
        <v>16572.074278</v>
      </c>
      <c r="S259" s="18">
        <v>16664.198836</v>
      </c>
    </row>
    <row r="260" spans="1:24" x14ac:dyDescent="0.2">
      <c r="A260">
        <f t="shared" si="2"/>
        <v>258</v>
      </c>
      <c r="B260" t="s">
        <v>1729</v>
      </c>
      <c r="R260" s="18">
        <v>13736.047423</v>
      </c>
      <c r="S260" s="18">
        <v>15417.734673999999</v>
      </c>
      <c r="T260" s="18">
        <v>16641.258727</v>
      </c>
    </row>
    <row r="261" spans="1:24" x14ac:dyDescent="0.2">
      <c r="A261">
        <f t="shared" si="2"/>
        <v>259</v>
      </c>
      <c r="B261" t="s">
        <v>1733</v>
      </c>
      <c r="Q261" s="18">
        <v>14454.097022</v>
      </c>
      <c r="R261" s="18">
        <v>14980.345681999999</v>
      </c>
      <c r="S261" s="18">
        <v>15868.213822</v>
      </c>
      <c r="T261" s="18">
        <v>16361.863837999999</v>
      </c>
    </row>
    <row r="262" spans="1:24" x14ac:dyDescent="0.2">
      <c r="A262">
        <f t="shared" si="2"/>
        <v>260</v>
      </c>
      <c r="B262" t="s">
        <v>1734</v>
      </c>
      <c r="Q262" s="18">
        <v>15122.833865000001</v>
      </c>
      <c r="R262" s="18">
        <v>15437.065662000001</v>
      </c>
      <c r="S262" s="18">
        <v>16319.438888000001</v>
      </c>
      <c r="T262" s="18">
        <v>16221.807923</v>
      </c>
      <c r="W262" s="18">
        <v>208</v>
      </c>
      <c r="X262" s="18">
        <v>68</v>
      </c>
    </row>
    <row r="263" spans="1:24" x14ac:dyDescent="0.2">
      <c r="A263">
        <f t="shared" si="2"/>
        <v>261</v>
      </c>
      <c r="B263" t="s">
        <v>1735</v>
      </c>
      <c r="Q263" s="18">
        <v>14604.461160999999</v>
      </c>
      <c r="R263" s="18">
        <v>15126.052769</v>
      </c>
      <c r="S263" s="18">
        <v>15834.026733000001</v>
      </c>
      <c r="T263" s="18">
        <v>16074.917034</v>
      </c>
    </row>
    <row r="264" spans="1:24" x14ac:dyDescent="0.2">
      <c r="A264">
        <f t="shared" si="2"/>
        <v>262</v>
      </c>
      <c r="B264" t="s">
        <v>1736</v>
      </c>
      <c r="Q264" s="18">
        <v>13323.885246</v>
      </c>
      <c r="R264" s="18">
        <v>14716.739258</v>
      </c>
      <c r="S264" s="18">
        <v>15868.213822</v>
      </c>
      <c r="T264" s="18">
        <v>15954.854885000001</v>
      </c>
    </row>
    <row r="265" spans="1:24" x14ac:dyDescent="0.2">
      <c r="A265">
        <f t="shared" si="2"/>
        <v>263</v>
      </c>
      <c r="B265" t="s">
        <v>1737</v>
      </c>
      <c r="Q265" s="18">
        <v>11266.408751000001</v>
      </c>
      <c r="R265" s="18">
        <v>14024.741549</v>
      </c>
      <c r="S265" s="18">
        <v>15235.030075999999</v>
      </c>
      <c r="T265" s="18">
        <v>15923.082270000001</v>
      </c>
    </row>
    <row r="266" spans="1:24" x14ac:dyDescent="0.2">
      <c r="A266">
        <f t="shared" si="2"/>
        <v>264</v>
      </c>
      <c r="B266" t="s">
        <v>1738</v>
      </c>
      <c r="Q266" s="18">
        <v>14126.634661</v>
      </c>
      <c r="R266" s="18">
        <v>14568.380111</v>
      </c>
      <c r="S266" s="18">
        <v>14941.692197</v>
      </c>
      <c r="T266" s="18">
        <v>15845.009583999999</v>
      </c>
    </row>
    <row r="267" spans="1:24" x14ac:dyDescent="0.2">
      <c r="A267">
        <f t="shared" si="2"/>
        <v>265</v>
      </c>
      <c r="B267" t="s">
        <v>1739</v>
      </c>
      <c r="R267" s="18">
        <v>13769.30078</v>
      </c>
      <c r="S267" s="18">
        <v>15784.004618999999</v>
      </c>
      <c r="T267" s="18">
        <v>15819.410185999999</v>
      </c>
    </row>
    <row r="268" spans="1:24" x14ac:dyDescent="0.2">
      <c r="A268">
        <f t="shared" si="2"/>
        <v>266</v>
      </c>
      <c r="B268" t="s">
        <v>1740</v>
      </c>
      <c r="Q268" s="18">
        <v>14433.001661</v>
      </c>
      <c r="R268" s="18">
        <v>15106.594325</v>
      </c>
      <c r="T268" s="18">
        <v>15792.504702</v>
      </c>
    </row>
    <row r="269" spans="1:24" x14ac:dyDescent="0.2">
      <c r="A269">
        <f t="shared" si="2"/>
        <v>267</v>
      </c>
      <c r="B269" s="39" t="s">
        <v>1521</v>
      </c>
      <c r="P269" s="17"/>
      <c r="T269" s="18">
        <v>617.65254800000002</v>
      </c>
    </row>
    <row r="270" spans="1:24" x14ac:dyDescent="0.2">
      <c r="A270">
        <f t="shared" si="2"/>
        <v>268</v>
      </c>
      <c r="B270" t="s">
        <v>1744</v>
      </c>
      <c r="Q270" s="18">
        <v>15606.624295</v>
      </c>
      <c r="R270" s="18">
        <v>14577.329035000001</v>
      </c>
      <c r="S270" s="18">
        <v>14696.950607000001</v>
      </c>
      <c r="W270" s="18">
        <v>170</v>
      </c>
      <c r="X270" s="18">
        <v>25</v>
      </c>
    </row>
    <row r="271" spans="1:24" x14ac:dyDescent="0.2">
      <c r="A271">
        <f t="shared" si="2"/>
        <v>269</v>
      </c>
      <c r="B271" t="s">
        <v>1534</v>
      </c>
      <c r="T271" s="18">
        <v>207.895308</v>
      </c>
    </row>
    <row r="272" spans="1:24" x14ac:dyDescent="0.2">
      <c r="A272">
        <f t="shared" si="2"/>
        <v>270</v>
      </c>
      <c r="B272" t="s">
        <v>1558</v>
      </c>
      <c r="Q272" s="18">
        <v>100.03956684000001</v>
      </c>
    </row>
    <row r="273" spans="1:24" x14ac:dyDescent="0.2">
      <c r="A273">
        <f t="shared" si="2"/>
        <v>271</v>
      </c>
      <c r="B273" t="s">
        <v>1747</v>
      </c>
      <c r="W273" s="18">
        <v>170</v>
      </c>
      <c r="X273" s="18">
        <v>81</v>
      </c>
    </row>
    <row r="274" spans="1:24" x14ac:dyDescent="0.2">
      <c r="A274">
        <f t="shared" si="2"/>
        <v>272</v>
      </c>
      <c r="B274" t="s">
        <v>1748</v>
      </c>
      <c r="R274" s="18">
        <v>9414.1094830000002</v>
      </c>
      <c r="S274" s="18">
        <v>13984.589258</v>
      </c>
      <c r="W274" s="18">
        <v>4711</v>
      </c>
      <c r="X274" s="18">
        <v>1909</v>
      </c>
    </row>
    <row r="275" spans="1:24" x14ac:dyDescent="0.2">
      <c r="A275">
        <f t="shared" si="2"/>
        <v>273</v>
      </c>
      <c r="B275" t="s">
        <v>1749</v>
      </c>
      <c r="W275" s="18">
        <v>4860</v>
      </c>
      <c r="X275" s="18">
        <v>1542</v>
      </c>
    </row>
    <row r="276" spans="1:24" x14ac:dyDescent="0.2">
      <c r="A276">
        <f t="shared" si="2"/>
        <v>274</v>
      </c>
      <c r="B276" t="s">
        <v>1750</v>
      </c>
      <c r="Q276" s="18">
        <v>8295.3940920000005</v>
      </c>
      <c r="R276" s="18">
        <v>8068.7506210000001</v>
      </c>
      <c r="S276" s="18">
        <v>8484.7812959999992</v>
      </c>
      <c r="T276" s="18">
        <v>8311.8455300000005</v>
      </c>
      <c r="W276" s="18">
        <v>5782</v>
      </c>
      <c r="X276" s="18">
        <v>2151</v>
      </c>
    </row>
    <row r="277" spans="1:24" x14ac:dyDescent="0.2">
      <c r="A277">
        <f t="shared" si="2"/>
        <v>275</v>
      </c>
      <c r="B277" t="s">
        <v>1751</v>
      </c>
      <c r="W277" s="18">
        <v>11041</v>
      </c>
      <c r="X277" s="18">
        <v>4494</v>
      </c>
    </row>
    <row r="278" spans="1:24" x14ac:dyDescent="0.2">
      <c r="A278">
        <f t="shared" si="2"/>
        <v>276</v>
      </c>
      <c r="B278" t="s">
        <v>1752</v>
      </c>
      <c r="W278" s="18">
        <v>429</v>
      </c>
      <c r="X278" s="18">
        <v>49</v>
      </c>
    </row>
    <row r="279" spans="1:24" x14ac:dyDescent="0.2">
      <c r="A279">
        <f t="shared" si="2"/>
        <v>277</v>
      </c>
      <c r="B279" t="s">
        <v>1479</v>
      </c>
      <c r="W279" s="18">
        <v>262</v>
      </c>
      <c r="X279" s="18">
        <v>23</v>
      </c>
    </row>
    <row r="280" spans="1:24" x14ac:dyDescent="0.2">
      <c r="A280">
        <f t="shared" si="2"/>
        <v>278</v>
      </c>
      <c r="B280" t="s">
        <v>1753</v>
      </c>
      <c r="W280" s="18">
        <v>51</v>
      </c>
      <c r="X280" s="18">
        <v>2</v>
      </c>
    </row>
    <row r="281" spans="1:24" x14ac:dyDescent="0.2">
      <c r="A281">
        <f t="shared" si="2"/>
        <v>279</v>
      </c>
      <c r="B281" t="s">
        <v>1478</v>
      </c>
      <c r="W281" s="18">
        <v>1965</v>
      </c>
      <c r="X281" s="18">
        <v>856</v>
      </c>
    </row>
    <row r="282" spans="1:24" x14ac:dyDescent="0.2">
      <c r="A282">
        <f t="shared" si="2"/>
        <v>280</v>
      </c>
      <c r="B282" t="s">
        <v>1754</v>
      </c>
      <c r="Q282" s="18">
        <v>4092.2112029999998</v>
      </c>
      <c r="R282" s="18">
        <v>4521.3592490000001</v>
      </c>
      <c r="S282" s="18">
        <v>4658.4516940000003</v>
      </c>
      <c r="W282" s="18">
        <v>11487</v>
      </c>
      <c r="X282" s="18">
        <v>4309</v>
      </c>
    </row>
    <row r="283" spans="1:24" x14ac:dyDescent="0.2">
      <c r="A283">
        <f t="shared" si="2"/>
        <v>281</v>
      </c>
      <c r="B283" t="s">
        <v>1755</v>
      </c>
      <c r="W283" s="18">
        <v>526</v>
      </c>
      <c r="X283" s="18">
        <v>135</v>
      </c>
    </row>
    <row r="284" spans="1:24" x14ac:dyDescent="0.2">
      <c r="A284">
        <f t="shared" si="2"/>
        <v>282</v>
      </c>
      <c r="B284" t="s">
        <v>1756</v>
      </c>
      <c r="W284" s="18">
        <v>226</v>
      </c>
      <c r="X284" s="18">
        <v>30</v>
      </c>
    </row>
    <row r="285" spans="1:24" x14ac:dyDescent="0.2">
      <c r="A285">
        <f t="shared" si="2"/>
        <v>283</v>
      </c>
      <c r="B285" t="s">
        <v>1757</v>
      </c>
      <c r="W285" s="18">
        <v>518</v>
      </c>
      <c r="X285" s="18">
        <v>117</v>
      </c>
    </row>
    <row r="286" spans="1:24" x14ac:dyDescent="0.2">
      <c r="A286">
        <f t="shared" si="2"/>
        <v>284</v>
      </c>
      <c r="B286" t="s">
        <v>1758</v>
      </c>
      <c r="W286" s="18">
        <v>1864</v>
      </c>
      <c r="X286" s="18">
        <v>556</v>
      </c>
    </row>
    <row r="287" spans="1:24" x14ac:dyDescent="0.2">
      <c r="A287">
        <f t="shared" si="2"/>
        <v>285</v>
      </c>
      <c r="B287" t="s">
        <v>1759</v>
      </c>
      <c r="W287" s="18">
        <v>47</v>
      </c>
      <c r="X287" s="18">
        <v>5</v>
      </c>
    </row>
    <row r="288" spans="1:24" x14ac:dyDescent="0.2">
      <c r="A288">
        <f t="shared" si="2"/>
        <v>286</v>
      </c>
      <c r="B288" t="s">
        <v>1760</v>
      </c>
      <c r="W288" s="18">
        <v>1473</v>
      </c>
      <c r="X288" s="18">
        <v>174</v>
      </c>
    </row>
    <row r="289" spans="1:24" x14ac:dyDescent="0.2">
      <c r="A289">
        <f t="shared" si="2"/>
        <v>287</v>
      </c>
      <c r="B289" t="s">
        <v>1761</v>
      </c>
      <c r="W289" s="18">
        <v>391</v>
      </c>
      <c r="X289" s="18">
        <v>30</v>
      </c>
    </row>
    <row r="290" spans="1:24" x14ac:dyDescent="0.2">
      <c r="A290">
        <f t="shared" si="2"/>
        <v>288</v>
      </c>
      <c r="B290" t="s">
        <v>1762</v>
      </c>
      <c r="W290" s="18">
        <v>2265</v>
      </c>
      <c r="X290" s="18">
        <v>553</v>
      </c>
    </row>
    <row r="291" spans="1:24" x14ac:dyDescent="0.2">
      <c r="A291">
        <f t="shared" si="2"/>
        <v>289</v>
      </c>
      <c r="B291" t="s">
        <v>1763</v>
      </c>
      <c r="Q291" s="18">
        <v>15486.293333</v>
      </c>
      <c r="R291" s="18">
        <v>13477.437749999999</v>
      </c>
      <c r="S291" s="18">
        <v>14577.995757999999</v>
      </c>
      <c r="T291" s="18">
        <v>13390.866040000001</v>
      </c>
    </row>
    <row r="292" spans="1:24" x14ac:dyDescent="0.2">
      <c r="A292">
        <f t="shared" si="2"/>
        <v>290</v>
      </c>
      <c r="B292" t="s">
        <v>1764</v>
      </c>
      <c r="T292" s="18">
        <v>15352.691535</v>
      </c>
    </row>
    <row r="293" spans="1:24" x14ac:dyDescent="0.2">
      <c r="A293">
        <f t="shared" si="2"/>
        <v>291</v>
      </c>
      <c r="B293" t="s">
        <v>1766</v>
      </c>
      <c r="Q293" s="18">
        <v>13846.662431000001</v>
      </c>
      <c r="R293" s="18">
        <v>13380.885065</v>
      </c>
      <c r="S293" s="18">
        <v>14998.033012</v>
      </c>
      <c r="T293" s="18">
        <v>13765.288119999999</v>
      </c>
    </row>
    <row r="294" spans="1:24" x14ac:dyDescent="0.2">
      <c r="A294">
        <f t="shared" si="2"/>
        <v>292</v>
      </c>
      <c r="B294" t="s">
        <v>1767</v>
      </c>
      <c r="Q294" s="18">
        <v>9881.2201569999997</v>
      </c>
      <c r="R294" s="18">
        <v>9448.3767380000008</v>
      </c>
      <c r="S294" s="18">
        <v>11577.362709999999</v>
      </c>
      <c r="T294" s="18">
        <v>14992.974303000001</v>
      </c>
    </row>
    <row r="295" spans="1:24" x14ac:dyDescent="0.2">
      <c r="A295">
        <f t="shared" si="2"/>
        <v>293</v>
      </c>
      <c r="B295" t="s">
        <v>1769</v>
      </c>
      <c r="P295" s="18">
        <v>12703.427737</v>
      </c>
      <c r="Q295" s="18">
        <v>14022.049137</v>
      </c>
      <c r="R295" s="18">
        <v>13954.189073</v>
      </c>
      <c r="S295" s="18">
        <v>14667.138462999999</v>
      </c>
      <c r="T295" s="18">
        <v>14795.435889</v>
      </c>
    </row>
    <row r="296" spans="1:24" x14ac:dyDescent="0.2">
      <c r="A296">
        <f t="shared" si="2"/>
        <v>294</v>
      </c>
      <c r="B296" t="s">
        <v>1770</v>
      </c>
      <c r="Q296" s="18">
        <v>13013.413869</v>
      </c>
      <c r="R296" s="18">
        <v>13282.517457</v>
      </c>
      <c r="S296" s="18">
        <v>14709.679470999999</v>
      </c>
      <c r="T296" s="18">
        <v>14262.560095000001</v>
      </c>
      <c r="W296" s="18">
        <v>1048</v>
      </c>
      <c r="X296" s="18">
        <v>223</v>
      </c>
    </row>
    <row r="297" spans="1:24" x14ac:dyDescent="0.2">
      <c r="A297">
        <f t="shared" si="2"/>
        <v>295</v>
      </c>
      <c r="B297" t="s">
        <v>836</v>
      </c>
      <c r="Q297" s="18">
        <v>2513.750822</v>
      </c>
      <c r="W297" s="18">
        <v>948</v>
      </c>
      <c r="X297" s="18">
        <v>67</v>
      </c>
    </row>
    <row r="298" spans="1:24" x14ac:dyDescent="0.2">
      <c r="A298">
        <f t="shared" si="2"/>
        <v>296</v>
      </c>
      <c r="B298" t="s">
        <v>1771</v>
      </c>
      <c r="W298" s="18">
        <v>1291</v>
      </c>
      <c r="X298" s="18">
        <v>42</v>
      </c>
    </row>
    <row r="299" spans="1:24" x14ac:dyDescent="0.2">
      <c r="A299">
        <f t="shared" si="2"/>
        <v>297</v>
      </c>
      <c r="B299" t="s">
        <v>1773</v>
      </c>
      <c r="Q299" s="18">
        <v>14192.447597</v>
      </c>
      <c r="R299" s="18">
        <v>14102.439711999999</v>
      </c>
      <c r="S299" s="18">
        <v>14290.402948999999</v>
      </c>
      <c r="T299" s="18">
        <v>12335.864567000001</v>
      </c>
      <c r="U299" t="s">
        <v>1774</v>
      </c>
      <c r="W299" s="18">
        <v>1689</v>
      </c>
      <c r="X299" s="18">
        <v>544</v>
      </c>
    </row>
    <row r="300" spans="1:24" x14ac:dyDescent="0.2">
      <c r="A300">
        <f t="shared" si="2"/>
        <v>298</v>
      </c>
      <c r="B300" t="s">
        <v>1775</v>
      </c>
      <c r="Q300" s="18">
        <v>14019.002769999999</v>
      </c>
      <c r="R300" s="18">
        <v>13482.135561999999</v>
      </c>
      <c r="S300" s="18">
        <v>14374.267013999999</v>
      </c>
      <c r="T300" s="18">
        <v>14251.004256</v>
      </c>
      <c r="W300" s="18">
        <v>56</v>
      </c>
      <c r="X300" s="18">
        <v>6</v>
      </c>
    </row>
    <row r="301" spans="1:24" x14ac:dyDescent="0.2">
      <c r="A301">
        <f t="shared" si="2"/>
        <v>299</v>
      </c>
      <c r="B301" t="s">
        <v>1776</v>
      </c>
      <c r="Q301" s="18">
        <v>12421.333896</v>
      </c>
      <c r="R301" s="18">
        <v>12907.212047000001</v>
      </c>
      <c r="S301" s="18">
        <v>13745.662265999999</v>
      </c>
      <c r="T301" s="18">
        <v>14027.513376999999</v>
      </c>
      <c r="W301" s="18">
        <v>421</v>
      </c>
      <c r="X301" s="18">
        <v>105</v>
      </c>
    </row>
    <row r="302" spans="1:24" x14ac:dyDescent="0.2">
      <c r="A302">
        <f t="shared" si="2"/>
        <v>300</v>
      </c>
      <c r="B302" t="s">
        <v>1777</v>
      </c>
      <c r="Q302" s="18">
        <v>13196.509442</v>
      </c>
      <c r="R302" s="18">
        <v>13409.832893000001</v>
      </c>
      <c r="S302" s="18">
        <v>13985.405645999999</v>
      </c>
      <c r="T302" s="18">
        <v>14071.215805</v>
      </c>
      <c r="W302" s="18">
        <v>97</v>
      </c>
      <c r="X302" s="18">
        <v>38</v>
      </c>
    </row>
    <row r="303" spans="1:24" x14ac:dyDescent="0.2">
      <c r="A303">
        <f t="shared" si="2"/>
        <v>301</v>
      </c>
      <c r="B303" t="s">
        <v>1778</v>
      </c>
      <c r="Q303" s="18">
        <v>13574.807014</v>
      </c>
      <c r="R303" s="18">
        <v>13166.233162</v>
      </c>
      <c r="S303" s="18">
        <v>13874.329566</v>
      </c>
      <c r="T303" s="18">
        <v>13315.964909</v>
      </c>
      <c r="W303" s="18">
        <v>167</v>
      </c>
      <c r="X303" s="18">
        <v>30</v>
      </c>
    </row>
    <row r="304" spans="1:24" x14ac:dyDescent="0.2">
      <c r="A304">
        <f t="shared" si="2"/>
        <v>302</v>
      </c>
      <c r="B304" t="s">
        <v>1785</v>
      </c>
      <c r="Q304" s="18">
        <v>13786.556488</v>
      </c>
      <c r="R304" s="18">
        <v>13216.427049</v>
      </c>
      <c r="S304" s="18">
        <v>13532.930623</v>
      </c>
      <c r="T304" s="18">
        <v>10724.71394</v>
      </c>
      <c r="W304" s="18">
        <v>66</v>
      </c>
      <c r="X304" s="18">
        <v>32</v>
      </c>
    </row>
    <row r="305" spans="1:24" x14ac:dyDescent="0.2">
      <c r="A305">
        <f t="shared" si="2"/>
        <v>303</v>
      </c>
      <c r="B305" t="s">
        <v>1786</v>
      </c>
      <c r="Q305" s="18">
        <v>13422.706905999999</v>
      </c>
      <c r="R305" s="18">
        <v>13604.975872999999</v>
      </c>
      <c r="S305" s="18">
        <v>14605.579135</v>
      </c>
      <c r="W305" s="18">
        <v>47</v>
      </c>
      <c r="X305" s="18">
        <v>19</v>
      </c>
    </row>
    <row r="306" spans="1:24" x14ac:dyDescent="0.2">
      <c r="A306">
        <f t="shared" si="2"/>
        <v>304</v>
      </c>
      <c r="B306" t="s">
        <v>1789</v>
      </c>
      <c r="Q306" s="18">
        <v>12552.281314</v>
      </c>
      <c r="R306" s="18">
        <v>12398.469727</v>
      </c>
      <c r="S306" s="18">
        <v>13330.194039</v>
      </c>
      <c r="W306" s="18">
        <v>844</v>
      </c>
      <c r="X306" s="18">
        <v>285</v>
      </c>
    </row>
    <row r="307" spans="1:24" x14ac:dyDescent="0.2">
      <c r="A307">
        <f t="shared" si="2"/>
        <v>305</v>
      </c>
      <c r="B307" t="s">
        <v>1790</v>
      </c>
      <c r="Q307" s="18">
        <v>12087.745994000001</v>
      </c>
      <c r="R307" s="18">
        <v>11366.082231</v>
      </c>
      <c r="S307" s="18">
        <v>12017.990024000001</v>
      </c>
      <c r="T307" s="18">
        <v>11561.087092</v>
      </c>
      <c r="W307" s="18">
        <v>15</v>
      </c>
      <c r="X307" s="18">
        <v>10</v>
      </c>
    </row>
    <row r="308" spans="1:24" x14ac:dyDescent="0.2">
      <c r="A308">
        <f t="shared" si="2"/>
        <v>306</v>
      </c>
      <c r="B308" t="s">
        <v>1791</v>
      </c>
      <c r="Q308" s="18">
        <v>8847.3283929999998</v>
      </c>
      <c r="R308" s="18">
        <v>9997.0443770000002</v>
      </c>
      <c r="S308" s="18">
        <v>11023.440769999999</v>
      </c>
      <c r="T308" s="18">
        <v>11787.939978</v>
      </c>
      <c r="W308" s="18">
        <v>9</v>
      </c>
      <c r="X308" s="18">
        <v>0</v>
      </c>
    </row>
    <row r="309" spans="1:24" x14ac:dyDescent="0.2">
      <c r="A309">
        <f t="shared" si="2"/>
        <v>307</v>
      </c>
      <c r="B309" t="s">
        <v>1792</v>
      </c>
      <c r="Q309" s="18">
        <v>11458.686326999999</v>
      </c>
      <c r="R309" s="18">
        <v>11473.88609</v>
      </c>
      <c r="S309" s="18">
        <v>11388.442099</v>
      </c>
      <c r="T309" s="18">
        <v>13571.583051</v>
      </c>
      <c r="W309" s="18">
        <v>395</v>
      </c>
      <c r="X309" s="18">
        <v>73</v>
      </c>
    </row>
    <row r="310" spans="1:24" x14ac:dyDescent="0.2">
      <c r="A310">
        <f t="shared" si="2"/>
        <v>308</v>
      </c>
      <c r="B310" t="s">
        <v>1794</v>
      </c>
      <c r="Q310" s="18">
        <v>11101.428030999999</v>
      </c>
      <c r="R310" s="18">
        <v>11281.308158</v>
      </c>
      <c r="S310" s="18">
        <v>12110.446889000001</v>
      </c>
      <c r="T310" s="18">
        <v>12289.619344999999</v>
      </c>
      <c r="W310" s="18">
        <v>463</v>
      </c>
      <c r="X310" s="18">
        <v>161</v>
      </c>
    </row>
    <row r="311" spans="1:24" x14ac:dyDescent="0.2">
      <c r="A311">
        <f t="shared" si="2"/>
        <v>309</v>
      </c>
      <c r="B311" t="s">
        <v>1796</v>
      </c>
      <c r="Q311" s="18">
        <v>12219.050090999999</v>
      </c>
      <c r="R311" s="18">
        <v>11868.949044999999</v>
      </c>
      <c r="S311" s="18">
        <v>12683.018040000001</v>
      </c>
      <c r="W311" s="18">
        <v>77</v>
      </c>
      <c r="X311" s="18">
        <v>9</v>
      </c>
    </row>
    <row r="312" spans="1:24" x14ac:dyDescent="0.2">
      <c r="A312">
        <f t="shared" si="2"/>
        <v>310</v>
      </c>
      <c r="B312" t="s">
        <v>1797</v>
      </c>
      <c r="Q312" s="18">
        <v>11804.369704999999</v>
      </c>
      <c r="R312" s="18">
        <v>11279.564307000001</v>
      </c>
      <c r="S312" s="18">
        <v>13007.533995</v>
      </c>
      <c r="T312" s="18">
        <v>14077.445556999999</v>
      </c>
      <c r="W312" s="18">
        <v>88</v>
      </c>
      <c r="X312" s="18">
        <v>26</v>
      </c>
    </row>
    <row r="313" spans="1:24" x14ac:dyDescent="0.2">
      <c r="A313">
        <f t="shared" si="2"/>
        <v>311</v>
      </c>
      <c r="B313" t="s">
        <v>1798</v>
      </c>
      <c r="Q313" s="18">
        <v>10699.653463000001</v>
      </c>
      <c r="R313" s="18">
        <v>10099.282807</v>
      </c>
      <c r="S313" s="18">
        <v>10623.50513</v>
      </c>
      <c r="W313" s="18">
        <v>35</v>
      </c>
      <c r="X313" s="18">
        <v>0</v>
      </c>
    </row>
    <row r="314" spans="1:24" x14ac:dyDescent="0.2">
      <c r="A314">
        <f t="shared" si="2"/>
        <v>312</v>
      </c>
      <c r="B314" t="s">
        <v>1799</v>
      </c>
      <c r="Q314" s="18">
        <v>9747.1991190000008</v>
      </c>
      <c r="R314" s="18">
        <v>9466.3962940000001</v>
      </c>
      <c r="S314" s="18">
        <v>9741.2245139999995</v>
      </c>
      <c r="T314" s="18">
        <v>8845.870766</v>
      </c>
    </row>
    <row r="315" spans="1:24" x14ac:dyDescent="0.2">
      <c r="A315">
        <f t="shared" si="2"/>
        <v>313</v>
      </c>
      <c r="B315" t="s">
        <v>1800</v>
      </c>
      <c r="Q315" s="18">
        <v>11791.640402000001</v>
      </c>
      <c r="R315" s="18">
        <v>11270.698780999999</v>
      </c>
      <c r="S315" s="18">
        <v>11943.820207000001</v>
      </c>
      <c r="T315" s="18">
        <v>11691.503334999999</v>
      </c>
    </row>
    <row r="316" spans="1:24" x14ac:dyDescent="0.2">
      <c r="A316">
        <f t="shared" si="2"/>
        <v>314</v>
      </c>
      <c r="B316" t="s">
        <v>1801</v>
      </c>
      <c r="Q316" s="18">
        <v>10760.567847</v>
      </c>
      <c r="R316" s="18">
        <v>10544.835137</v>
      </c>
      <c r="S316" s="18">
        <v>11241.436419</v>
      </c>
      <c r="T316" s="18">
        <v>10986.632170999999</v>
      </c>
    </row>
    <row r="317" spans="1:24" x14ac:dyDescent="0.2">
      <c r="A317">
        <f t="shared" si="2"/>
        <v>315</v>
      </c>
      <c r="B317" t="s">
        <v>1818</v>
      </c>
      <c r="Q317" s="18">
        <v>12088.75073</v>
      </c>
      <c r="R317" s="18">
        <v>10860.301071</v>
      </c>
      <c r="S317" s="18">
        <v>11337.608715</v>
      </c>
      <c r="T317" s="18">
        <v>13321.061175999999</v>
      </c>
    </row>
    <row r="318" spans="1:24" x14ac:dyDescent="0.2">
      <c r="A318">
        <f t="shared" si="2"/>
        <v>316</v>
      </c>
      <c r="B318" t="s">
        <v>1819</v>
      </c>
      <c r="Q318" s="18">
        <v>13091.698543</v>
      </c>
      <c r="R318" s="18">
        <v>12220.495521999999</v>
      </c>
      <c r="S318" s="18">
        <v>11959.966628</v>
      </c>
      <c r="T318" s="18">
        <v>11048.719969</v>
      </c>
    </row>
    <row r="319" spans="1:24" x14ac:dyDescent="0.2">
      <c r="A319">
        <f t="shared" si="2"/>
        <v>317</v>
      </c>
      <c r="B319" t="s">
        <v>1820</v>
      </c>
      <c r="Q319" s="18">
        <v>11230.022140999999</v>
      </c>
      <c r="R319" s="18">
        <v>10747.193283000001</v>
      </c>
      <c r="S319" s="18">
        <v>11413.461769</v>
      </c>
      <c r="T319" s="18">
        <v>10717.653893999999</v>
      </c>
    </row>
    <row r="320" spans="1:24" x14ac:dyDescent="0.2">
      <c r="A320">
        <f t="shared" si="2"/>
        <v>318</v>
      </c>
      <c r="B320" t="s">
        <v>1821</v>
      </c>
      <c r="Q320" s="18">
        <v>10898.328017</v>
      </c>
      <c r="R320" s="18">
        <v>10612.150454000001</v>
      </c>
      <c r="S320" s="18">
        <v>10604.596948</v>
      </c>
    </row>
    <row r="321" spans="1:20" x14ac:dyDescent="0.2">
      <c r="A321">
        <f t="shared" si="2"/>
        <v>319</v>
      </c>
      <c r="B321" t="s">
        <v>1823</v>
      </c>
      <c r="Q321" s="18">
        <v>8871.0962980000004</v>
      </c>
      <c r="R321" s="18">
        <v>9060.1607929999991</v>
      </c>
      <c r="S321" s="18">
        <v>9228.1542599999993</v>
      </c>
      <c r="T321" s="18">
        <v>9145.6442669999997</v>
      </c>
    </row>
    <row r="322" spans="1:20" x14ac:dyDescent="0.2">
      <c r="A322">
        <f t="shared" si="2"/>
        <v>320</v>
      </c>
      <c r="B322" t="s">
        <v>1824</v>
      </c>
      <c r="Q322" s="18">
        <v>10166.61809</v>
      </c>
      <c r="R322" s="18">
        <v>9238.4077460000008</v>
      </c>
      <c r="S322" s="18">
        <v>9793.7773840000009</v>
      </c>
    </row>
    <row r="323" spans="1:20" x14ac:dyDescent="0.2">
      <c r="A323">
        <f t="shared" si="2"/>
        <v>321</v>
      </c>
      <c r="B323" t="s">
        <v>1826</v>
      </c>
      <c r="Q323" s="18">
        <v>9059.3639349999994</v>
      </c>
      <c r="R323" s="18">
        <v>10362.034987999999</v>
      </c>
      <c r="S323" s="18">
        <v>10057.696115999999</v>
      </c>
      <c r="T323" s="18">
        <v>9720.0489899999993</v>
      </c>
    </row>
    <row r="324" spans="1:20" x14ac:dyDescent="0.2">
      <c r="A324">
        <f t="shared" si="2"/>
        <v>322</v>
      </c>
      <c r="B324" t="s">
        <v>1828</v>
      </c>
      <c r="Q324" s="18">
        <v>9640.6943740000006</v>
      </c>
      <c r="R324" s="18">
        <v>10357.168019999999</v>
      </c>
      <c r="S324" s="18">
        <v>11048.684018</v>
      </c>
      <c r="T324" s="18">
        <v>11138.852029</v>
      </c>
    </row>
    <row r="325" spans="1:20" x14ac:dyDescent="0.2">
      <c r="A325">
        <f t="shared" si="2"/>
        <v>323</v>
      </c>
      <c r="B325" t="s">
        <v>1829</v>
      </c>
      <c r="Q325" s="18">
        <v>8326.2132010000005</v>
      </c>
      <c r="R325" s="18">
        <v>7817.3656149999997</v>
      </c>
      <c r="S325" s="18">
        <v>8214.551641</v>
      </c>
      <c r="T325" s="18">
        <v>8278.3993699999992</v>
      </c>
    </row>
    <row r="326" spans="1:20" x14ac:dyDescent="0.2">
      <c r="A326">
        <f t="shared" si="2"/>
        <v>324</v>
      </c>
      <c r="B326" t="s">
        <v>1830</v>
      </c>
      <c r="Q326" s="18">
        <v>9701.9170680000007</v>
      </c>
      <c r="R326" s="18">
        <v>9480.5403979999992</v>
      </c>
      <c r="S326" s="18">
        <v>9480.5403979999992</v>
      </c>
    </row>
    <row r="327" spans="1:20" x14ac:dyDescent="0.2">
      <c r="A327">
        <f t="shared" si="2"/>
        <v>325</v>
      </c>
      <c r="B327" t="s">
        <v>1831</v>
      </c>
      <c r="Q327" s="18">
        <v>10037.932005000001</v>
      </c>
      <c r="R327" s="18">
        <v>10372.016664000001</v>
      </c>
      <c r="S327" s="18">
        <v>11648.367989</v>
      </c>
    </row>
    <row r="328" spans="1:20" x14ac:dyDescent="0.2">
      <c r="A328">
        <f t="shared" si="2"/>
        <v>326</v>
      </c>
      <c r="B328" t="s">
        <v>1832</v>
      </c>
      <c r="Q328" s="18">
        <v>9019.6505219999999</v>
      </c>
      <c r="R328" s="18">
        <v>8840.0771029999996</v>
      </c>
      <c r="S328" s="18">
        <v>9223.4648140000008</v>
      </c>
      <c r="T328" s="18">
        <v>9049.3304939999998</v>
      </c>
    </row>
    <row r="329" spans="1:20" x14ac:dyDescent="0.2">
      <c r="A329">
        <f t="shared" si="2"/>
        <v>327</v>
      </c>
      <c r="B329" t="s">
        <v>1833</v>
      </c>
      <c r="Q329" s="18">
        <v>7755.6663509999998</v>
      </c>
      <c r="R329" s="18">
        <v>8735.8876509999991</v>
      </c>
      <c r="S329" s="18">
        <v>9920.6962000000003</v>
      </c>
      <c r="T329" s="18">
        <v>10799.130363</v>
      </c>
    </row>
    <row r="330" spans="1:20" x14ac:dyDescent="0.2">
      <c r="A330">
        <f t="shared" si="2"/>
        <v>328</v>
      </c>
      <c r="B330" t="s">
        <v>1834</v>
      </c>
      <c r="Q330" s="18">
        <v>6764.1126819999999</v>
      </c>
      <c r="R330" s="18">
        <v>5897.4234580000002</v>
      </c>
      <c r="S330" s="18">
        <v>4838.2615409999999</v>
      </c>
    </row>
    <row r="331" spans="1:20" x14ac:dyDescent="0.2">
      <c r="A331">
        <f t="shared" si="2"/>
        <v>329</v>
      </c>
      <c r="B331" t="s">
        <v>1835</v>
      </c>
      <c r="Q331" s="18">
        <v>11027.13155</v>
      </c>
      <c r="R331" s="18">
        <v>10419.95334</v>
      </c>
      <c r="S331" s="18">
        <v>10869.731963</v>
      </c>
    </row>
    <row r="332" spans="1:20" x14ac:dyDescent="0.2">
      <c r="A332">
        <f t="shared" si="2"/>
        <v>330</v>
      </c>
      <c r="B332" t="s">
        <v>1836</v>
      </c>
      <c r="Q332" s="18">
        <v>10475.3711</v>
      </c>
      <c r="R332" s="18">
        <v>10583.665628000001</v>
      </c>
      <c r="S332" s="18">
        <v>11411.358864</v>
      </c>
      <c r="T332" s="18">
        <v>10253.031805000001</v>
      </c>
    </row>
    <row r="333" spans="1:20" x14ac:dyDescent="0.2">
      <c r="A333">
        <f t="shared" si="2"/>
        <v>331</v>
      </c>
      <c r="B333" t="s">
        <v>1837</v>
      </c>
      <c r="P333" s="18">
        <v>9692.1666170000008</v>
      </c>
      <c r="Q333" s="18">
        <v>10230.608428</v>
      </c>
      <c r="R333" s="18">
        <v>9199.151672</v>
      </c>
      <c r="S333" s="18">
        <v>9225.6469679999991</v>
      </c>
      <c r="T333" s="18">
        <v>8517.7147629999999</v>
      </c>
    </row>
    <row r="334" spans="1:20" x14ac:dyDescent="0.2">
      <c r="A334">
        <f t="shared" si="2"/>
        <v>332</v>
      </c>
      <c r="B334" t="s">
        <v>1838</v>
      </c>
      <c r="Q334" s="18">
        <v>6441.791792</v>
      </c>
      <c r="R334" s="18">
        <v>6417.1063059999997</v>
      </c>
      <c r="S334" s="18">
        <v>6392.2931829999998</v>
      </c>
    </row>
    <row r="335" spans="1:20" x14ac:dyDescent="0.2">
      <c r="A335">
        <f t="shared" si="2"/>
        <v>333</v>
      </c>
      <c r="B335" t="s">
        <v>1840</v>
      </c>
      <c r="Q335" s="18">
        <v>11204.039022999999</v>
      </c>
      <c r="R335" s="18">
        <v>10697.782139000001</v>
      </c>
      <c r="S335" s="18">
        <v>11000.953056</v>
      </c>
      <c r="T335" s="18">
        <v>10778.469918000001</v>
      </c>
    </row>
    <row r="336" spans="1:20" x14ac:dyDescent="0.2">
      <c r="A336">
        <f t="shared" si="2"/>
        <v>334</v>
      </c>
      <c r="B336" t="s">
        <v>1842</v>
      </c>
      <c r="R336" s="18">
        <v>8045.0271419999999</v>
      </c>
      <c r="S336" s="18">
        <v>8935.7907709999999</v>
      </c>
      <c r="T336" s="18">
        <v>10318.32307</v>
      </c>
    </row>
    <row r="337" spans="1:20" x14ac:dyDescent="0.2">
      <c r="A337">
        <f t="shared" si="2"/>
        <v>335</v>
      </c>
      <c r="B337" t="s">
        <v>1847</v>
      </c>
      <c r="R337" s="18">
        <v>6300.0913430000001</v>
      </c>
      <c r="S337" s="18">
        <v>6557.4335629999996</v>
      </c>
      <c r="T337" s="18">
        <v>6701.5258819999999</v>
      </c>
    </row>
    <row r="338" spans="1:20" x14ac:dyDescent="0.2">
      <c r="A338">
        <f t="shared" si="2"/>
        <v>336</v>
      </c>
      <c r="B338" t="s">
        <v>2102</v>
      </c>
      <c r="Q338" s="18">
        <v>10140.054136999999</v>
      </c>
      <c r="R338" s="18">
        <v>10165.588895999999</v>
      </c>
      <c r="S338" s="18">
        <v>11110.479835</v>
      </c>
      <c r="T338" s="18">
        <v>11344.171281999999</v>
      </c>
    </row>
    <row r="339" spans="1:20" x14ac:dyDescent="0.2">
      <c r="A339">
        <f t="shared" si="2"/>
        <v>337</v>
      </c>
      <c r="B339" t="s">
        <v>2103</v>
      </c>
      <c r="Q339" s="18">
        <v>8714.9970300000004</v>
      </c>
      <c r="R339" s="18">
        <v>9990.5428209999991</v>
      </c>
      <c r="S339" s="18">
        <v>12048.108136999999</v>
      </c>
      <c r="T339" s="18">
        <v>12721.643527</v>
      </c>
    </row>
    <row r="340" spans="1:20" x14ac:dyDescent="0.2">
      <c r="A340">
        <f t="shared" si="2"/>
        <v>338</v>
      </c>
      <c r="B340" t="s">
        <v>2104</v>
      </c>
      <c r="Q340" s="18">
        <v>10156.347877</v>
      </c>
      <c r="R340" s="18">
        <v>11288.801534</v>
      </c>
      <c r="S340" s="18">
        <v>10599.122090000001</v>
      </c>
      <c r="T340" s="18">
        <v>9064.3309079999999</v>
      </c>
    </row>
    <row r="341" spans="1:20" x14ac:dyDescent="0.2">
      <c r="A341">
        <f t="shared" si="2"/>
        <v>339</v>
      </c>
      <c r="B341" t="s">
        <v>2105</v>
      </c>
      <c r="Q341" s="18">
        <v>135.89378099999999</v>
      </c>
      <c r="R341" s="18">
        <v>9177.0143289999996</v>
      </c>
      <c r="S341" s="18">
        <v>10701.579175999999</v>
      </c>
    </row>
    <row r="342" spans="1:20" x14ac:dyDescent="0.2">
      <c r="A342">
        <f t="shared" si="2"/>
        <v>340</v>
      </c>
      <c r="B342" t="s">
        <v>2106</v>
      </c>
      <c r="Q342" s="18">
        <v>10043.797742000001</v>
      </c>
      <c r="R342" s="18">
        <v>9945.0114659999999</v>
      </c>
      <c r="S342" s="18">
        <v>10281.890283999999</v>
      </c>
      <c r="T342" s="18">
        <v>10240.183483999999</v>
      </c>
    </row>
    <row r="343" spans="1:20" x14ac:dyDescent="0.2">
      <c r="A343">
        <f t="shared" si="2"/>
        <v>341</v>
      </c>
      <c r="B343" t="s">
        <v>2107</v>
      </c>
      <c r="Q343" s="18">
        <v>7377.115753</v>
      </c>
      <c r="R343" s="18">
        <v>7895.9637400000001</v>
      </c>
      <c r="S343" s="18">
        <v>9998.3128479999996</v>
      </c>
    </row>
    <row r="344" spans="1:20" x14ac:dyDescent="0.2">
      <c r="A344">
        <f t="shared" si="2"/>
        <v>342</v>
      </c>
      <c r="B344" t="s">
        <v>2108</v>
      </c>
      <c r="Q344" s="18">
        <v>7875.7325339999998</v>
      </c>
      <c r="R344" s="18">
        <v>8432.3556509999999</v>
      </c>
      <c r="S344" s="18">
        <v>9255.8550790000008</v>
      </c>
      <c r="T344" s="18">
        <v>9712.2878870000004</v>
      </c>
    </row>
    <row r="345" spans="1:20" x14ac:dyDescent="0.2">
      <c r="A345">
        <f t="shared" si="2"/>
        <v>343</v>
      </c>
      <c r="B345" t="s">
        <v>2109</v>
      </c>
      <c r="S345" s="18">
        <v>2205.136364</v>
      </c>
    </row>
    <row r="346" spans="1:20" x14ac:dyDescent="0.2">
      <c r="A346">
        <f t="shared" si="2"/>
        <v>344</v>
      </c>
      <c r="B346" t="s">
        <v>2125</v>
      </c>
      <c r="Q346" s="18">
        <v>11119.650505</v>
      </c>
      <c r="R346" s="18">
        <v>10656.351341</v>
      </c>
      <c r="S346" s="18">
        <v>9749.8401059999997</v>
      </c>
      <c r="T346" s="18">
        <v>8554.1880509999992</v>
      </c>
    </row>
    <row r="347" spans="1:20" x14ac:dyDescent="0.2">
      <c r="A347">
        <f t="shared" si="2"/>
        <v>345</v>
      </c>
      <c r="B347" t="s">
        <v>2126</v>
      </c>
      <c r="Q347" s="18">
        <v>5465.1049999999996</v>
      </c>
      <c r="R347" s="18">
        <v>5730.741</v>
      </c>
      <c r="S347" s="18">
        <v>6145.7370000000001</v>
      </c>
      <c r="T347" s="18">
        <v>6357.2932220000002</v>
      </c>
    </row>
    <row r="348" spans="1:20" x14ac:dyDescent="0.2">
      <c r="A348">
        <f t="shared" si="2"/>
        <v>346</v>
      </c>
      <c r="B348" t="s">
        <v>2133</v>
      </c>
      <c r="Q348" s="18">
        <v>6791.3090309999998</v>
      </c>
      <c r="R348" s="18">
        <v>6750.8743359999999</v>
      </c>
      <c r="S348" s="18">
        <v>6829.5465430000004</v>
      </c>
      <c r="T348" s="18">
        <v>6737.630553</v>
      </c>
    </row>
    <row r="349" spans="1:20" x14ac:dyDescent="0.2">
      <c r="A349">
        <f t="shared" si="2"/>
        <v>347</v>
      </c>
      <c r="B349" t="s">
        <v>2134</v>
      </c>
      <c r="Q349" s="18">
        <v>7968.0709859999997</v>
      </c>
      <c r="R349" s="18">
        <v>8229.8441550000007</v>
      </c>
      <c r="S349" s="18">
        <v>8417.0067639999997</v>
      </c>
      <c r="T349" s="18">
        <v>8660.7010900000005</v>
      </c>
    </row>
    <row r="350" spans="1:20" x14ac:dyDescent="0.2">
      <c r="A350">
        <f t="shared" si="2"/>
        <v>348</v>
      </c>
      <c r="B350" t="s">
        <v>2135</v>
      </c>
      <c r="Q350" s="18">
        <v>7697.0070079999996</v>
      </c>
      <c r="R350" s="18">
        <v>7571.8907090000002</v>
      </c>
      <c r="S350" s="18">
        <v>9401.0473290000009</v>
      </c>
      <c r="T350" s="18">
        <v>7858.1095429999996</v>
      </c>
    </row>
    <row r="351" spans="1:20" x14ac:dyDescent="0.2">
      <c r="A351">
        <f t="shared" si="2"/>
        <v>349</v>
      </c>
      <c r="B351" t="s">
        <v>2137</v>
      </c>
      <c r="Q351" s="18">
        <v>7770.9051049999998</v>
      </c>
      <c r="R351" s="18">
        <v>8120.8585229999999</v>
      </c>
      <c r="S351" s="18">
        <v>8893.9675779999998</v>
      </c>
      <c r="T351" s="18">
        <v>8949.94607</v>
      </c>
    </row>
    <row r="352" spans="1:20" x14ac:dyDescent="0.2">
      <c r="A352">
        <f t="shared" si="2"/>
        <v>350</v>
      </c>
      <c r="B352" t="s">
        <v>2138</v>
      </c>
      <c r="P352" s="18">
        <v>1888.5017660000001</v>
      </c>
      <c r="Q352" s="18">
        <v>5633.0871790000001</v>
      </c>
      <c r="R352" s="18">
        <v>5951.8110420000003</v>
      </c>
      <c r="S352" s="18">
        <v>6790.3457250000001</v>
      </c>
      <c r="T352" s="18">
        <v>6243.5463410000002</v>
      </c>
    </row>
    <row r="353" spans="1:19" x14ac:dyDescent="0.2">
      <c r="A353">
        <f t="shared" si="2"/>
        <v>351</v>
      </c>
      <c r="B353" t="s">
        <v>2139</v>
      </c>
      <c r="Q353" s="18">
        <v>5375.6626290000004</v>
      </c>
      <c r="R353" s="18">
        <v>5679.6869720000004</v>
      </c>
      <c r="S353" s="18">
        <v>6703.4363030000004</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N23"/>
  <sheetViews>
    <sheetView zoomScale="190" zoomScaleNormal="190" workbookViewId="0">
      <pane xSplit="2" ySplit="2" topLeftCell="C3" activePane="bottomRight" state="frozen"/>
      <selection pane="topRight" activeCell="C1" sqref="C1"/>
      <selection pane="bottomLeft" activeCell="A3" sqref="A3"/>
      <selection pane="bottomRight" activeCell="N23" sqref="N23"/>
    </sheetView>
  </sheetViews>
  <sheetFormatPr defaultColWidth="8.7109375" defaultRowHeight="12.75" x14ac:dyDescent="0.2"/>
  <cols>
    <col min="1" max="1" width="5" bestFit="1" customWidth="1"/>
    <col min="2" max="2" width="13.7109375" bestFit="1" customWidth="1"/>
    <col min="6" max="9" width="8.7109375" style="1"/>
  </cols>
  <sheetData>
    <row r="1" spans="1:14" x14ac:dyDescent="0.2">
      <c r="A1" t="s">
        <v>77</v>
      </c>
      <c r="D1" s="18">
        <f>SUM(D3:D19)</f>
        <v>3068</v>
      </c>
    </row>
    <row r="2" spans="1:14" x14ac:dyDescent="0.2">
      <c r="B2" t="s">
        <v>0</v>
      </c>
      <c r="D2" s="1" t="s">
        <v>1804</v>
      </c>
      <c r="F2" s="1" t="s">
        <v>1110</v>
      </c>
      <c r="G2" s="1" t="s">
        <v>1111</v>
      </c>
      <c r="H2" s="1" t="s">
        <v>1112</v>
      </c>
      <c r="I2" s="1" t="s">
        <v>1113</v>
      </c>
      <c r="M2">
        <v>2017</v>
      </c>
      <c r="N2">
        <v>2001</v>
      </c>
    </row>
    <row r="3" spans="1:14" x14ac:dyDescent="0.2">
      <c r="B3" t="s">
        <v>1478</v>
      </c>
      <c r="C3" s="18">
        <v>976</v>
      </c>
      <c r="D3">
        <v>517</v>
      </c>
      <c r="F3" s="3">
        <v>7505.0402139999997</v>
      </c>
      <c r="G3" s="3">
        <v>6864.1274679999997</v>
      </c>
      <c r="H3" s="3">
        <v>7228.6659259999997</v>
      </c>
      <c r="I3" s="3"/>
    </row>
    <row r="4" spans="1:14" x14ac:dyDescent="0.2">
      <c r="B4" t="s">
        <v>1479</v>
      </c>
      <c r="C4" s="18">
        <v>3277</v>
      </c>
      <c r="D4">
        <v>502</v>
      </c>
      <c r="F4" s="3">
        <v>3877.1900500000002</v>
      </c>
      <c r="G4" s="3"/>
      <c r="H4" s="3">
        <v>7468.0461240000004</v>
      </c>
      <c r="I4" s="3"/>
    </row>
    <row r="5" spans="1:14" x14ac:dyDescent="0.2">
      <c r="B5" t="s">
        <v>1480</v>
      </c>
      <c r="C5" s="18">
        <v>2341</v>
      </c>
      <c r="D5">
        <v>217</v>
      </c>
      <c r="F5" s="3"/>
      <c r="G5" s="3"/>
      <c r="H5" s="3"/>
      <c r="I5" s="3">
        <v>4149.2150009999996</v>
      </c>
    </row>
    <row r="6" spans="1:14" x14ac:dyDescent="0.2">
      <c r="B6" t="s">
        <v>1803</v>
      </c>
      <c r="C6" s="18">
        <v>933</v>
      </c>
      <c r="D6">
        <v>33</v>
      </c>
      <c r="F6" s="3"/>
      <c r="G6" s="3"/>
      <c r="H6" s="3"/>
      <c r="I6" s="3"/>
    </row>
    <row r="7" spans="1:14" x14ac:dyDescent="0.2">
      <c r="B7" t="s">
        <v>877</v>
      </c>
      <c r="C7" s="18">
        <v>563</v>
      </c>
      <c r="D7">
        <v>10</v>
      </c>
      <c r="F7" s="3"/>
      <c r="G7" s="3"/>
      <c r="H7" s="3"/>
      <c r="I7" s="3"/>
    </row>
    <row r="8" spans="1:14" x14ac:dyDescent="0.2">
      <c r="B8" t="s">
        <v>1805</v>
      </c>
      <c r="C8" s="18">
        <v>114</v>
      </c>
      <c r="D8">
        <v>53</v>
      </c>
      <c r="F8" s="3"/>
      <c r="G8" s="3"/>
      <c r="H8" s="3"/>
      <c r="I8" s="3"/>
    </row>
    <row r="9" spans="1:14" x14ac:dyDescent="0.2">
      <c r="B9" t="s">
        <v>1806</v>
      </c>
      <c r="C9" s="18">
        <v>358</v>
      </c>
      <c r="D9">
        <v>48</v>
      </c>
      <c r="F9" s="3"/>
      <c r="G9" s="3"/>
      <c r="H9" s="3"/>
      <c r="I9" s="3"/>
    </row>
    <row r="10" spans="1:14" x14ac:dyDescent="0.2">
      <c r="B10" t="s">
        <v>1807</v>
      </c>
      <c r="C10" s="18">
        <v>762</v>
      </c>
      <c r="D10">
        <v>31</v>
      </c>
      <c r="F10" s="3"/>
      <c r="G10" s="3"/>
      <c r="H10" s="3"/>
      <c r="I10" s="3"/>
    </row>
    <row r="11" spans="1:14" x14ac:dyDescent="0.2">
      <c r="B11" t="s">
        <v>1808</v>
      </c>
      <c r="C11" s="18">
        <v>1338</v>
      </c>
      <c r="D11">
        <v>8</v>
      </c>
      <c r="F11" s="3">
        <v>10319.502641999999</v>
      </c>
      <c r="G11" s="3">
        <v>10142.836108</v>
      </c>
      <c r="H11" s="3">
        <v>7922.2646029999996</v>
      </c>
      <c r="I11" s="3"/>
    </row>
    <row r="12" spans="1:14" x14ac:dyDescent="0.2">
      <c r="B12" t="s">
        <v>1809</v>
      </c>
      <c r="C12" s="18">
        <v>858</v>
      </c>
      <c r="D12">
        <v>25</v>
      </c>
      <c r="F12" s="3"/>
      <c r="G12" s="3"/>
      <c r="H12" s="3"/>
    </row>
    <row r="13" spans="1:14" x14ac:dyDescent="0.2">
      <c r="B13" t="s">
        <v>1810</v>
      </c>
      <c r="C13" s="18">
        <v>162</v>
      </c>
      <c r="D13">
        <v>10</v>
      </c>
      <c r="F13" s="3">
        <v>3737.8254080000002</v>
      </c>
      <c r="G13" s="3"/>
      <c r="H13" s="3"/>
    </row>
    <row r="14" spans="1:14" x14ac:dyDescent="0.2">
      <c r="B14" t="s">
        <v>1811</v>
      </c>
      <c r="C14" s="18">
        <v>2269</v>
      </c>
      <c r="D14">
        <v>186</v>
      </c>
      <c r="F14" s="3">
        <v>4481.9024090000003</v>
      </c>
      <c r="G14" s="3">
        <v>4709.9879039999996</v>
      </c>
      <c r="H14" s="3">
        <v>3823.5028790000001</v>
      </c>
    </row>
    <row r="15" spans="1:14" x14ac:dyDescent="0.2">
      <c r="B15" t="s">
        <v>1812</v>
      </c>
      <c r="C15" s="18">
        <v>552</v>
      </c>
      <c r="D15">
        <v>50</v>
      </c>
    </row>
    <row r="16" spans="1:14" x14ac:dyDescent="0.2">
      <c r="B16" t="s">
        <v>1813</v>
      </c>
      <c r="C16" s="18">
        <v>5518</v>
      </c>
      <c r="D16">
        <v>675</v>
      </c>
    </row>
    <row r="17" spans="2:14" x14ac:dyDescent="0.2">
      <c r="B17" t="s">
        <v>1814</v>
      </c>
      <c r="C17" s="18">
        <v>5531</v>
      </c>
      <c r="D17">
        <v>632</v>
      </c>
    </row>
    <row r="18" spans="2:14" x14ac:dyDescent="0.2">
      <c r="B18" t="s">
        <v>1815</v>
      </c>
      <c r="C18" s="18">
        <v>561</v>
      </c>
      <c r="D18">
        <v>37</v>
      </c>
      <c r="F18" s="3">
        <v>4305.3033759999998</v>
      </c>
      <c r="G18" s="3"/>
      <c r="H18" s="3"/>
      <c r="I18" s="1">
        <v>2809.3015270000001</v>
      </c>
    </row>
    <row r="19" spans="2:14" x14ac:dyDescent="0.2">
      <c r="B19" t="s">
        <v>1816</v>
      </c>
      <c r="C19" s="18">
        <v>547</v>
      </c>
      <c r="D19">
        <v>34</v>
      </c>
      <c r="F19" s="3"/>
      <c r="G19" s="3"/>
      <c r="H19" s="3"/>
    </row>
    <row r="20" spans="2:14" x14ac:dyDescent="0.2">
      <c r="B20" t="s">
        <v>1817</v>
      </c>
      <c r="F20" s="3"/>
      <c r="G20" s="3"/>
      <c r="H20" s="3"/>
    </row>
    <row r="21" spans="2:14" x14ac:dyDescent="0.2">
      <c r="B21" t="s">
        <v>1843</v>
      </c>
      <c r="F21" s="3">
        <v>5224.5444559999996</v>
      </c>
      <c r="G21" s="3">
        <v>4361.5609320000003</v>
      </c>
      <c r="H21" s="3">
        <v>5866.7134820000001</v>
      </c>
      <c r="K21" t="s">
        <v>1846</v>
      </c>
    </row>
    <row r="22" spans="2:14" x14ac:dyDescent="0.2">
      <c r="B22" t="s">
        <v>1844</v>
      </c>
      <c r="F22" s="3">
        <v>4102.462681</v>
      </c>
      <c r="G22" s="3">
        <v>3640.6558759999998</v>
      </c>
      <c r="H22" s="3"/>
      <c r="M22" s="36">
        <v>0.32450000000000001</v>
      </c>
      <c r="N22" s="14" t="s">
        <v>2201</v>
      </c>
    </row>
    <row r="23" spans="2:14" x14ac:dyDescent="0.2">
      <c r="B23" t="s">
        <v>2110</v>
      </c>
      <c r="F23" s="3">
        <v>3934.323273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77</v>
      </c>
    </row>
    <row r="2" spans="1:17" x14ac:dyDescent="0.2">
      <c r="B2" t="s">
        <v>887</v>
      </c>
      <c r="C2" t="s">
        <v>917</v>
      </c>
      <c r="D2" t="s">
        <v>888</v>
      </c>
      <c r="E2" t="s">
        <v>909</v>
      </c>
      <c r="F2" t="s">
        <v>892</v>
      </c>
      <c r="G2" t="s">
        <v>894</v>
      </c>
      <c r="H2" t="s">
        <v>898</v>
      </c>
      <c r="I2" t="s">
        <v>908</v>
      </c>
      <c r="J2" t="s">
        <v>911</v>
      </c>
      <c r="K2" t="s">
        <v>912</v>
      </c>
      <c r="L2" t="s">
        <v>924</v>
      </c>
      <c r="M2" t="s">
        <v>971</v>
      </c>
      <c r="N2" t="s">
        <v>973</v>
      </c>
      <c r="O2" t="s">
        <v>975</v>
      </c>
      <c r="P2" t="s">
        <v>976</v>
      </c>
      <c r="Q2" t="s">
        <v>711</v>
      </c>
    </row>
    <row r="3" spans="1:17" x14ac:dyDescent="0.2">
      <c r="B3" t="s">
        <v>889</v>
      </c>
      <c r="C3" t="s">
        <v>890</v>
      </c>
      <c r="D3" t="s">
        <v>891</v>
      </c>
      <c r="E3" t="s">
        <v>720</v>
      </c>
      <c r="F3" s="2" t="s">
        <v>893</v>
      </c>
      <c r="G3" t="s">
        <v>904</v>
      </c>
      <c r="H3" t="s">
        <v>903</v>
      </c>
      <c r="I3" t="s">
        <v>1017</v>
      </c>
    </row>
    <row r="4" spans="1:17" x14ac:dyDescent="0.2">
      <c r="B4" t="s">
        <v>895</v>
      </c>
      <c r="C4" t="s">
        <v>896</v>
      </c>
      <c r="D4" t="s">
        <v>897</v>
      </c>
      <c r="E4" t="s">
        <v>900</v>
      </c>
      <c r="F4" s="2" t="s">
        <v>901</v>
      </c>
      <c r="G4" t="s">
        <v>902</v>
      </c>
      <c r="H4" t="s">
        <v>899</v>
      </c>
      <c r="I4" t="s">
        <v>1017</v>
      </c>
    </row>
    <row r="5" spans="1:17" x14ac:dyDescent="0.2">
      <c r="B5" t="s">
        <v>905</v>
      </c>
      <c r="D5" t="s">
        <v>906</v>
      </c>
      <c r="E5" t="s">
        <v>910</v>
      </c>
      <c r="F5" s="2" t="s">
        <v>915</v>
      </c>
      <c r="G5" t="s">
        <v>916</v>
      </c>
      <c r="H5" t="s">
        <v>907</v>
      </c>
      <c r="I5" t="s">
        <v>1018</v>
      </c>
      <c r="J5" t="s">
        <v>913</v>
      </c>
      <c r="K5" t="s">
        <v>914</v>
      </c>
    </row>
    <row r="6" spans="1:17" x14ac:dyDescent="0.2">
      <c r="B6" t="s">
        <v>918</v>
      </c>
      <c r="C6" t="s">
        <v>919</v>
      </c>
      <c r="D6" t="s">
        <v>920</v>
      </c>
      <c r="E6" t="s">
        <v>921</v>
      </c>
      <c r="F6" s="2" t="s">
        <v>923</v>
      </c>
      <c r="G6" t="s">
        <v>916</v>
      </c>
      <c r="H6" t="s">
        <v>922</v>
      </c>
      <c r="I6" t="s">
        <v>1018</v>
      </c>
      <c r="J6" t="s">
        <v>926</v>
      </c>
      <c r="L6" s="2" t="s">
        <v>925</v>
      </c>
    </row>
    <row r="7" spans="1:17" x14ac:dyDescent="0.2">
      <c r="B7" t="s">
        <v>927</v>
      </c>
      <c r="D7" t="s">
        <v>928</v>
      </c>
      <c r="E7" t="s">
        <v>929</v>
      </c>
      <c r="F7" s="2" t="s">
        <v>930</v>
      </c>
      <c r="G7" t="s">
        <v>902</v>
      </c>
      <c r="H7" t="s">
        <v>931</v>
      </c>
      <c r="I7" t="s">
        <v>1017</v>
      </c>
      <c r="J7" t="s">
        <v>932</v>
      </c>
    </row>
    <row r="8" spans="1:17" x14ac:dyDescent="0.2">
      <c r="B8" t="s">
        <v>933</v>
      </c>
      <c r="C8" t="s">
        <v>896</v>
      </c>
      <c r="D8" t="s">
        <v>934</v>
      </c>
      <c r="E8" t="s">
        <v>935</v>
      </c>
      <c r="F8" s="2" t="s">
        <v>936</v>
      </c>
      <c r="G8" t="s">
        <v>902</v>
      </c>
      <c r="H8" t="s">
        <v>937</v>
      </c>
      <c r="I8" t="s">
        <v>1017</v>
      </c>
    </row>
    <row r="9" spans="1:17" x14ac:dyDescent="0.2">
      <c r="B9" t="s">
        <v>938</v>
      </c>
      <c r="D9" t="s">
        <v>939</v>
      </c>
      <c r="E9" t="s">
        <v>940</v>
      </c>
      <c r="G9" t="s">
        <v>916</v>
      </c>
      <c r="H9" t="s">
        <v>941</v>
      </c>
      <c r="I9" t="s">
        <v>942</v>
      </c>
      <c r="J9" t="s">
        <v>943</v>
      </c>
    </row>
    <row r="10" spans="1:17" x14ac:dyDescent="0.2">
      <c r="B10" t="s">
        <v>944</v>
      </c>
      <c r="C10" t="s">
        <v>945</v>
      </c>
      <c r="D10" t="s">
        <v>946</v>
      </c>
      <c r="E10" t="s">
        <v>947</v>
      </c>
      <c r="F10" s="2" t="s">
        <v>948</v>
      </c>
      <c r="G10" t="s">
        <v>902</v>
      </c>
      <c r="H10" t="s">
        <v>949</v>
      </c>
      <c r="I10" t="s">
        <v>1017</v>
      </c>
    </row>
    <row r="11" spans="1:17" x14ac:dyDescent="0.2">
      <c r="B11" t="s">
        <v>950</v>
      </c>
      <c r="C11" t="s">
        <v>951</v>
      </c>
      <c r="D11" t="s">
        <v>952</v>
      </c>
      <c r="E11" t="s">
        <v>953</v>
      </c>
      <c r="F11" s="2" t="s">
        <v>954</v>
      </c>
      <c r="G11" t="s">
        <v>904</v>
      </c>
      <c r="H11" t="s">
        <v>955</v>
      </c>
      <c r="I11" t="s">
        <v>1017</v>
      </c>
    </row>
    <row r="12" spans="1:17" x14ac:dyDescent="0.2">
      <c r="B12" t="s">
        <v>956</v>
      </c>
      <c r="D12" t="s">
        <v>957</v>
      </c>
      <c r="E12" t="s">
        <v>958</v>
      </c>
      <c r="F12" s="2" t="s">
        <v>959</v>
      </c>
      <c r="G12" t="s">
        <v>902</v>
      </c>
      <c r="H12" t="s">
        <v>960</v>
      </c>
      <c r="I12" t="s">
        <v>1017</v>
      </c>
      <c r="J12" t="s">
        <v>961</v>
      </c>
    </row>
    <row r="13" spans="1:17" x14ac:dyDescent="0.2">
      <c r="B13" t="s">
        <v>962</v>
      </c>
      <c r="D13" t="s">
        <v>963</v>
      </c>
      <c r="E13" t="s">
        <v>964</v>
      </c>
      <c r="F13" s="2" t="s">
        <v>965</v>
      </c>
      <c r="G13" t="s">
        <v>902</v>
      </c>
      <c r="I13" t="s">
        <v>1017</v>
      </c>
      <c r="J13" t="s">
        <v>966</v>
      </c>
    </row>
    <row r="14" spans="1:17" x14ac:dyDescent="0.2">
      <c r="B14" t="s">
        <v>967</v>
      </c>
      <c r="D14" t="s">
        <v>968</v>
      </c>
      <c r="G14" t="s">
        <v>4</v>
      </c>
      <c r="M14" t="s">
        <v>972</v>
      </c>
      <c r="N14" t="s">
        <v>974</v>
      </c>
      <c r="O14" t="s">
        <v>969</v>
      </c>
      <c r="P14" s="2" t="s">
        <v>970</v>
      </c>
    </row>
    <row r="15" spans="1:17" x14ac:dyDescent="0.2">
      <c r="B15" t="s">
        <v>977</v>
      </c>
      <c r="D15" t="s">
        <v>978</v>
      </c>
      <c r="E15" t="s">
        <v>979</v>
      </c>
      <c r="F15" s="2" t="s">
        <v>980</v>
      </c>
      <c r="G15" t="s">
        <v>902</v>
      </c>
      <c r="I15" t="s">
        <v>981</v>
      </c>
    </row>
    <row r="16" spans="1:17" x14ac:dyDescent="0.2">
      <c r="B16" t="s">
        <v>982</v>
      </c>
      <c r="D16" t="s">
        <v>983</v>
      </c>
      <c r="E16" t="s">
        <v>984</v>
      </c>
      <c r="F16" s="2" t="s">
        <v>985</v>
      </c>
      <c r="G16" t="s">
        <v>902</v>
      </c>
      <c r="H16" t="s">
        <v>960</v>
      </c>
      <c r="I16" t="s">
        <v>1019</v>
      </c>
    </row>
    <row r="17" spans="2:17" x14ac:dyDescent="0.2">
      <c r="B17" t="s">
        <v>986</v>
      </c>
      <c r="D17" t="s">
        <v>987</v>
      </c>
      <c r="E17" t="s">
        <v>988</v>
      </c>
      <c r="F17" s="2" t="s">
        <v>989</v>
      </c>
      <c r="G17" t="s">
        <v>916</v>
      </c>
      <c r="H17" t="s">
        <v>990</v>
      </c>
      <c r="I17" t="s">
        <v>1018</v>
      </c>
      <c r="J17" t="s">
        <v>991</v>
      </c>
      <c r="L17" s="2" t="s">
        <v>992</v>
      </c>
    </row>
    <row r="18" spans="2:17" x14ac:dyDescent="0.2">
      <c r="B18" t="s">
        <v>993</v>
      </c>
      <c r="C18" t="s">
        <v>994</v>
      </c>
      <c r="D18" t="s">
        <v>995</v>
      </c>
      <c r="E18" t="s">
        <v>996</v>
      </c>
      <c r="F18" s="2" t="s">
        <v>997</v>
      </c>
      <c r="G18" t="s">
        <v>916</v>
      </c>
      <c r="H18" t="s">
        <v>960</v>
      </c>
      <c r="I18" t="s">
        <v>1018</v>
      </c>
      <c r="J18" t="s">
        <v>998</v>
      </c>
      <c r="L18" s="2" t="s">
        <v>999</v>
      </c>
    </row>
    <row r="19" spans="2:17" x14ac:dyDescent="0.2">
      <c r="B19" t="s">
        <v>1000</v>
      </c>
      <c r="D19" t="s">
        <v>1001</v>
      </c>
      <c r="E19" t="s">
        <v>1002</v>
      </c>
      <c r="F19" s="2" t="s">
        <v>1003</v>
      </c>
      <c r="G19" t="s">
        <v>902</v>
      </c>
      <c r="H19" t="s">
        <v>1004</v>
      </c>
      <c r="I19" t="s">
        <v>1017</v>
      </c>
      <c r="J19" t="s">
        <v>1005</v>
      </c>
      <c r="L19" s="2" t="s">
        <v>1006</v>
      </c>
    </row>
    <row r="20" spans="2:17" x14ac:dyDescent="0.2">
      <c r="B20" t="s">
        <v>1007</v>
      </c>
      <c r="D20" t="s">
        <v>1008</v>
      </c>
      <c r="E20" t="s">
        <v>1009</v>
      </c>
      <c r="F20" s="2" t="s">
        <v>1010</v>
      </c>
      <c r="G20" t="s">
        <v>902</v>
      </c>
      <c r="H20" t="s">
        <v>1011</v>
      </c>
      <c r="I20" t="s">
        <v>1017</v>
      </c>
    </row>
    <row r="21" spans="2:17" x14ac:dyDescent="0.2">
      <c r="B21" t="s">
        <v>1012</v>
      </c>
      <c r="D21" t="s">
        <v>1013</v>
      </c>
      <c r="E21" t="s">
        <v>1014</v>
      </c>
      <c r="F21" s="2" t="s">
        <v>1015</v>
      </c>
      <c r="G21" t="s">
        <v>916</v>
      </c>
      <c r="I21" t="s">
        <v>1016</v>
      </c>
      <c r="J21" t="s">
        <v>1021</v>
      </c>
      <c r="L21" s="2" t="s">
        <v>1020</v>
      </c>
    </row>
    <row r="22" spans="2:17" x14ac:dyDescent="0.2">
      <c r="B22" t="s">
        <v>1022</v>
      </c>
      <c r="D22" t="s">
        <v>1023</v>
      </c>
      <c r="E22" t="s">
        <v>1024</v>
      </c>
      <c r="F22" s="2" t="s">
        <v>1025</v>
      </c>
      <c r="G22" t="s">
        <v>916</v>
      </c>
      <c r="H22" t="s">
        <v>1026</v>
      </c>
      <c r="I22" t="s">
        <v>1027</v>
      </c>
    </row>
    <row r="23" spans="2:17" x14ac:dyDescent="0.2">
      <c r="B23" t="s">
        <v>1028</v>
      </c>
      <c r="D23" t="s">
        <v>1029</v>
      </c>
      <c r="E23" t="s">
        <v>1030</v>
      </c>
      <c r="G23" t="s">
        <v>916</v>
      </c>
      <c r="H23" t="s">
        <v>960</v>
      </c>
      <c r="I23" t="s">
        <v>1018</v>
      </c>
      <c r="J23" t="s">
        <v>1031</v>
      </c>
      <c r="Q23" t="s">
        <v>1032</v>
      </c>
    </row>
    <row r="24" spans="2:17" x14ac:dyDescent="0.2">
      <c r="B24" t="s">
        <v>1033</v>
      </c>
      <c r="D24" t="s">
        <v>1034</v>
      </c>
      <c r="E24" t="s">
        <v>1035</v>
      </c>
      <c r="F24" s="2" t="s">
        <v>1036</v>
      </c>
      <c r="G24" t="s">
        <v>916</v>
      </c>
      <c r="H24" t="s">
        <v>1037</v>
      </c>
      <c r="I24" t="s">
        <v>1038</v>
      </c>
    </row>
    <row r="25" spans="2:17" x14ac:dyDescent="0.2">
      <c r="B25" t="s">
        <v>1039</v>
      </c>
      <c r="D25" t="s">
        <v>1040</v>
      </c>
      <c r="E25" t="s">
        <v>1041</v>
      </c>
      <c r="F25" s="2" t="s">
        <v>1042</v>
      </c>
      <c r="G25" t="s">
        <v>902</v>
      </c>
      <c r="H25" t="s">
        <v>1043</v>
      </c>
      <c r="I25" t="s">
        <v>1017</v>
      </c>
      <c r="J25" t="s">
        <v>1044</v>
      </c>
      <c r="L25" s="2" t="s">
        <v>1045</v>
      </c>
    </row>
    <row r="26" spans="2:17" x14ac:dyDescent="0.2">
      <c r="B26" t="s">
        <v>1046</v>
      </c>
      <c r="D26" t="s">
        <v>1047</v>
      </c>
      <c r="E26" t="s">
        <v>1048</v>
      </c>
      <c r="F26" s="2" t="s">
        <v>1049</v>
      </c>
      <c r="G26" t="s">
        <v>902</v>
      </c>
      <c r="H26" t="s">
        <v>1050</v>
      </c>
      <c r="I26" t="s">
        <v>1017</v>
      </c>
      <c r="J26" t="s">
        <v>1051</v>
      </c>
      <c r="L26" s="2" t="s">
        <v>1052</v>
      </c>
    </row>
    <row r="27" spans="2:17" x14ac:dyDescent="0.2">
      <c r="B27" t="s">
        <v>1053</v>
      </c>
      <c r="D27" t="s">
        <v>1054</v>
      </c>
      <c r="E27" t="s">
        <v>1055</v>
      </c>
      <c r="F27" s="2" t="s">
        <v>1056</v>
      </c>
      <c r="G27" t="s">
        <v>902</v>
      </c>
      <c r="H27" t="s">
        <v>960</v>
      </c>
      <c r="I27" t="s">
        <v>1017</v>
      </c>
    </row>
    <row r="28" spans="2:17" x14ac:dyDescent="0.2">
      <c r="B28" t="s">
        <v>1057</v>
      </c>
      <c r="D28" t="s">
        <v>1058</v>
      </c>
      <c r="E28" t="s">
        <v>1059</v>
      </c>
      <c r="F28" s="2" t="s">
        <v>1060</v>
      </c>
      <c r="G28" t="s">
        <v>902</v>
      </c>
      <c r="H28" t="s">
        <v>960</v>
      </c>
      <c r="I28" t="s">
        <v>1017</v>
      </c>
    </row>
    <row r="29" spans="2:17" x14ac:dyDescent="0.2">
      <c r="B29" t="s">
        <v>1061</v>
      </c>
      <c r="D29" t="s">
        <v>1062</v>
      </c>
      <c r="E29" t="s">
        <v>1063</v>
      </c>
      <c r="G29" t="s">
        <v>902</v>
      </c>
      <c r="H29" t="s">
        <v>960</v>
      </c>
      <c r="I29" t="s">
        <v>1017</v>
      </c>
    </row>
    <row r="30" spans="2:17" x14ac:dyDescent="0.2">
      <c r="B30" t="s">
        <v>1064</v>
      </c>
      <c r="D30" t="s">
        <v>1065</v>
      </c>
      <c r="E30" t="s">
        <v>1066</v>
      </c>
      <c r="F30" s="2" t="s">
        <v>1067</v>
      </c>
      <c r="G30" t="s">
        <v>1068</v>
      </c>
      <c r="I30" t="s">
        <v>1069</v>
      </c>
    </row>
    <row r="31" spans="2:17" x14ac:dyDescent="0.2">
      <c r="B31" t="s">
        <v>1070</v>
      </c>
      <c r="D31" t="s">
        <v>1071</v>
      </c>
      <c r="E31" t="s">
        <v>1072</v>
      </c>
      <c r="F31" s="2" t="s">
        <v>1073</v>
      </c>
      <c r="G31" t="s">
        <v>904</v>
      </c>
      <c r="H31" t="s">
        <v>1074</v>
      </c>
      <c r="I31" t="s">
        <v>1017</v>
      </c>
      <c r="J31" t="s">
        <v>1075</v>
      </c>
      <c r="L31" s="2" t="s">
        <v>1076</v>
      </c>
    </row>
    <row r="32" spans="2:17" x14ac:dyDescent="0.2">
      <c r="B32" t="s">
        <v>1077</v>
      </c>
      <c r="C32" t="s">
        <v>1078</v>
      </c>
      <c r="D32" t="s">
        <v>1079</v>
      </c>
      <c r="E32" t="s">
        <v>1080</v>
      </c>
      <c r="F32" s="2" t="s">
        <v>1081</v>
      </c>
      <c r="G32" t="s">
        <v>1082</v>
      </c>
      <c r="H32" t="s">
        <v>960</v>
      </c>
      <c r="I32" t="s">
        <v>1083</v>
      </c>
      <c r="J32" t="s">
        <v>1084</v>
      </c>
      <c r="L32" s="2" t="s">
        <v>1085</v>
      </c>
    </row>
    <row r="33" spans="2:18" x14ac:dyDescent="0.2">
      <c r="B33" t="s">
        <v>1086</v>
      </c>
      <c r="D33" t="s">
        <v>1087</v>
      </c>
      <c r="E33" t="s">
        <v>1088</v>
      </c>
      <c r="G33" t="s">
        <v>1089</v>
      </c>
      <c r="I33" t="s">
        <v>1090</v>
      </c>
    </row>
    <row r="34" spans="2:18" x14ac:dyDescent="0.2">
      <c r="B34" t="s">
        <v>1091</v>
      </c>
      <c r="D34" t="s">
        <v>1092</v>
      </c>
      <c r="E34" t="s">
        <v>1093</v>
      </c>
      <c r="F34" s="2" t="s">
        <v>1094</v>
      </c>
      <c r="G34" t="s">
        <v>902</v>
      </c>
      <c r="H34" t="s">
        <v>1096</v>
      </c>
      <c r="I34" t="s">
        <v>1017</v>
      </c>
      <c r="J34" t="s">
        <v>1095</v>
      </c>
    </row>
    <row r="35" spans="2:18" x14ac:dyDescent="0.2">
      <c r="B35" t="s">
        <v>1097</v>
      </c>
      <c r="D35" t="s">
        <v>1098</v>
      </c>
      <c r="E35" t="s">
        <v>1099</v>
      </c>
      <c r="F35" t="s">
        <v>1100</v>
      </c>
      <c r="G35" t="s">
        <v>904</v>
      </c>
      <c r="H35" t="s">
        <v>1101</v>
      </c>
      <c r="I35" t="s">
        <v>1017</v>
      </c>
      <c r="J35" t="s">
        <v>1102</v>
      </c>
    </row>
    <row r="36" spans="2:18" x14ac:dyDescent="0.2">
      <c r="B36" t="s">
        <v>1103</v>
      </c>
      <c r="D36" t="s">
        <v>1104</v>
      </c>
      <c r="E36" t="s">
        <v>1105</v>
      </c>
      <c r="F36" s="2" t="s">
        <v>1106</v>
      </c>
      <c r="G36" t="s">
        <v>1107</v>
      </c>
      <c r="H36" t="s">
        <v>1108</v>
      </c>
      <c r="I36" t="s">
        <v>1109</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1329</v>
      </c>
      <c r="E51" s="18">
        <v>1186645160</v>
      </c>
      <c r="F51" s="9">
        <f>+E51/$E$50</f>
        <v>0.20607111580010432</v>
      </c>
      <c r="H51" t="s">
        <v>1343</v>
      </c>
      <c r="I51" s="18">
        <v>906706.19221200002</v>
      </c>
      <c r="J51" s="27">
        <f>+I51/$I$50</f>
        <v>0.19851745350790129</v>
      </c>
      <c r="K51" s="9">
        <v>0.1</v>
      </c>
      <c r="L51" s="30" t="s">
        <v>1385</v>
      </c>
    </row>
    <row r="52" spans="3:12" x14ac:dyDescent="0.2">
      <c r="C52" t="s">
        <v>1330</v>
      </c>
      <c r="E52" s="18">
        <v>557413195</v>
      </c>
      <c r="F52" s="9">
        <f t="shared" ref="F52:F108" si="2">+E52/$E$50</f>
        <v>9.6799585021145759E-2</v>
      </c>
      <c r="H52" t="s">
        <v>1344</v>
      </c>
      <c r="I52" s="18">
        <v>611192.62295081967</v>
      </c>
      <c r="J52" s="27">
        <f t="shared" ref="J52:J57" si="3">+I52/$I$50</f>
        <v>0.13381666978032775</v>
      </c>
      <c r="K52" s="9">
        <v>7.0000000000000007E-2</v>
      </c>
      <c r="L52" s="30" t="s">
        <v>1385</v>
      </c>
    </row>
    <row r="53" spans="3:12" x14ac:dyDescent="0.2">
      <c r="C53" t="s">
        <v>1331</v>
      </c>
      <c r="E53" s="18">
        <v>481696564</v>
      </c>
      <c r="F53" s="9">
        <f t="shared" si="2"/>
        <v>8.3650742249314319E-2</v>
      </c>
      <c r="H53" t="s">
        <v>1345</v>
      </c>
      <c r="I53" s="18">
        <v>390620.15999999997</v>
      </c>
      <c r="J53" s="27">
        <f t="shared" si="3"/>
        <v>8.5523756337067033E-2</v>
      </c>
      <c r="K53" s="9">
        <v>0.04</v>
      </c>
      <c r="L53" s="30" t="s">
        <v>1385</v>
      </c>
    </row>
    <row r="54" spans="3:12" x14ac:dyDescent="0.2">
      <c r="C54" t="s">
        <v>1332</v>
      </c>
      <c r="E54" s="18">
        <v>309118458</v>
      </c>
      <c r="F54" s="9">
        <f t="shared" si="2"/>
        <v>5.3681073080403985E-2</v>
      </c>
      <c r="H54" t="s">
        <v>1346</v>
      </c>
      <c r="I54" s="18">
        <v>346637.82999999996</v>
      </c>
      <c r="J54" s="27">
        <f t="shared" si="3"/>
        <v>7.5894109792309913E-2</v>
      </c>
      <c r="K54" s="9">
        <v>0.04</v>
      </c>
      <c r="L54" s="30" t="s">
        <v>1385</v>
      </c>
    </row>
    <row r="55" spans="3:12" x14ac:dyDescent="0.2">
      <c r="C55" t="s">
        <v>1333</v>
      </c>
      <c r="E55" s="18">
        <v>280658643</v>
      </c>
      <c r="F55" s="27">
        <f t="shared" si="2"/>
        <v>4.8738781964065087E-2</v>
      </c>
      <c r="H55" t="s">
        <v>1347</v>
      </c>
      <c r="I55" s="18">
        <v>294975.75963743997</v>
      </c>
      <c r="J55" s="27">
        <f t="shared" si="3"/>
        <v>6.4583033790610478E-2</v>
      </c>
      <c r="K55" s="9">
        <v>0.25</v>
      </c>
      <c r="L55" s="31" t="s">
        <v>1364</v>
      </c>
    </row>
    <row r="56" spans="3:12" x14ac:dyDescent="0.2">
      <c r="C56" t="s">
        <v>1334</v>
      </c>
      <c r="E56" s="18">
        <v>197082876</v>
      </c>
      <c r="F56" s="27">
        <f t="shared" si="2"/>
        <v>3.4225132778878564E-2</v>
      </c>
      <c r="H56" s="20" t="s">
        <v>1348</v>
      </c>
      <c r="I56" s="28">
        <v>265708.56</v>
      </c>
      <c r="J56" s="29">
        <f t="shared" si="3"/>
        <v>5.8175169817433273E-2</v>
      </c>
      <c r="K56" s="9">
        <v>1E-3</v>
      </c>
      <c r="L56" s="30" t="s">
        <v>1385</v>
      </c>
    </row>
    <row r="57" spans="3:12" x14ac:dyDescent="0.2">
      <c r="C57" t="s">
        <v>1335</v>
      </c>
      <c r="E57" s="18">
        <v>174282436</v>
      </c>
      <c r="F57" s="27">
        <f t="shared" si="2"/>
        <v>3.0265640699937854E-2</v>
      </c>
      <c r="H57" s="20" t="s">
        <v>1349</v>
      </c>
      <c r="I57" s="28">
        <v>241668.70588235298</v>
      </c>
      <c r="J57" s="29">
        <f t="shared" si="3"/>
        <v>5.291179931977058E-2</v>
      </c>
      <c r="K57" s="9">
        <v>1E-3</v>
      </c>
      <c r="L57" s="30" t="s">
        <v>1385</v>
      </c>
    </row>
    <row r="58" spans="3:12" x14ac:dyDescent="0.2">
      <c r="C58" t="s">
        <v>1336</v>
      </c>
      <c r="E58" s="18">
        <v>168129393</v>
      </c>
      <c r="F58" s="27">
        <f t="shared" si="2"/>
        <v>2.9197111977690319E-2</v>
      </c>
      <c r="H58" t="s">
        <v>1350</v>
      </c>
      <c r="I58" s="18">
        <v>170863</v>
      </c>
      <c r="J58" s="27">
        <f t="shared" ref="J58:J71" si="4">+I58/$I$50</f>
        <v>3.7409348199079859E-2</v>
      </c>
      <c r="K58" s="9">
        <v>1E-3</v>
      </c>
      <c r="L58" s="30" t="s">
        <v>1385</v>
      </c>
    </row>
    <row r="59" spans="3:12" x14ac:dyDescent="0.2">
      <c r="C59" t="s">
        <v>1337</v>
      </c>
      <c r="E59" s="18">
        <v>157410374</v>
      </c>
      <c r="F59" s="27">
        <f t="shared" si="2"/>
        <v>2.7335662337923939E-2</v>
      </c>
      <c r="H59" t="s">
        <v>1351</v>
      </c>
      <c r="I59" s="18">
        <v>162747.48039999997</v>
      </c>
      <c r="J59" s="27">
        <f t="shared" si="4"/>
        <v>3.5632507698018429E-2</v>
      </c>
      <c r="K59" s="9">
        <v>0.12</v>
      </c>
      <c r="L59" s="31" t="s">
        <v>1364</v>
      </c>
    </row>
    <row r="60" spans="3:12" x14ac:dyDescent="0.2">
      <c r="C60" t="s">
        <v>1338</v>
      </c>
      <c r="E60" s="18">
        <v>153012721</v>
      </c>
      <c r="F60" s="27">
        <f t="shared" si="2"/>
        <v>2.6571972153899868E-2</v>
      </c>
      <c r="H60" s="20" t="s">
        <v>1352</v>
      </c>
      <c r="I60" s="28">
        <v>136639.22400000002</v>
      </c>
      <c r="J60" s="29">
        <f t="shared" si="4"/>
        <v>2.991627390522272E-2</v>
      </c>
      <c r="K60" s="9">
        <v>0.04</v>
      </c>
      <c r="L60" s="31" t="s">
        <v>1364</v>
      </c>
    </row>
    <row r="61" spans="3:12" x14ac:dyDescent="0.2">
      <c r="C61" t="s">
        <v>1339</v>
      </c>
      <c r="E61" s="18">
        <v>80300170</v>
      </c>
      <c r="F61" s="27">
        <f t="shared" si="2"/>
        <v>1.3944813655025619E-2</v>
      </c>
      <c r="H61" t="s">
        <v>1353</v>
      </c>
      <c r="I61" s="18">
        <v>95713.326353380005</v>
      </c>
      <c r="J61" s="27">
        <f t="shared" si="4"/>
        <v>2.0955813446127944E-2</v>
      </c>
      <c r="K61" s="9">
        <v>1.4999999999999999E-2</v>
      </c>
      <c r="L61" s="30" t="s">
        <v>1385</v>
      </c>
    </row>
    <row r="62" spans="3:12" x14ac:dyDescent="0.2">
      <c r="C62" s="12" t="s">
        <v>1340</v>
      </c>
      <c r="E62" s="19">
        <v>81976068</v>
      </c>
      <c r="F62" s="32">
        <f t="shared" si="2"/>
        <v>1.4235847725250255E-2</v>
      </c>
      <c r="H62" t="s">
        <v>1354</v>
      </c>
      <c r="I62" s="18">
        <v>137062.88800000001</v>
      </c>
      <c r="J62" s="27">
        <f t="shared" si="4"/>
        <v>3.0009032396501784E-2</v>
      </c>
      <c r="K62" s="9">
        <v>0.06</v>
      </c>
      <c r="L62" s="31" t="s">
        <v>1364</v>
      </c>
    </row>
    <row r="63" spans="3:12" x14ac:dyDescent="0.2">
      <c r="C63" t="s">
        <v>1341</v>
      </c>
      <c r="E63" s="18">
        <v>87794893</v>
      </c>
      <c r="F63" s="27">
        <f t="shared" si="2"/>
        <v>1.5246336623545294E-2</v>
      </c>
      <c r="H63" t="s">
        <v>1355</v>
      </c>
      <c r="I63" s="18">
        <v>94382.849660610009</v>
      </c>
      <c r="J63" s="27">
        <f t="shared" si="4"/>
        <v>2.0664514183732965E-2</v>
      </c>
      <c r="K63" s="9">
        <v>0.04</v>
      </c>
      <c r="L63" s="31" t="s">
        <v>1364</v>
      </c>
    </row>
    <row r="64" spans="3:12" x14ac:dyDescent="0.2">
      <c r="C64" t="s">
        <v>1342</v>
      </c>
      <c r="E64" s="18">
        <v>90419450</v>
      </c>
      <c r="F64" s="27">
        <f t="shared" si="2"/>
        <v>1.5702113470493353E-2</v>
      </c>
      <c r="H64" t="s">
        <v>1356</v>
      </c>
      <c r="I64" s="18">
        <v>121566.13761299998</v>
      </c>
      <c r="J64" s="27">
        <f t="shared" si="4"/>
        <v>2.6616119178417649E-2</v>
      </c>
      <c r="K64" s="27">
        <v>1.6E-2</v>
      </c>
      <c r="L64" s="30" t="s">
        <v>1385</v>
      </c>
    </row>
    <row r="65" spans="3:12" x14ac:dyDescent="0.2">
      <c r="C65" t="s">
        <v>1382</v>
      </c>
      <c r="E65" s="18">
        <v>73462981</v>
      </c>
      <c r="F65" s="27">
        <f t="shared" si="2"/>
        <v>1.2757477108550177E-2</v>
      </c>
      <c r="H65" t="s">
        <v>1357</v>
      </c>
      <c r="I65" s="18">
        <v>84737.145999999993</v>
      </c>
      <c r="J65" s="27">
        <f t="shared" si="4"/>
        <v>1.8552649784390224E-2</v>
      </c>
      <c r="K65" s="9">
        <v>1E-3</v>
      </c>
      <c r="L65" s="30" t="s">
        <v>1385</v>
      </c>
    </row>
    <row r="66" spans="3:12" x14ac:dyDescent="0.2">
      <c r="C66" t="s">
        <v>1383</v>
      </c>
      <c r="E66" s="18">
        <v>76065167</v>
      </c>
      <c r="F66" s="27">
        <f t="shared" si="2"/>
        <v>1.3209369039360741E-2</v>
      </c>
      <c r="H66" t="s">
        <v>1358</v>
      </c>
      <c r="I66" s="18">
        <v>46805.349397590362</v>
      </c>
      <c r="J66" s="27">
        <f t="shared" si="4"/>
        <v>1.024772837415971E-2</v>
      </c>
      <c r="K66" s="27">
        <v>5.2999999999999999E-2</v>
      </c>
      <c r="L66" s="30" t="s">
        <v>1385</v>
      </c>
    </row>
    <row r="67" spans="3:12" x14ac:dyDescent="0.2">
      <c r="C67" t="s">
        <v>1384</v>
      </c>
      <c r="E67" s="18">
        <v>56239194</v>
      </c>
      <c r="F67" s="27">
        <f t="shared" si="2"/>
        <v>9.7664186817890287E-3</v>
      </c>
      <c r="H67" t="s">
        <v>1359</v>
      </c>
      <c r="I67" s="18">
        <v>20360.009999999998</v>
      </c>
      <c r="J67" s="27">
        <f t="shared" si="4"/>
        <v>4.4576924402986474E-3</v>
      </c>
      <c r="K67" s="27">
        <v>0.05</v>
      </c>
      <c r="L67" s="31" t="s">
        <v>1364</v>
      </c>
    </row>
    <row r="68" spans="3:12" x14ac:dyDescent="0.2">
      <c r="C68" t="s">
        <v>1403</v>
      </c>
      <c r="E68" s="18">
        <v>59555430</v>
      </c>
      <c r="F68" s="27">
        <f t="shared" si="2"/>
        <v>1.0342311523063058E-2</v>
      </c>
      <c r="H68" t="s">
        <v>1360</v>
      </c>
      <c r="I68" s="18">
        <v>33635.694406000002</v>
      </c>
      <c r="J68" s="27">
        <f t="shared" si="4"/>
        <v>7.3643176343146065E-3</v>
      </c>
      <c r="K68" s="27">
        <v>6.0000000000000001E-3</v>
      </c>
      <c r="L68" s="30" t="s">
        <v>1385</v>
      </c>
    </row>
    <row r="69" spans="3:12" x14ac:dyDescent="0.2">
      <c r="C69" t="s">
        <v>1404</v>
      </c>
      <c r="E69" s="18">
        <v>59964747</v>
      </c>
      <c r="F69" s="27">
        <f t="shared" si="2"/>
        <v>1.0413392932863736E-2</v>
      </c>
      <c r="H69" t="s">
        <v>1361</v>
      </c>
      <c r="I69" s="18">
        <v>14417.72719304</v>
      </c>
      <c r="J69" s="27">
        <f t="shared" si="4"/>
        <v>3.1566680721032384E-3</v>
      </c>
      <c r="K69" s="27">
        <v>1E-3</v>
      </c>
      <c r="L69" s="30" t="s">
        <v>1385</v>
      </c>
    </row>
    <row r="70" spans="3:12" x14ac:dyDescent="0.2">
      <c r="C70" t="s">
        <v>1406</v>
      </c>
      <c r="E70" s="18">
        <v>60894596</v>
      </c>
      <c r="F70" s="27">
        <f t="shared" si="2"/>
        <v>1.0574869191660098E-2</v>
      </c>
      <c r="H70" t="s">
        <v>1362</v>
      </c>
      <c r="I70" s="18">
        <v>19349.399999999998</v>
      </c>
      <c r="J70" s="27">
        <f t="shared" si="4"/>
        <v>4.2364259204349429E-3</v>
      </c>
      <c r="K70" s="27">
        <v>7.0000000000000001E-3</v>
      </c>
      <c r="L70" s="30" t="s">
        <v>1385</v>
      </c>
    </row>
    <row r="71" spans="3:12" x14ac:dyDescent="0.2">
      <c r="C71" t="s">
        <v>1407</v>
      </c>
      <c r="E71" s="18">
        <v>61906279</v>
      </c>
      <c r="F71" s="27">
        <f t="shared" si="2"/>
        <v>1.0750556626854287E-2</v>
      </c>
      <c r="H71" t="s">
        <v>1363</v>
      </c>
      <c r="I71" s="18">
        <v>29690.199999999997</v>
      </c>
      <c r="J71" s="27">
        <f t="shared" si="4"/>
        <v>6.5004771653331649E-3</v>
      </c>
      <c r="K71" s="34">
        <v>1.0999999999999999E-2</v>
      </c>
      <c r="L71" s="31" t="s">
        <v>1364</v>
      </c>
    </row>
    <row r="72" spans="3:12" x14ac:dyDescent="0.2">
      <c r="C72" t="s">
        <v>1408</v>
      </c>
      <c r="E72" s="18">
        <v>61976884</v>
      </c>
      <c r="F72" s="27">
        <f t="shared" si="2"/>
        <v>1.0762817791035049E-2</v>
      </c>
      <c r="H72" t="s">
        <v>1365</v>
      </c>
      <c r="I72" s="18">
        <v>27626.573258440003</v>
      </c>
      <c r="J72" s="27">
        <f t="shared" ref="J72:J106" si="5">+I72/$I$50</f>
        <v>6.0486594439543391E-3</v>
      </c>
      <c r="K72" s="27">
        <v>6.0000000000000001E-3</v>
      </c>
      <c r="L72" s="30" t="s">
        <v>1385</v>
      </c>
    </row>
    <row r="73" spans="3:12" x14ac:dyDescent="0.2">
      <c r="C73" s="14" t="s">
        <v>1409</v>
      </c>
      <c r="E73" s="18">
        <v>64568975</v>
      </c>
      <c r="F73" s="27">
        <f t="shared" si="2"/>
        <v>1.1212956638460515E-2</v>
      </c>
      <c r="H73" t="s">
        <v>1366</v>
      </c>
      <c r="I73" s="18">
        <v>22107.254176760001</v>
      </c>
      <c r="J73" s="27">
        <f t="shared" si="5"/>
        <v>4.8402402464195141E-3</v>
      </c>
      <c r="K73" s="34">
        <v>1.4999999999999999E-2</v>
      </c>
      <c r="L73" s="31" t="s">
        <v>1364</v>
      </c>
    </row>
    <row r="74" spans="3:12" x14ac:dyDescent="0.2">
      <c r="C74" t="s">
        <v>1410</v>
      </c>
      <c r="E74" s="18">
        <v>66913998</v>
      </c>
      <c r="F74" s="27">
        <f t="shared" si="2"/>
        <v>1.1620190007353122E-2</v>
      </c>
      <c r="H74" t="s">
        <v>1367</v>
      </c>
      <c r="I74" s="18">
        <v>18311.742209999997</v>
      </c>
      <c r="J74" s="27">
        <f t="shared" si="5"/>
        <v>4.0092374619764256E-3</v>
      </c>
      <c r="K74" s="27">
        <v>1E-3</v>
      </c>
      <c r="L74" s="30" t="s">
        <v>1385</v>
      </c>
    </row>
    <row r="75" spans="3:12" x14ac:dyDescent="0.2">
      <c r="C75" t="s">
        <v>1411</v>
      </c>
      <c r="E75" s="18">
        <v>67645530</v>
      </c>
      <c r="F75" s="27">
        <f t="shared" si="2"/>
        <v>1.1747226817146779E-2</v>
      </c>
      <c r="H75" t="s">
        <v>1368</v>
      </c>
      <c r="I75" s="18">
        <v>16672.336194619998</v>
      </c>
      <c r="J75" s="27">
        <f t="shared" si="5"/>
        <v>3.6503001234712111E-3</v>
      </c>
      <c r="K75" s="34">
        <v>8.9999999999999993E-3</v>
      </c>
      <c r="L75" s="31" t="s">
        <v>1364</v>
      </c>
    </row>
    <row r="76" spans="3:12" x14ac:dyDescent="0.2">
      <c r="C76" t="s">
        <v>1412</v>
      </c>
      <c r="E76" s="18">
        <v>47737852</v>
      </c>
      <c r="F76" s="27">
        <f t="shared" si="2"/>
        <v>8.2900876851343171E-3</v>
      </c>
      <c r="H76" t="s">
        <v>1369</v>
      </c>
      <c r="I76" s="18">
        <v>15774.04830650015</v>
      </c>
      <c r="J76" s="27">
        <f t="shared" si="5"/>
        <v>3.4536258031696155E-3</v>
      </c>
      <c r="K76" s="27">
        <v>1E-3</v>
      </c>
      <c r="L76" s="30" t="s">
        <v>1385</v>
      </c>
    </row>
    <row r="77" spans="3:12" x14ac:dyDescent="0.2">
      <c r="C77" t="s">
        <v>1413</v>
      </c>
      <c r="E77" s="18">
        <v>46770611</v>
      </c>
      <c r="F77" s="27">
        <f t="shared" si="2"/>
        <v>8.1221179846405235E-3</v>
      </c>
      <c r="H77" s="12" t="s">
        <v>1370</v>
      </c>
      <c r="I77" s="18">
        <v>15622.546842000002</v>
      </c>
      <c r="J77" s="27">
        <f t="shared" si="5"/>
        <v>3.4204555378801347E-3</v>
      </c>
      <c r="K77" s="34">
        <v>2.1000000000000001E-2</v>
      </c>
      <c r="L77" s="31" t="s">
        <v>1364</v>
      </c>
    </row>
    <row r="78" spans="3:12" x14ac:dyDescent="0.2">
      <c r="C78" t="s">
        <v>1378</v>
      </c>
      <c r="E78" s="18">
        <v>48121569</v>
      </c>
      <c r="F78" s="27">
        <f t="shared" si="2"/>
        <v>8.3567234352362844E-3</v>
      </c>
      <c r="H78" s="12" t="s">
        <v>1371</v>
      </c>
      <c r="I78" s="18">
        <v>12963.587962259999</v>
      </c>
      <c r="J78" s="27">
        <f t="shared" si="5"/>
        <v>2.8382936972286823E-3</v>
      </c>
      <c r="K78" s="34">
        <v>2.1999999999999999E-2</v>
      </c>
      <c r="L78" s="31" t="s">
        <v>1364</v>
      </c>
    </row>
    <row r="79" spans="3:12" x14ac:dyDescent="0.2">
      <c r="C79" t="s">
        <v>1414</v>
      </c>
      <c r="E79" s="18">
        <v>52564762</v>
      </c>
      <c r="F79" s="27">
        <f t="shared" si="2"/>
        <v>9.128322031083767E-3</v>
      </c>
      <c r="H79" t="s">
        <v>1372</v>
      </c>
      <c r="I79" s="18">
        <v>12372.867034800001</v>
      </c>
      <c r="J79" s="27">
        <f t="shared" si="5"/>
        <v>2.7089591727041543E-3</v>
      </c>
      <c r="K79" s="34">
        <v>6.0000000000000001E-3</v>
      </c>
      <c r="L79" s="31" t="s">
        <v>1364</v>
      </c>
    </row>
    <row r="80" spans="3:12" x14ac:dyDescent="0.2">
      <c r="C80" t="s">
        <v>1415</v>
      </c>
      <c r="E80" s="18">
        <v>55601332</v>
      </c>
      <c r="F80" s="27">
        <f t="shared" si="2"/>
        <v>9.6556484713695243E-3</v>
      </c>
      <c r="H80" t="s">
        <v>1373</v>
      </c>
      <c r="I80" s="18">
        <v>12779.983630449999</v>
      </c>
      <c r="J80" s="27">
        <f t="shared" si="5"/>
        <v>2.7980947168786963E-3</v>
      </c>
      <c r="K80" s="27">
        <v>1E-3</v>
      </c>
      <c r="L80" s="30" t="s">
        <v>1385</v>
      </c>
    </row>
    <row r="81" spans="3:12" x14ac:dyDescent="0.2">
      <c r="C81" t="s">
        <v>1416</v>
      </c>
      <c r="E81" s="18">
        <v>38326972</v>
      </c>
      <c r="F81" s="27">
        <f t="shared" si="2"/>
        <v>6.6558076091418556E-3</v>
      </c>
      <c r="H81" t="s">
        <v>1374</v>
      </c>
      <c r="I81" s="18">
        <v>12864.593941159999</v>
      </c>
      <c r="J81" s="27">
        <f t="shared" si="5"/>
        <v>2.8166195968970897E-3</v>
      </c>
      <c r="K81" s="27">
        <v>1E-3</v>
      </c>
      <c r="L81" s="30" t="s">
        <v>1385</v>
      </c>
    </row>
    <row r="82" spans="3:12" x14ac:dyDescent="0.2">
      <c r="C82" t="s">
        <v>1417</v>
      </c>
      <c r="E82" s="18">
        <v>40853466</v>
      </c>
      <c r="F82" s="27">
        <f t="shared" si="2"/>
        <v>7.0945549745651208E-3</v>
      </c>
      <c r="H82" t="s">
        <v>1375</v>
      </c>
      <c r="I82" s="18">
        <v>11108.499334440001</v>
      </c>
      <c r="J82" s="27">
        <f t="shared" si="5"/>
        <v>2.4321340464074307E-3</v>
      </c>
      <c r="K82" s="27">
        <v>1E-3</v>
      </c>
      <c r="L82" s="30" t="s">
        <v>1385</v>
      </c>
    </row>
    <row r="83" spans="3:12" x14ac:dyDescent="0.2">
      <c r="C83" t="s">
        <v>1418</v>
      </c>
      <c r="E83" s="18">
        <v>43774133</v>
      </c>
      <c r="F83" s="27">
        <f t="shared" si="2"/>
        <v>7.6017538642235453E-3</v>
      </c>
      <c r="H83" t="s">
        <v>1376</v>
      </c>
      <c r="I83" s="18">
        <v>11592.446337399997</v>
      </c>
      <c r="J83" s="27">
        <f t="shared" si="5"/>
        <v>2.5380911110945287E-3</v>
      </c>
      <c r="K83" s="27">
        <v>1E-3</v>
      </c>
      <c r="L83" s="30" t="s">
        <v>1385</v>
      </c>
    </row>
    <row r="84" spans="3:12" x14ac:dyDescent="0.2">
      <c r="C84" t="s">
        <v>1419</v>
      </c>
      <c r="E84" s="18">
        <v>44739997</v>
      </c>
      <c r="F84" s="27">
        <f t="shared" si="2"/>
        <v>7.7694844368499504E-3</v>
      </c>
      <c r="H84" s="12" t="s">
        <v>1381</v>
      </c>
      <c r="I84" s="19">
        <v>11000</v>
      </c>
      <c r="J84" s="32">
        <f t="shared" si="5"/>
        <v>2.4083788192287296E-3</v>
      </c>
      <c r="K84" s="34">
        <v>1.9E-2</v>
      </c>
      <c r="L84" s="33" t="s">
        <v>1364</v>
      </c>
    </row>
    <row r="85" spans="3:12" x14ac:dyDescent="0.2">
      <c r="C85" t="s">
        <v>1420</v>
      </c>
      <c r="E85" s="18">
        <v>32437755</v>
      </c>
      <c r="F85" s="27">
        <f t="shared" si="2"/>
        <v>5.6330945359440157E-3</v>
      </c>
      <c r="H85" t="s">
        <v>1377</v>
      </c>
      <c r="I85" s="18">
        <v>10827.63265</v>
      </c>
      <c r="J85" s="27">
        <f t="shared" si="5"/>
        <v>2.370640103331767E-3</v>
      </c>
      <c r="K85" s="34">
        <v>0.01</v>
      </c>
      <c r="L85" s="33" t="s">
        <v>1364</v>
      </c>
    </row>
    <row r="86" spans="3:12" x14ac:dyDescent="0.2">
      <c r="C86" t="s">
        <v>1421</v>
      </c>
      <c r="E86" s="18">
        <v>32820525</v>
      </c>
      <c r="F86" s="27">
        <f t="shared" si="2"/>
        <v>5.6995658313688472E-3</v>
      </c>
      <c r="H86" t="s">
        <v>1379</v>
      </c>
      <c r="I86" s="18">
        <v>10758.849823</v>
      </c>
      <c r="J86" s="27">
        <f>+I86/$I$50</f>
        <v>2.3555805484523607E-3</v>
      </c>
      <c r="K86" s="27">
        <v>1E-3</v>
      </c>
      <c r="L86" s="30" t="s">
        <v>1385</v>
      </c>
    </row>
    <row r="87" spans="3:12" x14ac:dyDescent="0.2">
      <c r="C87" t="s">
        <v>1422</v>
      </c>
      <c r="E87" s="18">
        <v>33204506</v>
      </c>
      <c r="F87" s="27">
        <f t="shared" si="2"/>
        <v>5.7662474273364565E-3</v>
      </c>
      <c r="H87" t="s">
        <v>1380</v>
      </c>
      <c r="I87" s="18">
        <v>9590.0161370000005</v>
      </c>
      <c r="J87" s="27">
        <f t="shared" si="5"/>
        <v>2.0996719764011383E-3</v>
      </c>
      <c r="K87" s="27">
        <v>1E-3</v>
      </c>
      <c r="L87" s="30" t="s">
        <v>1385</v>
      </c>
    </row>
    <row r="88" spans="3:12" x14ac:dyDescent="0.2">
      <c r="C88" s="14" t="s">
        <v>1423</v>
      </c>
      <c r="E88" s="18">
        <v>33438620</v>
      </c>
      <c r="F88" s="27">
        <f t="shared" si="2"/>
        <v>5.8069033325983347E-3</v>
      </c>
      <c r="H88" t="s">
        <v>1386</v>
      </c>
      <c r="I88" s="18">
        <v>9080.8770000000004</v>
      </c>
      <c r="J88" s="27">
        <f t="shared" si="5"/>
        <v>1.9881992569837571E-3</v>
      </c>
      <c r="K88" s="34">
        <v>0.01</v>
      </c>
      <c r="L88" s="33" t="s">
        <v>1364</v>
      </c>
    </row>
    <row r="89" spans="3:12" x14ac:dyDescent="0.2">
      <c r="C89" t="s">
        <v>1424</v>
      </c>
      <c r="E89" s="18">
        <v>33656472</v>
      </c>
      <c r="F89" s="27">
        <f t="shared" si="2"/>
        <v>5.8447352020000384E-3</v>
      </c>
      <c r="H89" s="12" t="s">
        <v>1405</v>
      </c>
      <c r="I89" s="19">
        <v>8000</v>
      </c>
      <c r="J89" s="32">
        <f t="shared" si="5"/>
        <v>1.7515482321663488E-3</v>
      </c>
      <c r="K89" s="34">
        <v>1.4E-2</v>
      </c>
      <c r="L89" s="33" t="s">
        <v>1364</v>
      </c>
    </row>
    <row r="90" spans="3:12" x14ac:dyDescent="0.2">
      <c r="C90" t="s">
        <v>1425</v>
      </c>
      <c r="E90" s="18">
        <v>37530900</v>
      </c>
      <c r="F90" s="27">
        <f t="shared" si="2"/>
        <v>6.5175628744671525E-3</v>
      </c>
      <c r="H90" s="12" t="s">
        <v>1387</v>
      </c>
      <c r="I90" s="19">
        <v>7864.193921430001</v>
      </c>
      <c r="J90" s="32">
        <f t="shared" si="5"/>
        <v>1.721814370061758E-3</v>
      </c>
      <c r="K90" s="34">
        <v>1.7999999999999999E-2</v>
      </c>
      <c r="L90" s="33" t="s">
        <v>1364</v>
      </c>
    </row>
    <row r="91" spans="3:12" x14ac:dyDescent="0.2">
      <c r="C91" t="s">
        <v>1426</v>
      </c>
      <c r="E91" s="18">
        <v>28062315</v>
      </c>
      <c r="F91" s="27">
        <f t="shared" si="2"/>
        <v>4.8732618300014845E-3</v>
      </c>
      <c r="H91" t="s">
        <v>1388</v>
      </c>
      <c r="I91" s="18">
        <v>7750.7449999999999</v>
      </c>
      <c r="J91" s="27">
        <f t="shared" si="5"/>
        <v>1.6969754628402708E-3</v>
      </c>
      <c r="K91" s="34">
        <v>1.6E-2</v>
      </c>
      <c r="L91" s="33" t="s">
        <v>1364</v>
      </c>
    </row>
    <row r="92" spans="3:12" x14ac:dyDescent="0.2">
      <c r="C92" t="s">
        <v>1427</v>
      </c>
      <c r="E92" s="18">
        <v>29549920</v>
      </c>
      <c r="F92" s="27">
        <f t="shared" si="2"/>
        <v>5.1315972048491887E-3</v>
      </c>
      <c r="H92" t="s">
        <v>1389</v>
      </c>
      <c r="I92" s="18">
        <v>6974.3285536200001</v>
      </c>
      <c r="J92" s="27">
        <f t="shared" si="5"/>
        <v>1.5269841060800498E-3</v>
      </c>
      <c r="K92" s="27">
        <v>1E-3</v>
      </c>
      <c r="L92" s="30" t="s">
        <v>1385</v>
      </c>
    </row>
    <row r="93" spans="3:12" x14ac:dyDescent="0.2">
      <c r="C93" t="s">
        <v>1413</v>
      </c>
      <c r="E93" s="18">
        <v>22158228</v>
      </c>
      <c r="F93" s="27">
        <f t="shared" si="2"/>
        <v>3.847966453689588E-3</v>
      </c>
      <c r="H93" t="s">
        <v>1390</v>
      </c>
      <c r="I93" s="18">
        <v>6992.0290048199995</v>
      </c>
      <c r="J93" s="27">
        <f t="shared" si="5"/>
        <v>1.5308595053310382E-3</v>
      </c>
      <c r="K93" s="27">
        <v>1E-3</v>
      </c>
      <c r="L93" s="30" t="s">
        <v>1385</v>
      </c>
    </row>
    <row r="94" spans="3:12" x14ac:dyDescent="0.2">
      <c r="C94" t="s">
        <v>1428</v>
      </c>
      <c r="E94" s="18">
        <v>22387891</v>
      </c>
      <c r="F94" s="27">
        <f t="shared" si="2"/>
        <v>3.8878494046030686E-3</v>
      </c>
      <c r="H94" t="s">
        <v>1391</v>
      </c>
      <c r="I94" s="18">
        <v>6594.9849617500004</v>
      </c>
      <c r="J94" s="27">
        <f t="shared" si="5"/>
        <v>1.4439292813646085E-3</v>
      </c>
      <c r="K94" s="34">
        <v>1.4999999999999999E-2</v>
      </c>
      <c r="L94" s="33" t="s">
        <v>1364</v>
      </c>
    </row>
    <row r="95" spans="3:12" x14ac:dyDescent="0.2">
      <c r="C95" t="s">
        <v>1429</v>
      </c>
      <c r="E95" s="18">
        <v>23734897</v>
      </c>
      <c r="F95" s="27">
        <f t="shared" si="2"/>
        <v>4.1217685564828395E-3</v>
      </c>
      <c r="H95" t="s">
        <v>1392</v>
      </c>
      <c r="I95" s="18">
        <v>5961.7598810399995</v>
      </c>
      <c r="J95" s="27">
        <f t="shared" si="5"/>
        <v>1.305288747529484E-3</v>
      </c>
      <c r="K95" s="34">
        <v>8.0000000000000002E-3</v>
      </c>
      <c r="L95" s="33" t="s">
        <v>1364</v>
      </c>
    </row>
    <row r="96" spans="3:12" x14ac:dyDescent="0.2">
      <c r="C96" t="s">
        <v>1430</v>
      </c>
      <c r="E96" s="18">
        <v>24243534</v>
      </c>
      <c r="F96" s="27">
        <f t="shared" si="2"/>
        <v>4.2100977366458609E-3</v>
      </c>
      <c r="H96" t="s">
        <v>22</v>
      </c>
      <c r="I96" s="18">
        <v>5945</v>
      </c>
      <c r="J96" s="27">
        <f t="shared" si="5"/>
        <v>1.3016192800286179E-3</v>
      </c>
      <c r="K96" s="34">
        <v>8.0000000000000002E-3</v>
      </c>
      <c r="L96" s="33" t="s">
        <v>1364</v>
      </c>
    </row>
    <row r="97" spans="3:12" x14ac:dyDescent="0.2">
      <c r="C97" t="s">
        <v>1431</v>
      </c>
      <c r="E97" s="18">
        <v>24766389</v>
      </c>
      <c r="F97" s="27">
        <f t="shared" si="2"/>
        <v>4.3008959945274872E-3</v>
      </c>
      <c r="H97" t="s">
        <v>1393</v>
      </c>
      <c r="I97" s="18">
        <v>5865.2876427500005</v>
      </c>
      <c r="J97" s="27">
        <f t="shared" si="5"/>
        <v>1.2841667752257367E-3</v>
      </c>
      <c r="K97" s="27">
        <v>1E-3</v>
      </c>
      <c r="L97" s="30" t="s">
        <v>1385</v>
      </c>
    </row>
    <row r="98" spans="3:12" x14ac:dyDescent="0.2">
      <c r="C98" t="s">
        <v>1432</v>
      </c>
      <c r="E98" s="18">
        <v>25333327</v>
      </c>
      <c r="F98" s="27">
        <f t="shared" si="2"/>
        <v>4.3993496436785778E-3</v>
      </c>
      <c r="H98" t="s">
        <v>1394</v>
      </c>
      <c r="I98" s="18">
        <v>5820.0490000000009</v>
      </c>
      <c r="J98" s="27">
        <f t="shared" si="5"/>
        <v>1.2742620671339409E-3</v>
      </c>
      <c r="K98" s="27">
        <v>1E-3</v>
      </c>
      <c r="L98" s="30" t="s">
        <v>1385</v>
      </c>
    </row>
    <row r="99" spans="3:12" x14ac:dyDescent="0.2">
      <c r="C99" s="14" t="s">
        <v>1433</v>
      </c>
      <c r="E99" s="18">
        <v>25478707</v>
      </c>
      <c r="F99" s="27">
        <f t="shared" si="2"/>
        <v>4.4245961283269622E-3</v>
      </c>
      <c r="H99" t="s">
        <v>1395</v>
      </c>
      <c r="I99" s="18">
        <v>4950.9142200000006</v>
      </c>
      <c r="J99" s="27">
        <f t="shared" si="5"/>
        <v>1.0839706312060298E-3</v>
      </c>
      <c r="K99" s="34">
        <v>1.6E-2</v>
      </c>
      <c r="L99" s="33" t="s">
        <v>1364</v>
      </c>
    </row>
    <row r="100" spans="3:12" x14ac:dyDescent="0.2">
      <c r="C100" t="s">
        <v>1434</v>
      </c>
      <c r="E100" s="18">
        <v>25810785</v>
      </c>
      <c r="F100" s="27">
        <f t="shared" si="2"/>
        <v>4.4822643229140164E-3</v>
      </c>
      <c r="H100" t="s">
        <v>1396</v>
      </c>
      <c r="I100" s="18">
        <v>4832.1799999999994</v>
      </c>
      <c r="J100" s="27">
        <f t="shared" si="5"/>
        <v>1.0579745420636983E-3</v>
      </c>
      <c r="K100" s="27">
        <v>1E-3</v>
      </c>
      <c r="L100" s="30" t="s">
        <v>1385</v>
      </c>
    </row>
    <row r="101" spans="3:12" x14ac:dyDescent="0.2">
      <c r="C101" t="s">
        <v>1435</v>
      </c>
      <c r="E101" s="18">
        <v>25936183</v>
      </c>
      <c r="F101" s="27">
        <f t="shared" si="2"/>
        <v>4.5040407617772584E-3</v>
      </c>
      <c r="H101" t="s">
        <v>1397</v>
      </c>
      <c r="I101" s="18">
        <v>4373.4188649999996</v>
      </c>
      <c r="J101" s="27">
        <f t="shared" si="5"/>
        <v>9.5753176018921362E-4</v>
      </c>
      <c r="K101" s="27">
        <v>0</v>
      </c>
      <c r="L101" s="35"/>
    </row>
    <row r="102" spans="3:12" x14ac:dyDescent="0.2">
      <c r="C102" t="s">
        <v>1436</v>
      </c>
      <c r="E102" s="18">
        <v>19479885</v>
      </c>
      <c r="F102" s="27">
        <f t="shared" si="2"/>
        <v>3.3828492062511046E-3</v>
      </c>
      <c r="H102" s="12" t="s">
        <v>1398</v>
      </c>
      <c r="I102" s="19">
        <v>4370.41224745</v>
      </c>
      <c r="J102" s="32">
        <f t="shared" si="5"/>
        <v>9.5687348073240084E-4</v>
      </c>
      <c r="K102" s="34">
        <v>1.4E-2</v>
      </c>
      <c r="L102" s="33" t="s">
        <v>1364</v>
      </c>
    </row>
    <row r="103" spans="3:12" x14ac:dyDescent="0.2">
      <c r="C103" t="s">
        <v>1437</v>
      </c>
      <c r="E103" s="18">
        <v>20366331</v>
      </c>
      <c r="F103" s="27">
        <f t="shared" si="2"/>
        <v>3.5367881616137496E-3</v>
      </c>
      <c r="H103" t="s">
        <v>1399</v>
      </c>
      <c r="I103" s="18">
        <v>4011.7539600499999</v>
      </c>
      <c r="J103" s="27">
        <f t="shared" si="5"/>
        <v>8.7834756957649082E-4</v>
      </c>
      <c r="K103" s="27">
        <v>0</v>
      </c>
      <c r="L103" s="35"/>
    </row>
    <row r="104" spans="3:12" x14ac:dyDescent="0.2">
      <c r="C104" t="s">
        <v>1438</v>
      </c>
      <c r="E104" s="18">
        <v>20427679</v>
      </c>
      <c r="F104" s="27">
        <f t="shared" si="2"/>
        <v>3.5474417683011143E-3</v>
      </c>
      <c r="H104" t="s">
        <v>1400</v>
      </c>
      <c r="I104" s="18">
        <v>3600.0932880000005</v>
      </c>
      <c r="J104" s="27">
        <f t="shared" si="5"/>
        <v>7.8821712927879233E-4</v>
      </c>
      <c r="K104" s="27">
        <v>1E-3</v>
      </c>
      <c r="L104" s="30" t="s">
        <v>1385</v>
      </c>
    </row>
    <row r="105" spans="3:12" x14ac:dyDescent="0.2">
      <c r="C105" s="14" t="s">
        <v>1439</v>
      </c>
      <c r="E105" s="18">
        <v>20471467</v>
      </c>
      <c r="F105" s="27">
        <f t="shared" si="2"/>
        <v>3.5550459302888943E-3</v>
      </c>
      <c r="H105" t="s">
        <v>1401</v>
      </c>
      <c r="I105" s="18">
        <v>3563.2954680000007</v>
      </c>
      <c r="J105" s="27">
        <f t="shared" si="5"/>
        <v>7.8016048470772048E-4</v>
      </c>
      <c r="K105" s="27">
        <v>1E-3</v>
      </c>
      <c r="L105" s="30" t="s">
        <v>1385</v>
      </c>
    </row>
    <row r="106" spans="3:12" x14ac:dyDescent="0.2">
      <c r="C106" t="s">
        <v>1440</v>
      </c>
      <c r="E106" s="18">
        <v>20630563</v>
      </c>
      <c r="F106" s="27">
        <f t="shared" si="2"/>
        <v>3.5826743160477285E-3</v>
      </c>
      <c r="H106" t="s">
        <v>1402</v>
      </c>
      <c r="I106" s="18">
        <v>3383.2201927199999</v>
      </c>
      <c r="J106" s="27">
        <f t="shared" si="5"/>
        <v>7.4073416844852623E-4</v>
      </c>
      <c r="K106" s="27">
        <v>1E-3</v>
      </c>
      <c r="L106" s="30" t="s">
        <v>1385</v>
      </c>
    </row>
    <row r="107" spans="3:12" x14ac:dyDescent="0.2">
      <c r="C107" t="s">
        <v>1441</v>
      </c>
      <c r="E107" s="18">
        <v>20998827</v>
      </c>
      <c r="F107" s="27">
        <f t="shared" si="2"/>
        <v>3.6466265200823444E-3</v>
      </c>
    </row>
    <row r="108" spans="3:12" x14ac:dyDescent="0.2">
      <c r="C108" t="s">
        <v>1442</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77</v>
      </c>
    </row>
    <row r="2" spans="1:3" x14ac:dyDescent="0.2">
      <c r="C2" s="18">
        <f>SUM(C3:C51)</f>
        <v>4918267988</v>
      </c>
    </row>
    <row r="3" spans="1:3" x14ac:dyDescent="0.2">
      <c r="B3" t="s">
        <v>1329</v>
      </c>
      <c r="C3" s="18">
        <v>776650882</v>
      </c>
    </row>
    <row r="4" spans="1:3" x14ac:dyDescent="0.2">
      <c r="B4" t="s">
        <v>1443</v>
      </c>
      <c r="C4" s="18">
        <v>378451556</v>
      </c>
    </row>
    <row r="5" spans="1:3" x14ac:dyDescent="0.2">
      <c r="B5" t="s">
        <v>1444</v>
      </c>
      <c r="C5" s="18">
        <v>332807923</v>
      </c>
    </row>
    <row r="6" spans="1:3" x14ac:dyDescent="0.2">
      <c r="B6" t="s">
        <v>1330</v>
      </c>
      <c r="C6" s="18">
        <v>309797134</v>
      </c>
    </row>
    <row r="7" spans="1:3" x14ac:dyDescent="0.2">
      <c r="B7" t="s">
        <v>1423</v>
      </c>
      <c r="C7" s="18">
        <v>267593250</v>
      </c>
    </row>
    <row r="8" spans="1:3" x14ac:dyDescent="0.2">
      <c r="B8" t="s">
        <v>1330</v>
      </c>
      <c r="C8" s="18">
        <v>260872677</v>
      </c>
    </row>
    <row r="9" spans="1:3" x14ac:dyDescent="0.2">
      <c r="B9" t="s">
        <v>1445</v>
      </c>
      <c r="C9" s="18">
        <v>243717013</v>
      </c>
    </row>
    <row r="10" spans="1:3" x14ac:dyDescent="0.2">
      <c r="B10" s="12" t="s">
        <v>1447</v>
      </c>
      <c r="C10" s="19">
        <v>152311852</v>
      </c>
    </row>
    <row r="11" spans="1:3" x14ac:dyDescent="0.2">
      <c r="B11" t="s">
        <v>1332</v>
      </c>
      <c r="C11" s="18">
        <v>124627150</v>
      </c>
    </row>
    <row r="12" spans="1:3" x14ac:dyDescent="0.2">
      <c r="B12" t="s">
        <v>1446</v>
      </c>
      <c r="C12" s="18">
        <v>122845823</v>
      </c>
    </row>
    <row r="13" spans="1:3" x14ac:dyDescent="0.2">
      <c r="B13" t="s">
        <v>1333</v>
      </c>
      <c r="C13" s="18">
        <v>115146643</v>
      </c>
    </row>
    <row r="14" spans="1:3" x14ac:dyDescent="0.2">
      <c r="B14" t="s">
        <v>1424</v>
      </c>
      <c r="C14" s="18">
        <v>82008126</v>
      </c>
    </row>
    <row r="15" spans="1:3" x14ac:dyDescent="0.2">
      <c r="B15" t="s">
        <v>1342</v>
      </c>
      <c r="C15" s="18">
        <v>93105450</v>
      </c>
    </row>
    <row r="16" spans="1:3" x14ac:dyDescent="0.2">
      <c r="B16" t="s">
        <v>1448</v>
      </c>
      <c r="C16" s="18">
        <v>99619531</v>
      </c>
    </row>
    <row r="17" spans="2:3" x14ac:dyDescent="0.2">
      <c r="B17" t="s">
        <v>1449</v>
      </c>
      <c r="C17" s="18">
        <v>95037180</v>
      </c>
    </row>
    <row r="18" spans="2:3" x14ac:dyDescent="0.2">
      <c r="B18" t="s">
        <v>1450</v>
      </c>
      <c r="C18" s="18">
        <v>98782528</v>
      </c>
    </row>
    <row r="19" spans="2:3" x14ac:dyDescent="0.2">
      <c r="B19" t="s">
        <v>1451</v>
      </c>
      <c r="C19" s="18">
        <v>80529315</v>
      </c>
    </row>
    <row r="20" spans="2:3" x14ac:dyDescent="0.2">
      <c r="B20" t="s">
        <v>1452</v>
      </c>
      <c r="C20" s="18">
        <v>59882099</v>
      </c>
    </row>
    <row r="21" spans="2:3" x14ac:dyDescent="0.2">
      <c r="B21" t="s">
        <v>1453</v>
      </c>
      <c r="C21" s="18">
        <v>59577321</v>
      </c>
    </row>
    <row r="22" spans="2:3" x14ac:dyDescent="0.2">
      <c r="B22" t="s">
        <v>1454</v>
      </c>
      <c r="C22" s="18">
        <v>62243837</v>
      </c>
    </row>
    <row r="23" spans="2:3" x14ac:dyDescent="0.2">
      <c r="B23" t="s">
        <v>1455</v>
      </c>
      <c r="C23" s="18">
        <v>63428404</v>
      </c>
    </row>
    <row r="24" spans="2:3" x14ac:dyDescent="0.2">
      <c r="B24" t="s">
        <v>1456</v>
      </c>
      <c r="C24" s="18">
        <v>64111053</v>
      </c>
    </row>
    <row r="25" spans="2:3" x14ac:dyDescent="0.2">
      <c r="B25" t="s">
        <v>1457</v>
      </c>
      <c r="C25" s="18">
        <v>64749405</v>
      </c>
    </row>
    <row r="26" spans="2:3" x14ac:dyDescent="0.2">
      <c r="B26" t="s">
        <v>1458</v>
      </c>
      <c r="C26" s="18">
        <v>74994436</v>
      </c>
    </row>
    <row r="27" spans="2:3" x14ac:dyDescent="0.2">
      <c r="B27" t="s">
        <v>1459</v>
      </c>
      <c r="C27" s="18">
        <v>47271570</v>
      </c>
    </row>
    <row r="28" spans="2:3" x14ac:dyDescent="0.2">
      <c r="B28" t="s">
        <v>1460</v>
      </c>
      <c r="C28" s="18">
        <v>47895923</v>
      </c>
    </row>
    <row r="29" spans="2:3" x14ac:dyDescent="0.2">
      <c r="B29" t="s">
        <v>1461</v>
      </c>
      <c r="C29" s="18">
        <v>48817400</v>
      </c>
    </row>
    <row r="30" spans="2:3" x14ac:dyDescent="0.2">
      <c r="B30" t="s">
        <v>1462</v>
      </c>
      <c r="C30" s="18">
        <v>49138176</v>
      </c>
    </row>
    <row r="31" spans="2:3" x14ac:dyDescent="0.2">
      <c r="B31" t="s">
        <v>1463</v>
      </c>
      <c r="C31" s="18">
        <v>50393306</v>
      </c>
    </row>
    <row r="32" spans="2:3" x14ac:dyDescent="0.2">
      <c r="B32" t="s">
        <v>1464</v>
      </c>
      <c r="C32" s="18">
        <v>53933613</v>
      </c>
    </row>
    <row r="33" spans="2:3" x14ac:dyDescent="0.2">
      <c r="B33" t="s">
        <v>1465</v>
      </c>
      <c r="C33" s="18">
        <v>58449106</v>
      </c>
    </row>
    <row r="34" spans="2:3" x14ac:dyDescent="0.2">
      <c r="B34" t="s">
        <v>1466</v>
      </c>
      <c r="C34" s="18">
        <v>54679150</v>
      </c>
    </row>
    <row r="35" spans="2:3" x14ac:dyDescent="0.2">
      <c r="B35" t="s">
        <v>1467</v>
      </c>
      <c r="C35" s="18">
        <v>53982815</v>
      </c>
    </row>
    <row r="36" spans="2:3" x14ac:dyDescent="0.2">
      <c r="B36" t="s">
        <v>1417</v>
      </c>
      <c r="C36" s="18">
        <v>37356406</v>
      </c>
    </row>
    <row r="37" spans="2:3" x14ac:dyDescent="0.2">
      <c r="B37" t="s">
        <v>1410</v>
      </c>
      <c r="C37" s="18">
        <v>38785643</v>
      </c>
    </row>
    <row r="38" spans="2:3" x14ac:dyDescent="0.2">
      <c r="B38" t="s">
        <v>1340</v>
      </c>
      <c r="C38" s="18">
        <v>38796759</v>
      </c>
    </row>
    <row r="39" spans="2:3" x14ac:dyDescent="0.2">
      <c r="B39" t="s">
        <v>1468</v>
      </c>
      <c r="C39" s="18">
        <v>41040120</v>
      </c>
    </row>
    <row r="40" spans="2:3" x14ac:dyDescent="0.2">
      <c r="B40" t="s">
        <v>1378</v>
      </c>
      <c r="C40" s="18">
        <v>41170244</v>
      </c>
    </row>
    <row r="41" spans="2:3" x14ac:dyDescent="0.2">
      <c r="B41" t="s">
        <v>1469</v>
      </c>
      <c r="C41" s="18">
        <v>42132304</v>
      </c>
    </row>
    <row r="42" spans="2:3" x14ac:dyDescent="0.2">
      <c r="B42" t="s">
        <v>1440</v>
      </c>
      <c r="C42" s="18">
        <v>42308624</v>
      </c>
    </row>
    <row r="43" spans="2:3" x14ac:dyDescent="0.2">
      <c r="B43" t="s">
        <v>1418</v>
      </c>
      <c r="C43" s="18">
        <v>44410284</v>
      </c>
    </row>
    <row r="44" spans="2:3" x14ac:dyDescent="0.2">
      <c r="B44" t="s">
        <v>1470</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1157</v>
      </c>
    </row>
    <row r="2" spans="1:8" x14ac:dyDescent="0.2">
      <c r="A2" s="2"/>
      <c r="B2" t="s">
        <v>0</v>
      </c>
      <c r="C2" t="s">
        <v>1159</v>
      </c>
      <c r="D2" s="6" t="s">
        <v>892</v>
      </c>
      <c r="E2" t="s">
        <v>711</v>
      </c>
      <c r="F2" t="s">
        <v>1172</v>
      </c>
      <c r="G2" t="s">
        <v>908</v>
      </c>
      <c r="H2" t="s">
        <v>1178</v>
      </c>
    </row>
    <row r="3" spans="1:8" x14ac:dyDescent="0.2">
      <c r="A3" s="2"/>
      <c r="B3" t="s">
        <v>1162</v>
      </c>
      <c r="C3" t="s">
        <v>1163</v>
      </c>
      <c r="D3" s="6"/>
    </row>
    <row r="4" spans="1:8" x14ac:dyDescent="0.2">
      <c r="A4" s="2"/>
      <c r="B4" t="s">
        <v>1166</v>
      </c>
      <c r="C4" t="s">
        <v>1167</v>
      </c>
      <c r="D4" s="6" t="s">
        <v>1168</v>
      </c>
    </row>
    <row r="5" spans="1:8" x14ac:dyDescent="0.2">
      <c r="A5" s="2"/>
      <c r="B5" t="s">
        <v>1158</v>
      </c>
      <c r="C5" s="14" t="s">
        <v>1160</v>
      </c>
      <c r="D5" s="6" t="s">
        <v>1161</v>
      </c>
    </row>
    <row r="6" spans="1:8" x14ac:dyDescent="0.2">
      <c r="A6" s="2"/>
      <c r="B6" t="s">
        <v>1180</v>
      </c>
      <c r="C6" s="14" t="s">
        <v>1176</v>
      </c>
      <c r="D6" s="6"/>
      <c r="G6" t="s">
        <v>1182</v>
      </c>
      <c r="H6" t="s">
        <v>1181</v>
      </c>
    </row>
    <row r="7" spans="1:8" x14ac:dyDescent="0.2">
      <c r="A7" s="2"/>
      <c r="B7" t="s">
        <v>1164</v>
      </c>
      <c r="D7" s="6"/>
      <c r="E7" t="s">
        <v>1165</v>
      </c>
    </row>
    <row r="8" spans="1:8" x14ac:dyDescent="0.2">
      <c r="A8" s="2"/>
      <c r="B8" t="s">
        <v>1169</v>
      </c>
      <c r="C8" t="s">
        <v>1170</v>
      </c>
      <c r="D8" s="6" t="s">
        <v>1171</v>
      </c>
      <c r="F8" t="s">
        <v>1173</v>
      </c>
      <c r="G8" t="s">
        <v>1174</v>
      </c>
    </row>
    <row r="9" spans="1:8" x14ac:dyDescent="0.2">
      <c r="A9" s="2"/>
      <c r="B9" t="s">
        <v>1183</v>
      </c>
      <c r="D9" s="6"/>
      <c r="H9" t="s">
        <v>1184</v>
      </c>
    </row>
    <row r="10" spans="1:8" x14ac:dyDescent="0.2">
      <c r="A10" s="2"/>
      <c r="B10" t="s">
        <v>1185</v>
      </c>
      <c r="D10" s="6"/>
      <c r="E10" t="s">
        <v>1165</v>
      </c>
      <c r="H10" t="s">
        <v>1186</v>
      </c>
    </row>
    <row r="11" spans="1:8" x14ac:dyDescent="0.2">
      <c r="A11" s="2"/>
      <c r="B11" t="s">
        <v>1189</v>
      </c>
      <c r="C11" t="s">
        <v>1190</v>
      </c>
      <c r="D11" s="6" t="s">
        <v>1191</v>
      </c>
      <c r="G11" t="s">
        <v>1174</v>
      </c>
      <c r="H11" t="s">
        <v>1192</v>
      </c>
    </row>
    <row r="12" spans="1:8" x14ac:dyDescent="0.2">
      <c r="A12" s="2"/>
      <c r="B12" t="s">
        <v>1187</v>
      </c>
      <c r="C12" t="s">
        <v>1176</v>
      </c>
      <c r="D12" s="6"/>
      <c r="G12" t="s">
        <v>1182</v>
      </c>
      <c r="H12" t="s">
        <v>1188</v>
      </c>
    </row>
    <row r="13" spans="1:8" x14ac:dyDescent="0.2">
      <c r="A13" s="2"/>
      <c r="B13" t="s">
        <v>1193</v>
      </c>
      <c r="C13" t="s">
        <v>1194</v>
      </c>
      <c r="D13" s="6"/>
      <c r="H13" t="s">
        <v>1195</v>
      </c>
    </row>
    <row r="14" spans="1:8" x14ac:dyDescent="0.2">
      <c r="A14" s="2"/>
      <c r="B14" t="s">
        <v>1199</v>
      </c>
      <c r="C14" t="s">
        <v>1176</v>
      </c>
      <c r="D14" s="6"/>
      <c r="G14" t="s">
        <v>1182</v>
      </c>
      <c r="H14" t="s">
        <v>1200</v>
      </c>
    </row>
    <row r="15" spans="1:8" x14ac:dyDescent="0.2">
      <c r="A15" s="2"/>
      <c r="B15" t="s">
        <v>1196</v>
      </c>
      <c r="C15" t="s">
        <v>1197</v>
      </c>
      <c r="D15" s="6"/>
      <c r="G15" t="s">
        <v>1182</v>
      </c>
      <c r="H15" t="s">
        <v>1198</v>
      </c>
    </row>
    <row r="16" spans="1:8" x14ac:dyDescent="0.2">
      <c r="A16" s="2"/>
      <c r="B16" t="s">
        <v>1201</v>
      </c>
      <c r="D16" s="6"/>
      <c r="E16" t="s">
        <v>1202</v>
      </c>
      <c r="H16" t="s">
        <v>1186</v>
      </c>
    </row>
    <row r="17" spans="1:8" x14ac:dyDescent="0.2">
      <c r="A17" s="2"/>
      <c r="B17" t="s">
        <v>1175</v>
      </c>
      <c r="C17" t="s">
        <v>1176</v>
      </c>
      <c r="D17" s="6"/>
      <c r="E17" t="s">
        <v>1179</v>
      </c>
      <c r="H17" t="s">
        <v>1177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1157</v>
      </c>
    </row>
    <row r="18" spans="1:11" x14ac:dyDescent="0.2">
      <c r="A18" s="2"/>
    </row>
    <row r="19" spans="1:11" x14ac:dyDescent="0.2">
      <c r="B19" t="s">
        <v>246</v>
      </c>
      <c r="C19" t="s">
        <v>247</v>
      </c>
      <c r="D19" t="s">
        <v>582</v>
      </c>
      <c r="E19" s="6" t="s">
        <v>584</v>
      </c>
      <c r="F19" t="s">
        <v>579</v>
      </c>
      <c r="G19" t="s">
        <v>580</v>
      </c>
      <c r="H19" t="s">
        <v>581</v>
      </c>
    </row>
    <row r="20" spans="1:11" x14ac:dyDescent="0.2">
      <c r="B20" t="s">
        <v>239</v>
      </c>
      <c r="C20" s="11">
        <v>45322</v>
      </c>
      <c r="D20" s="11" t="s">
        <v>583</v>
      </c>
      <c r="E20" s="5">
        <v>140</v>
      </c>
      <c r="G20" t="s">
        <v>585</v>
      </c>
      <c r="H20" t="s">
        <v>586</v>
      </c>
    </row>
    <row r="21" spans="1:11" x14ac:dyDescent="0.2">
      <c r="B21" t="s">
        <v>240</v>
      </c>
      <c r="C21" s="11">
        <v>45314</v>
      </c>
      <c r="D21" s="11" t="s">
        <v>587</v>
      </c>
      <c r="E21" s="5">
        <v>100</v>
      </c>
      <c r="G21" t="s">
        <v>588</v>
      </c>
      <c r="H21" t="s">
        <v>589</v>
      </c>
    </row>
    <row r="22" spans="1:11" s="12" customFormat="1" x14ac:dyDescent="0.2">
      <c r="B22" s="12" t="s">
        <v>606</v>
      </c>
      <c r="C22" s="13">
        <v>45208</v>
      </c>
      <c r="D22" s="13" t="s">
        <v>590</v>
      </c>
      <c r="E22" s="16">
        <v>10</v>
      </c>
      <c r="F22" s="12" t="s">
        <v>591</v>
      </c>
      <c r="G22" s="12" t="s">
        <v>104</v>
      </c>
      <c r="H22" s="12" t="s">
        <v>605</v>
      </c>
    </row>
    <row r="23" spans="1:11" x14ac:dyDescent="0.2">
      <c r="B23" t="s">
        <v>241</v>
      </c>
      <c r="C23" s="11">
        <v>45189</v>
      </c>
      <c r="D23" s="11" t="s">
        <v>587</v>
      </c>
      <c r="E23" s="5">
        <v>150</v>
      </c>
      <c r="G23" t="s">
        <v>592</v>
      </c>
      <c r="H23" t="s">
        <v>593</v>
      </c>
    </row>
    <row r="24" spans="1:11" x14ac:dyDescent="0.2">
      <c r="B24" t="s">
        <v>242</v>
      </c>
      <c r="C24" s="11">
        <v>45188</v>
      </c>
      <c r="D24" s="11" t="s">
        <v>235</v>
      </c>
      <c r="E24" s="5">
        <v>238</v>
      </c>
      <c r="G24" t="s">
        <v>594</v>
      </c>
      <c r="H24" t="s">
        <v>596</v>
      </c>
    </row>
    <row r="25" spans="1:11" x14ac:dyDescent="0.2">
      <c r="B25" t="s">
        <v>243</v>
      </c>
      <c r="C25" s="11">
        <v>45141</v>
      </c>
      <c r="D25" s="11" t="s">
        <v>235</v>
      </c>
      <c r="E25" s="5">
        <v>95</v>
      </c>
      <c r="G25" t="s">
        <v>588</v>
      </c>
      <c r="H25" t="s">
        <v>595</v>
      </c>
    </row>
    <row r="26" spans="1:11" x14ac:dyDescent="0.2">
      <c r="B26" t="s">
        <v>244</v>
      </c>
      <c r="C26" s="11">
        <v>45125</v>
      </c>
      <c r="D26" s="11" t="s">
        <v>583</v>
      </c>
      <c r="E26" s="5">
        <v>65</v>
      </c>
      <c r="G26" t="s">
        <v>588</v>
      </c>
      <c r="H26" t="s">
        <v>597</v>
      </c>
    </row>
    <row r="27" spans="1:11" x14ac:dyDescent="0.2">
      <c r="B27" t="s">
        <v>245</v>
      </c>
      <c r="C27" s="11">
        <v>45113</v>
      </c>
      <c r="D27" s="11" t="s">
        <v>598</v>
      </c>
      <c r="E27" s="5">
        <v>20</v>
      </c>
      <c r="G27" t="s">
        <v>594</v>
      </c>
      <c r="H27" t="s">
        <v>599</v>
      </c>
    </row>
    <row r="28" spans="1:11" x14ac:dyDescent="0.2">
      <c r="B28" t="s">
        <v>248</v>
      </c>
      <c r="C28" s="11">
        <v>45071</v>
      </c>
      <c r="D28" s="11" t="s">
        <v>587</v>
      </c>
      <c r="E28" s="5">
        <v>108</v>
      </c>
      <c r="G28" t="s">
        <v>600</v>
      </c>
      <c r="H28" t="s">
        <v>601</v>
      </c>
    </row>
    <row r="29" spans="1:11" x14ac:dyDescent="0.2">
      <c r="B29" t="s">
        <v>249</v>
      </c>
      <c r="C29" s="11">
        <v>45070</v>
      </c>
      <c r="D29" s="11" t="s">
        <v>587</v>
      </c>
      <c r="E29" s="5">
        <v>401</v>
      </c>
      <c r="G29" t="s">
        <v>602</v>
      </c>
      <c r="H29" t="s">
        <v>604</v>
      </c>
      <c r="K29" t="s">
        <v>603</v>
      </c>
    </row>
    <row r="30" spans="1:11" x14ac:dyDescent="0.2">
      <c r="B30" t="s">
        <v>250</v>
      </c>
      <c r="C30" s="11">
        <v>45062</v>
      </c>
      <c r="D30" s="11" t="s">
        <v>608</v>
      </c>
      <c r="E30" s="15" t="s">
        <v>235</v>
      </c>
      <c r="G30" t="s">
        <v>585</v>
      </c>
      <c r="H30" t="s">
        <v>607</v>
      </c>
    </row>
    <row r="31" spans="1:11" x14ac:dyDescent="0.2">
      <c r="B31" t="s">
        <v>251</v>
      </c>
      <c r="C31" s="11">
        <v>45035</v>
      </c>
      <c r="D31" s="11" t="s">
        <v>598</v>
      </c>
      <c r="E31" s="5">
        <v>150</v>
      </c>
      <c r="G31" t="s">
        <v>592</v>
      </c>
      <c r="H31" t="s">
        <v>593</v>
      </c>
    </row>
    <row r="32" spans="1:11" x14ac:dyDescent="0.2">
      <c r="B32" t="s">
        <v>252</v>
      </c>
      <c r="C32" s="11">
        <v>45027</v>
      </c>
      <c r="D32" s="11" t="s">
        <v>598</v>
      </c>
      <c r="E32" s="5">
        <v>75</v>
      </c>
      <c r="G32" t="s">
        <v>588</v>
      </c>
      <c r="H32" t="s">
        <v>609</v>
      </c>
    </row>
    <row r="33" spans="2:8" x14ac:dyDescent="0.2">
      <c r="B33" t="s">
        <v>253</v>
      </c>
      <c r="C33" s="11">
        <v>44978</v>
      </c>
      <c r="D33" s="11" t="s">
        <v>598</v>
      </c>
      <c r="E33" s="15" t="s">
        <v>235</v>
      </c>
      <c r="G33" t="s">
        <v>588</v>
      </c>
      <c r="H33" t="s">
        <v>610</v>
      </c>
    </row>
    <row r="34" spans="2:8" x14ac:dyDescent="0.2">
      <c r="B34" t="s">
        <v>254</v>
      </c>
      <c r="C34" s="11">
        <v>44935</v>
      </c>
      <c r="D34" s="11" t="s">
        <v>587</v>
      </c>
      <c r="E34" s="5">
        <v>230</v>
      </c>
      <c r="G34" t="s">
        <v>611</v>
      </c>
      <c r="H34" t="s">
        <v>612</v>
      </c>
    </row>
    <row r="35" spans="2:8" x14ac:dyDescent="0.2">
      <c r="B35" t="s">
        <v>255</v>
      </c>
      <c r="C35" s="11">
        <v>44929</v>
      </c>
      <c r="D35" s="11" t="s">
        <v>613</v>
      </c>
      <c r="E35" s="5">
        <v>250</v>
      </c>
      <c r="F35" s="12" t="s">
        <v>422</v>
      </c>
      <c r="G35" t="s">
        <v>611</v>
      </c>
      <c r="H35" t="s">
        <v>614</v>
      </c>
    </row>
    <row r="36" spans="2:8" x14ac:dyDescent="0.2">
      <c r="B36" t="s">
        <v>615</v>
      </c>
      <c r="C36" s="11">
        <v>44915</v>
      </c>
      <c r="D36" s="11" t="s">
        <v>616</v>
      </c>
      <c r="E36" s="5">
        <v>9</v>
      </c>
      <c r="G36" t="s">
        <v>588</v>
      </c>
      <c r="H36" t="s">
        <v>617</v>
      </c>
    </row>
    <row r="37" spans="2:8" x14ac:dyDescent="0.2">
      <c r="B37" t="s">
        <v>256</v>
      </c>
      <c r="C37" s="11">
        <v>44901</v>
      </c>
      <c r="D37" s="11" t="s">
        <v>235</v>
      </c>
      <c r="E37" s="5">
        <v>700</v>
      </c>
      <c r="G37" t="s">
        <v>618</v>
      </c>
      <c r="H37" t="s">
        <v>619</v>
      </c>
    </row>
    <row r="38" spans="2:8" x14ac:dyDescent="0.2">
      <c r="B38" t="s">
        <v>257</v>
      </c>
      <c r="C38" s="11">
        <v>44887</v>
      </c>
      <c r="D38" s="11" t="s">
        <v>598</v>
      </c>
      <c r="E38" s="5">
        <v>120</v>
      </c>
      <c r="G38" t="s">
        <v>620</v>
      </c>
      <c r="H38" t="s">
        <v>621</v>
      </c>
    </row>
    <row r="39" spans="2:8" x14ac:dyDescent="0.2">
      <c r="B39" t="s">
        <v>258</v>
      </c>
      <c r="C39" s="11">
        <v>44844</v>
      </c>
      <c r="D39" s="11" t="s">
        <v>587</v>
      </c>
      <c r="E39" s="5">
        <v>100</v>
      </c>
      <c r="G39" t="s">
        <v>104</v>
      </c>
      <c r="H39" t="s">
        <v>622</v>
      </c>
    </row>
    <row r="40" spans="2:8" x14ac:dyDescent="0.2">
      <c r="B40" t="s">
        <v>259</v>
      </c>
      <c r="C40" s="11">
        <v>44843</v>
      </c>
      <c r="D40" s="11" t="s">
        <v>587</v>
      </c>
      <c r="E40" s="5">
        <v>100</v>
      </c>
      <c r="G40" t="s">
        <v>623</v>
      </c>
      <c r="H40" t="s">
        <v>624</v>
      </c>
    </row>
    <row r="41" spans="2:8" x14ac:dyDescent="0.2">
      <c r="B41" t="s">
        <v>260</v>
      </c>
      <c r="C41" s="11">
        <v>44810</v>
      </c>
      <c r="D41" s="11" t="s">
        <v>598</v>
      </c>
      <c r="E41" s="5">
        <v>220</v>
      </c>
      <c r="G41" t="s">
        <v>602</v>
      </c>
      <c r="H41" t="s">
        <v>625</v>
      </c>
    </row>
    <row r="42" spans="2:8" x14ac:dyDescent="0.2">
      <c r="B42" t="s">
        <v>261</v>
      </c>
      <c r="C42" s="11">
        <v>44788</v>
      </c>
      <c r="D42" s="11" t="s">
        <v>587</v>
      </c>
      <c r="E42" s="5">
        <v>110</v>
      </c>
      <c r="G42" t="s">
        <v>588</v>
      </c>
      <c r="H42" t="s">
        <v>626</v>
      </c>
    </row>
    <row r="43" spans="2:8" x14ac:dyDescent="0.2">
      <c r="B43" t="s">
        <v>262</v>
      </c>
      <c r="C43" s="11">
        <v>44763</v>
      </c>
      <c r="D43" s="11" t="s">
        <v>628</v>
      </c>
      <c r="E43" s="5">
        <v>400</v>
      </c>
      <c r="G43" t="s">
        <v>588</v>
      </c>
      <c r="H43" t="s">
        <v>627</v>
      </c>
    </row>
    <row r="44" spans="2:8" x14ac:dyDescent="0.2">
      <c r="B44" t="s">
        <v>263</v>
      </c>
      <c r="C44" s="11">
        <v>44762</v>
      </c>
      <c r="D44" s="11" t="s">
        <v>587</v>
      </c>
      <c r="E44" s="5">
        <v>150</v>
      </c>
      <c r="G44" t="s">
        <v>623</v>
      </c>
      <c r="H44" t="s">
        <v>629</v>
      </c>
    </row>
    <row r="45" spans="2:8" x14ac:dyDescent="0.2">
      <c r="B45" t="s">
        <v>264</v>
      </c>
      <c r="C45" s="11">
        <v>44735</v>
      </c>
      <c r="D45" s="11" t="s">
        <v>587</v>
      </c>
      <c r="E45" s="5">
        <v>100</v>
      </c>
      <c r="G45" t="s">
        <v>588</v>
      </c>
      <c r="H45" t="s">
        <v>630</v>
      </c>
    </row>
    <row r="46" spans="2:8" x14ac:dyDescent="0.2">
      <c r="B46" t="s">
        <v>268</v>
      </c>
      <c r="C46" s="11">
        <v>44728</v>
      </c>
      <c r="D46" s="11" t="s">
        <v>598</v>
      </c>
      <c r="E46" s="5">
        <v>150</v>
      </c>
      <c r="G46" t="s">
        <v>588</v>
      </c>
      <c r="H46" t="s">
        <v>631</v>
      </c>
    </row>
    <row r="47" spans="2:8" x14ac:dyDescent="0.2">
      <c r="B47" t="s">
        <v>267</v>
      </c>
      <c r="C47" s="11">
        <v>44727</v>
      </c>
      <c r="D47" s="11" t="s">
        <v>632</v>
      </c>
      <c r="E47" s="5">
        <v>100</v>
      </c>
      <c r="G47" t="s">
        <v>588</v>
      </c>
      <c r="H47" t="s">
        <v>633</v>
      </c>
    </row>
    <row r="48" spans="2:8" x14ac:dyDescent="0.2">
      <c r="B48" t="s">
        <v>266</v>
      </c>
      <c r="C48" s="11">
        <v>44726</v>
      </c>
      <c r="D48" s="11" t="s">
        <v>632</v>
      </c>
      <c r="E48" s="5">
        <v>80</v>
      </c>
      <c r="G48" t="s">
        <v>588</v>
      </c>
      <c r="H48" t="s">
        <v>634</v>
      </c>
    </row>
    <row r="49" spans="2:8" x14ac:dyDescent="0.2">
      <c r="B49" t="s">
        <v>265</v>
      </c>
      <c r="C49" s="11">
        <v>44726</v>
      </c>
      <c r="D49" s="11" t="s">
        <v>632</v>
      </c>
      <c r="E49" s="5">
        <v>200</v>
      </c>
      <c r="G49" t="s">
        <v>588</v>
      </c>
      <c r="H49" t="s">
        <v>635</v>
      </c>
    </row>
    <row r="50" spans="2:8" x14ac:dyDescent="0.2">
      <c r="B50" t="s">
        <v>269</v>
      </c>
      <c r="C50" s="11">
        <v>44720</v>
      </c>
      <c r="D50" s="5" t="s">
        <v>235</v>
      </c>
      <c r="E50" s="5" t="s">
        <v>235</v>
      </c>
      <c r="G50" t="s">
        <v>588</v>
      </c>
      <c r="H50" t="s">
        <v>636</v>
      </c>
    </row>
    <row r="51" spans="2:8" x14ac:dyDescent="0.2">
      <c r="B51" t="s">
        <v>270</v>
      </c>
      <c r="C51" s="11">
        <v>44720</v>
      </c>
      <c r="D51" s="11" t="s">
        <v>235</v>
      </c>
      <c r="E51" s="5">
        <v>2.5</v>
      </c>
      <c r="G51" t="s">
        <v>637</v>
      </c>
    </row>
    <row r="52" spans="2:8" x14ac:dyDescent="0.2">
      <c r="B52" t="s">
        <v>271</v>
      </c>
      <c r="C52" s="11">
        <v>44720</v>
      </c>
      <c r="D52" s="11" t="s">
        <v>235</v>
      </c>
      <c r="E52" s="5">
        <v>405</v>
      </c>
      <c r="G52" t="s">
        <v>588</v>
      </c>
      <c r="H52" t="s">
        <v>638</v>
      </c>
    </row>
    <row r="53" spans="2:8" x14ac:dyDescent="0.2">
      <c r="B53" t="s">
        <v>272</v>
      </c>
      <c r="C53" s="11">
        <v>44719</v>
      </c>
      <c r="D53" s="11" t="s">
        <v>598</v>
      </c>
      <c r="E53" s="5">
        <v>100</v>
      </c>
      <c r="G53" t="s">
        <v>588</v>
      </c>
      <c r="H53" t="s">
        <v>639</v>
      </c>
    </row>
    <row r="54" spans="2:8" x14ac:dyDescent="0.2">
      <c r="B54" t="s">
        <v>273</v>
      </c>
      <c r="C54" s="11">
        <v>44718</v>
      </c>
      <c r="D54" s="11" t="s">
        <v>235</v>
      </c>
      <c r="E54" s="5">
        <v>100</v>
      </c>
      <c r="G54" t="s">
        <v>588</v>
      </c>
      <c r="H54" t="s">
        <v>640</v>
      </c>
    </row>
    <row r="55" spans="2:8" x14ac:dyDescent="0.2">
      <c r="B55" t="s">
        <v>274</v>
      </c>
      <c r="C55" s="11">
        <v>44713</v>
      </c>
      <c r="D55" s="11" t="s">
        <v>632</v>
      </c>
      <c r="E55" s="5">
        <v>100</v>
      </c>
      <c r="G55" t="s">
        <v>637</v>
      </c>
    </row>
    <row r="56" spans="2:8" x14ac:dyDescent="0.2">
      <c r="B56" t="s">
        <v>275</v>
      </c>
      <c r="C56" s="11">
        <v>44712</v>
      </c>
      <c r="D56" s="11" t="s">
        <v>587</v>
      </c>
      <c r="E56" s="5">
        <v>500</v>
      </c>
      <c r="G56" t="s">
        <v>623</v>
      </c>
      <c r="H56" t="s">
        <v>641</v>
      </c>
    </row>
    <row r="57" spans="2:8" x14ac:dyDescent="0.2">
      <c r="B57" t="s">
        <v>276</v>
      </c>
      <c r="C57" s="11">
        <v>44705</v>
      </c>
      <c r="D57" s="11" t="s">
        <v>598</v>
      </c>
      <c r="E57" s="5">
        <v>150</v>
      </c>
      <c r="G57" t="s">
        <v>588</v>
      </c>
      <c r="H57" t="s">
        <v>642</v>
      </c>
    </row>
    <row r="58" spans="2:8" x14ac:dyDescent="0.2">
      <c r="B58" t="s">
        <v>277</v>
      </c>
      <c r="C58" s="11">
        <v>44691</v>
      </c>
      <c r="D58" s="11" t="s">
        <v>632</v>
      </c>
      <c r="E58" s="5">
        <v>300</v>
      </c>
      <c r="G58" t="s">
        <v>623</v>
      </c>
      <c r="H58" t="s">
        <v>643</v>
      </c>
    </row>
    <row r="59" spans="2:8" x14ac:dyDescent="0.2">
      <c r="B59" t="s">
        <v>278</v>
      </c>
      <c r="C59" s="11">
        <v>44686</v>
      </c>
      <c r="D59" s="11" t="s">
        <v>587</v>
      </c>
      <c r="E59" s="5">
        <v>175</v>
      </c>
      <c r="G59" t="s">
        <v>623</v>
      </c>
      <c r="H59" t="s">
        <v>644</v>
      </c>
    </row>
    <row r="60" spans="2:8" x14ac:dyDescent="0.2">
      <c r="B60" t="s">
        <v>279</v>
      </c>
      <c r="C60" s="11">
        <v>44684</v>
      </c>
      <c r="D60" s="11" t="s">
        <v>598</v>
      </c>
      <c r="E60" s="5">
        <v>60</v>
      </c>
      <c r="G60" t="s">
        <v>588</v>
      </c>
      <c r="H60" t="s">
        <v>645</v>
      </c>
    </row>
    <row r="61" spans="2:8" x14ac:dyDescent="0.2">
      <c r="B61" t="s">
        <v>280</v>
      </c>
      <c r="C61" s="11">
        <v>44677</v>
      </c>
      <c r="D61" s="11" t="s">
        <v>632</v>
      </c>
      <c r="E61" s="5">
        <v>80</v>
      </c>
      <c r="G61" t="s">
        <v>104</v>
      </c>
      <c r="H61" t="s">
        <v>646</v>
      </c>
    </row>
    <row r="62" spans="2:8" x14ac:dyDescent="0.2">
      <c r="B62" t="s">
        <v>281</v>
      </c>
      <c r="C62" s="11">
        <v>44673</v>
      </c>
      <c r="D62" s="11" t="s">
        <v>598</v>
      </c>
      <c r="E62" s="5">
        <v>60</v>
      </c>
      <c r="G62" t="s">
        <v>637</v>
      </c>
    </row>
    <row r="63" spans="2:8" x14ac:dyDescent="0.2">
      <c r="B63" t="s">
        <v>282</v>
      </c>
      <c r="C63" s="11">
        <v>44672</v>
      </c>
      <c r="D63" s="11" t="s">
        <v>632</v>
      </c>
      <c r="E63" s="5">
        <v>400</v>
      </c>
      <c r="G63" t="s">
        <v>623</v>
      </c>
      <c r="H63" t="s">
        <v>647</v>
      </c>
    </row>
    <row r="64" spans="2:8" x14ac:dyDescent="0.2">
      <c r="B64" t="s">
        <v>283</v>
      </c>
      <c r="C64" s="11">
        <v>44670</v>
      </c>
      <c r="D64" s="11" t="s">
        <v>632</v>
      </c>
      <c r="E64" s="5">
        <v>300</v>
      </c>
      <c r="G64" t="s">
        <v>602</v>
      </c>
    </row>
    <row r="65" spans="2:5" x14ac:dyDescent="0.2">
      <c r="B65" s="12" t="s">
        <v>284</v>
      </c>
      <c r="C65" s="13">
        <v>44663</v>
      </c>
      <c r="D65" s="13"/>
      <c r="E65" s="5">
        <v>125</v>
      </c>
    </row>
    <row r="66" spans="2:5" x14ac:dyDescent="0.2">
      <c r="B66" t="s">
        <v>285</v>
      </c>
      <c r="C66" s="11">
        <v>44663</v>
      </c>
      <c r="D66" s="11"/>
      <c r="E66" s="5">
        <v>70</v>
      </c>
    </row>
    <row r="67" spans="2:5" x14ac:dyDescent="0.2">
      <c r="B67" t="s">
        <v>286</v>
      </c>
      <c r="C67" s="11">
        <v>44662</v>
      </c>
      <c r="D67" s="11"/>
      <c r="E67" s="5">
        <v>185</v>
      </c>
    </row>
    <row r="68" spans="2:5" x14ac:dyDescent="0.2">
      <c r="B68" t="s">
        <v>287</v>
      </c>
      <c r="C68" s="11">
        <v>44658</v>
      </c>
      <c r="D68" s="11"/>
      <c r="E68" s="5">
        <v>150</v>
      </c>
    </row>
    <row r="69" spans="2:5" x14ac:dyDescent="0.2">
      <c r="B69" t="s">
        <v>288</v>
      </c>
      <c r="C69" s="11">
        <v>44658</v>
      </c>
      <c r="D69" s="11"/>
      <c r="E69" s="5">
        <v>240</v>
      </c>
    </row>
    <row r="70" spans="2:5" x14ac:dyDescent="0.2">
      <c r="B70" t="s">
        <v>289</v>
      </c>
      <c r="C70" s="11">
        <v>44657</v>
      </c>
      <c r="D70" s="11"/>
      <c r="E70" s="5">
        <v>110</v>
      </c>
    </row>
    <row r="71" spans="2:5" x14ac:dyDescent="0.2">
      <c r="B71" s="12" t="s">
        <v>290</v>
      </c>
      <c r="C71" s="13">
        <v>44656</v>
      </c>
      <c r="D71" s="13"/>
      <c r="E71" s="5">
        <v>150</v>
      </c>
    </row>
    <row r="72" spans="2:5" x14ac:dyDescent="0.2">
      <c r="B72" t="s">
        <v>291</v>
      </c>
      <c r="C72" s="11">
        <v>44656</v>
      </c>
      <c r="D72" s="11"/>
      <c r="E72" s="5">
        <v>300</v>
      </c>
    </row>
    <row r="73" spans="2:5" x14ac:dyDescent="0.2">
      <c r="B73" t="s">
        <v>292</v>
      </c>
      <c r="C73" s="11">
        <v>44650</v>
      </c>
      <c r="D73" s="11"/>
      <c r="E73" s="5">
        <v>100</v>
      </c>
    </row>
    <row r="74" spans="2:5" x14ac:dyDescent="0.2">
      <c r="B74" t="s">
        <v>293</v>
      </c>
      <c r="C74" s="11">
        <v>44644</v>
      </c>
      <c r="D74" s="11"/>
      <c r="E74" s="5">
        <v>65</v>
      </c>
    </row>
    <row r="75" spans="2:5" x14ac:dyDescent="0.2">
      <c r="B75" t="s">
        <v>294</v>
      </c>
      <c r="C75" s="11">
        <v>44642</v>
      </c>
      <c r="D75" s="11"/>
      <c r="E75" s="5">
        <v>150</v>
      </c>
    </row>
    <row r="76" spans="2:5" x14ac:dyDescent="0.2">
      <c r="B76" t="s">
        <v>295</v>
      </c>
      <c r="C76" s="11">
        <v>44641</v>
      </c>
      <c r="D76" s="11"/>
      <c r="E76" s="5">
        <v>115</v>
      </c>
    </row>
    <row r="77" spans="2:5" x14ac:dyDescent="0.2">
      <c r="B77" t="s">
        <v>296</v>
      </c>
      <c r="C77" s="11">
        <v>44641</v>
      </c>
      <c r="D77" s="11"/>
      <c r="E77" s="5">
        <v>40</v>
      </c>
    </row>
    <row r="78" spans="2:5" x14ac:dyDescent="0.2">
      <c r="B78" t="s">
        <v>297</v>
      </c>
      <c r="C78" s="11">
        <v>44630</v>
      </c>
      <c r="D78" s="11"/>
      <c r="E78" s="5">
        <v>240</v>
      </c>
    </row>
    <row r="79" spans="2:5" x14ac:dyDescent="0.2">
      <c r="B79" t="s">
        <v>298</v>
      </c>
      <c r="C79" s="11">
        <v>44627</v>
      </c>
      <c r="D79" s="11"/>
      <c r="E79" s="5">
        <v>250</v>
      </c>
    </row>
    <row r="80" spans="2:5" x14ac:dyDescent="0.2">
      <c r="B80" t="s">
        <v>299</v>
      </c>
      <c r="C80" s="11">
        <v>44621</v>
      </c>
      <c r="D80" s="11"/>
      <c r="E80" s="5" t="s">
        <v>235</v>
      </c>
    </row>
    <row r="81" spans="2:5" x14ac:dyDescent="0.2">
      <c r="B81" t="s">
        <v>300</v>
      </c>
      <c r="C81" s="11">
        <v>44621</v>
      </c>
      <c r="D81" s="11"/>
      <c r="E81" s="5">
        <v>68</v>
      </c>
    </row>
    <row r="82" spans="2:5" x14ac:dyDescent="0.2">
      <c r="B82" t="s">
        <v>301</v>
      </c>
      <c r="C82" s="11">
        <v>44620</v>
      </c>
      <c r="D82" s="11"/>
      <c r="E82" s="5">
        <v>425</v>
      </c>
    </row>
    <row r="83" spans="2:5" x14ac:dyDescent="0.2">
      <c r="B83" t="s">
        <v>302</v>
      </c>
      <c r="C83" s="11">
        <v>44616</v>
      </c>
      <c r="D83" s="11"/>
      <c r="E83" s="5">
        <v>230</v>
      </c>
    </row>
    <row r="84" spans="2:5" x14ac:dyDescent="0.2">
      <c r="B84" t="s">
        <v>303</v>
      </c>
      <c r="C84" s="11">
        <v>44616</v>
      </c>
      <c r="D84" s="11"/>
      <c r="E84" s="5">
        <v>140</v>
      </c>
    </row>
    <row r="85" spans="2:5" x14ac:dyDescent="0.2">
      <c r="B85" t="s">
        <v>304</v>
      </c>
      <c r="C85" s="11">
        <v>44615</v>
      </c>
      <c r="D85" s="11"/>
      <c r="E85" s="5">
        <v>102</v>
      </c>
    </row>
    <row r="86" spans="2:5" x14ac:dyDescent="0.2">
      <c r="B86" t="s">
        <v>305</v>
      </c>
      <c r="C86" s="11">
        <v>44615</v>
      </c>
      <c r="D86" s="11"/>
      <c r="E86" s="5">
        <v>66</v>
      </c>
    </row>
    <row r="87" spans="2:5" x14ac:dyDescent="0.2">
      <c r="B87" t="s">
        <v>306</v>
      </c>
      <c r="C87" s="11">
        <v>44612</v>
      </c>
      <c r="D87" s="11"/>
      <c r="E87" s="5">
        <v>190</v>
      </c>
    </row>
    <row r="88" spans="2:5" x14ac:dyDescent="0.2">
      <c r="B88" t="s">
        <v>307</v>
      </c>
      <c r="C88" s="11">
        <v>44609</v>
      </c>
      <c r="D88" s="11"/>
      <c r="E88" s="5">
        <v>200</v>
      </c>
    </row>
    <row r="89" spans="2:5" x14ac:dyDescent="0.2">
      <c r="B89" t="s">
        <v>308</v>
      </c>
      <c r="C89" s="11">
        <v>44608</v>
      </c>
      <c r="D89" s="11"/>
      <c r="E89" s="5">
        <v>40</v>
      </c>
    </row>
    <row r="90" spans="2:5" x14ac:dyDescent="0.2">
      <c r="B90" t="s">
        <v>309</v>
      </c>
      <c r="C90" s="11">
        <v>44608</v>
      </c>
      <c r="D90" s="11"/>
      <c r="E90" s="5">
        <v>200</v>
      </c>
    </row>
    <row r="91" spans="2:5" x14ac:dyDescent="0.2">
      <c r="B91" t="s">
        <v>310</v>
      </c>
      <c r="C91" s="11">
        <v>44607</v>
      </c>
      <c r="D91" s="11"/>
      <c r="E91" s="5">
        <v>450</v>
      </c>
    </row>
    <row r="92" spans="2:5" x14ac:dyDescent="0.2">
      <c r="B92" t="s">
        <v>311</v>
      </c>
      <c r="C92" s="11">
        <v>44607</v>
      </c>
      <c r="D92" s="11"/>
      <c r="E92" s="5">
        <v>170</v>
      </c>
    </row>
    <row r="93" spans="2:5" x14ac:dyDescent="0.2">
      <c r="B93" t="s">
        <v>312</v>
      </c>
      <c r="C93" s="11">
        <v>44607</v>
      </c>
      <c r="D93" s="11"/>
      <c r="E93" s="5">
        <v>144</v>
      </c>
    </row>
    <row r="94" spans="2:5" x14ac:dyDescent="0.2">
      <c r="B94" t="s">
        <v>313</v>
      </c>
      <c r="C94" s="11">
        <v>44607</v>
      </c>
      <c r="D94" s="11"/>
      <c r="E94" s="5">
        <v>300</v>
      </c>
    </row>
    <row r="95" spans="2:5" x14ac:dyDescent="0.2">
      <c r="B95" t="s">
        <v>314</v>
      </c>
      <c r="C95" s="11">
        <v>44606</v>
      </c>
      <c r="D95" s="11"/>
      <c r="E95" s="5">
        <v>70</v>
      </c>
    </row>
    <row r="96" spans="2:5" x14ac:dyDescent="0.2">
      <c r="B96" t="s">
        <v>315</v>
      </c>
      <c r="C96" s="11">
        <v>44606</v>
      </c>
      <c r="D96" s="11"/>
      <c r="E96" s="5">
        <v>100</v>
      </c>
    </row>
    <row r="97" spans="2:5" x14ac:dyDescent="0.2">
      <c r="B97" t="s">
        <v>316</v>
      </c>
      <c r="C97" s="11">
        <v>44602</v>
      </c>
      <c r="D97" s="11"/>
      <c r="E97" s="5">
        <v>80</v>
      </c>
    </row>
    <row r="98" spans="2:5" x14ac:dyDescent="0.2">
      <c r="B98" t="s">
        <v>317</v>
      </c>
      <c r="C98" s="11">
        <v>44601</v>
      </c>
      <c r="D98" s="11"/>
      <c r="E98" s="5">
        <v>140</v>
      </c>
    </row>
    <row r="99" spans="2:5" x14ac:dyDescent="0.2">
      <c r="B99" t="s">
        <v>318</v>
      </c>
      <c r="C99" s="11">
        <v>44600</v>
      </c>
      <c r="D99" s="11"/>
      <c r="E99" s="5">
        <v>80</v>
      </c>
    </row>
    <row r="100" spans="2:5" x14ac:dyDescent="0.2">
      <c r="B100" t="s">
        <v>319</v>
      </c>
      <c r="C100" s="11">
        <v>44599</v>
      </c>
      <c r="D100" s="11"/>
      <c r="E100" s="5">
        <v>226</v>
      </c>
    </row>
    <row r="101" spans="2:5" x14ac:dyDescent="0.2">
      <c r="B101" s="12" t="s">
        <v>320</v>
      </c>
      <c r="C101" s="13">
        <v>44599</v>
      </c>
      <c r="D101" s="13"/>
      <c r="E101" s="16">
        <v>935</v>
      </c>
    </row>
    <row r="102" spans="2:5" x14ac:dyDescent="0.2">
      <c r="B102" t="s">
        <v>321</v>
      </c>
      <c r="C102" s="11">
        <v>44599</v>
      </c>
      <c r="D102" s="11"/>
      <c r="E102" s="5">
        <v>450</v>
      </c>
    </row>
    <row r="103" spans="2:5" x14ac:dyDescent="0.2">
      <c r="B103" t="s">
        <v>322</v>
      </c>
      <c r="C103" s="11">
        <v>44599</v>
      </c>
      <c r="D103" s="11"/>
      <c r="E103" s="5">
        <v>70</v>
      </c>
    </row>
    <row r="104" spans="2:5" x14ac:dyDescent="0.2">
      <c r="B104" t="s">
        <v>323</v>
      </c>
      <c r="C104" s="11">
        <v>44599</v>
      </c>
      <c r="D104" s="11"/>
      <c r="E104" s="5">
        <v>110</v>
      </c>
    </row>
    <row r="105" spans="2:5" x14ac:dyDescent="0.2">
      <c r="B105" t="s">
        <v>322</v>
      </c>
      <c r="C105" s="11">
        <v>44599</v>
      </c>
      <c r="D105" s="11"/>
      <c r="E105" s="5">
        <v>200</v>
      </c>
    </row>
    <row r="106" spans="2:5" x14ac:dyDescent="0.2">
      <c r="B106" t="s">
        <v>324</v>
      </c>
      <c r="C106" s="11">
        <v>44595</v>
      </c>
      <c r="D106" s="11"/>
      <c r="E106" s="5">
        <v>150</v>
      </c>
    </row>
    <row r="107" spans="2:5" x14ac:dyDescent="0.2">
      <c r="B107" t="s">
        <v>325</v>
      </c>
      <c r="C107" s="11">
        <v>44595</v>
      </c>
      <c r="D107" s="11"/>
      <c r="E107" s="5">
        <v>115</v>
      </c>
    </row>
    <row r="108" spans="2:5" x14ac:dyDescent="0.2">
      <c r="B108" t="s">
        <v>245</v>
      </c>
      <c r="C108" s="11">
        <v>44591</v>
      </c>
      <c r="D108" s="11"/>
      <c r="E108" s="5">
        <v>37</v>
      </c>
    </row>
    <row r="109" spans="2:5" x14ac:dyDescent="0.2">
      <c r="B109" t="s">
        <v>326</v>
      </c>
      <c r="C109" s="11">
        <v>44588</v>
      </c>
      <c r="D109" s="11"/>
      <c r="E109" s="5">
        <v>130</v>
      </c>
    </row>
    <row r="110" spans="2:5" x14ac:dyDescent="0.2">
      <c r="B110" t="s">
        <v>327</v>
      </c>
      <c r="C110" s="11">
        <v>44588</v>
      </c>
      <c r="D110" s="11"/>
      <c r="E110" s="5">
        <v>200</v>
      </c>
    </row>
    <row r="111" spans="2:5" x14ac:dyDescent="0.2">
      <c r="B111" t="s">
        <v>328</v>
      </c>
      <c r="C111" s="11">
        <v>44587</v>
      </c>
      <c r="D111" s="11"/>
      <c r="E111" s="5">
        <v>207</v>
      </c>
    </row>
    <row r="112" spans="2:5" x14ac:dyDescent="0.2">
      <c r="B112" t="s">
        <v>329</v>
      </c>
      <c r="C112" s="11">
        <v>44587</v>
      </c>
      <c r="D112" s="11"/>
      <c r="E112" s="5">
        <v>70</v>
      </c>
    </row>
    <row r="113" spans="2:6" x14ac:dyDescent="0.2">
      <c r="B113" t="s">
        <v>330</v>
      </c>
      <c r="C113" s="11">
        <v>44587</v>
      </c>
      <c r="D113" s="11"/>
      <c r="E113" s="5">
        <v>103</v>
      </c>
    </row>
    <row r="114" spans="2:6" x14ac:dyDescent="0.2">
      <c r="B114" t="s">
        <v>331</v>
      </c>
      <c r="C114" s="11">
        <v>44587</v>
      </c>
      <c r="D114" s="11"/>
      <c r="E114" s="5">
        <v>200</v>
      </c>
    </row>
    <row r="115" spans="2:6" x14ac:dyDescent="0.2">
      <c r="B115" s="12" t="s">
        <v>332</v>
      </c>
      <c r="C115" s="13">
        <v>44587</v>
      </c>
      <c r="D115" s="13"/>
      <c r="E115" s="16">
        <v>400</v>
      </c>
      <c r="F115" s="12" t="s">
        <v>422</v>
      </c>
    </row>
    <row r="116" spans="2:6" x14ac:dyDescent="0.2">
      <c r="B116" t="s">
        <v>333</v>
      </c>
      <c r="C116" s="11">
        <v>44586</v>
      </c>
      <c r="D116" s="11"/>
      <c r="E116" s="5">
        <v>400</v>
      </c>
    </row>
    <row r="117" spans="2:6" x14ac:dyDescent="0.2">
      <c r="B117" t="s">
        <v>334</v>
      </c>
      <c r="C117" s="11">
        <v>44586</v>
      </c>
      <c r="D117" s="11"/>
      <c r="E117" s="5">
        <v>260</v>
      </c>
    </row>
    <row r="118" spans="2:6" x14ac:dyDescent="0.2">
      <c r="B118" t="s">
        <v>335</v>
      </c>
      <c r="C118" s="11">
        <v>44586</v>
      </c>
      <c r="D118" s="11"/>
      <c r="E118" s="5">
        <v>140</v>
      </c>
    </row>
    <row r="119" spans="2:6" x14ac:dyDescent="0.2">
      <c r="B119" t="s">
        <v>336</v>
      </c>
      <c r="C119" s="11">
        <v>44581</v>
      </c>
      <c r="D119" s="11"/>
      <c r="E119" s="5">
        <v>150</v>
      </c>
    </row>
    <row r="120" spans="2:6" x14ac:dyDescent="0.2">
      <c r="B120" t="s">
        <v>337</v>
      </c>
      <c r="C120" s="11">
        <v>44581</v>
      </c>
      <c r="D120" s="11"/>
      <c r="E120" s="5">
        <v>200</v>
      </c>
    </row>
    <row r="121" spans="2:6" x14ac:dyDescent="0.2">
      <c r="B121" s="11" t="s">
        <v>338</v>
      </c>
      <c r="C121" s="11">
        <v>44580</v>
      </c>
      <c r="D121" s="11"/>
      <c r="E121" s="5">
        <v>75</v>
      </c>
    </row>
    <row r="122" spans="2:6" x14ac:dyDescent="0.2">
      <c r="B122" t="s">
        <v>339</v>
      </c>
      <c r="C122" s="11">
        <v>44580</v>
      </c>
      <c r="D122" s="11"/>
      <c r="E122" s="5">
        <v>100</v>
      </c>
    </row>
    <row r="123" spans="2:6" x14ac:dyDescent="0.2">
      <c r="B123" t="s">
        <v>340</v>
      </c>
      <c r="C123" s="11">
        <v>44573</v>
      </c>
      <c r="D123" s="11"/>
      <c r="E123" s="5">
        <v>125</v>
      </c>
    </row>
    <row r="124" spans="2:6" x14ac:dyDescent="0.2">
      <c r="B124" t="s">
        <v>243</v>
      </c>
      <c r="C124" s="11">
        <v>44572</v>
      </c>
      <c r="D124" s="11"/>
      <c r="E124" s="5">
        <v>300</v>
      </c>
    </row>
    <row r="125" spans="2:6" x14ac:dyDescent="0.2">
      <c r="B125" t="s">
        <v>341</v>
      </c>
      <c r="C125" s="11">
        <v>44572</v>
      </c>
      <c r="D125" s="11"/>
      <c r="E125" s="5">
        <v>200</v>
      </c>
    </row>
    <row r="126" spans="2:6" x14ac:dyDescent="0.2">
      <c r="B126" t="s">
        <v>248</v>
      </c>
      <c r="C126" s="11">
        <v>44571</v>
      </c>
      <c r="D126" s="11"/>
      <c r="E126" s="5">
        <v>90</v>
      </c>
    </row>
    <row r="127" spans="2:6" x14ac:dyDescent="0.2">
      <c r="B127" t="s">
        <v>302</v>
      </c>
      <c r="C127" s="11">
        <v>44567</v>
      </c>
      <c r="D127" s="11"/>
      <c r="E127" s="5">
        <v>74</v>
      </c>
    </row>
    <row r="128" spans="2:6" x14ac:dyDescent="0.2">
      <c r="B128" t="s">
        <v>342</v>
      </c>
      <c r="C128" s="11">
        <v>44567</v>
      </c>
      <c r="D128" s="11"/>
      <c r="E128" s="5">
        <v>110</v>
      </c>
    </row>
    <row r="129" spans="2:6" x14ac:dyDescent="0.2">
      <c r="B129" s="11" t="s">
        <v>343</v>
      </c>
      <c r="C129" s="11">
        <v>44558</v>
      </c>
      <c r="D129" s="11"/>
      <c r="E129" s="5">
        <v>110</v>
      </c>
    </row>
    <row r="130" spans="2:6" x14ac:dyDescent="0.2">
      <c r="B130" t="s">
        <v>344</v>
      </c>
      <c r="C130" s="11">
        <v>44550</v>
      </c>
      <c r="D130" s="11"/>
      <c r="E130" s="5">
        <v>140</v>
      </c>
    </row>
    <row r="131" spans="2:6" x14ac:dyDescent="0.2">
      <c r="B131" t="s">
        <v>344</v>
      </c>
      <c r="C131" s="11">
        <v>44550</v>
      </c>
      <c r="D131" s="11"/>
      <c r="E131" s="5">
        <v>185</v>
      </c>
    </row>
    <row r="132" spans="2:6" x14ac:dyDescent="0.2">
      <c r="B132" t="s">
        <v>345</v>
      </c>
      <c r="C132" s="11">
        <v>44550</v>
      </c>
      <c r="D132" s="11"/>
      <c r="E132" s="5">
        <v>228</v>
      </c>
    </row>
    <row r="133" spans="2:6" x14ac:dyDescent="0.2">
      <c r="B133" t="s">
        <v>346</v>
      </c>
      <c r="C133" s="11">
        <v>44547</v>
      </c>
      <c r="D133" s="11"/>
      <c r="E133" s="5">
        <v>37</v>
      </c>
    </row>
    <row r="134" spans="2:6" x14ac:dyDescent="0.2">
      <c r="B134" t="s">
        <v>347</v>
      </c>
      <c r="C134" s="11">
        <v>44546</v>
      </c>
      <c r="D134" s="11"/>
      <c r="E134" s="5" t="s">
        <v>235</v>
      </c>
    </row>
    <row r="135" spans="2:6" x14ac:dyDescent="0.2">
      <c r="B135" t="s">
        <v>348</v>
      </c>
      <c r="C135" s="11">
        <v>44545</v>
      </c>
      <c r="D135" s="11"/>
      <c r="E135" s="5">
        <v>100</v>
      </c>
    </row>
    <row r="136" spans="2:6" x14ac:dyDescent="0.2">
      <c r="B136" t="s">
        <v>349</v>
      </c>
      <c r="C136" s="11">
        <v>44545</v>
      </c>
      <c r="D136" s="11"/>
      <c r="E136" s="5">
        <v>60</v>
      </c>
    </row>
    <row r="137" spans="2:6" x14ac:dyDescent="0.2">
      <c r="B137" t="s">
        <v>350</v>
      </c>
      <c r="C137" s="11">
        <v>44539</v>
      </c>
      <c r="D137" s="11"/>
      <c r="E137" s="5">
        <v>19</v>
      </c>
    </row>
    <row r="138" spans="2:6" x14ac:dyDescent="0.2">
      <c r="B138" t="s">
        <v>351</v>
      </c>
      <c r="C138" s="11">
        <v>44539</v>
      </c>
      <c r="D138" s="11"/>
      <c r="E138" s="5">
        <v>228</v>
      </c>
    </row>
    <row r="139" spans="2:6" x14ac:dyDescent="0.2">
      <c r="B139" t="s">
        <v>352</v>
      </c>
      <c r="C139" s="11">
        <v>44538</v>
      </c>
      <c r="D139" s="11"/>
      <c r="E139" s="5">
        <v>300</v>
      </c>
    </row>
    <row r="140" spans="2:6" x14ac:dyDescent="0.2">
      <c r="B140" t="s">
        <v>353</v>
      </c>
      <c r="C140" s="11">
        <v>44538</v>
      </c>
      <c r="D140" s="11"/>
      <c r="E140" s="5">
        <v>400</v>
      </c>
    </row>
    <row r="141" spans="2:6" x14ac:dyDescent="0.2">
      <c r="B141" t="s">
        <v>354</v>
      </c>
      <c r="C141" s="11">
        <v>44536</v>
      </c>
      <c r="D141" s="11"/>
      <c r="E141" s="5">
        <v>125</v>
      </c>
      <c r="F141" t="s">
        <v>422</v>
      </c>
    </row>
    <row r="142" spans="2:6" x14ac:dyDescent="0.2">
      <c r="B142" t="s">
        <v>355</v>
      </c>
      <c r="C142" s="11">
        <v>44535</v>
      </c>
      <c r="D142" s="11"/>
      <c r="E142" s="5">
        <v>50</v>
      </c>
    </row>
    <row r="143" spans="2:6" x14ac:dyDescent="0.2">
      <c r="B143" s="12" t="s">
        <v>356</v>
      </c>
      <c r="C143" s="13">
        <v>44532</v>
      </c>
      <c r="D143" s="13"/>
      <c r="E143" s="5">
        <v>50</v>
      </c>
    </row>
    <row r="144" spans="2:6" x14ac:dyDescent="0.2">
      <c r="B144" t="s">
        <v>357</v>
      </c>
      <c r="C144" s="11">
        <v>44531</v>
      </c>
      <c r="D144" s="11"/>
      <c r="E144" s="5">
        <v>500</v>
      </c>
    </row>
    <row r="145" spans="2:5" x14ac:dyDescent="0.2">
      <c r="B145" t="s">
        <v>358</v>
      </c>
      <c r="C145" s="11">
        <v>44531</v>
      </c>
      <c r="D145" s="11"/>
      <c r="E145" s="5">
        <v>29</v>
      </c>
    </row>
    <row r="146" spans="2:5" x14ac:dyDescent="0.2">
      <c r="B146" t="s">
        <v>359</v>
      </c>
      <c r="C146" s="11">
        <v>44530</v>
      </c>
      <c r="D146" s="11"/>
      <c r="E146" s="5">
        <v>75</v>
      </c>
    </row>
    <row r="147" spans="2:5" x14ac:dyDescent="0.2">
      <c r="B147" t="s">
        <v>360</v>
      </c>
      <c r="C147" s="11">
        <v>44529</v>
      </c>
      <c r="D147" s="11"/>
      <c r="E147" s="5">
        <v>300</v>
      </c>
    </row>
    <row r="148" spans="2:5" x14ac:dyDescent="0.2">
      <c r="B148" t="s">
        <v>361</v>
      </c>
      <c r="C148" s="11">
        <v>44522</v>
      </c>
      <c r="D148" s="11"/>
      <c r="E148" s="5">
        <v>300</v>
      </c>
    </row>
    <row r="149" spans="2:5" x14ac:dyDescent="0.2">
      <c r="B149" t="s">
        <v>362</v>
      </c>
      <c r="C149" s="11">
        <v>44511</v>
      </c>
      <c r="D149" s="11"/>
      <c r="E149" s="5" t="s">
        <v>235</v>
      </c>
    </row>
    <row r="150" spans="2:5" x14ac:dyDescent="0.2">
      <c r="B150" t="s">
        <v>363</v>
      </c>
      <c r="C150" s="11">
        <v>44510</v>
      </c>
      <c r="D150" s="11"/>
      <c r="E150" s="5">
        <v>150</v>
      </c>
    </row>
    <row r="151" spans="2:5" x14ac:dyDescent="0.2">
      <c r="B151" t="s">
        <v>364</v>
      </c>
      <c r="C151" s="11">
        <v>44509</v>
      </c>
      <c r="D151" s="11"/>
      <c r="E151" s="5">
        <v>105</v>
      </c>
    </row>
    <row r="152" spans="2:5" x14ac:dyDescent="0.2">
      <c r="B152" t="s">
        <v>365</v>
      </c>
      <c r="C152" s="11">
        <v>44509</v>
      </c>
      <c r="D152" s="11"/>
      <c r="E152" s="5">
        <v>50</v>
      </c>
    </row>
    <row r="153" spans="2:5" x14ac:dyDescent="0.2">
      <c r="B153" t="s">
        <v>366</v>
      </c>
      <c r="C153" s="11">
        <v>44509</v>
      </c>
      <c r="D153" s="11"/>
      <c r="E153" s="5">
        <v>200</v>
      </c>
    </row>
    <row r="154" spans="2:5" x14ac:dyDescent="0.2">
      <c r="B154" t="s">
        <v>367</v>
      </c>
      <c r="C154" s="11">
        <v>44504</v>
      </c>
      <c r="D154" s="11"/>
      <c r="E154" s="5">
        <v>150</v>
      </c>
    </row>
    <row r="155" spans="2:5" x14ac:dyDescent="0.2">
      <c r="B155" t="s">
        <v>267</v>
      </c>
      <c r="C155" s="11">
        <v>44504</v>
      </c>
      <c r="D155" s="11"/>
      <c r="E155" s="5">
        <v>85</v>
      </c>
    </row>
    <row r="156" spans="2:5" x14ac:dyDescent="0.2">
      <c r="B156" t="s">
        <v>368</v>
      </c>
      <c r="C156" s="11">
        <v>44503</v>
      </c>
      <c r="D156" s="11"/>
      <c r="E156" s="5">
        <v>150</v>
      </c>
    </row>
    <row r="157" spans="2:5" x14ac:dyDescent="0.2">
      <c r="B157" t="s">
        <v>369</v>
      </c>
      <c r="C157" s="11">
        <v>44502</v>
      </c>
      <c r="D157" s="11"/>
      <c r="E157" s="5">
        <v>75</v>
      </c>
    </row>
    <row r="158" spans="2:5" x14ac:dyDescent="0.2">
      <c r="B158" s="11" t="s">
        <v>370</v>
      </c>
      <c r="C158" s="11">
        <v>44502</v>
      </c>
      <c r="D158" s="11"/>
      <c r="E158" s="5">
        <v>600</v>
      </c>
    </row>
    <row r="159" spans="2:5" x14ac:dyDescent="0.2">
      <c r="B159" t="s">
        <v>371</v>
      </c>
      <c r="C159" s="11">
        <v>44501</v>
      </c>
      <c r="D159" s="11"/>
      <c r="E159" s="5">
        <v>700</v>
      </c>
    </row>
    <row r="160" spans="2:5" x14ac:dyDescent="0.2">
      <c r="B160" t="s">
        <v>372</v>
      </c>
      <c r="C160" s="11">
        <v>44497</v>
      </c>
      <c r="D160" s="11"/>
      <c r="E160" s="5">
        <v>68</v>
      </c>
    </row>
    <row r="161" spans="2:5" x14ac:dyDescent="0.2">
      <c r="B161" t="s">
        <v>373</v>
      </c>
      <c r="C161" s="11">
        <v>44497</v>
      </c>
      <c r="D161" s="11"/>
      <c r="E161" s="5">
        <v>312</v>
      </c>
    </row>
    <row r="162" spans="2:5" x14ac:dyDescent="0.2">
      <c r="B162" t="s">
        <v>374</v>
      </c>
      <c r="C162" s="11">
        <v>44496</v>
      </c>
      <c r="D162" s="11"/>
      <c r="E162" s="5">
        <v>25</v>
      </c>
    </row>
    <row r="163" spans="2:5" x14ac:dyDescent="0.2">
      <c r="B163" t="s">
        <v>250</v>
      </c>
      <c r="C163" s="11">
        <v>44494</v>
      </c>
      <c r="D163" s="11"/>
      <c r="E163" s="5">
        <v>175</v>
      </c>
    </row>
    <row r="164" spans="2:5" x14ac:dyDescent="0.2">
      <c r="B164" t="s">
        <v>375</v>
      </c>
      <c r="C164" s="11">
        <v>44490</v>
      </c>
      <c r="D164" s="11"/>
      <c r="E164" s="5">
        <v>100</v>
      </c>
    </row>
    <row r="165" spans="2:5" x14ac:dyDescent="0.2">
      <c r="B165" t="s">
        <v>376</v>
      </c>
      <c r="C165" s="11">
        <v>44490</v>
      </c>
      <c r="D165" s="11"/>
      <c r="E165" s="5">
        <v>200</v>
      </c>
    </row>
    <row r="166" spans="2:5" x14ac:dyDescent="0.2">
      <c r="B166" t="s">
        <v>377</v>
      </c>
      <c r="C166" s="11">
        <v>44489</v>
      </c>
      <c r="D166" s="11"/>
      <c r="E166" s="5">
        <v>215</v>
      </c>
    </row>
    <row r="167" spans="2:5" x14ac:dyDescent="0.2">
      <c r="B167" t="s">
        <v>378</v>
      </c>
      <c r="C167" s="11">
        <v>44487</v>
      </c>
      <c r="D167" s="11"/>
      <c r="E167" s="5">
        <v>230</v>
      </c>
    </row>
    <row r="168" spans="2:5" x14ac:dyDescent="0.2">
      <c r="B168" t="s">
        <v>254</v>
      </c>
      <c r="C168" s="11">
        <v>44486</v>
      </c>
      <c r="D168" s="11"/>
      <c r="E168" s="5">
        <v>150</v>
      </c>
    </row>
    <row r="169" spans="2:5" x14ac:dyDescent="0.2">
      <c r="B169" t="s">
        <v>379</v>
      </c>
      <c r="C169" s="11">
        <v>44482</v>
      </c>
      <c r="D169" s="11"/>
      <c r="E169" s="5">
        <v>400</v>
      </c>
    </row>
    <row r="170" spans="2:5" x14ac:dyDescent="0.2">
      <c r="B170" t="s">
        <v>380</v>
      </c>
      <c r="C170" s="11">
        <v>44481</v>
      </c>
      <c r="D170" s="11"/>
      <c r="E170" s="5">
        <v>300</v>
      </c>
    </row>
    <row r="171" spans="2:5" x14ac:dyDescent="0.2">
      <c r="B171" t="s">
        <v>381</v>
      </c>
      <c r="C171" s="11">
        <v>44480</v>
      </c>
      <c r="D171" s="11"/>
      <c r="E171" s="5">
        <v>60</v>
      </c>
    </row>
    <row r="172" spans="2:5" x14ac:dyDescent="0.2">
      <c r="B172" t="s">
        <v>382</v>
      </c>
      <c r="C172" s="11">
        <v>44477</v>
      </c>
      <c r="D172" s="11"/>
      <c r="E172" s="5">
        <v>1200</v>
      </c>
    </row>
    <row r="173" spans="2:5" x14ac:dyDescent="0.2">
      <c r="B173" t="s">
        <v>300</v>
      </c>
      <c r="C173" s="11">
        <v>44476</v>
      </c>
      <c r="D173" s="11"/>
      <c r="E173" s="5">
        <v>50</v>
      </c>
    </row>
    <row r="174" spans="2:5" x14ac:dyDescent="0.2">
      <c r="B174" t="s">
        <v>383</v>
      </c>
      <c r="C174" s="11">
        <v>44476</v>
      </c>
      <c r="D174" s="11"/>
      <c r="E174" s="5">
        <v>400</v>
      </c>
    </row>
    <row r="175" spans="2:5" x14ac:dyDescent="0.2">
      <c r="B175" t="s">
        <v>384</v>
      </c>
      <c r="C175" s="11">
        <v>44475</v>
      </c>
      <c r="D175" s="11"/>
      <c r="E175" s="5">
        <v>219</v>
      </c>
    </row>
    <row r="176" spans="2:5" x14ac:dyDescent="0.2">
      <c r="B176" t="s">
        <v>239</v>
      </c>
      <c r="C176" s="11">
        <v>44475</v>
      </c>
      <c r="D176" s="11"/>
      <c r="E176" s="5">
        <v>130</v>
      </c>
    </row>
    <row r="177" spans="2:5" x14ac:dyDescent="0.2">
      <c r="B177" t="s">
        <v>385</v>
      </c>
      <c r="C177" s="11">
        <v>44470</v>
      </c>
      <c r="D177" s="11"/>
      <c r="E177" s="5">
        <v>75</v>
      </c>
    </row>
    <row r="178" spans="2:5" x14ac:dyDescent="0.2">
      <c r="B178" t="s">
        <v>386</v>
      </c>
      <c r="C178" s="11">
        <v>44469</v>
      </c>
      <c r="D178" s="11"/>
      <c r="E178" s="5">
        <v>570</v>
      </c>
    </row>
    <row r="179" spans="2:5" x14ac:dyDescent="0.2">
      <c r="B179" s="12" t="s">
        <v>387</v>
      </c>
      <c r="C179" s="13">
        <v>44469</v>
      </c>
      <c r="D179" s="13"/>
      <c r="E179" s="16">
        <v>115</v>
      </c>
    </row>
    <row r="180" spans="2:5" x14ac:dyDescent="0.2">
      <c r="B180" t="s">
        <v>344</v>
      </c>
      <c r="C180" s="11">
        <v>44469</v>
      </c>
      <c r="D180" s="11"/>
      <c r="E180" s="5">
        <v>200</v>
      </c>
    </row>
    <row r="181" spans="2:5" x14ac:dyDescent="0.2">
      <c r="B181" t="s">
        <v>388</v>
      </c>
      <c r="C181" s="11">
        <v>44468</v>
      </c>
      <c r="D181" s="11"/>
      <c r="E181" s="5">
        <v>200</v>
      </c>
    </row>
    <row r="182" spans="2:5" x14ac:dyDescent="0.2">
      <c r="B182" t="s">
        <v>389</v>
      </c>
      <c r="C182" s="11">
        <v>44462</v>
      </c>
      <c r="D182" s="11"/>
      <c r="E182" s="5">
        <v>200</v>
      </c>
    </row>
    <row r="183" spans="2:5" x14ac:dyDescent="0.2">
      <c r="B183" t="s">
        <v>390</v>
      </c>
      <c r="C183" s="11">
        <v>44461</v>
      </c>
      <c r="D183" s="11"/>
      <c r="E183" s="5">
        <v>100</v>
      </c>
    </row>
    <row r="184" spans="2:5" x14ac:dyDescent="0.2">
      <c r="B184" t="s">
        <v>391</v>
      </c>
      <c r="C184" s="11">
        <v>44461</v>
      </c>
      <c r="D184" s="11"/>
      <c r="E184" s="5">
        <v>178</v>
      </c>
    </row>
    <row r="185" spans="2:5" x14ac:dyDescent="0.2">
      <c r="B185" t="s">
        <v>392</v>
      </c>
      <c r="C185" s="11">
        <v>44461</v>
      </c>
      <c r="D185" s="11"/>
      <c r="E185" s="5">
        <v>61</v>
      </c>
    </row>
    <row r="186" spans="2:5" x14ac:dyDescent="0.2">
      <c r="B186" t="s">
        <v>393</v>
      </c>
      <c r="C186" s="11">
        <v>44461</v>
      </c>
      <c r="D186" s="11"/>
      <c r="E186" s="5">
        <v>400</v>
      </c>
    </row>
    <row r="187" spans="2:5" x14ac:dyDescent="0.2">
      <c r="B187" t="s">
        <v>328</v>
      </c>
      <c r="C187" s="11">
        <v>44460</v>
      </c>
      <c r="D187" s="11"/>
      <c r="E187" s="5">
        <v>155</v>
      </c>
    </row>
    <row r="188" spans="2:5" x14ac:dyDescent="0.2">
      <c r="B188" t="s">
        <v>345</v>
      </c>
      <c r="C188" s="11">
        <v>44459</v>
      </c>
      <c r="D188" s="11"/>
      <c r="E188" s="5">
        <v>340</v>
      </c>
    </row>
    <row r="189" spans="2:5" x14ac:dyDescent="0.2">
      <c r="B189" t="s">
        <v>394</v>
      </c>
      <c r="C189" s="11">
        <v>44454</v>
      </c>
      <c r="D189" s="11"/>
      <c r="E189" s="5">
        <v>177</v>
      </c>
    </row>
    <row r="190" spans="2:5" x14ac:dyDescent="0.2">
      <c r="B190" t="s">
        <v>395</v>
      </c>
      <c r="C190" s="11">
        <v>44454</v>
      </c>
      <c r="D190" s="11"/>
      <c r="E190" s="5">
        <v>125</v>
      </c>
    </row>
    <row r="191" spans="2:5" x14ac:dyDescent="0.2">
      <c r="B191" t="s">
        <v>396</v>
      </c>
      <c r="C191" s="11">
        <v>44454</v>
      </c>
      <c r="D191" s="11"/>
      <c r="E191" s="5">
        <v>200</v>
      </c>
    </row>
    <row r="192" spans="2:5" x14ac:dyDescent="0.2">
      <c r="B192" t="s">
        <v>397</v>
      </c>
      <c r="C192" s="11">
        <v>44453</v>
      </c>
      <c r="D192" s="11"/>
      <c r="E192" s="5">
        <v>100</v>
      </c>
    </row>
    <row r="193" spans="2:5" x14ac:dyDescent="0.2">
      <c r="B193" t="s">
        <v>398</v>
      </c>
      <c r="C193" s="11">
        <v>44453</v>
      </c>
      <c r="D193" s="11"/>
      <c r="E193" s="5">
        <v>125</v>
      </c>
    </row>
    <row r="194" spans="2:5" x14ac:dyDescent="0.2">
      <c r="B194" t="s">
        <v>399</v>
      </c>
      <c r="C194" s="11">
        <v>44453</v>
      </c>
      <c r="D194" s="11"/>
      <c r="E194" s="5">
        <v>225</v>
      </c>
    </row>
    <row r="195" spans="2:5" x14ac:dyDescent="0.2">
      <c r="B195" t="s">
        <v>400</v>
      </c>
      <c r="C195" s="11">
        <v>44453</v>
      </c>
      <c r="D195" s="11"/>
      <c r="E195" s="5">
        <v>100</v>
      </c>
    </row>
    <row r="196" spans="2:5" x14ac:dyDescent="0.2">
      <c r="B196" t="s">
        <v>401</v>
      </c>
      <c r="C196" s="11">
        <v>44452</v>
      </c>
      <c r="D196" s="11"/>
      <c r="E196" s="5">
        <v>140</v>
      </c>
    </row>
    <row r="197" spans="2:5" x14ac:dyDescent="0.2">
      <c r="B197" t="s">
        <v>402</v>
      </c>
      <c r="C197" s="11">
        <v>44448</v>
      </c>
      <c r="D197" s="11"/>
      <c r="E197" s="5">
        <v>220</v>
      </c>
    </row>
    <row r="198" spans="2:5" x14ac:dyDescent="0.2">
      <c r="B198" t="s">
        <v>403</v>
      </c>
      <c r="C198" s="11">
        <v>44441</v>
      </c>
      <c r="D198" s="11"/>
      <c r="E198" s="5">
        <v>100</v>
      </c>
    </row>
    <row r="199" spans="2:5" x14ac:dyDescent="0.2">
      <c r="B199" t="s">
        <v>404</v>
      </c>
      <c r="C199" s="11">
        <v>44439</v>
      </c>
      <c r="D199" s="11"/>
      <c r="E199" s="5">
        <v>75</v>
      </c>
    </row>
    <row r="200" spans="2:5" x14ac:dyDescent="0.2">
      <c r="B200" t="s">
        <v>405</v>
      </c>
      <c r="C200" s="11">
        <v>44438</v>
      </c>
      <c r="D200" s="11"/>
      <c r="E200" s="5">
        <v>200</v>
      </c>
    </row>
    <row r="201" spans="2:5" x14ac:dyDescent="0.2">
      <c r="B201" t="s">
        <v>406</v>
      </c>
      <c r="C201" s="11">
        <v>44435</v>
      </c>
      <c r="D201" s="11"/>
      <c r="E201" s="5">
        <v>122</v>
      </c>
    </row>
    <row r="202" spans="2:5" x14ac:dyDescent="0.2">
      <c r="B202" t="s">
        <v>407</v>
      </c>
      <c r="C202" s="11">
        <v>44434</v>
      </c>
      <c r="D202" s="11"/>
      <c r="E202" s="5">
        <v>130</v>
      </c>
    </row>
    <row r="203" spans="2:5" x14ac:dyDescent="0.2">
      <c r="B203" t="s">
        <v>408</v>
      </c>
      <c r="C203" s="11">
        <v>44433</v>
      </c>
      <c r="D203" s="11"/>
      <c r="E203" s="5">
        <v>100</v>
      </c>
    </row>
    <row r="204" spans="2:5" x14ac:dyDescent="0.2">
      <c r="B204" t="s">
        <v>409</v>
      </c>
      <c r="C204" s="11">
        <v>44431</v>
      </c>
      <c r="D204" s="11"/>
      <c r="E204" s="5">
        <v>400</v>
      </c>
    </row>
    <row r="205" spans="2:5" x14ac:dyDescent="0.2">
      <c r="B205" t="s">
        <v>410</v>
      </c>
      <c r="C205" s="11">
        <v>44428</v>
      </c>
      <c r="D205" s="11"/>
      <c r="E205" s="5">
        <v>450</v>
      </c>
    </row>
    <row r="206" spans="2:5" x14ac:dyDescent="0.2">
      <c r="B206" t="s">
        <v>360</v>
      </c>
      <c r="C206" s="11">
        <v>44427</v>
      </c>
      <c r="D206" s="11"/>
      <c r="E206" s="5">
        <v>1000</v>
      </c>
    </row>
    <row r="207" spans="2:5" x14ac:dyDescent="0.2">
      <c r="B207" t="s">
        <v>411</v>
      </c>
      <c r="C207" s="11">
        <v>44425</v>
      </c>
      <c r="D207" s="11"/>
      <c r="E207" s="5">
        <v>160</v>
      </c>
    </row>
    <row r="208" spans="2:5" x14ac:dyDescent="0.2">
      <c r="B208" t="s">
        <v>412</v>
      </c>
      <c r="C208" s="11">
        <v>44424</v>
      </c>
      <c r="D208" s="11"/>
      <c r="E208" s="5">
        <v>220</v>
      </c>
    </row>
    <row r="209" spans="2:5" x14ac:dyDescent="0.2">
      <c r="B209" t="s">
        <v>413</v>
      </c>
      <c r="C209" s="11">
        <v>44424</v>
      </c>
      <c r="D209" s="11"/>
      <c r="E209" s="5">
        <v>120</v>
      </c>
    </row>
    <row r="210" spans="2:5" x14ac:dyDescent="0.2">
      <c r="B210" t="s">
        <v>414</v>
      </c>
      <c r="C210" s="11">
        <v>44421</v>
      </c>
      <c r="D210" s="11"/>
      <c r="E210" s="5">
        <v>750</v>
      </c>
    </row>
    <row r="211" spans="2:5" x14ac:dyDescent="0.2">
      <c r="B211" t="s">
        <v>415</v>
      </c>
      <c r="C211" s="11">
        <v>44420</v>
      </c>
      <c r="D211" s="11"/>
      <c r="E211" s="5">
        <v>430</v>
      </c>
    </row>
    <row r="212" spans="2:5" x14ac:dyDescent="0.2">
      <c r="B212" t="s">
        <v>256</v>
      </c>
      <c r="C212" s="11">
        <v>44418</v>
      </c>
      <c r="D212" s="11"/>
      <c r="E212" s="5">
        <v>325</v>
      </c>
    </row>
    <row r="213" spans="2:5" x14ac:dyDescent="0.2">
      <c r="B213" t="s">
        <v>416</v>
      </c>
      <c r="C213" s="11">
        <v>44417</v>
      </c>
      <c r="D213" s="11"/>
      <c r="E213" s="5">
        <v>1500</v>
      </c>
    </row>
    <row r="214" spans="2:5" x14ac:dyDescent="0.2">
      <c r="B214" t="s">
        <v>417</v>
      </c>
      <c r="C214" s="11">
        <v>44413</v>
      </c>
      <c r="D214" s="11"/>
      <c r="E214" s="5">
        <v>100</v>
      </c>
    </row>
    <row r="215" spans="2:5" x14ac:dyDescent="0.2">
      <c r="B215" t="s">
        <v>418</v>
      </c>
      <c r="C215" s="11">
        <v>44412</v>
      </c>
      <c r="D215" s="11"/>
      <c r="E215" s="5">
        <v>200</v>
      </c>
    </row>
    <row r="216" spans="2:5" x14ac:dyDescent="0.2">
      <c r="B216" t="s">
        <v>419</v>
      </c>
      <c r="C216" s="11">
        <v>44409</v>
      </c>
      <c r="D216" s="11"/>
      <c r="E216" s="5">
        <v>440</v>
      </c>
    </row>
    <row r="217" spans="2:5" x14ac:dyDescent="0.2">
      <c r="B217" t="s">
        <v>344</v>
      </c>
      <c r="C217" s="11">
        <v>44408</v>
      </c>
      <c r="D217" s="11"/>
      <c r="E217" s="5">
        <v>160</v>
      </c>
    </row>
    <row r="218" spans="2:5" x14ac:dyDescent="0.2">
      <c r="B218" t="s">
        <v>420</v>
      </c>
      <c r="C218" s="11">
        <v>44407</v>
      </c>
      <c r="D218" s="11"/>
      <c r="E218" s="5">
        <v>1000</v>
      </c>
    </row>
    <row r="219" spans="2:5" x14ac:dyDescent="0.2">
      <c r="B219" t="s">
        <v>421</v>
      </c>
      <c r="C219" s="11">
        <v>44407</v>
      </c>
      <c r="D219" s="11"/>
      <c r="E219" s="5">
        <v>250</v>
      </c>
    </row>
    <row r="220" spans="2:5" x14ac:dyDescent="0.2">
      <c r="B220" t="s">
        <v>423</v>
      </c>
      <c r="C220" s="11">
        <v>44405</v>
      </c>
      <c r="D220" s="11"/>
      <c r="E220" s="5">
        <v>180</v>
      </c>
    </row>
    <row r="221" spans="2:5" x14ac:dyDescent="0.2">
      <c r="B221" t="s">
        <v>424</v>
      </c>
      <c r="C221" s="11">
        <v>44405</v>
      </c>
      <c r="D221" s="11"/>
      <c r="E221" s="5">
        <v>105</v>
      </c>
    </row>
    <row r="222" spans="2:5" x14ac:dyDescent="0.2">
      <c r="B222" t="s">
        <v>425</v>
      </c>
      <c r="C222" s="11">
        <v>44404</v>
      </c>
      <c r="D222" s="11"/>
      <c r="E222" s="5">
        <v>200</v>
      </c>
    </row>
    <row r="223" spans="2:5" x14ac:dyDescent="0.2">
      <c r="B223" t="s">
        <v>426</v>
      </c>
      <c r="C223" s="11">
        <v>44403</v>
      </c>
      <c r="D223" s="11"/>
      <c r="E223" s="5">
        <v>75</v>
      </c>
    </row>
    <row r="224" spans="2:5" x14ac:dyDescent="0.2">
      <c r="B224" t="s">
        <v>427</v>
      </c>
      <c r="C224" s="11">
        <v>44398</v>
      </c>
      <c r="D224" s="11"/>
      <c r="E224" s="5">
        <v>100</v>
      </c>
    </row>
    <row r="225" spans="2:6" x14ac:dyDescent="0.2">
      <c r="B225" t="s">
        <v>428</v>
      </c>
      <c r="C225" s="11">
        <v>44398</v>
      </c>
      <c r="D225" s="11"/>
      <c r="E225" s="5">
        <v>35</v>
      </c>
    </row>
    <row r="226" spans="2:6" x14ac:dyDescent="0.2">
      <c r="B226" s="12" t="s">
        <v>332</v>
      </c>
      <c r="C226" s="13">
        <v>44397</v>
      </c>
      <c r="D226" s="13"/>
      <c r="E226" s="16">
        <v>1000</v>
      </c>
      <c r="F226" s="12" t="s">
        <v>422</v>
      </c>
    </row>
    <row r="227" spans="2:6" x14ac:dyDescent="0.2">
      <c r="B227" t="s">
        <v>273</v>
      </c>
      <c r="C227" s="11">
        <v>44396</v>
      </c>
      <c r="D227" s="11"/>
      <c r="E227" s="5">
        <v>200</v>
      </c>
    </row>
    <row r="228" spans="2:6" x14ac:dyDescent="0.2">
      <c r="B228" t="s">
        <v>343</v>
      </c>
      <c r="C228" s="11">
        <v>44395</v>
      </c>
      <c r="D228" s="11"/>
      <c r="E228" s="5">
        <v>75</v>
      </c>
    </row>
    <row r="229" spans="2:6" x14ac:dyDescent="0.2">
      <c r="B229" t="s">
        <v>429</v>
      </c>
      <c r="C229" s="11">
        <v>44392</v>
      </c>
      <c r="D229" s="11"/>
      <c r="E229" s="5">
        <v>150</v>
      </c>
    </row>
    <row r="230" spans="2:6" x14ac:dyDescent="0.2">
      <c r="B230" t="s">
        <v>430</v>
      </c>
      <c r="C230" s="11">
        <v>44392</v>
      </c>
      <c r="D230" s="11"/>
      <c r="E230" s="5">
        <v>800</v>
      </c>
    </row>
    <row r="231" spans="2:6" x14ac:dyDescent="0.2">
      <c r="B231" t="s">
        <v>431</v>
      </c>
      <c r="C231" s="11">
        <v>44392</v>
      </c>
      <c r="D231" s="11"/>
      <c r="E231" s="5">
        <v>1700</v>
      </c>
    </row>
    <row r="232" spans="2:6" x14ac:dyDescent="0.2">
      <c r="B232" t="s">
        <v>432</v>
      </c>
      <c r="C232" s="11">
        <v>44391</v>
      </c>
      <c r="D232" s="11"/>
      <c r="E232" s="5">
        <v>150</v>
      </c>
    </row>
    <row r="233" spans="2:6" x14ac:dyDescent="0.2">
      <c r="B233" t="s">
        <v>433</v>
      </c>
      <c r="C233" s="11">
        <v>44391</v>
      </c>
      <c r="D233" s="11"/>
      <c r="E233" s="5">
        <v>275</v>
      </c>
    </row>
    <row r="234" spans="2:6" x14ac:dyDescent="0.2">
      <c r="B234" t="s">
        <v>434</v>
      </c>
      <c r="C234" s="11">
        <v>44390</v>
      </c>
      <c r="D234" s="11"/>
      <c r="E234" s="5">
        <v>100</v>
      </c>
    </row>
    <row r="235" spans="2:6" x14ac:dyDescent="0.2">
      <c r="B235" t="s">
        <v>435</v>
      </c>
      <c r="C235" s="11">
        <v>44389</v>
      </c>
      <c r="D235" s="11"/>
      <c r="E235" s="5">
        <v>3600</v>
      </c>
    </row>
    <row r="236" spans="2:6" x14ac:dyDescent="0.2">
      <c r="B236" t="s">
        <v>436</v>
      </c>
      <c r="C236" s="11">
        <v>44389</v>
      </c>
      <c r="D236" s="11"/>
      <c r="E236" s="5">
        <v>450</v>
      </c>
    </row>
    <row r="237" spans="2:6" x14ac:dyDescent="0.2">
      <c r="B237" t="s">
        <v>437</v>
      </c>
      <c r="C237" s="11">
        <v>44385</v>
      </c>
      <c r="D237" s="11"/>
      <c r="E237" s="5">
        <v>215</v>
      </c>
    </row>
    <row r="238" spans="2:6" x14ac:dyDescent="0.2">
      <c r="B238" t="s">
        <v>438</v>
      </c>
      <c r="C238" s="11">
        <v>44384</v>
      </c>
      <c r="D238" s="11"/>
      <c r="E238" s="5">
        <v>75</v>
      </c>
    </row>
    <row r="239" spans="2:6" x14ac:dyDescent="0.2">
      <c r="B239" t="s">
        <v>439</v>
      </c>
      <c r="C239" s="11">
        <v>44384</v>
      </c>
      <c r="D239" s="11"/>
      <c r="E239" s="5">
        <v>100</v>
      </c>
    </row>
    <row r="240" spans="2:6" x14ac:dyDescent="0.2">
      <c r="B240" t="s">
        <v>440</v>
      </c>
      <c r="C240" s="11">
        <v>44384</v>
      </c>
      <c r="D240" s="11"/>
      <c r="E240" s="5">
        <v>235</v>
      </c>
    </row>
    <row r="241" spans="2:5" x14ac:dyDescent="0.2">
      <c r="B241" t="s">
        <v>441</v>
      </c>
      <c r="C241" s="11">
        <v>44382</v>
      </c>
      <c r="D241" s="11"/>
      <c r="E241" s="5">
        <v>115</v>
      </c>
    </row>
    <row r="242" spans="2:5" x14ac:dyDescent="0.2">
      <c r="B242" t="s">
        <v>277</v>
      </c>
      <c r="C242" s="11">
        <v>44378</v>
      </c>
      <c r="D242" s="11"/>
      <c r="E242" s="5">
        <v>415</v>
      </c>
    </row>
    <row r="243" spans="2:5" x14ac:dyDescent="0.2">
      <c r="B243" t="s">
        <v>442</v>
      </c>
      <c r="C243" s="11">
        <v>44377</v>
      </c>
      <c r="D243" s="11"/>
      <c r="E243" s="5">
        <v>40</v>
      </c>
    </row>
    <row r="244" spans="2:5" x14ac:dyDescent="0.2">
      <c r="B244" t="s">
        <v>443</v>
      </c>
      <c r="C244" s="11">
        <v>44376</v>
      </c>
      <c r="D244" s="11"/>
      <c r="E244" s="5">
        <v>220</v>
      </c>
    </row>
    <row r="245" spans="2:5" x14ac:dyDescent="0.2">
      <c r="B245" t="s">
        <v>241</v>
      </c>
      <c r="C245" s="11">
        <v>44375</v>
      </c>
      <c r="D245" s="11"/>
      <c r="E245" s="5">
        <v>450</v>
      </c>
    </row>
    <row r="246" spans="2:5" x14ac:dyDescent="0.2">
      <c r="B246" t="s">
        <v>243</v>
      </c>
      <c r="C246" s="11">
        <v>44369</v>
      </c>
      <c r="D246" s="11"/>
      <c r="E246" s="5">
        <v>210</v>
      </c>
    </row>
    <row r="247" spans="2:5" x14ac:dyDescent="0.2">
      <c r="B247" t="s">
        <v>298</v>
      </c>
      <c r="C247" s="11">
        <v>44368</v>
      </c>
      <c r="D247" s="11"/>
      <c r="E247" s="5">
        <v>210</v>
      </c>
    </row>
    <row r="248" spans="2:5" x14ac:dyDescent="0.2">
      <c r="B248" s="12" t="s">
        <v>444</v>
      </c>
      <c r="C248" s="13">
        <v>44363</v>
      </c>
      <c r="D248" s="13"/>
      <c r="E248" s="16">
        <v>140</v>
      </c>
    </row>
    <row r="249" spans="2:5" x14ac:dyDescent="0.2">
      <c r="B249" t="s">
        <v>445</v>
      </c>
      <c r="C249" s="11">
        <v>44362</v>
      </c>
      <c r="D249" s="11"/>
      <c r="E249" s="5">
        <v>360</v>
      </c>
    </row>
    <row r="250" spans="2:5" x14ac:dyDescent="0.2">
      <c r="B250" t="s">
        <v>446</v>
      </c>
      <c r="C250" s="11">
        <v>44362</v>
      </c>
      <c r="D250" s="11"/>
      <c r="E250" s="5">
        <v>210</v>
      </c>
    </row>
    <row r="251" spans="2:5" x14ac:dyDescent="0.2">
      <c r="B251" t="s">
        <v>447</v>
      </c>
      <c r="C251" s="11">
        <v>44362</v>
      </c>
      <c r="D251" s="11"/>
      <c r="E251" s="5">
        <v>170</v>
      </c>
    </row>
    <row r="252" spans="2:5" x14ac:dyDescent="0.2">
      <c r="B252" t="s">
        <v>448</v>
      </c>
      <c r="C252" s="11">
        <v>44357</v>
      </c>
      <c r="D252" s="11"/>
      <c r="E252" s="5">
        <v>300</v>
      </c>
    </row>
    <row r="253" spans="2:5" x14ac:dyDescent="0.2">
      <c r="B253" s="12" t="s">
        <v>449</v>
      </c>
      <c r="C253" s="13">
        <v>44357</v>
      </c>
      <c r="D253" s="13"/>
      <c r="E253" s="16">
        <v>220</v>
      </c>
    </row>
    <row r="254" spans="2:5" x14ac:dyDescent="0.2">
      <c r="B254" t="s">
        <v>450</v>
      </c>
      <c r="C254" s="11">
        <v>44357</v>
      </c>
      <c r="D254" s="11"/>
      <c r="E254" s="5">
        <v>639</v>
      </c>
    </row>
    <row r="255" spans="2:5" x14ac:dyDescent="0.2">
      <c r="B255" t="s">
        <v>451</v>
      </c>
      <c r="C255" s="11">
        <v>44355</v>
      </c>
      <c r="D255" s="11"/>
      <c r="E255" s="5">
        <v>90</v>
      </c>
    </row>
    <row r="256" spans="2:5" x14ac:dyDescent="0.2">
      <c r="B256" t="s">
        <v>452</v>
      </c>
      <c r="C256" s="11">
        <v>44354</v>
      </c>
      <c r="D256" s="11"/>
      <c r="E256" s="5">
        <v>400</v>
      </c>
    </row>
    <row r="257" spans="2:5" x14ac:dyDescent="0.2">
      <c r="B257" t="s">
        <v>453</v>
      </c>
      <c r="C257" s="11">
        <v>44351</v>
      </c>
      <c r="D257" s="11"/>
      <c r="E257" s="5" t="s">
        <v>235</v>
      </c>
    </row>
    <row r="258" spans="2:5" x14ac:dyDescent="0.2">
      <c r="B258" t="s">
        <v>454</v>
      </c>
      <c r="C258" s="11">
        <v>44351</v>
      </c>
      <c r="D258" s="11"/>
      <c r="E258" s="5">
        <v>350</v>
      </c>
    </row>
    <row r="259" spans="2:5" x14ac:dyDescent="0.2">
      <c r="B259" t="s">
        <v>455</v>
      </c>
      <c r="C259" s="11">
        <v>44342</v>
      </c>
      <c r="D259" s="11"/>
      <c r="E259" s="5">
        <v>775</v>
      </c>
    </row>
    <row r="260" spans="2:5" x14ac:dyDescent="0.2">
      <c r="B260" t="s">
        <v>262</v>
      </c>
      <c r="C260" s="11">
        <v>44341</v>
      </c>
      <c r="D260" s="11"/>
      <c r="E260" s="5">
        <v>500</v>
      </c>
    </row>
    <row r="261" spans="2:5" x14ac:dyDescent="0.2">
      <c r="B261" t="s">
        <v>456</v>
      </c>
      <c r="C261" s="11">
        <v>44340</v>
      </c>
      <c r="D261" s="11"/>
      <c r="E261" s="5">
        <v>250</v>
      </c>
    </row>
    <row r="262" spans="2:5" x14ac:dyDescent="0.2">
      <c r="B262" t="s">
        <v>457</v>
      </c>
      <c r="C262" s="11">
        <v>44340</v>
      </c>
      <c r="D262" s="11"/>
      <c r="E262" s="5">
        <v>175</v>
      </c>
    </row>
    <row r="263" spans="2:5" x14ac:dyDescent="0.2">
      <c r="B263" t="s">
        <v>458</v>
      </c>
      <c r="C263" s="11">
        <v>44335</v>
      </c>
      <c r="D263" s="11"/>
      <c r="E263" s="5">
        <v>150</v>
      </c>
    </row>
    <row r="264" spans="2:5" x14ac:dyDescent="0.2">
      <c r="B264" t="s">
        <v>459</v>
      </c>
      <c r="C264" s="11">
        <v>44334</v>
      </c>
      <c r="D264" s="11"/>
      <c r="E264" s="5">
        <v>260</v>
      </c>
    </row>
    <row r="265" spans="2:5" x14ac:dyDescent="0.2">
      <c r="B265" t="s">
        <v>460</v>
      </c>
      <c r="C265" s="11">
        <v>44328</v>
      </c>
      <c r="D265" s="11"/>
      <c r="E265" s="5">
        <v>330</v>
      </c>
    </row>
    <row r="266" spans="2:5" x14ac:dyDescent="0.2">
      <c r="B266" t="s">
        <v>461</v>
      </c>
      <c r="C266" s="11">
        <v>44328</v>
      </c>
      <c r="D266" s="11"/>
      <c r="E266" s="5" t="s">
        <v>235</v>
      </c>
    </row>
    <row r="267" spans="2:5" x14ac:dyDescent="0.2">
      <c r="B267" t="s">
        <v>462</v>
      </c>
      <c r="C267" s="11">
        <v>44327</v>
      </c>
      <c r="D267" s="11"/>
      <c r="E267" s="5">
        <v>260</v>
      </c>
    </row>
    <row r="268" spans="2:5" x14ac:dyDescent="0.2">
      <c r="B268" t="s">
        <v>463</v>
      </c>
      <c r="C268" s="11">
        <v>44327</v>
      </c>
      <c r="D268" s="11"/>
      <c r="E268" s="5">
        <v>70</v>
      </c>
    </row>
    <row r="269" spans="2:5" x14ac:dyDescent="0.2">
      <c r="B269" t="s">
        <v>464</v>
      </c>
      <c r="C269" s="11">
        <v>44327</v>
      </c>
      <c r="D269" s="11"/>
      <c r="E269" s="5">
        <v>1000</v>
      </c>
    </row>
    <row r="270" spans="2:5" x14ac:dyDescent="0.2">
      <c r="B270" t="s">
        <v>465</v>
      </c>
      <c r="C270" s="11">
        <v>44320</v>
      </c>
      <c r="D270" s="11"/>
      <c r="E270" s="5">
        <v>75</v>
      </c>
    </row>
    <row r="271" spans="2:5" x14ac:dyDescent="0.2">
      <c r="B271" t="s">
        <v>466</v>
      </c>
      <c r="C271" s="11">
        <v>44320</v>
      </c>
      <c r="D271" s="11"/>
      <c r="E271" s="5">
        <v>280</v>
      </c>
    </row>
    <row r="272" spans="2:5" x14ac:dyDescent="0.2">
      <c r="B272" t="s">
        <v>467</v>
      </c>
      <c r="C272" s="11">
        <v>44306</v>
      </c>
      <c r="D272" s="11"/>
      <c r="E272" s="5">
        <v>225</v>
      </c>
    </row>
    <row r="273" spans="2:5" x14ac:dyDescent="0.2">
      <c r="B273" t="s">
        <v>468</v>
      </c>
      <c r="C273" s="11">
        <v>44302</v>
      </c>
      <c r="D273" s="11"/>
      <c r="E273" s="5">
        <v>80</v>
      </c>
    </row>
    <row r="274" spans="2:5" x14ac:dyDescent="0.2">
      <c r="B274" t="s">
        <v>469</v>
      </c>
      <c r="C274" s="11">
        <v>44299</v>
      </c>
      <c r="D274" s="11"/>
      <c r="E274" s="5">
        <v>189</v>
      </c>
    </row>
    <row r="275" spans="2:5" x14ac:dyDescent="0.2">
      <c r="B275" t="s">
        <v>470</v>
      </c>
      <c r="C275" s="11">
        <v>44299</v>
      </c>
      <c r="D275" s="11"/>
      <c r="E275" s="5">
        <v>220</v>
      </c>
    </row>
    <row r="276" spans="2:5" x14ac:dyDescent="0.2">
      <c r="B276" s="12" t="s">
        <v>471</v>
      </c>
      <c r="C276" s="13">
        <v>44299</v>
      </c>
      <c r="D276" s="13"/>
      <c r="E276" s="16">
        <v>676</v>
      </c>
    </row>
    <row r="277" spans="2:5" x14ac:dyDescent="0.2">
      <c r="B277" t="s">
        <v>472</v>
      </c>
      <c r="C277" s="11">
        <v>44296</v>
      </c>
      <c r="D277" s="11"/>
      <c r="E277" s="5">
        <v>30</v>
      </c>
    </row>
    <row r="278" spans="2:5" x14ac:dyDescent="0.2">
      <c r="B278" t="s">
        <v>473</v>
      </c>
      <c r="C278" s="11">
        <v>44294</v>
      </c>
      <c r="D278" s="11"/>
      <c r="E278" s="5">
        <v>500</v>
      </c>
    </row>
    <row r="279" spans="2:5" x14ac:dyDescent="0.2">
      <c r="B279" t="s">
        <v>474</v>
      </c>
      <c r="C279" s="11">
        <v>44294</v>
      </c>
      <c r="D279" s="11"/>
      <c r="E279" s="5">
        <v>160</v>
      </c>
    </row>
    <row r="280" spans="2:5" x14ac:dyDescent="0.2">
      <c r="B280" t="s">
        <v>475</v>
      </c>
      <c r="C280" s="11">
        <v>44294</v>
      </c>
      <c r="D280" s="11"/>
      <c r="E280" s="5">
        <v>223</v>
      </c>
    </row>
    <row r="281" spans="2:5" x14ac:dyDescent="0.2">
      <c r="B281" t="s">
        <v>476</v>
      </c>
      <c r="C281" s="11">
        <v>44293</v>
      </c>
      <c r="D281" s="11"/>
      <c r="E281" s="5">
        <v>640</v>
      </c>
    </row>
    <row r="282" spans="2:5" x14ac:dyDescent="0.2">
      <c r="B282" t="s">
        <v>477</v>
      </c>
      <c r="C282" s="11">
        <v>44293</v>
      </c>
      <c r="D282" s="11"/>
      <c r="E282" s="5">
        <v>110</v>
      </c>
    </row>
    <row r="283" spans="2:5" x14ac:dyDescent="0.2">
      <c r="B283" t="s">
        <v>478</v>
      </c>
      <c r="C283" s="11">
        <v>44293</v>
      </c>
      <c r="D283" s="11"/>
      <c r="E283" s="5">
        <v>150</v>
      </c>
    </row>
    <row r="284" spans="2:5" x14ac:dyDescent="0.2">
      <c r="B284" s="11" t="s">
        <v>479</v>
      </c>
      <c r="C284" s="11">
        <v>44292</v>
      </c>
      <c r="D284" s="11"/>
      <c r="E284" s="5">
        <v>210</v>
      </c>
    </row>
    <row r="285" spans="2:5" x14ac:dyDescent="0.2">
      <c r="B285" t="s">
        <v>480</v>
      </c>
      <c r="C285" s="11">
        <v>44292</v>
      </c>
      <c r="D285" s="11"/>
      <c r="E285" s="5">
        <v>100</v>
      </c>
    </row>
    <row r="286" spans="2:5" x14ac:dyDescent="0.2">
      <c r="B286" t="s">
        <v>386</v>
      </c>
      <c r="C286" s="11">
        <v>44291</v>
      </c>
      <c r="D286" s="11"/>
      <c r="E286" s="5">
        <v>300</v>
      </c>
    </row>
    <row r="287" spans="2:5" x14ac:dyDescent="0.2">
      <c r="B287" t="s">
        <v>481</v>
      </c>
      <c r="C287" s="11">
        <v>44286</v>
      </c>
      <c r="D287" s="11"/>
      <c r="E287" s="5">
        <v>110</v>
      </c>
    </row>
    <row r="288" spans="2:5" x14ac:dyDescent="0.2">
      <c r="B288" t="s">
        <v>288</v>
      </c>
      <c r="C288" s="11">
        <v>44286</v>
      </c>
      <c r="D288" s="11"/>
      <c r="E288" s="5">
        <v>210</v>
      </c>
    </row>
    <row r="289" spans="2:5" x14ac:dyDescent="0.2">
      <c r="B289" t="s">
        <v>482</v>
      </c>
      <c r="C289" s="11">
        <v>44285</v>
      </c>
      <c r="D289" s="11"/>
      <c r="E289" s="5">
        <v>100</v>
      </c>
    </row>
    <row r="290" spans="2:5" x14ac:dyDescent="0.2">
      <c r="B290" t="s">
        <v>420</v>
      </c>
      <c r="C290" s="11">
        <v>44278</v>
      </c>
      <c r="D290" s="11"/>
      <c r="E290" s="5">
        <v>1200</v>
      </c>
    </row>
    <row r="291" spans="2:5" x14ac:dyDescent="0.2">
      <c r="B291" t="s">
        <v>483</v>
      </c>
      <c r="C291" s="11">
        <v>44271</v>
      </c>
      <c r="D291" s="11"/>
      <c r="E291" s="5">
        <v>300</v>
      </c>
    </row>
    <row r="292" spans="2:5" x14ac:dyDescent="0.2">
      <c r="B292" t="s">
        <v>484</v>
      </c>
      <c r="C292" s="11">
        <v>44270</v>
      </c>
      <c r="D292" s="11"/>
      <c r="E292" s="5">
        <v>400</v>
      </c>
    </row>
    <row r="293" spans="2:5" x14ac:dyDescent="0.2">
      <c r="B293" t="s">
        <v>249</v>
      </c>
      <c r="C293" s="11">
        <v>44270</v>
      </c>
      <c r="D293" s="11"/>
      <c r="E293" s="5">
        <v>525</v>
      </c>
    </row>
    <row r="294" spans="2:5" x14ac:dyDescent="0.2">
      <c r="B294" t="s">
        <v>485</v>
      </c>
      <c r="C294" s="11">
        <v>44267</v>
      </c>
      <c r="D294" s="11"/>
      <c r="E294" s="5">
        <v>204</v>
      </c>
    </row>
    <row r="295" spans="2:5" x14ac:dyDescent="0.2">
      <c r="B295" t="s">
        <v>486</v>
      </c>
      <c r="C295" s="11">
        <v>44266</v>
      </c>
      <c r="D295" s="11"/>
      <c r="E295" s="5">
        <v>225</v>
      </c>
    </row>
    <row r="296" spans="2:5" x14ac:dyDescent="0.2">
      <c r="B296" t="s">
        <v>485</v>
      </c>
      <c r="C296" s="11">
        <v>44266</v>
      </c>
      <c r="D296" s="11"/>
      <c r="E296" s="5">
        <v>200</v>
      </c>
    </row>
    <row r="297" spans="2:5" x14ac:dyDescent="0.2">
      <c r="B297" t="s">
        <v>357</v>
      </c>
      <c r="C297" s="11">
        <v>44264</v>
      </c>
      <c r="D297" s="11"/>
      <c r="E297" s="5">
        <v>110</v>
      </c>
    </row>
    <row r="298" spans="2:5" x14ac:dyDescent="0.2">
      <c r="B298" t="s">
        <v>487</v>
      </c>
      <c r="C298" s="11">
        <v>44251</v>
      </c>
      <c r="D298" s="11"/>
      <c r="E298" s="5">
        <v>135</v>
      </c>
    </row>
    <row r="299" spans="2:5" x14ac:dyDescent="0.2">
      <c r="B299" t="s">
        <v>488</v>
      </c>
      <c r="C299" s="11">
        <v>44244</v>
      </c>
      <c r="D299" s="11"/>
      <c r="E299" s="5">
        <v>150</v>
      </c>
    </row>
    <row r="300" spans="2:5" x14ac:dyDescent="0.2">
      <c r="B300" t="s">
        <v>489</v>
      </c>
      <c r="C300" s="11">
        <v>44222</v>
      </c>
      <c r="D300" s="11"/>
      <c r="E300" s="5">
        <v>200</v>
      </c>
    </row>
    <row r="301" spans="2:5" x14ac:dyDescent="0.2">
      <c r="B301" t="s">
        <v>490</v>
      </c>
      <c r="C301" s="11">
        <v>44217</v>
      </c>
      <c r="D301" s="11"/>
      <c r="E301" s="5">
        <v>140</v>
      </c>
    </row>
    <row r="302" spans="2:5" x14ac:dyDescent="0.2">
      <c r="B302" t="s">
        <v>283</v>
      </c>
      <c r="C302" s="11">
        <v>44208</v>
      </c>
      <c r="D302" s="11"/>
      <c r="E302" s="5">
        <v>230</v>
      </c>
    </row>
    <row r="303" spans="2:5" x14ac:dyDescent="0.2">
      <c r="B303" t="s">
        <v>491</v>
      </c>
      <c r="C303" s="11">
        <v>44206</v>
      </c>
      <c r="D303" s="11"/>
      <c r="E303" s="5">
        <v>360</v>
      </c>
    </row>
    <row r="304" spans="2:5" x14ac:dyDescent="0.2">
      <c r="B304" t="s">
        <v>492</v>
      </c>
      <c r="C304" s="11">
        <v>44193</v>
      </c>
      <c r="D304" s="11"/>
      <c r="E304" s="5">
        <v>1600</v>
      </c>
    </row>
    <row r="305" spans="2:6" x14ac:dyDescent="0.2">
      <c r="B305" t="s">
        <v>334</v>
      </c>
      <c r="C305" s="11">
        <v>44183</v>
      </c>
      <c r="D305" s="11"/>
      <c r="E305" s="5">
        <v>225</v>
      </c>
    </row>
    <row r="306" spans="2:6" x14ac:dyDescent="0.2">
      <c r="B306" s="12" t="s">
        <v>354</v>
      </c>
      <c r="C306" s="13">
        <v>44173</v>
      </c>
      <c r="D306" s="13"/>
      <c r="E306" s="16">
        <v>80</v>
      </c>
      <c r="F306" s="12" t="s">
        <v>422</v>
      </c>
    </row>
    <row r="307" spans="2:6" x14ac:dyDescent="0.2">
      <c r="B307" t="s">
        <v>377</v>
      </c>
      <c r="C307" s="11">
        <v>44166</v>
      </c>
      <c r="D307" s="11"/>
      <c r="E307" s="5">
        <v>114</v>
      </c>
    </row>
    <row r="308" spans="2:6" x14ac:dyDescent="0.2">
      <c r="B308" t="s">
        <v>493</v>
      </c>
      <c r="C308" s="11">
        <v>44159</v>
      </c>
      <c r="D308" s="11"/>
      <c r="E308" s="5">
        <v>1700</v>
      </c>
    </row>
    <row r="309" spans="2:6" x14ac:dyDescent="0.2">
      <c r="B309" t="s">
        <v>417</v>
      </c>
      <c r="C309" s="11">
        <v>44161</v>
      </c>
      <c r="D309" s="11"/>
      <c r="E309" s="5">
        <v>100</v>
      </c>
    </row>
    <row r="310" spans="2:6" x14ac:dyDescent="0.2">
      <c r="B310" t="s">
        <v>494</v>
      </c>
      <c r="C310" s="11">
        <v>44151</v>
      </c>
      <c r="D310" s="11"/>
      <c r="E310" s="5">
        <v>171.42857142857142</v>
      </c>
    </row>
    <row r="311" spans="2:6" x14ac:dyDescent="0.2">
      <c r="B311" t="s">
        <v>495</v>
      </c>
      <c r="C311" s="11">
        <v>44148</v>
      </c>
      <c r="D311" s="11"/>
      <c r="E311" s="5">
        <v>55</v>
      </c>
    </row>
    <row r="312" spans="2:6" x14ac:dyDescent="0.2">
      <c r="B312" t="s">
        <v>250</v>
      </c>
      <c r="C312" s="11">
        <v>44145</v>
      </c>
      <c r="D312" s="11"/>
      <c r="E312" s="5">
        <v>250</v>
      </c>
    </row>
    <row r="313" spans="2:6" x14ac:dyDescent="0.2">
      <c r="B313" t="s">
        <v>370</v>
      </c>
      <c r="C313" s="11">
        <v>44144</v>
      </c>
      <c r="D313" s="11"/>
      <c r="E313" s="5">
        <v>500</v>
      </c>
    </row>
    <row r="314" spans="2:6" x14ac:dyDescent="0.2">
      <c r="B314" t="s">
        <v>496</v>
      </c>
      <c r="C314" s="11">
        <v>44141</v>
      </c>
      <c r="D314" s="11"/>
      <c r="E314" s="5">
        <v>180</v>
      </c>
    </row>
    <row r="315" spans="2:6" x14ac:dyDescent="0.2">
      <c r="B315" t="s">
        <v>497</v>
      </c>
      <c r="C315" s="11">
        <v>44133</v>
      </c>
      <c r="D315" s="11"/>
      <c r="E315" s="5">
        <v>120</v>
      </c>
    </row>
    <row r="316" spans="2:6" x14ac:dyDescent="0.2">
      <c r="B316" t="s">
        <v>405</v>
      </c>
      <c r="C316" s="11">
        <v>44132</v>
      </c>
      <c r="D316" s="11"/>
      <c r="E316" s="5">
        <v>100</v>
      </c>
    </row>
    <row r="317" spans="2:6" x14ac:dyDescent="0.2">
      <c r="B317" t="s">
        <v>498</v>
      </c>
      <c r="C317" s="11">
        <v>44131</v>
      </c>
      <c r="D317" s="11"/>
      <c r="E317" s="5">
        <v>120</v>
      </c>
    </row>
    <row r="318" spans="2:6" x14ac:dyDescent="0.2">
      <c r="B318" t="s">
        <v>499</v>
      </c>
      <c r="C318" s="11">
        <v>44118</v>
      </c>
      <c r="D318" s="11"/>
      <c r="E318" s="5">
        <v>140</v>
      </c>
    </row>
    <row r="319" spans="2:6" x14ac:dyDescent="0.2">
      <c r="B319" t="s">
        <v>333</v>
      </c>
      <c r="C319" s="11">
        <v>44118</v>
      </c>
      <c r="D319" s="11"/>
      <c r="E319" s="5">
        <v>140</v>
      </c>
    </row>
    <row r="320" spans="2:6" x14ac:dyDescent="0.2">
      <c r="B320" t="s">
        <v>420</v>
      </c>
      <c r="C320" s="11">
        <v>44112</v>
      </c>
      <c r="D320" s="11"/>
      <c r="E320" s="5">
        <v>378</v>
      </c>
    </row>
    <row r="321" spans="2:5" x14ac:dyDescent="0.2">
      <c r="B321" s="11" t="s">
        <v>500</v>
      </c>
      <c r="C321" s="11">
        <v>44105</v>
      </c>
      <c r="D321" s="11"/>
      <c r="E321" s="5">
        <v>400</v>
      </c>
    </row>
    <row r="322" spans="2:5" x14ac:dyDescent="0.2">
      <c r="B322" t="s">
        <v>501</v>
      </c>
      <c r="C322" s="11">
        <v>44102</v>
      </c>
      <c r="D322" s="11"/>
      <c r="E322" s="5">
        <v>68</v>
      </c>
    </row>
    <row r="323" spans="2:5" x14ac:dyDescent="0.2">
      <c r="B323" t="s">
        <v>502</v>
      </c>
      <c r="C323" s="11">
        <v>44102</v>
      </c>
      <c r="D323" s="11"/>
      <c r="E323" s="5">
        <v>319</v>
      </c>
    </row>
    <row r="324" spans="2:5" x14ac:dyDescent="0.2">
      <c r="B324" t="s">
        <v>503</v>
      </c>
      <c r="C324" s="11">
        <v>44082</v>
      </c>
      <c r="D324" s="11"/>
      <c r="E324" s="5">
        <v>300</v>
      </c>
    </row>
    <row r="325" spans="2:5" x14ac:dyDescent="0.2">
      <c r="B325" t="s">
        <v>504</v>
      </c>
      <c r="C325" s="11">
        <v>44077</v>
      </c>
      <c r="D325" s="11"/>
      <c r="E325" s="5">
        <v>100</v>
      </c>
    </row>
    <row r="326" spans="2:5" x14ac:dyDescent="0.2">
      <c r="B326" t="s">
        <v>419</v>
      </c>
      <c r="C326" s="11">
        <v>44076</v>
      </c>
      <c r="D326" s="11"/>
      <c r="E326" s="5">
        <v>150</v>
      </c>
    </row>
    <row r="327" spans="2:5" x14ac:dyDescent="0.2">
      <c r="B327" t="s">
        <v>505</v>
      </c>
      <c r="C327" s="11">
        <v>44042</v>
      </c>
      <c r="D327" s="11"/>
      <c r="E327" s="5">
        <v>260</v>
      </c>
    </row>
    <row r="328" spans="2:5" x14ac:dyDescent="0.2">
      <c r="B328" t="s">
        <v>506</v>
      </c>
      <c r="C328" s="11">
        <v>44034</v>
      </c>
      <c r="D328" s="11"/>
      <c r="E328" s="5">
        <v>135</v>
      </c>
    </row>
    <row r="329" spans="2:5" x14ac:dyDescent="0.2">
      <c r="B329" t="s">
        <v>507</v>
      </c>
      <c r="C329" s="11">
        <v>44019</v>
      </c>
      <c r="D329" s="11"/>
      <c r="E329" s="5">
        <f>50+80</f>
        <v>130</v>
      </c>
    </row>
    <row r="330" spans="2:5" x14ac:dyDescent="0.2">
      <c r="B330" t="s">
        <v>492</v>
      </c>
      <c r="C330" s="11">
        <v>44011</v>
      </c>
      <c r="D330" s="11"/>
      <c r="E330" s="5">
        <v>750</v>
      </c>
    </row>
    <row r="331" spans="2:5" x14ac:dyDescent="0.2">
      <c r="B331" t="s">
        <v>508</v>
      </c>
      <c r="C331" s="11">
        <v>43980</v>
      </c>
      <c r="D331" s="11"/>
      <c r="E331" s="5">
        <v>500</v>
      </c>
    </row>
    <row r="332" spans="2:5" x14ac:dyDescent="0.2">
      <c r="B332" t="s">
        <v>448</v>
      </c>
      <c r="C332" s="11">
        <v>43957</v>
      </c>
      <c r="D332" s="11"/>
      <c r="E332" s="5">
        <v>200</v>
      </c>
    </row>
    <row r="333" spans="2:5" x14ac:dyDescent="0.2">
      <c r="B333" t="s">
        <v>509</v>
      </c>
      <c r="C333" s="11">
        <v>43948</v>
      </c>
      <c r="D333" s="11"/>
      <c r="E333" s="5">
        <v>36</v>
      </c>
    </row>
    <row r="334" spans="2:5" x14ac:dyDescent="0.2">
      <c r="B334" t="s">
        <v>510</v>
      </c>
      <c r="C334" s="11">
        <v>43930</v>
      </c>
      <c r="D334" s="11"/>
      <c r="E334" s="5">
        <v>250</v>
      </c>
    </row>
    <row r="335" spans="2:5" x14ac:dyDescent="0.2">
      <c r="B335" t="s">
        <v>511</v>
      </c>
      <c r="C335" s="11">
        <v>43895</v>
      </c>
      <c r="D335" s="11"/>
      <c r="E335" s="5">
        <v>2400</v>
      </c>
    </row>
    <row r="336" spans="2:5" x14ac:dyDescent="0.2">
      <c r="B336" t="s">
        <v>512</v>
      </c>
      <c r="C336" s="11">
        <v>43895</v>
      </c>
      <c r="D336" s="11"/>
      <c r="E336" s="5">
        <f>500+500</f>
        <v>1000</v>
      </c>
    </row>
    <row r="337" spans="2:5" x14ac:dyDescent="0.2">
      <c r="B337" t="s">
        <v>513</v>
      </c>
      <c r="C337" s="11">
        <v>43885</v>
      </c>
      <c r="D337" s="11"/>
      <c r="E337" s="5">
        <v>100</v>
      </c>
    </row>
    <row r="338" spans="2:5" x14ac:dyDescent="0.2">
      <c r="B338" t="s">
        <v>514</v>
      </c>
      <c r="C338" s="11">
        <v>43885</v>
      </c>
      <c r="D338" s="11"/>
      <c r="E338" s="5">
        <v>165</v>
      </c>
    </row>
    <row r="339" spans="2:5" x14ac:dyDescent="0.2">
      <c r="B339" t="s">
        <v>515</v>
      </c>
      <c r="C339" s="11">
        <v>43868</v>
      </c>
      <c r="D339" s="11"/>
      <c r="E339" s="5">
        <v>150</v>
      </c>
    </row>
    <row r="340" spans="2:5" x14ac:dyDescent="0.2">
      <c r="B340" t="s">
        <v>327</v>
      </c>
      <c r="C340" s="11">
        <v>43860</v>
      </c>
      <c r="D340" s="11"/>
      <c r="E340" s="5">
        <v>250</v>
      </c>
    </row>
    <row r="341" spans="2:5" x14ac:dyDescent="0.2">
      <c r="B341" t="s">
        <v>282</v>
      </c>
      <c r="C341" s="11">
        <v>43852</v>
      </c>
      <c r="D341" s="11"/>
      <c r="E341" s="5">
        <v>161</v>
      </c>
    </row>
    <row r="342" spans="2:5" x14ac:dyDescent="0.2">
      <c r="B342" t="s">
        <v>516</v>
      </c>
      <c r="C342" s="11">
        <v>43851</v>
      </c>
      <c r="D342" s="11"/>
      <c r="E342" s="5">
        <v>263</v>
      </c>
    </row>
    <row r="343" spans="2:5" x14ac:dyDescent="0.2">
      <c r="B343" t="s">
        <v>517</v>
      </c>
      <c r="C343" s="11">
        <v>43819</v>
      </c>
      <c r="D343" s="11"/>
      <c r="E343" s="5">
        <v>275</v>
      </c>
    </row>
    <row r="344" spans="2:5" x14ac:dyDescent="0.2">
      <c r="B344" t="s">
        <v>518</v>
      </c>
      <c r="C344" s="11">
        <v>43794</v>
      </c>
      <c r="D344" s="11"/>
      <c r="E344" s="5">
        <v>1000</v>
      </c>
    </row>
    <row r="345" spans="2:5" x14ac:dyDescent="0.2">
      <c r="B345" t="s">
        <v>519</v>
      </c>
      <c r="C345" s="11">
        <v>43791</v>
      </c>
      <c r="D345" s="11"/>
      <c r="E345" s="5">
        <v>290</v>
      </c>
    </row>
    <row r="346" spans="2:5" x14ac:dyDescent="0.2">
      <c r="B346" t="s">
        <v>520</v>
      </c>
      <c r="C346" s="11">
        <v>43779</v>
      </c>
      <c r="D346" s="11"/>
      <c r="E346" s="5">
        <v>15</v>
      </c>
    </row>
    <row r="347" spans="2:5" x14ac:dyDescent="0.2">
      <c r="B347" t="s">
        <v>521</v>
      </c>
      <c r="C347" s="11">
        <v>43766</v>
      </c>
      <c r="D347" s="11"/>
      <c r="E347" s="5">
        <v>655</v>
      </c>
    </row>
    <row r="348" spans="2:5" x14ac:dyDescent="0.2">
      <c r="B348" t="s">
        <v>495</v>
      </c>
      <c r="C348" s="11">
        <v>43696</v>
      </c>
      <c r="D348" s="11"/>
      <c r="E348" s="5">
        <v>70</v>
      </c>
    </row>
    <row r="349" spans="2:5" x14ac:dyDescent="0.2">
      <c r="B349" t="s">
        <v>408</v>
      </c>
      <c r="C349" s="11">
        <v>43691</v>
      </c>
      <c r="D349" s="11"/>
      <c r="E349" s="5">
        <v>110</v>
      </c>
    </row>
    <row r="350" spans="2:5" x14ac:dyDescent="0.2">
      <c r="B350" t="s">
        <v>420</v>
      </c>
      <c r="C350" s="11">
        <v>43685</v>
      </c>
      <c r="D350" s="11"/>
      <c r="E350" s="5">
        <v>750</v>
      </c>
    </row>
    <row r="351" spans="2:5" x14ac:dyDescent="0.2">
      <c r="B351" t="s">
        <v>523</v>
      </c>
      <c r="C351" s="11">
        <v>43684</v>
      </c>
      <c r="D351" s="11"/>
      <c r="E351" s="5">
        <v>200</v>
      </c>
    </row>
    <row r="352" spans="2:5" x14ac:dyDescent="0.2">
      <c r="B352" t="s">
        <v>524</v>
      </c>
      <c r="C352" s="11">
        <v>43676</v>
      </c>
      <c r="D352" s="11"/>
      <c r="E352" s="5">
        <v>370</v>
      </c>
    </row>
    <row r="353" spans="2:5" x14ac:dyDescent="0.2">
      <c r="B353" t="s">
        <v>421</v>
      </c>
      <c r="C353" s="11">
        <v>43671</v>
      </c>
      <c r="D353" s="11"/>
      <c r="E353" s="5">
        <v>300</v>
      </c>
    </row>
    <row r="354" spans="2:5" x14ac:dyDescent="0.2">
      <c r="B354" t="s">
        <v>334</v>
      </c>
      <c r="C354" s="11">
        <v>43656</v>
      </c>
      <c r="D354" s="11"/>
      <c r="E354" s="5">
        <v>231</v>
      </c>
    </row>
    <row r="355" spans="2:5" x14ac:dyDescent="0.2">
      <c r="B355" t="s">
        <v>525</v>
      </c>
      <c r="C355" s="11">
        <v>43643</v>
      </c>
      <c r="D355" s="11"/>
      <c r="E355" s="5">
        <v>200</v>
      </c>
    </row>
    <row r="356" spans="2:5" x14ac:dyDescent="0.2">
      <c r="B356" t="s">
        <v>466</v>
      </c>
      <c r="C356" s="11">
        <v>43633</v>
      </c>
      <c r="D356" s="11"/>
      <c r="E356" s="5">
        <v>210</v>
      </c>
    </row>
    <row r="357" spans="2:5" x14ac:dyDescent="0.2">
      <c r="B357" t="s">
        <v>443</v>
      </c>
      <c r="C357" s="11">
        <v>43628</v>
      </c>
      <c r="D357" s="11"/>
      <c r="E357" s="5">
        <v>300</v>
      </c>
    </row>
    <row r="358" spans="2:5" x14ac:dyDescent="0.2">
      <c r="B358" t="s">
        <v>526</v>
      </c>
      <c r="C358" s="11">
        <v>43609</v>
      </c>
      <c r="D358" s="11"/>
      <c r="E358" s="5">
        <v>600</v>
      </c>
    </row>
    <row r="359" spans="2:5" x14ac:dyDescent="0.2">
      <c r="B359" t="s">
        <v>497</v>
      </c>
      <c r="C359" s="11">
        <v>43601</v>
      </c>
      <c r="D359" s="11"/>
      <c r="E359" s="5">
        <v>484</v>
      </c>
    </row>
    <row r="360" spans="2:5" x14ac:dyDescent="0.2">
      <c r="B360" t="s">
        <v>495</v>
      </c>
      <c r="C360" s="11">
        <v>43600</v>
      </c>
      <c r="D360" s="11"/>
      <c r="E360" s="5">
        <v>220</v>
      </c>
    </row>
    <row r="361" spans="2:5" x14ac:dyDescent="0.2">
      <c r="B361" t="s">
        <v>521</v>
      </c>
      <c r="C361" s="11">
        <v>43598</v>
      </c>
      <c r="D361" s="11"/>
      <c r="E361" s="5">
        <v>800</v>
      </c>
    </row>
    <row r="362" spans="2:5" x14ac:dyDescent="0.2">
      <c r="B362" t="s">
        <v>522</v>
      </c>
      <c r="C362" s="11">
        <v>43592</v>
      </c>
      <c r="D362" s="11"/>
      <c r="E362" s="5">
        <v>1200</v>
      </c>
    </row>
    <row r="363" spans="2:5" x14ac:dyDescent="0.2">
      <c r="B363" t="s">
        <v>527</v>
      </c>
      <c r="C363" s="11">
        <v>43585</v>
      </c>
      <c r="D363" s="11"/>
      <c r="E363" s="5">
        <v>1000</v>
      </c>
    </row>
    <row r="364" spans="2:5" x14ac:dyDescent="0.2">
      <c r="B364" t="s">
        <v>528</v>
      </c>
      <c r="C364" s="11">
        <v>43574</v>
      </c>
      <c r="D364" s="11"/>
      <c r="E364" s="5">
        <v>1000</v>
      </c>
    </row>
    <row r="365" spans="2:5" x14ac:dyDescent="0.2">
      <c r="B365" t="s">
        <v>489</v>
      </c>
      <c r="C365" s="11">
        <v>43564</v>
      </c>
      <c r="D365" s="11"/>
      <c r="E365" s="5">
        <v>225</v>
      </c>
    </row>
    <row r="366" spans="2:5" x14ac:dyDescent="0.2">
      <c r="B366" t="s">
        <v>529</v>
      </c>
      <c r="C366" s="11">
        <v>43548</v>
      </c>
      <c r="D366" s="11"/>
      <c r="E366" s="5">
        <v>413</v>
      </c>
    </row>
    <row r="367" spans="2:5" x14ac:dyDescent="0.2">
      <c r="B367" t="s">
        <v>530</v>
      </c>
      <c r="C367" s="11">
        <v>43544</v>
      </c>
      <c r="D367" s="11"/>
      <c r="E367" s="5">
        <v>300</v>
      </c>
    </row>
    <row r="368" spans="2:5" x14ac:dyDescent="0.2">
      <c r="B368" t="s">
        <v>531</v>
      </c>
      <c r="C368" s="11">
        <v>43530</v>
      </c>
      <c r="D368" s="11"/>
      <c r="E368" s="5">
        <v>1500</v>
      </c>
    </row>
    <row r="369" spans="2:6" x14ac:dyDescent="0.2">
      <c r="B369" t="s">
        <v>532</v>
      </c>
      <c r="C369" s="11">
        <v>43530</v>
      </c>
      <c r="D369" s="11"/>
      <c r="E369" s="5">
        <v>1700</v>
      </c>
    </row>
    <row r="370" spans="2:6" x14ac:dyDescent="0.2">
      <c r="B370" t="s">
        <v>448</v>
      </c>
      <c r="C370" s="11">
        <v>43524</v>
      </c>
      <c r="D370" s="11"/>
      <c r="E370" s="5">
        <v>1500</v>
      </c>
    </row>
    <row r="371" spans="2:6" x14ac:dyDescent="0.2">
      <c r="B371" s="11" t="s">
        <v>320</v>
      </c>
      <c r="C371" s="11">
        <v>43517</v>
      </c>
      <c r="D371" s="11"/>
      <c r="E371" s="5">
        <v>1000</v>
      </c>
    </row>
    <row r="372" spans="2:6" x14ac:dyDescent="0.2">
      <c r="B372" t="s">
        <v>526</v>
      </c>
      <c r="C372" s="11">
        <v>43517</v>
      </c>
      <c r="D372" s="11"/>
      <c r="E372" s="5">
        <v>400</v>
      </c>
    </row>
    <row r="373" spans="2:6" x14ac:dyDescent="0.2">
      <c r="B373" t="s">
        <v>370</v>
      </c>
      <c r="C373" s="11">
        <v>43507</v>
      </c>
      <c r="D373" s="11"/>
      <c r="E373" s="5">
        <v>940</v>
      </c>
    </row>
    <row r="374" spans="2:6" x14ac:dyDescent="0.2">
      <c r="B374" t="s">
        <v>533</v>
      </c>
      <c r="C374" s="11">
        <v>43504</v>
      </c>
      <c r="D374" s="11"/>
      <c r="E374" s="5">
        <v>440</v>
      </c>
    </row>
    <row r="375" spans="2:6" x14ac:dyDescent="0.2">
      <c r="B375" t="s">
        <v>534</v>
      </c>
      <c r="C375" s="11">
        <v>43497</v>
      </c>
      <c r="D375" s="11"/>
      <c r="E375" s="5">
        <v>200</v>
      </c>
    </row>
    <row r="376" spans="2:6" x14ac:dyDescent="0.2">
      <c r="B376" t="s">
        <v>515</v>
      </c>
      <c r="C376" s="11">
        <v>43487</v>
      </c>
      <c r="D376" s="11"/>
      <c r="E376" s="5">
        <v>150</v>
      </c>
    </row>
    <row r="377" spans="2:6" x14ac:dyDescent="0.2">
      <c r="B377" t="s">
        <v>490</v>
      </c>
      <c r="C377" s="11">
        <v>43487</v>
      </c>
      <c r="D377" s="11"/>
      <c r="E377" s="5">
        <v>100</v>
      </c>
    </row>
    <row r="378" spans="2:6" x14ac:dyDescent="0.2">
      <c r="B378" t="s">
        <v>535</v>
      </c>
      <c r="C378" s="11">
        <v>43497</v>
      </c>
      <c r="D378" s="11"/>
      <c r="E378" s="5">
        <v>328</v>
      </c>
      <c r="F378" t="s">
        <v>536</v>
      </c>
    </row>
    <row r="379" spans="2:6" x14ac:dyDescent="0.2">
      <c r="B379" t="s">
        <v>537</v>
      </c>
      <c r="C379" s="11">
        <v>43454</v>
      </c>
      <c r="D379" s="11"/>
      <c r="E379" s="5">
        <v>400</v>
      </c>
    </row>
    <row r="380" spans="2:6" x14ac:dyDescent="0.2">
      <c r="B380" t="s">
        <v>538</v>
      </c>
      <c r="C380" s="11">
        <v>43454</v>
      </c>
      <c r="D380" s="11"/>
      <c r="E380" s="5">
        <v>385</v>
      </c>
    </row>
    <row r="381" spans="2:6" x14ac:dyDescent="0.2">
      <c r="B381" t="s">
        <v>539</v>
      </c>
      <c r="C381" s="11">
        <v>43453</v>
      </c>
      <c r="D381" s="11"/>
      <c r="E381" s="5">
        <v>500</v>
      </c>
    </row>
    <row r="382" spans="2:6" x14ac:dyDescent="0.2">
      <c r="B382" t="s">
        <v>503</v>
      </c>
      <c r="C382" s="11">
        <v>43447</v>
      </c>
      <c r="D382" s="11"/>
      <c r="E382" s="5">
        <v>400</v>
      </c>
    </row>
    <row r="383" spans="2:6" x14ac:dyDescent="0.2">
      <c r="B383" t="s">
        <v>540</v>
      </c>
      <c r="C383" s="11">
        <v>43438</v>
      </c>
      <c r="D383" s="11"/>
      <c r="E383" s="5">
        <v>800</v>
      </c>
    </row>
    <row r="384" spans="2:6" x14ac:dyDescent="0.2">
      <c r="B384" t="s">
        <v>541</v>
      </c>
      <c r="C384" s="11">
        <v>43437</v>
      </c>
      <c r="D384" s="11"/>
      <c r="E384" s="5" t="s">
        <v>235</v>
      </c>
    </row>
    <row r="385" spans="2:6" x14ac:dyDescent="0.2">
      <c r="B385" t="s">
        <v>542</v>
      </c>
      <c r="C385" s="11">
        <v>43425</v>
      </c>
      <c r="D385" s="11"/>
      <c r="E385" s="5">
        <v>1100</v>
      </c>
    </row>
    <row r="386" spans="2:6" x14ac:dyDescent="0.2">
      <c r="B386" t="s">
        <v>543</v>
      </c>
      <c r="C386" s="11">
        <v>43424</v>
      </c>
      <c r="D386" s="11"/>
      <c r="E386" s="5">
        <v>2000</v>
      </c>
    </row>
    <row r="387" spans="2:6" x14ac:dyDescent="0.2">
      <c r="B387" t="s">
        <v>519</v>
      </c>
      <c r="C387" s="11">
        <v>43419</v>
      </c>
      <c r="D387" s="11"/>
      <c r="E387" s="5">
        <v>300</v>
      </c>
    </row>
    <row r="388" spans="2:6" x14ac:dyDescent="0.2">
      <c r="B388" t="s">
        <v>544</v>
      </c>
      <c r="C388" s="11">
        <v>43417</v>
      </c>
      <c r="D388" s="11"/>
      <c r="E388" s="5">
        <v>200</v>
      </c>
    </row>
    <row r="389" spans="2:6" x14ac:dyDescent="0.2">
      <c r="B389" t="s">
        <v>545</v>
      </c>
      <c r="C389" s="11">
        <v>43412</v>
      </c>
      <c r="D389" s="11"/>
      <c r="E389" s="5">
        <v>4000</v>
      </c>
    </row>
    <row r="390" spans="2:6" x14ac:dyDescent="0.2">
      <c r="B390" t="s">
        <v>546</v>
      </c>
      <c r="C390" s="11">
        <v>43409</v>
      </c>
      <c r="D390" s="11"/>
      <c r="E390" s="5">
        <v>1100</v>
      </c>
    </row>
    <row r="391" spans="2:6" x14ac:dyDescent="0.2">
      <c r="B391" t="s">
        <v>547</v>
      </c>
      <c r="C391" s="11">
        <v>43406</v>
      </c>
      <c r="D391" s="11"/>
      <c r="E391" s="5">
        <v>375</v>
      </c>
    </row>
    <row r="392" spans="2:6" x14ac:dyDescent="0.2">
      <c r="B392" t="s">
        <v>548</v>
      </c>
      <c r="C392" s="11">
        <v>43398</v>
      </c>
      <c r="D392" s="11"/>
      <c r="E392" s="5">
        <v>3000</v>
      </c>
    </row>
    <row r="393" spans="2:6" x14ac:dyDescent="0.2">
      <c r="B393" t="s">
        <v>549</v>
      </c>
      <c r="C393" s="11">
        <v>43389</v>
      </c>
      <c r="D393" s="11"/>
      <c r="E393" s="5">
        <v>111</v>
      </c>
    </row>
    <row r="394" spans="2:6" x14ac:dyDescent="0.2">
      <c r="B394" t="s">
        <v>530</v>
      </c>
      <c r="C394" s="11">
        <v>43370</v>
      </c>
      <c r="D394" s="11"/>
      <c r="E394" s="5">
        <v>400</v>
      </c>
    </row>
    <row r="395" spans="2:6" x14ac:dyDescent="0.2">
      <c r="B395" t="s">
        <v>524</v>
      </c>
      <c r="C395" s="11">
        <v>43370</v>
      </c>
      <c r="D395" s="11"/>
      <c r="E395" s="5">
        <v>400</v>
      </c>
    </row>
    <row r="396" spans="2:6" x14ac:dyDescent="0.2">
      <c r="B396" t="s">
        <v>485</v>
      </c>
      <c r="C396" s="11">
        <v>43368</v>
      </c>
      <c r="D396" s="11"/>
      <c r="E396" s="5">
        <v>800</v>
      </c>
    </row>
    <row r="397" spans="2:6" x14ac:dyDescent="0.2">
      <c r="B397" t="s">
        <v>550</v>
      </c>
      <c r="C397" s="11">
        <v>43353</v>
      </c>
      <c r="D397" s="11"/>
      <c r="E397" s="5">
        <v>1000</v>
      </c>
      <c r="F397" t="s">
        <v>551</v>
      </c>
    </row>
    <row r="398" spans="2:6" x14ac:dyDescent="0.2">
      <c r="B398" s="11" t="s">
        <v>552</v>
      </c>
      <c r="C398" s="11">
        <v>43333</v>
      </c>
      <c r="D398" s="11"/>
      <c r="E398" s="5">
        <v>427</v>
      </c>
      <c r="F398" t="s">
        <v>553</v>
      </c>
    </row>
    <row r="399" spans="2:6" x14ac:dyDescent="0.2">
      <c r="B399" t="s">
        <v>499</v>
      </c>
      <c r="C399" s="11">
        <v>43333</v>
      </c>
      <c r="D399" s="11"/>
      <c r="E399" s="5">
        <v>300</v>
      </c>
    </row>
    <row r="400" spans="2:6" x14ac:dyDescent="0.2">
      <c r="B400" t="s">
        <v>554</v>
      </c>
      <c r="C400" s="11">
        <v>43332</v>
      </c>
      <c r="D400" s="11"/>
      <c r="E400" s="5" t="s">
        <v>235</v>
      </c>
    </row>
    <row r="401" spans="2:6" x14ac:dyDescent="0.2">
      <c r="B401" s="11" t="s">
        <v>555</v>
      </c>
      <c r="C401" s="11">
        <v>43312</v>
      </c>
      <c r="D401" s="11"/>
      <c r="E401" s="5">
        <v>240</v>
      </c>
    </row>
    <row r="402" spans="2:6" x14ac:dyDescent="0.2">
      <c r="B402" t="s">
        <v>556</v>
      </c>
      <c r="C402" s="11">
        <v>43307</v>
      </c>
      <c r="D402" s="11"/>
      <c r="E402" s="5">
        <v>500</v>
      </c>
    </row>
    <row r="403" spans="2:6" x14ac:dyDescent="0.2">
      <c r="B403" t="s">
        <v>557</v>
      </c>
      <c r="C403" s="11">
        <v>43299</v>
      </c>
      <c r="D403" s="11"/>
      <c r="E403" s="5">
        <v>121</v>
      </c>
    </row>
    <row r="404" spans="2:6" x14ac:dyDescent="0.2">
      <c r="B404" t="s">
        <v>510</v>
      </c>
      <c r="C404" s="11">
        <v>43262</v>
      </c>
      <c r="D404" s="11"/>
      <c r="E404" s="5">
        <v>250</v>
      </c>
    </row>
    <row r="405" spans="2:6" x14ac:dyDescent="0.2">
      <c r="B405" t="s">
        <v>558</v>
      </c>
      <c r="C405" s="11">
        <v>43253</v>
      </c>
      <c r="D405" s="11"/>
      <c r="E405" s="5">
        <v>445</v>
      </c>
    </row>
    <row r="406" spans="2:6" x14ac:dyDescent="0.2">
      <c r="B406" t="s">
        <v>522</v>
      </c>
      <c r="C406" s="11">
        <v>43251</v>
      </c>
      <c r="D406" s="11"/>
      <c r="E406" s="5">
        <v>2000</v>
      </c>
    </row>
    <row r="407" spans="2:6" x14ac:dyDescent="0.2">
      <c r="B407" t="s">
        <v>507</v>
      </c>
      <c r="C407" s="11">
        <v>43221</v>
      </c>
      <c r="D407" s="11"/>
      <c r="E407" s="5">
        <v>200</v>
      </c>
    </row>
    <row r="408" spans="2:6" x14ac:dyDescent="0.2">
      <c r="B408" t="s">
        <v>559</v>
      </c>
      <c r="C408" s="11">
        <v>43220</v>
      </c>
      <c r="D408" s="11"/>
      <c r="E408" s="5">
        <v>40.5</v>
      </c>
    </row>
    <row r="409" spans="2:6" x14ac:dyDescent="0.2">
      <c r="B409" t="s">
        <v>560</v>
      </c>
      <c r="C409" s="11">
        <v>43216</v>
      </c>
      <c r="D409" s="11"/>
      <c r="E409" s="5">
        <v>50</v>
      </c>
      <c r="F409" t="s">
        <v>551</v>
      </c>
    </row>
    <row r="410" spans="2:6" x14ac:dyDescent="0.2">
      <c r="B410" t="s">
        <v>493</v>
      </c>
      <c r="C410" s="11">
        <v>43214</v>
      </c>
      <c r="D410" s="11"/>
      <c r="E410" s="5">
        <v>1900</v>
      </c>
    </row>
    <row r="411" spans="2:6" x14ac:dyDescent="0.2">
      <c r="B411" t="s">
        <v>495</v>
      </c>
      <c r="C411" s="11">
        <v>43175</v>
      </c>
      <c r="D411" s="11"/>
      <c r="E411" s="5">
        <v>40</v>
      </c>
    </row>
    <row r="412" spans="2:6" x14ac:dyDescent="0.2">
      <c r="B412" t="s">
        <v>526</v>
      </c>
      <c r="C412" s="11">
        <v>43160</v>
      </c>
      <c r="D412" s="11"/>
      <c r="E412" s="5">
        <v>535</v>
      </c>
      <c r="F412" t="s">
        <v>551</v>
      </c>
    </row>
    <row r="413" spans="2:6" x14ac:dyDescent="0.2">
      <c r="B413" t="s">
        <v>561</v>
      </c>
      <c r="C413" s="11">
        <v>43134</v>
      </c>
      <c r="D413" s="11"/>
      <c r="E413" s="5">
        <v>1200</v>
      </c>
    </row>
    <row r="414" spans="2:6" x14ac:dyDescent="0.2">
      <c r="B414" t="s">
        <v>562</v>
      </c>
      <c r="C414" s="11">
        <v>43133</v>
      </c>
      <c r="D414" s="11"/>
      <c r="E414" s="5">
        <v>650</v>
      </c>
    </row>
    <row r="415" spans="2:6" x14ac:dyDescent="0.2">
      <c r="B415" t="s">
        <v>563</v>
      </c>
      <c r="C415" s="11">
        <v>43130</v>
      </c>
      <c r="D415" s="11"/>
      <c r="E415" s="5">
        <v>300</v>
      </c>
    </row>
    <row r="416" spans="2:6" x14ac:dyDescent="0.2">
      <c r="B416" t="s">
        <v>564</v>
      </c>
      <c r="C416" s="11">
        <v>43124</v>
      </c>
      <c r="D416" s="11"/>
      <c r="E416" s="5">
        <v>865</v>
      </c>
    </row>
    <row r="417" spans="2:6" x14ac:dyDescent="0.2">
      <c r="B417" t="s">
        <v>505</v>
      </c>
      <c r="C417" s="11">
        <v>43115</v>
      </c>
      <c r="D417" s="11"/>
      <c r="E417" s="5">
        <v>470</v>
      </c>
    </row>
    <row r="418" spans="2:6" x14ac:dyDescent="0.2">
      <c r="B418" t="s">
        <v>565</v>
      </c>
      <c r="C418" s="11">
        <v>43097</v>
      </c>
      <c r="D418" s="11"/>
      <c r="E418" s="5">
        <f>7700+1300</f>
        <v>9000</v>
      </c>
      <c r="F418" t="s">
        <v>551</v>
      </c>
    </row>
    <row r="419" spans="2:6" x14ac:dyDescent="0.2">
      <c r="B419" t="s">
        <v>524</v>
      </c>
      <c r="C419" s="11">
        <v>43076</v>
      </c>
      <c r="D419" s="11"/>
      <c r="E419" s="5">
        <v>400</v>
      </c>
    </row>
    <row r="420" spans="2:6" x14ac:dyDescent="0.2">
      <c r="B420" t="s">
        <v>566</v>
      </c>
      <c r="C420" s="11">
        <v>43018</v>
      </c>
      <c r="D420" s="11"/>
      <c r="E420" s="5">
        <v>93</v>
      </c>
    </row>
    <row r="421" spans="2:6" x14ac:dyDescent="0.2">
      <c r="B421" t="s">
        <v>567</v>
      </c>
      <c r="C421" s="11">
        <v>43018</v>
      </c>
      <c r="D421" s="11"/>
      <c r="E421" s="5">
        <v>164</v>
      </c>
    </row>
    <row r="422" spans="2:6" x14ac:dyDescent="0.2">
      <c r="B422" t="s">
        <v>568</v>
      </c>
      <c r="C422" s="11">
        <v>43010</v>
      </c>
      <c r="D422" s="11"/>
      <c r="E422" s="5">
        <v>1100</v>
      </c>
    </row>
    <row r="423" spans="2:6" x14ac:dyDescent="0.2">
      <c r="B423" t="s">
        <v>569</v>
      </c>
      <c r="C423" s="11">
        <v>43009</v>
      </c>
      <c r="D423" s="11"/>
      <c r="E423" s="5">
        <v>400</v>
      </c>
    </row>
    <row r="424" spans="2:6" x14ac:dyDescent="0.2">
      <c r="B424" t="s">
        <v>552</v>
      </c>
      <c r="C424" s="11">
        <v>42995</v>
      </c>
      <c r="D424" s="11"/>
      <c r="E424" s="5">
        <v>412.7</v>
      </c>
      <c r="F424" t="s">
        <v>553</v>
      </c>
    </row>
    <row r="425" spans="2:6" x14ac:dyDescent="0.2">
      <c r="B425" t="s">
        <v>485</v>
      </c>
      <c r="C425" s="11">
        <v>42985</v>
      </c>
      <c r="D425" s="11"/>
      <c r="E425" s="5">
        <v>260</v>
      </c>
    </row>
    <row r="426" spans="2:6" x14ac:dyDescent="0.2">
      <c r="B426" t="s">
        <v>256</v>
      </c>
      <c r="C426" s="11">
        <v>42984</v>
      </c>
      <c r="D426" s="11"/>
      <c r="E426" s="5">
        <v>1000</v>
      </c>
    </row>
    <row r="427" spans="2:6" x14ac:dyDescent="0.2">
      <c r="B427" s="12" t="s">
        <v>255</v>
      </c>
      <c r="C427" s="13">
        <v>42972</v>
      </c>
      <c r="D427" s="13"/>
      <c r="E427" s="16">
        <v>4400</v>
      </c>
      <c r="F427" s="12" t="s">
        <v>422</v>
      </c>
    </row>
    <row r="428" spans="2:6" x14ac:dyDescent="0.2">
      <c r="B428" t="s">
        <v>435</v>
      </c>
      <c r="C428" s="11">
        <v>42957</v>
      </c>
      <c r="D428" s="11"/>
      <c r="E428" s="5">
        <f>1500+1000</f>
        <v>2500</v>
      </c>
      <c r="F428" t="s">
        <v>551</v>
      </c>
    </row>
    <row r="429" spans="2:6" x14ac:dyDescent="0.2">
      <c r="B429" t="s">
        <v>544</v>
      </c>
      <c r="C429" s="11">
        <v>42956</v>
      </c>
      <c r="D429" s="11"/>
      <c r="E429" s="5">
        <v>1100</v>
      </c>
      <c r="F429" t="s">
        <v>551</v>
      </c>
    </row>
    <row r="430" spans="2:6" x14ac:dyDescent="0.2">
      <c r="B430" t="s">
        <v>570</v>
      </c>
      <c r="C430" s="11">
        <v>42950</v>
      </c>
      <c r="D430" s="11"/>
      <c r="E430" s="5">
        <v>250</v>
      </c>
    </row>
    <row r="431" spans="2:6" x14ac:dyDescent="0.2">
      <c r="B431" t="s">
        <v>556</v>
      </c>
      <c r="C431" s="11">
        <v>42943</v>
      </c>
      <c r="D431" s="11"/>
      <c r="E431" s="5">
        <v>500</v>
      </c>
    </row>
    <row r="432" spans="2:6" x14ac:dyDescent="0.2">
      <c r="B432" t="s">
        <v>531</v>
      </c>
      <c r="C432" s="11">
        <v>42940</v>
      </c>
      <c r="D432" s="11"/>
      <c r="E432" s="5">
        <v>2000</v>
      </c>
    </row>
    <row r="433" spans="2:6" x14ac:dyDescent="0.2">
      <c r="B433" t="s">
        <v>333</v>
      </c>
      <c r="C433" s="11">
        <v>42935</v>
      </c>
      <c r="D433" s="11"/>
      <c r="E433" s="5">
        <v>200</v>
      </c>
    </row>
    <row r="434" spans="2:6" x14ac:dyDescent="0.2">
      <c r="B434" t="s">
        <v>571</v>
      </c>
      <c r="C434" s="11">
        <v>42935</v>
      </c>
      <c r="D434" s="11"/>
      <c r="E434" s="5">
        <v>159</v>
      </c>
    </row>
    <row r="435" spans="2:6" x14ac:dyDescent="0.2">
      <c r="B435" t="s">
        <v>509</v>
      </c>
      <c r="C435" s="11">
        <v>42935</v>
      </c>
      <c r="D435" s="11"/>
      <c r="E435" s="5">
        <v>114</v>
      </c>
    </row>
    <row r="436" spans="2:6" x14ac:dyDescent="0.2">
      <c r="B436" t="s">
        <v>572</v>
      </c>
      <c r="C436" s="11">
        <v>42886</v>
      </c>
      <c r="D436" s="11"/>
      <c r="E436" s="15" t="s">
        <v>235</v>
      </c>
    </row>
    <row r="437" spans="2:6" x14ac:dyDescent="0.2">
      <c r="B437" t="s">
        <v>573</v>
      </c>
      <c r="C437" s="11">
        <v>42879</v>
      </c>
      <c r="D437" s="11"/>
      <c r="E437" s="5">
        <v>4000</v>
      </c>
    </row>
    <row r="438" spans="2:6" x14ac:dyDescent="0.2">
      <c r="B438" s="14" t="s">
        <v>574</v>
      </c>
      <c r="C438" s="11">
        <v>42879</v>
      </c>
      <c r="D438" s="11"/>
      <c r="E438" s="5">
        <v>100</v>
      </c>
    </row>
    <row r="439" spans="2:6" x14ac:dyDescent="0.2">
      <c r="B439" t="s">
        <v>575</v>
      </c>
      <c r="C439" s="11">
        <v>42866</v>
      </c>
      <c r="D439" s="11"/>
      <c r="E439" s="5">
        <v>502</v>
      </c>
    </row>
    <row r="440" spans="2:6" x14ac:dyDescent="0.2">
      <c r="B440" t="s">
        <v>576</v>
      </c>
      <c r="C440" s="11">
        <v>42866</v>
      </c>
      <c r="D440" s="11"/>
      <c r="E440" s="5">
        <v>360</v>
      </c>
      <c r="F440" t="s">
        <v>551</v>
      </c>
    </row>
    <row r="441" spans="2:6" x14ac:dyDescent="0.2">
      <c r="B441" t="s">
        <v>568</v>
      </c>
      <c r="C441" s="11">
        <v>42792</v>
      </c>
      <c r="D441" s="11"/>
      <c r="E441" s="5">
        <v>330</v>
      </c>
    </row>
    <row r="442" spans="2:6" x14ac:dyDescent="0.2">
      <c r="B442" t="s">
        <v>577</v>
      </c>
      <c r="C442" s="11">
        <v>42790</v>
      </c>
      <c r="D442" s="11"/>
      <c r="E442" s="5">
        <v>100</v>
      </c>
    </row>
    <row r="443" spans="2:6" x14ac:dyDescent="0.2">
      <c r="B443" t="s">
        <v>535</v>
      </c>
      <c r="C443" s="11">
        <v>42741</v>
      </c>
      <c r="D443" s="11"/>
      <c r="E443" s="5">
        <v>150</v>
      </c>
      <c r="F443" t="s">
        <v>551</v>
      </c>
    </row>
    <row r="444" spans="2:6" x14ac:dyDescent="0.2">
      <c r="B444" t="s">
        <v>577</v>
      </c>
      <c r="C444" s="11">
        <v>42491</v>
      </c>
      <c r="D444" s="11"/>
      <c r="E444" s="5">
        <v>30</v>
      </c>
    </row>
    <row r="445" spans="2:6" x14ac:dyDescent="0.2">
      <c r="B445" t="s">
        <v>560</v>
      </c>
      <c r="C445" s="11">
        <v>42417</v>
      </c>
      <c r="D445" s="11"/>
      <c r="E445" s="5">
        <v>75</v>
      </c>
    </row>
    <row r="446" spans="2:6" x14ac:dyDescent="0.2">
      <c r="B446" t="s">
        <v>495</v>
      </c>
      <c r="C446" s="11">
        <v>42334</v>
      </c>
      <c r="D446" s="11"/>
      <c r="E446" s="5">
        <v>120</v>
      </c>
    </row>
    <row r="447" spans="2:6" x14ac:dyDescent="0.2">
      <c r="B447" t="s">
        <v>578</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77</v>
      </c>
    </row>
    <row r="2" spans="1:10" x14ac:dyDescent="0.2">
      <c r="B2" t="s">
        <v>246</v>
      </c>
      <c r="C2" t="s">
        <v>247</v>
      </c>
      <c r="D2" t="s">
        <v>582</v>
      </c>
      <c r="E2" s="6" t="s">
        <v>584</v>
      </c>
      <c r="F2" t="s">
        <v>579</v>
      </c>
      <c r="G2" t="s">
        <v>580</v>
      </c>
      <c r="H2" t="s">
        <v>581</v>
      </c>
      <c r="J2" t="s">
        <v>750</v>
      </c>
    </row>
    <row r="3" spans="1:10" x14ac:dyDescent="0.2">
      <c r="B3" t="s">
        <v>751</v>
      </c>
      <c r="C3" s="11">
        <v>45399</v>
      </c>
      <c r="D3" t="s">
        <v>752</v>
      </c>
      <c r="E3">
        <v>150</v>
      </c>
      <c r="G3" t="s">
        <v>588</v>
      </c>
      <c r="H3" t="s">
        <v>795</v>
      </c>
    </row>
    <row r="4" spans="1:10" x14ac:dyDescent="0.2">
      <c r="B4" t="s">
        <v>753</v>
      </c>
      <c r="C4" s="11">
        <v>45393</v>
      </c>
      <c r="D4" t="s">
        <v>598</v>
      </c>
      <c r="E4">
        <v>30</v>
      </c>
      <c r="G4" t="s">
        <v>588</v>
      </c>
      <c r="H4" t="s">
        <v>797</v>
      </c>
    </row>
    <row r="5" spans="1:10" x14ac:dyDescent="0.2">
      <c r="B5" t="s">
        <v>754</v>
      </c>
      <c r="C5" s="11">
        <v>45392</v>
      </c>
      <c r="D5" t="s">
        <v>598</v>
      </c>
      <c r="E5">
        <v>100</v>
      </c>
      <c r="G5" t="s">
        <v>594</v>
      </c>
      <c r="H5" t="s">
        <v>629</v>
      </c>
    </row>
    <row r="6" spans="1:10" x14ac:dyDescent="0.2">
      <c r="B6" t="s">
        <v>755</v>
      </c>
      <c r="C6" s="11">
        <v>45391</v>
      </c>
      <c r="D6" t="s">
        <v>632</v>
      </c>
      <c r="E6">
        <v>300</v>
      </c>
      <c r="G6" t="s">
        <v>588</v>
      </c>
      <c r="H6" t="s">
        <v>798</v>
      </c>
    </row>
    <row r="7" spans="1:10" x14ac:dyDescent="0.2">
      <c r="B7" t="s">
        <v>756</v>
      </c>
      <c r="C7" s="11">
        <v>45390</v>
      </c>
      <c r="D7" t="s">
        <v>632</v>
      </c>
      <c r="E7">
        <v>88</v>
      </c>
      <c r="G7" t="s">
        <v>588</v>
      </c>
      <c r="H7" t="s">
        <v>799</v>
      </c>
    </row>
    <row r="8" spans="1:10" x14ac:dyDescent="0.2">
      <c r="B8" t="s">
        <v>757</v>
      </c>
      <c r="C8" s="11">
        <v>45386</v>
      </c>
      <c r="D8" t="s">
        <v>616</v>
      </c>
      <c r="E8">
        <v>0</v>
      </c>
      <c r="G8" t="s">
        <v>588</v>
      </c>
      <c r="H8" t="s">
        <v>800</v>
      </c>
    </row>
    <row r="9" spans="1:10" x14ac:dyDescent="0.2">
      <c r="B9" t="s">
        <v>758</v>
      </c>
      <c r="C9" s="11">
        <v>45379</v>
      </c>
      <c r="D9" t="s">
        <v>590</v>
      </c>
      <c r="E9">
        <v>25</v>
      </c>
      <c r="G9" t="s">
        <v>588</v>
      </c>
      <c r="H9" t="s">
        <v>798</v>
      </c>
    </row>
    <row r="10" spans="1:10" x14ac:dyDescent="0.2">
      <c r="B10" t="s">
        <v>759</v>
      </c>
      <c r="C10" s="11">
        <v>45378</v>
      </c>
      <c r="D10" t="s">
        <v>590</v>
      </c>
      <c r="E10">
        <v>25</v>
      </c>
      <c r="G10" t="s">
        <v>588</v>
      </c>
      <c r="H10" t="s">
        <v>803</v>
      </c>
    </row>
    <row r="11" spans="1:10" x14ac:dyDescent="0.2">
      <c r="B11" t="s">
        <v>760</v>
      </c>
      <c r="C11" s="11">
        <v>45373</v>
      </c>
      <c r="D11" t="s">
        <v>616</v>
      </c>
      <c r="E11">
        <v>4</v>
      </c>
      <c r="G11" t="s">
        <v>588</v>
      </c>
      <c r="H11" t="s">
        <v>801</v>
      </c>
    </row>
    <row r="12" spans="1:10" x14ac:dyDescent="0.2">
      <c r="B12" t="s">
        <v>761</v>
      </c>
      <c r="C12" s="11">
        <v>45372</v>
      </c>
      <c r="D12" t="s">
        <v>590</v>
      </c>
      <c r="E12">
        <v>80</v>
      </c>
      <c r="G12" t="s">
        <v>588</v>
      </c>
      <c r="H12" t="s">
        <v>802</v>
      </c>
    </row>
    <row r="13" spans="1:10" x14ac:dyDescent="0.2">
      <c r="B13" t="s">
        <v>762</v>
      </c>
      <c r="C13" s="11">
        <v>45371</v>
      </c>
      <c r="D13" t="s">
        <v>616</v>
      </c>
      <c r="E13">
        <v>7.6</v>
      </c>
      <c r="G13" t="s">
        <v>588</v>
      </c>
      <c r="H13" t="s">
        <v>804</v>
      </c>
    </row>
    <row r="14" spans="1:10" x14ac:dyDescent="0.2">
      <c r="B14" t="s">
        <v>763</v>
      </c>
      <c r="C14" s="11">
        <v>45371</v>
      </c>
      <c r="D14" t="s">
        <v>616</v>
      </c>
      <c r="E14">
        <v>18</v>
      </c>
      <c r="G14" t="s">
        <v>588</v>
      </c>
      <c r="H14" t="s">
        <v>805</v>
      </c>
    </row>
    <row r="15" spans="1:10" x14ac:dyDescent="0.2">
      <c r="B15" t="s">
        <v>764</v>
      </c>
      <c r="C15" s="11">
        <v>45370</v>
      </c>
      <c r="D15" t="s">
        <v>796</v>
      </c>
      <c r="E15">
        <v>7</v>
      </c>
      <c r="G15" t="s">
        <v>588</v>
      </c>
      <c r="H15" t="s">
        <v>806</v>
      </c>
    </row>
    <row r="16" spans="1:10" x14ac:dyDescent="0.2">
      <c r="B16" t="s">
        <v>765</v>
      </c>
      <c r="C16" s="11">
        <v>45369</v>
      </c>
      <c r="D16" t="s">
        <v>616</v>
      </c>
      <c r="E16">
        <v>2.5</v>
      </c>
      <c r="G16" t="s">
        <v>588</v>
      </c>
      <c r="H16" t="s">
        <v>808</v>
      </c>
    </row>
    <row r="17" spans="2:8" x14ac:dyDescent="0.2">
      <c r="B17" t="s">
        <v>766</v>
      </c>
      <c r="C17" s="11">
        <v>45363</v>
      </c>
      <c r="D17" t="s">
        <v>616</v>
      </c>
      <c r="E17">
        <v>70</v>
      </c>
      <c r="G17" t="s">
        <v>588</v>
      </c>
      <c r="H17" t="s">
        <v>629</v>
      </c>
    </row>
    <row r="18" spans="2:8" x14ac:dyDescent="0.2">
      <c r="B18" t="s">
        <v>767</v>
      </c>
      <c r="C18" s="11">
        <v>45362</v>
      </c>
      <c r="D18" t="s">
        <v>796</v>
      </c>
      <c r="E18">
        <v>2.4</v>
      </c>
      <c r="G18" t="s">
        <v>588</v>
      </c>
      <c r="H18" t="s">
        <v>809</v>
      </c>
    </row>
    <row r="19" spans="2:8" x14ac:dyDescent="0.2">
      <c r="B19" t="s">
        <v>768</v>
      </c>
      <c r="C19" s="11">
        <v>45356</v>
      </c>
      <c r="D19" t="s">
        <v>616</v>
      </c>
      <c r="E19">
        <v>6</v>
      </c>
      <c r="G19" t="s">
        <v>588</v>
      </c>
      <c r="H19" t="s">
        <v>810</v>
      </c>
    </row>
    <row r="20" spans="2:8" x14ac:dyDescent="0.2">
      <c r="B20" t="s">
        <v>769</v>
      </c>
      <c r="C20" s="11">
        <v>45356</v>
      </c>
      <c r="D20" t="s">
        <v>616</v>
      </c>
      <c r="E20">
        <v>3.5</v>
      </c>
      <c r="G20" t="s">
        <v>588</v>
      </c>
      <c r="H20" t="s">
        <v>811</v>
      </c>
    </row>
    <row r="21" spans="2:8" x14ac:dyDescent="0.2">
      <c r="B21" t="s">
        <v>770</v>
      </c>
      <c r="C21" s="11">
        <v>45349</v>
      </c>
      <c r="D21" t="s">
        <v>587</v>
      </c>
      <c r="E21">
        <v>203.2</v>
      </c>
      <c r="G21" t="s">
        <v>588</v>
      </c>
      <c r="H21" t="s">
        <v>812</v>
      </c>
    </row>
    <row r="22" spans="2:8" x14ac:dyDescent="0.2">
      <c r="B22" t="s">
        <v>771</v>
      </c>
      <c r="C22" s="11">
        <v>45348</v>
      </c>
      <c r="D22" t="s">
        <v>598</v>
      </c>
      <c r="E22">
        <v>43</v>
      </c>
      <c r="G22" t="s">
        <v>594</v>
      </c>
      <c r="H22" t="s">
        <v>629</v>
      </c>
    </row>
    <row r="23" spans="2:8" x14ac:dyDescent="0.2">
      <c r="B23" t="s">
        <v>772</v>
      </c>
      <c r="C23" s="11">
        <v>45348</v>
      </c>
      <c r="D23" t="s">
        <v>796</v>
      </c>
      <c r="E23">
        <v>3</v>
      </c>
    </row>
    <row r="24" spans="2:8" x14ac:dyDescent="0.2">
      <c r="B24" t="s">
        <v>773</v>
      </c>
      <c r="C24" s="11">
        <v>45337</v>
      </c>
      <c r="D24" t="s">
        <v>590</v>
      </c>
      <c r="E24">
        <v>25</v>
      </c>
    </row>
    <row r="25" spans="2:8" x14ac:dyDescent="0.2">
      <c r="B25" t="s">
        <v>774</v>
      </c>
      <c r="C25" s="11">
        <v>45336</v>
      </c>
      <c r="D25" t="s">
        <v>807</v>
      </c>
      <c r="E25">
        <v>4</v>
      </c>
    </row>
    <row r="26" spans="2:8" x14ac:dyDescent="0.2">
      <c r="B26" t="s">
        <v>775</v>
      </c>
      <c r="C26" s="11">
        <v>45335</v>
      </c>
      <c r="E26">
        <v>110</v>
      </c>
    </row>
    <row r="27" spans="2:8" x14ac:dyDescent="0.2">
      <c r="B27" t="s">
        <v>776</v>
      </c>
      <c r="C27" s="11">
        <v>45335</v>
      </c>
      <c r="E27">
        <v>35</v>
      </c>
    </row>
    <row r="28" spans="2:8" x14ac:dyDescent="0.2">
      <c r="B28" t="s">
        <v>777</v>
      </c>
      <c r="C28" s="11">
        <v>45335</v>
      </c>
      <c r="D28" t="s">
        <v>616</v>
      </c>
      <c r="E28">
        <v>6</v>
      </c>
    </row>
    <row r="29" spans="2:8" x14ac:dyDescent="0.2">
      <c r="B29" t="s">
        <v>778</v>
      </c>
      <c r="C29" s="11">
        <v>45330</v>
      </c>
      <c r="D29" t="s">
        <v>632</v>
      </c>
      <c r="E29">
        <v>45</v>
      </c>
    </row>
    <row r="30" spans="2:8" x14ac:dyDescent="0.2">
      <c r="B30" t="s">
        <v>779</v>
      </c>
      <c r="C30" s="11">
        <v>45329</v>
      </c>
      <c r="D30" t="s">
        <v>616</v>
      </c>
      <c r="E30">
        <v>5</v>
      </c>
    </row>
    <row r="31" spans="2:8" x14ac:dyDescent="0.2">
      <c r="B31" t="s">
        <v>780</v>
      </c>
      <c r="C31" s="11">
        <v>45323</v>
      </c>
      <c r="D31" t="s">
        <v>632</v>
      </c>
      <c r="E31">
        <v>100</v>
      </c>
    </row>
    <row r="32" spans="2:8" x14ac:dyDescent="0.2">
      <c r="B32" t="s">
        <v>239</v>
      </c>
      <c r="C32" s="11">
        <v>45322</v>
      </c>
    </row>
    <row r="33" spans="2:3" x14ac:dyDescent="0.2">
      <c r="B33" t="s">
        <v>781</v>
      </c>
      <c r="C33" s="11">
        <v>45322</v>
      </c>
    </row>
    <row r="34" spans="2:3" x14ac:dyDescent="0.2">
      <c r="B34" t="s">
        <v>782</v>
      </c>
      <c r="C34" s="11">
        <v>45314</v>
      </c>
    </row>
    <row r="35" spans="2:3" x14ac:dyDescent="0.2">
      <c r="B35" t="s">
        <v>783</v>
      </c>
      <c r="C35" s="11">
        <v>45314</v>
      </c>
    </row>
    <row r="36" spans="2:3" x14ac:dyDescent="0.2">
      <c r="B36" t="s">
        <v>784</v>
      </c>
      <c r="C36" s="11">
        <v>45314</v>
      </c>
    </row>
    <row r="37" spans="2:3" x14ac:dyDescent="0.2">
      <c r="B37" t="s">
        <v>785</v>
      </c>
      <c r="C37" s="11">
        <v>45313</v>
      </c>
    </row>
    <row r="38" spans="2:3" x14ac:dyDescent="0.2">
      <c r="B38" t="s">
        <v>786</v>
      </c>
      <c r="C38" s="11">
        <v>45308</v>
      </c>
    </row>
    <row r="39" spans="2:3" x14ac:dyDescent="0.2">
      <c r="B39" t="s">
        <v>787</v>
      </c>
      <c r="C39" s="11">
        <v>45307</v>
      </c>
    </row>
    <row r="40" spans="2:3" x14ac:dyDescent="0.2">
      <c r="B40" t="s">
        <v>788</v>
      </c>
      <c r="C40" s="11">
        <v>45288</v>
      </c>
    </row>
    <row r="41" spans="2:3" x14ac:dyDescent="0.2">
      <c r="B41" t="s">
        <v>789</v>
      </c>
      <c r="C41" s="11">
        <v>45280</v>
      </c>
    </row>
    <row r="42" spans="2:3" x14ac:dyDescent="0.2">
      <c r="B42" t="s">
        <v>790</v>
      </c>
      <c r="C42" s="11">
        <v>45279</v>
      </c>
    </row>
    <row r="43" spans="2:3" x14ac:dyDescent="0.2">
      <c r="B43" t="s">
        <v>791</v>
      </c>
      <c r="C43" s="11">
        <v>45271</v>
      </c>
    </row>
    <row r="44" spans="2:3" x14ac:dyDescent="0.2">
      <c r="B44" t="s">
        <v>792</v>
      </c>
      <c r="C44" s="11">
        <v>45265</v>
      </c>
    </row>
    <row r="45" spans="2:3" x14ac:dyDescent="0.2">
      <c r="B45" t="s">
        <v>793</v>
      </c>
      <c r="C45" s="11">
        <v>45259</v>
      </c>
    </row>
    <row r="46" spans="2:3" x14ac:dyDescent="0.2">
      <c r="B46" t="s">
        <v>794</v>
      </c>
    </row>
    <row r="49" spans="2:6" x14ac:dyDescent="0.2">
      <c r="B49" t="s">
        <v>526</v>
      </c>
      <c r="C49" s="11">
        <v>42451</v>
      </c>
      <c r="D49" t="s">
        <v>632</v>
      </c>
      <c r="E49">
        <v>127</v>
      </c>
      <c r="F49" t="s">
        <v>813</v>
      </c>
    </row>
    <row r="50" spans="2:6" x14ac:dyDescent="0.2">
      <c r="B50" t="s">
        <v>576</v>
      </c>
      <c r="C50" s="11">
        <v>42376</v>
      </c>
      <c r="D50" t="s">
        <v>587</v>
      </c>
      <c r="E50">
        <v>100</v>
      </c>
    </row>
    <row r="51" spans="2:6" x14ac:dyDescent="0.2">
      <c r="B51" t="s">
        <v>814</v>
      </c>
      <c r="C51" s="11">
        <v>42214</v>
      </c>
      <c r="D51" t="s">
        <v>598</v>
      </c>
      <c r="E51">
        <v>250</v>
      </c>
      <c r="F51" t="s">
        <v>815</v>
      </c>
    </row>
    <row r="52" spans="2:6" x14ac:dyDescent="0.2">
      <c r="B52" t="s">
        <v>816</v>
      </c>
      <c r="C52" s="11">
        <v>42183</v>
      </c>
      <c r="D52" t="s">
        <v>583</v>
      </c>
      <c r="E52">
        <v>1500</v>
      </c>
      <c r="F52" t="s">
        <v>813</v>
      </c>
    </row>
    <row r="53" spans="2:6" x14ac:dyDescent="0.2">
      <c r="B53" t="s">
        <v>817</v>
      </c>
      <c r="C53" s="11">
        <v>42156</v>
      </c>
      <c r="D53" t="s">
        <v>583</v>
      </c>
      <c r="E53">
        <v>80</v>
      </c>
    </row>
    <row r="54" spans="2:6" x14ac:dyDescent="0.2">
      <c r="B54" t="s">
        <v>526</v>
      </c>
      <c r="C54" s="11">
        <v>42089</v>
      </c>
      <c r="D54" t="s">
        <v>598</v>
      </c>
      <c r="E54">
        <v>40</v>
      </c>
      <c r="F54" t="s">
        <v>813</v>
      </c>
    </row>
    <row r="55" spans="2:6" x14ac:dyDescent="0.2">
      <c r="B55" t="s">
        <v>818</v>
      </c>
      <c r="C55" s="11">
        <v>42017</v>
      </c>
      <c r="D55" t="s">
        <v>632</v>
      </c>
      <c r="E55">
        <v>220</v>
      </c>
      <c r="F55" t="s">
        <v>813</v>
      </c>
    </row>
    <row r="56" spans="2:6" x14ac:dyDescent="0.2">
      <c r="B56" t="s">
        <v>819</v>
      </c>
      <c r="C56" s="11">
        <v>42013</v>
      </c>
      <c r="D56" t="s">
        <v>628</v>
      </c>
      <c r="E56">
        <v>80</v>
      </c>
      <c r="F56" t="s">
        <v>813</v>
      </c>
    </row>
    <row r="57" spans="2:6" x14ac:dyDescent="0.2">
      <c r="B57" t="s">
        <v>820</v>
      </c>
      <c r="C57" s="11">
        <v>41975</v>
      </c>
      <c r="D57" t="s">
        <v>632</v>
      </c>
      <c r="E57">
        <v>70</v>
      </c>
    </row>
    <row r="58" spans="2:6" x14ac:dyDescent="0.2">
      <c r="B58" t="s">
        <v>821</v>
      </c>
      <c r="C58" s="11">
        <v>41912</v>
      </c>
      <c r="D58" t="s">
        <v>598</v>
      </c>
      <c r="E58">
        <v>50</v>
      </c>
      <c r="F58" t="s">
        <v>813</v>
      </c>
    </row>
    <row r="59" spans="2:6" x14ac:dyDescent="0.2">
      <c r="B59" t="s">
        <v>822</v>
      </c>
      <c r="C59" s="11">
        <v>41799</v>
      </c>
      <c r="D59" t="s">
        <v>583</v>
      </c>
      <c r="E59">
        <v>75</v>
      </c>
      <c r="F59" t="s">
        <v>813</v>
      </c>
    </row>
    <row r="60" spans="2:6" x14ac:dyDescent="0.2">
      <c r="B60" t="s">
        <v>543</v>
      </c>
      <c r="C60" s="11">
        <v>41787</v>
      </c>
      <c r="E60">
        <v>100</v>
      </c>
      <c r="F60" t="s">
        <v>813</v>
      </c>
    </row>
    <row r="61" spans="2:6" x14ac:dyDescent="0.2">
      <c r="B61" t="s">
        <v>526</v>
      </c>
      <c r="C61" s="11">
        <v>41781</v>
      </c>
      <c r="D61" t="s">
        <v>590</v>
      </c>
      <c r="E61">
        <v>17.3</v>
      </c>
      <c r="F61" t="s">
        <v>813</v>
      </c>
    </row>
    <row r="62" spans="2:6" x14ac:dyDescent="0.2">
      <c r="B62" t="s">
        <v>816</v>
      </c>
      <c r="C62" s="11">
        <v>41575</v>
      </c>
      <c r="D62" t="s">
        <v>632</v>
      </c>
      <c r="E62">
        <v>200</v>
      </c>
      <c r="F62" t="s">
        <v>813</v>
      </c>
    </row>
    <row r="63" spans="2:6" x14ac:dyDescent="0.2">
      <c r="B63" t="s">
        <v>823</v>
      </c>
      <c r="C63" s="11">
        <v>41456</v>
      </c>
      <c r="D63" t="s">
        <v>598</v>
      </c>
      <c r="E63">
        <v>52</v>
      </c>
      <c r="F63" t="s">
        <v>815</v>
      </c>
    </row>
    <row r="64" spans="2:6" x14ac:dyDescent="0.2">
      <c r="B64" t="s">
        <v>818</v>
      </c>
      <c r="C64" s="11">
        <v>41368</v>
      </c>
      <c r="D64" t="s">
        <v>590</v>
      </c>
      <c r="E64">
        <v>8.5</v>
      </c>
      <c r="F64" t="s">
        <v>813</v>
      </c>
    </row>
    <row r="65" spans="2:6" x14ac:dyDescent="0.2">
      <c r="B65" t="s">
        <v>824</v>
      </c>
      <c r="C65" s="11">
        <v>41218</v>
      </c>
      <c r="D65" t="s">
        <v>583</v>
      </c>
      <c r="E65">
        <v>35</v>
      </c>
      <c r="F65" t="s">
        <v>813</v>
      </c>
    </row>
    <row r="66" spans="2:6" x14ac:dyDescent="0.2">
      <c r="B66" t="s">
        <v>820</v>
      </c>
      <c r="C66" s="11">
        <v>41099</v>
      </c>
      <c r="D66" t="s">
        <v>598</v>
      </c>
      <c r="E66">
        <v>20</v>
      </c>
    </row>
    <row r="67" spans="2:6" x14ac:dyDescent="0.2">
      <c r="B67" t="s">
        <v>819</v>
      </c>
      <c r="C67" s="11">
        <v>41058</v>
      </c>
      <c r="D67" t="s">
        <v>583</v>
      </c>
      <c r="E67">
        <v>42</v>
      </c>
      <c r="F67" t="s">
        <v>813</v>
      </c>
    </row>
    <row r="68" spans="2:6" x14ac:dyDescent="0.2">
      <c r="B68" t="s">
        <v>825</v>
      </c>
      <c r="C68" s="11">
        <v>41004</v>
      </c>
      <c r="D68" t="s">
        <v>598</v>
      </c>
      <c r="E68">
        <v>50</v>
      </c>
      <c r="F68" t="s">
        <v>815</v>
      </c>
    </row>
    <row r="69" spans="2:6" x14ac:dyDescent="0.2">
      <c r="B69" s="11" t="s">
        <v>820</v>
      </c>
      <c r="C69" s="11">
        <v>40948</v>
      </c>
      <c r="D69" t="s">
        <v>590</v>
      </c>
      <c r="E69">
        <v>18</v>
      </c>
    </row>
    <row r="70" spans="2:6" x14ac:dyDescent="0.2">
      <c r="B70" t="s">
        <v>826</v>
      </c>
      <c r="C70" s="11">
        <v>40834</v>
      </c>
      <c r="D70" t="s">
        <v>598</v>
      </c>
      <c r="E70">
        <v>250</v>
      </c>
      <c r="F70" t="s">
        <v>813</v>
      </c>
    </row>
    <row r="71" spans="2:6" x14ac:dyDescent="0.2">
      <c r="B71" t="s">
        <v>816</v>
      </c>
      <c r="C71" s="11">
        <v>40749</v>
      </c>
      <c r="D71" t="s">
        <v>598</v>
      </c>
      <c r="E71">
        <v>112</v>
      </c>
      <c r="F71" t="s">
        <v>813</v>
      </c>
    </row>
    <row r="72" spans="2:6" x14ac:dyDescent="0.2">
      <c r="B72" t="s">
        <v>827</v>
      </c>
      <c r="C72" s="11">
        <v>40744</v>
      </c>
      <c r="D72" t="s">
        <v>598</v>
      </c>
      <c r="E72">
        <v>17.5</v>
      </c>
      <c r="F72" t="s">
        <v>813</v>
      </c>
    </row>
    <row r="73" spans="2:6" x14ac:dyDescent="0.2">
      <c r="B73" t="s">
        <v>823</v>
      </c>
      <c r="C73" s="11">
        <v>40641</v>
      </c>
      <c r="D73" t="s">
        <v>590</v>
      </c>
      <c r="E73">
        <v>8</v>
      </c>
      <c r="F73" t="s">
        <v>815</v>
      </c>
    </row>
    <row r="74" spans="2:6" x14ac:dyDescent="0.2">
      <c r="B74" t="s">
        <v>820</v>
      </c>
      <c r="C74" s="11">
        <v>40630</v>
      </c>
      <c r="D74" t="s">
        <v>616</v>
      </c>
      <c r="E74">
        <v>2</v>
      </c>
    </row>
    <row r="75" spans="2:6" x14ac:dyDescent="0.2">
      <c r="B75" t="s">
        <v>816</v>
      </c>
      <c r="C75" s="11">
        <v>40492</v>
      </c>
      <c r="D75" t="s">
        <v>590</v>
      </c>
      <c r="E75">
        <v>7.2</v>
      </c>
      <c r="F75" t="s">
        <v>813</v>
      </c>
    </row>
    <row r="76" spans="2:6" x14ac:dyDescent="0.2">
      <c r="B76" t="s">
        <v>827</v>
      </c>
      <c r="C76" s="11">
        <v>40112</v>
      </c>
      <c r="D76" t="s">
        <v>590</v>
      </c>
      <c r="E76">
        <v>7.8</v>
      </c>
      <c r="F76" t="s">
        <v>813</v>
      </c>
    </row>
    <row r="77" spans="2:6" x14ac:dyDescent="0.2">
      <c r="B77" t="s">
        <v>816</v>
      </c>
      <c r="C77" s="11">
        <v>39904</v>
      </c>
      <c r="D77" t="s">
        <v>616</v>
      </c>
      <c r="E77">
        <v>0.6</v>
      </c>
      <c r="F77" t="s">
        <v>813</v>
      </c>
    </row>
    <row r="78" spans="2:6" x14ac:dyDescent="0.2">
      <c r="B78" t="s">
        <v>826</v>
      </c>
      <c r="C78" s="11">
        <v>39776</v>
      </c>
      <c r="D78" t="s">
        <v>590</v>
      </c>
      <c r="E78">
        <v>6</v>
      </c>
      <c r="F78" t="s">
        <v>813</v>
      </c>
    </row>
    <row r="79" spans="2:6" x14ac:dyDescent="0.2">
      <c r="B79" t="s">
        <v>828</v>
      </c>
      <c r="C79" s="11">
        <v>39678</v>
      </c>
      <c r="D79" t="s">
        <v>632</v>
      </c>
      <c r="E79">
        <v>27</v>
      </c>
      <c r="F79" t="s">
        <v>813</v>
      </c>
    </row>
    <row r="80" spans="2:6" x14ac:dyDescent="0.2">
      <c r="B80" t="s">
        <v>829</v>
      </c>
      <c r="C80" s="11">
        <v>39616</v>
      </c>
      <c r="D80" t="s">
        <v>587</v>
      </c>
      <c r="E80">
        <v>53</v>
      </c>
      <c r="F80" t="s">
        <v>815</v>
      </c>
    </row>
    <row r="81" spans="2:6" x14ac:dyDescent="0.2">
      <c r="B81" t="s">
        <v>830</v>
      </c>
      <c r="C81" s="11">
        <v>39286</v>
      </c>
      <c r="D81" t="s">
        <v>598</v>
      </c>
      <c r="E81">
        <v>12</v>
      </c>
    </row>
    <row r="82" spans="2:6" x14ac:dyDescent="0.2">
      <c r="B82" t="s">
        <v>828</v>
      </c>
      <c r="C82" s="11">
        <v>39258</v>
      </c>
      <c r="D82" t="s">
        <v>598</v>
      </c>
      <c r="E82">
        <v>18</v>
      </c>
      <c r="F82" t="s">
        <v>813</v>
      </c>
    </row>
    <row r="83" spans="2:6" x14ac:dyDescent="0.2">
      <c r="B83" t="s">
        <v>840</v>
      </c>
      <c r="C83" s="11">
        <v>39387</v>
      </c>
      <c r="D83" t="s">
        <v>598</v>
      </c>
      <c r="E83">
        <v>16</v>
      </c>
    </row>
    <row r="84" spans="2:6" x14ac:dyDescent="0.2">
      <c r="B84" t="s">
        <v>828</v>
      </c>
      <c r="C84" s="11">
        <v>38869</v>
      </c>
      <c r="D84" t="s">
        <v>590</v>
      </c>
      <c r="E84">
        <v>10</v>
      </c>
      <c r="F84" t="s">
        <v>813</v>
      </c>
    </row>
    <row r="85" spans="2:6" x14ac:dyDescent="0.2">
      <c r="B85" t="s">
        <v>830</v>
      </c>
      <c r="C85" s="11">
        <v>38679</v>
      </c>
      <c r="D85" t="s">
        <v>590</v>
      </c>
      <c r="E85">
        <v>5</v>
      </c>
    </row>
    <row r="86" spans="2:6" x14ac:dyDescent="0.2">
      <c r="B86" t="s">
        <v>839</v>
      </c>
      <c r="C86" s="11">
        <v>38657</v>
      </c>
      <c r="D86" t="s">
        <v>590</v>
      </c>
      <c r="E86">
        <v>3.5</v>
      </c>
      <c r="F86" t="s">
        <v>815</v>
      </c>
    </row>
    <row r="87" spans="2:6" x14ac:dyDescent="0.2">
      <c r="B87" t="s">
        <v>838</v>
      </c>
      <c r="C87" s="11">
        <v>38078</v>
      </c>
      <c r="D87" t="s">
        <v>632</v>
      </c>
      <c r="E87">
        <v>7</v>
      </c>
    </row>
    <row r="88" spans="2:6" x14ac:dyDescent="0.2">
      <c r="B88" t="s">
        <v>829</v>
      </c>
      <c r="C88" s="11">
        <v>37926</v>
      </c>
      <c r="D88" t="s">
        <v>590</v>
      </c>
      <c r="E88">
        <v>4.7</v>
      </c>
      <c r="F88" t="s">
        <v>813</v>
      </c>
    </row>
    <row r="89" spans="2:6" x14ac:dyDescent="0.2">
      <c r="B89" t="s">
        <v>838</v>
      </c>
      <c r="C89" s="11">
        <v>37803</v>
      </c>
      <c r="D89" t="s">
        <v>598</v>
      </c>
      <c r="E89">
        <v>8.5</v>
      </c>
    </row>
    <row r="90" spans="2:6" x14ac:dyDescent="0.2">
      <c r="B90" t="s">
        <v>838</v>
      </c>
      <c r="C90" s="11">
        <v>37561</v>
      </c>
      <c r="D90" t="s">
        <v>590</v>
      </c>
      <c r="E90">
        <v>3.8</v>
      </c>
    </row>
    <row r="91" spans="2:6" x14ac:dyDescent="0.2">
      <c r="B91" t="s">
        <v>837</v>
      </c>
      <c r="C91" s="11">
        <v>36621</v>
      </c>
      <c r="D91" t="s">
        <v>632</v>
      </c>
      <c r="E91">
        <v>100</v>
      </c>
      <c r="F91" t="s">
        <v>813</v>
      </c>
    </row>
    <row r="92" spans="2:6" x14ac:dyDescent="0.2">
      <c r="B92" t="s">
        <v>836</v>
      </c>
      <c r="C92" s="11">
        <v>36318</v>
      </c>
      <c r="D92" t="s">
        <v>590</v>
      </c>
      <c r="E92">
        <v>25</v>
      </c>
      <c r="F92" t="s">
        <v>813</v>
      </c>
    </row>
    <row r="93" spans="2:6" x14ac:dyDescent="0.2">
      <c r="B93" t="s">
        <v>835</v>
      </c>
      <c r="C93" s="11">
        <v>36161</v>
      </c>
      <c r="D93" t="s">
        <v>616</v>
      </c>
      <c r="F93" t="s">
        <v>813</v>
      </c>
    </row>
    <row r="94" spans="2:6" x14ac:dyDescent="0.2">
      <c r="B94" t="s">
        <v>834</v>
      </c>
      <c r="C94" s="11">
        <v>34790</v>
      </c>
      <c r="D94" t="s">
        <v>590</v>
      </c>
      <c r="E94">
        <v>2</v>
      </c>
      <c r="F94" t="s">
        <v>813</v>
      </c>
    </row>
    <row r="95" spans="2:6" x14ac:dyDescent="0.2">
      <c r="B95" t="s">
        <v>833</v>
      </c>
      <c r="C95" s="11">
        <v>33970</v>
      </c>
      <c r="D95" t="s">
        <v>616</v>
      </c>
      <c r="F95" t="s">
        <v>813</v>
      </c>
    </row>
    <row r="96" spans="2:6" x14ac:dyDescent="0.2">
      <c r="B96" t="s">
        <v>832</v>
      </c>
      <c r="C96" s="11">
        <v>30286</v>
      </c>
      <c r="D96" t="s">
        <v>590</v>
      </c>
      <c r="E96">
        <v>2</v>
      </c>
      <c r="F96" t="s">
        <v>813</v>
      </c>
    </row>
    <row r="97" spans="2:6" x14ac:dyDescent="0.2">
      <c r="B97" t="s">
        <v>831</v>
      </c>
      <c r="C97" s="11">
        <v>28614</v>
      </c>
      <c r="D97" t="s">
        <v>616</v>
      </c>
      <c r="E97">
        <v>0.15</v>
      </c>
      <c r="F97"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2025-03-02T21:07:38Z</dcterms:modified>
</cp:coreProperties>
</file>